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ml.chartshapes+xml"/>
  <Override PartName="/xl/charts/chart1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5" yWindow="2040" windowWidth="15165" windowHeight="3510" tabRatio="935"/>
  </bookViews>
  <sheets>
    <sheet name="Read Me" sheetId="35" r:id="rId1"/>
    <sheet name="Summary Tables" sheetId="59" r:id="rId2"/>
    <sheet name="Figure1. PCE Map" sheetId="72" r:id="rId3"/>
    <sheet name="Summary Figures" sheetId="73" r:id="rId4"/>
    <sheet name="Regional Maps" sheetId="74" r:id="rId5"/>
    <sheet name="Table 2.1a" sheetId="37" r:id="rId6"/>
    <sheet name="Table 2.1b_percent" sheetId="48" r:id="rId7"/>
    <sheet name="Table 2.2a" sheetId="3" r:id="rId8"/>
    <sheet name="Table 2.3a" sheetId="4" r:id="rId9"/>
    <sheet name="Table 2.3b" sheetId="5" r:id="rId10"/>
    <sheet name="Table 2.3c" sheetId="6" r:id="rId11"/>
    <sheet name="Table 2.4a" sheetId="16" r:id="rId12"/>
    <sheet name="Table 2.5a" sheetId="7" r:id="rId13"/>
    <sheet name="Table 2.5b" sheetId="38" r:id="rId14"/>
    <sheet name="Table 2.5c" sheetId="26" r:id="rId15"/>
    <sheet name="Table 2.6a" sheetId="69" r:id="rId16"/>
    <sheet name="Table 3.1" sheetId="63" r:id="rId17"/>
    <sheet name="Table 3.2" sheetId="64" r:id="rId18"/>
    <sheet name="Table 3.3" sheetId="65" r:id="rId19"/>
    <sheet name="Table 3.4" sheetId="66" r:id="rId20"/>
    <sheet name="Table 3.5" sheetId="67" r:id="rId21"/>
    <sheet name="Table 3.6" sheetId="68" r:id="rId22"/>
    <sheet name="UtilityList" sheetId="46" r:id="rId23"/>
    <sheet name="CommunityList" sheetId="61" r:id="rId24"/>
    <sheet name="Summary PivotTables" sheetId="58" r:id="rId25"/>
    <sheet name="Rates Figure" sheetId="70" state="hidden" r:id="rId26"/>
  </sheets>
  <externalReferences>
    <externalReference r:id="rId27"/>
  </externalReferences>
  <definedNames>
    <definedName name="_xlnm._FilterDatabase" localSheetId="23" hidden="1">CommunityList!$A$3:$J$331</definedName>
    <definedName name="_xlnm._FilterDatabase" localSheetId="25" hidden="1">'Rates Figure'!$A$3:$I$172</definedName>
    <definedName name="_xlnm._FilterDatabase" localSheetId="5" hidden="1">'Table 2.1a'!$A$3:$P$244</definedName>
    <definedName name="_xlnm._FilterDatabase" localSheetId="6" hidden="1">'Table 2.1b_percent'!$A$3:$P$243</definedName>
    <definedName name="_xlnm._FilterDatabase" localSheetId="7" hidden="1">'Table 2.2a'!$A$11:$Q$197</definedName>
    <definedName name="_xlnm._FilterDatabase" localSheetId="8" hidden="1">'Table 2.3a'!$A$7:$P$238</definedName>
    <definedName name="_xlnm._FilterDatabase" localSheetId="9" hidden="1">'Table 2.3b'!$A$5:$Q$234</definedName>
    <definedName name="_xlnm._FilterDatabase" localSheetId="10" hidden="1">'Table 2.3c'!$A$9:$R$225</definedName>
    <definedName name="_xlnm._FilterDatabase" localSheetId="11" hidden="1">'Table 2.4a'!$A$8:$S$224</definedName>
    <definedName name="_xlnm._FilterDatabase" localSheetId="12" hidden="1">'Table 2.5a'!$A$7:$X$192</definedName>
    <definedName name="_xlnm._FilterDatabase" localSheetId="13" hidden="1">'Table 2.5b'!$A$6:$Q$190</definedName>
    <definedName name="_xlnm._FilterDatabase" localSheetId="14" hidden="1">'Table 2.5c'!$A$3:$M$187</definedName>
    <definedName name="_xlnm._FilterDatabase" localSheetId="15" hidden="1">'Table 2.6a'!$A$3:$I$3</definedName>
    <definedName name="_xlnm._FilterDatabase" localSheetId="22" hidden="1">UtilityList!$A$3:$Q$251</definedName>
    <definedName name="_Toc341797497" localSheetId="1">'Summary Tables'!$N$3</definedName>
    <definedName name="_Toc368489727" localSheetId="3">'Summary Figures'!$A$355</definedName>
    <definedName name="_Toc368489729" localSheetId="3">'Summary Figures'!$A$390</definedName>
    <definedName name="_Toc368489730" localSheetId="3">'Summary Figures'!$A$406</definedName>
    <definedName name="_Toc368489736" localSheetId="3">'Summary Figures'!$A$38</definedName>
    <definedName name="_Toc368489737" localSheetId="3">'Summary Figures'!$A$424</definedName>
    <definedName name="_Toc368489738" localSheetId="3">'Summary Figures'!$A$441</definedName>
    <definedName name="_Toc368489739" localSheetId="3">'Summary Figures'!$A$462</definedName>
    <definedName name="_Toc368489745" localSheetId="4">'Regional Maps'!$A$2</definedName>
    <definedName name="_Toc368489746" localSheetId="4">'Regional Maps'!$A$26</definedName>
    <definedName name="_Toc372884197" localSheetId="3">'Summary Figures'!$A$302</definedName>
    <definedName name="_Toc372884201" localSheetId="3">'Summary Figures'!$A$374</definedName>
    <definedName name="_Toc372884207" localSheetId="3">'Summary Figures'!$A$481</definedName>
    <definedName name="_Toc372884208" localSheetId="3">'Summary Figures'!$A$500</definedName>
    <definedName name="Btu_per_gallon">'[1]Conversion Factors-Assumptions'!$C$47</definedName>
    <definedName name="Btu_per_KWh">'[1]Conversion Factors-Assumptions'!$E$29</definedName>
    <definedName name="Btu_per_Mcf">'[1]Conversion Factors-Assumptions'!$E$28</definedName>
    <definedName name="CO2_Coal">'[1]Conversion Factors-Assumptions'!$F$43</definedName>
    <definedName name="CO2_Diesel">'[1]Conversion Factors-Assumptions'!$F$44</definedName>
    <definedName name="CO2_Natural_Gas">'[1]Conversion Factors-Assumptions'!$F$45</definedName>
    <definedName name="Diesel_Turbine_Efficiency">'[1]Conversion Factors-Assumptions'!$B$14</definedName>
    <definedName name="Internal_Combustion_Efficiency">'[1]Conversion Factors-Assumptions'!$B$32</definedName>
    <definedName name="MMBtu__per_ShortTon_Coal">'[1]Conversion Factors-Assumptions'!$C$43</definedName>
    <definedName name="MMBtu_per_MWh">'[1]Conversion Factors-Assumptions'!$C$49</definedName>
    <definedName name="Natural_Gas_Efficiency">'[1]Conversion Factors-Assumptions'!$B$23</definedName>
    <definedName name="_xlnm.Print_Area" localSheetId="7">'Table 2.2a'!$A:$M</definedName>
    <definedName name="_xlnm.Print_Area" localSheetId="8">'Table 2.3a'!$A:$H</definedName>
    <definedName name="_xlnm.Print_Area" localSheetId="9">'Table 2.3b'!$A:$L</definedName>
    <definedName name="_xlnm.Print_Area" localSheetId="10">'Table 2.3c'!$A:$N</definedName>
    <definedName name="_xlnm.Print_Area" localSheetId="11">'Table 2.4a'!$A:$S</definedName>
    <definedName name="_xlnm.Print_Area" localSheetId="12">'Table 2.5a'!$A:$S</definedName>
    <definedName name="_xlnm.Print_Area" localSheetId="13">'Table 2.5b'!$A:$M</definedName>
    <definedName name="_xlnm.Print_Titles" localSheetId="7">'Table 2.2a'!$10:$10</definedName>
    <definedName name="_xlnm.Print_Titles" localSheetId="8">'Table 2.3a'!$7:$9</definedName>
    <definedName name="_xlnm.Print_Titles" localSheetId="9">'Table 2.3b'!$4:$5</definedName>
    <definedName name="_xlnm.Print_Titles" localSheetId="10">'Table 2.3c'!$9:$9</definedName>
    <definedName name="_xlnm.Print_Titles" localSheetId="11">'Table 2.4a'!$8:$8</definedName>
    <definedName name="_xlnm.Print_Titles" localSheetId="12">'Table 2.5a'!$6:$7</definedName>
    <definedName name="_xlnm.Print_Titles" localSheetId="13">'Table 2.5b'!$5:$6</definedName>
  </definedNames>
  <calcPr calcId="145621"/>
  <pivotCaches>
    <pivotCache cacheId="7" r:id="rId28"/>
    <pivotCache cacheId="8" r:id="rId29"/>
    <pivotCache cacheId="9" r:id="rId30"/>
    <pivotCache cacheId="10" r:id="rId31"/>
    <pivotCache cacheId="11" r:id="rId32"/>
    <pivotCache cacheId="12" r:id="rId33"/>
    <pivotCache cacheId="13" r:id="rId34"/>
  </pivotCaches>
</workbook>
</file>

<file path=xl/calcChain.xml><?xml version="1.0" encoding="utf-8"?>
<calcChain xmlns="http://schemas.openxmlformats.org/spreadsheetml/2006/main">
  <c r="G35" i="67" l="1"/>
  <c r="F35" i="67"/>
  <c r="D35" i="67"/>
  <c r="O36" i="67"/>
  <c r="H24" i="69" l="1"/>
  <c r="H23" i="69"/>
  <c r="E13" i="67"/>
  <c r="E14" i="67"/>
  <c r="E15" i="67"/>
  <c r="E16" i="67"/>
  <c r="E17" i="67"/>
  <c r="E18" i="67"/>
  <c r="E19" i="67"/>
  <c r="E20" i="67"/>
  <c r="E21" i="67" s="1"/>
  <c r="E22" i="67" s="1"/>
  <c r="E23" i="67" s="1"/>
  <c r="E24" i="67" s="1"/>
  <c r="E25" i="67"/>
  <c r="E26" i="67"/>
  <c r="E27" i="67" s="1"/>
  <c r="E28" i="67" s="1"/>
  <c r="E29" i="67" s="1"/>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12" i="67"/>
  <c r="I13" i="67"/>
  <c r="I14" i="67"/>
  <c r="I15" i="67"/>
  <c r="I16" i="67"/>
  <c r="I17" i="67"/>
  <c r="I18" i="67"/>
  <c r="I19" i="67"/>
  <c r="I20" i="67"/>
  <c r="I21" i="67" s="1"/>
  <c r="I22" i="67" s="1"/>
  <c r="I23" i="67" s="1"/>
  <c r="I24" i="67" s="1"/>
  <c r="I25" i="67"/>
  <c r="I26" i="67"/>
  <c r="I27" i="67" s="1"/>
  <c r="I28" i="67" s="1"/>
  <c r="I29" i="67" s="1"/>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12" i="67"/>
  <c r="G175" i="58"/>
  <c r="F174" i="58"/>
  <c r="G174" i="58" s="1"/>
  <c r="K81" i="58"/>
  <c r="K80" i="58"/>
  <c r="K79" i="58"/>
  <c r="K76" i="58"/>
  <c r="F172" i="58"/>
  <c r="U20" i="7" l="1" a="1"/>
  <c r="U20" i="7" s="1"/>
  <c r="V20" i="7" a="1"/>
  <c r="V20" i="7" s="1"/>
  <c r="W20" i="7" a="1"/>
  <c r="W20" i="7" s="1"/>
  <c r="X20" i="7" a="1"/>
  <c r="X20" i="7" s="1"/>
  <c r="M13" i="67" l="1"/>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M57" i="67"/>
  <c r="M58" i="67"/>
  <c r="M59" i="67"/>
  <c r="M60" i="67"/>
  <c r="M12" i="67"/>
  <c r="D22" i="69" l="1"/>
  <c r="L53" i="35"/>
  <c r="L52" i="35"/>
  <c r="L51" i="35"/>
  <c r="L50" i="35"/>
  <c r="L49" i="35"/>
  <c r="L48" i="35"/>
  <c r="L47" i="35"/>
  <c r="L46" i="35"/>
  <c r="L45" i="35"/>
  <c r="L44" i="35"/>
  <c r="L43" i="35"/>
  <c r="L42" i="35"/>
  <c r="L41" i="35"/>
  <c r="L40" i="35"/>
  <c r="B60" i="35"/>
  <c r="B59" i="35"/>
  <c r="L58" i="63" l="1"/>
  <c r="L59" i="63"/>
  <c r="L57" i="63"/>
  <c r="L39" i="35"/>
  <c r="L38" i="35"/>
  <c r="L37" i="35"/>
  <c r="L36" i="35"/>
  <c r="L35" i="35"/>
  <c r="L34" i="35"/>
  <c r="L33" i="35"/>
  <c r="L32" i="35"/>
  <c r="L31" i="35"/>
  <c r="B28" i="35"/>
  <c r="B27" i="35"/>
  <c r="L30" i="35"/>
  <c r="L29" i="35"/>
  <c r="L28" i="35"/>
  <c r="L27" i="35"/>
  <c r="L26" i="35"/>
  <c r="O68" i="73"/>
  <c r="O67" i="73"/>
  <c r="O66" i="73"/>
  <c r="O65" i="73"/>
  <c r="O69" i="73" l="1"/>
  <c r="P65" i="73" s="1"/>
  <c r="P66" i="73" l="1"/>
  <c r="P67" i="73"/>
  <c r="P68" i="73"/>
  <c r="J190" i="6"/>
  <c r="J145" i="6"/>
  <c r="J137" i="6"/>
  <c r="J119" i="6"/>
  <c r="J118" i="6"/>
  <c r="J117" i="6"/>
  <c r="J116" i="6"/>
  <c r="J106" i="6"/>
  <c r="J105" i="6"/>
  <c r="J101" i="6"/>
  <c r="J100" i="6"/>
  <c r="J99" i="6"/>
  <c r="J9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4" i="6"/>
  <c r="J143" i="6"/>
  <c r="J142" i="6"/>
  <c r="J141" i="6"/>
  <c r="J140" i="6"/>
  <c r="J139" i="6"/>
  <c r="J138" i="6"/>
  <c r="J136" i="6"/>
  <c r="J135" i="6"/>
  <c r="J134" i="6"/>
  <c r="J133" i="6"/>
  <c r="J132" i="6"/>
  <c r="J131" i="6"/>
  <c r="J130" i="6"/>
  <c r="J129" i="6"/>
  <c r="J128" i="6"/>
  <c r="J127" i="6"/>
  <c r="J126" i="6"/>
  <c r="J125" i="6"/>
  <c r="J124" i="6"/>
  <c r="J123" i="6"/>
  <c r="J122" i="6"/>
  <c r="J121" i="6"/>
  <c r="J120" i="6"/>
  <c r="J115" i="6"/>
  <c r="J114" i="6"/>
  <c r="J113" i="6"/>
  <c r="J112" i="6"/>
  <c r="J111" i="6"/>
  <c r="J110" i="6"/>
  <c r="J109" i="6"/>
  <c r="J108" i="6"/>
  <c r="J107" i="6"/>
  <c r="J104" i="6"/>
  <c r="J103" i="6"/>
  <c r="J102" i="6"/>
  <c r="J98" i="6"/>
  <c r="J97"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C88" i="59"/>
  <c r="C83" i="59"/>
  <c r="C85" i="59"/>
  <c r="C84" i="59"/>
  <c r="C79" i="59"/>
  <c r="C81" i="59"/>
  <c r="C80" i="59"/>
  <c r="C86" i="59"/>
  <c r="C89" i="59"/>
  <c r="C87" i="59"/>
  <c r="C82" i="59"/>
  <c r="P69" i="73" l="1"/>
  <c r="P9" i="7"/>
  <c r="P10" i="7"/>
  <c r="P11" i="7"/>
  <c r="P12" i="7"/>
  <c r="P13" i="7"/>
  <c r="P14" i="7"/>
  <c r="P15" i="7"/>
  <c r="P16" i="7"/>
  <c r="P17" i="7"/>
  <c r="P18" i="7"/>
  <c r="P19"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8" i="7"/>
  <c r="J102" i="58"/>
  <c r="K102" i="58"/>
  <c r="L92" i="58"/>
  <c r="L93" i="58"/>
  <c r="L94" i="58"/>
  <c r="L95" i="58"/>
  <c r="L96" i="58"/>
  <c r="L97" i="58"/>
  <c r="L98" i="58"/>
  <c r="L99" i="58"/>
  <c r="L100" i="58"/>
  <c r="L101" i="58"/>
  <c r="L91" i="58"/>
  <c r="R61" i="67"/>
  <c r="Q61" i="67"/>
  <c r="O61" i="67"/>
  <c r="N61" i="67"/>
  <c r="K61" i="67"/>
  <c r="J61" i="67"/>
  <c r="F61" i="67" l="1"/>
  <c r="G61" i="67"/>
  <c r="M92" i="58"/>
  <c r="M93" i="58"/>
  <c r="M94" i="58"/>
  <c r="M95" i="58"/>
  <c r="M96" i="58"/>
  <c r="M97" i="58"/>
  <c r="M98" i="58"/>
  <c r="M99" i="58"/>
  <c r="M100" i="58"/>
  <c r="M101" i="58"/>
  <c r="M91" i="58"/>
  <c r="L61" i="67"/>
  <c r="M61" i="67" s="1"/>
  <c r="P61" i="67"/>
  <c r="L102" i="58"/>
  <c r="I102" i="58"/>
  <c r="H61" i="67" s="1"/>
  <c r="I61" i="67" s="1"/>
  <c r="M102" i="58" l="1"/>
  <c r="D61" i="67"/>
  <c r="E61" i="67" s="1"/>
  <c r="I10" i="59" l="1"/>
  <c r="E26" i="69"/>
  <c r="E25" i="69"/>
  <c r="E24" i="69"/>
  <c r="E23" i="69"/>
  <c r="E22" i="69"/>
  <c r="J26" i="69"/>
  <c r="J25" i="69"/>
  <c r="J24" i="69"/>
  <c r="J23" i="69"/>
  <c r="J22" i="69"/>
  <c r="B51" i="35"/>
  <c r="H22" i="69"/>
  <c r="B29" i="35"/>
  <c r="J27" i="69" l="1"/>
  <c r="B58" i="35"/>
  <c r="B57" i="35"/>
  <c r="B56" i="35"/>
  <c r="B55" i="35"/>
  <c r="B54" i="35"/>
  <c r="B53" i="35"/>
  <c r="B49" i="35"/>
  <c r="B48" i="35"/>
  <c r="B47" i="35"/>
  <c r="B45" i="35"/>
  <c r="B44" i="35"/>
  <c r="B43" i="35"/>
  <c r="B42" i="35"/>
  <c r="B41" i="35"/>
  <c r="B39" i="35"/>
  <c r="K5" i="48" a="1"/>
  <c r="K5" i="48" s="1"/>
  <c r="K6" i="48" a="1"/>
  <c r="K6" i="48" s="1"/>
  <c r="K7" i="48" a="1"/>
  <c r="K7" i="48" s="1"/>
  <c r="K8" i="48" a="1"/>
  <c r="K8" i="48" s="1"/>
  <c r="K9" i="48" a="1"/>
  <c r="K9" i="48" s="1"/>
  <c r="K10" i="48" a="1"/>
  <c r="K10" i="48" s="1"/>
  <c r="K11" i="48" a="1"/>
  <c r="K11" i="48" s="1"/>
  <c r="K12" i="48" a="1"/>
  <c r="K12" i="48" s="1"/>
  <c r="K13" i="48" a="1"/>
  <c r="K13" i="48" s="1"/>
  <c r="K14" i="48" a="1"/>
  <c r="K14" i="48" s="1"/>
  <c r="K15" i="48" a="1"/>
  <c r="K15" i="48" s="1"/>
  <c r="K16" i="48" a="1"/>
  <c r="K16" i="48" s="1"/>
  <c r="K17" i="48" a="1"/>
  <c r="K17" i="48" s="1"/>
  <c r="K18" i="48" a="1"/>
  <c r="K18" i="48" s="1"/>
  <c r="K19" i="48" a="1"/>
  <c r="K19" i="48" s="1"/>
  <c r="K20" i="48" a="1"/>
  <c r="K20" i="48" s="1"/>
  <c r="K21" i="48" a="1"/>
  <c r="K21" i="48" s="1"/>
  <c r="K22" i="48" a="1"/>
  <c r="K22" i="48" s="1"/>
  <c r="K23" i="48" a="1"/>
  <c r="K23" i="48" s="1"/>
  <c r="K24" i="48" a="1"/>
  <c r="K24" i="48" s="1"/>
  <c r="K25" i="48" a="1"/>
  <c r="K25" i="48" s="1"/>
  <c r="K26" i="48" a="1"/>
  <c r="K26" i="48" s="1"/>
  <c r="K27" i="48" a="1"/>
  <c r="K27" i="48" s="1"/>
  <c r="K28" i="48" a="1"/>
  <c r="K28" i="48" s="1"/>
  <c r="K29" i="48" a="1"/>
  <c r="K29" i="48" s="1"/>
  <c r="K30" i="48" a="1"/>
  <c r="K30" i="48" s="1"/>
  <c r="K31" i="48" a="1"/>
  <c r="K31" i="48" s="1"/>
  <c r="K32" i="48" a="1"/>
  <c r="K32" i="48" s="1"/>
  <c r="K33" i="48" a="1"/>
  <c r="K33" i="48" s="1"/>
  <c r="K34" i="48" a="1"/>
  <c r="K34" i="48" s="1"/>
  <c r="K35" i="48" a="1"/>
  <c r="K35" i="48" s="1"/>
  <c r="K36" i="48" a="1"/>
  <c r="K36" i="48" s="1"/>
  <c r="K37" i="48" a="1"/>
  <c r="K37" i="48" s="1"/>
  <c r="K38" i="48" a="1"/>
  <c r="K38" i="48" s="1"/>
  <c r="K39" i="48" a="1"/>
  <c r="K39" i="48" s="1"/>
  <c r="K40" i="48" a="1"/>
  <c r="K40" i="48" s="1"/>
  <c r="K41" i="48" a="1"/>
  <c r="K41" i="48" s="1"/>
  <c r="K42" i="48" a="1"/>
  <c r="K42" i="48" s="1"/>
  <c r="K43" i="48" a="1"/>
  <c r="K43" i="48" s="1"/>
  <c r="K44" i="48" a="1"/>
  <c r="K44" i="48" s="1"/>
  <c r="K45" i="48" a="1"/>
  <c r="K45" i="48" s="1"/>
  <c r="K46" i="48" a="1"/>
  <c r="K46" i="48" s="1"/>
  <c r="K47" i="48" a="1"/>
  <c r="K47" i="48" s="1"/>
  <c r="K48" i="48" a="1"/>
  <c r="K48" i="48" s="1"/>
  <c r="K49" i="48" a="1"/>
  <c r="K49" i="48" s="1"/>
  <c r="K50" i="48" a="1"/>
  <c r="K50" i="48" s="1"/>
  <c r="K51" i="48" a="1"/>
  <c r="K51" i="48" s="1"/>
  <c r="K52" i="48" a="1"/>
  <c r="K52" i="48" s="1"/>
  <c r="K53" i="48" a="1"/>
  <c r="K53" i="48" s="1"/>
  <c r="K54" i="48" a="1"/>
  <c r="K54" i="48" s="1"/>
  <c r="K55" i="48" a="1"/>
  <c r="K55" i="48" s="1"/>
  <c r="K56" i="48" a="1"/>
  <c r="K56" i="48" s="1"/>
  <c r="K57" i="48" a="1"/>
  <c r="K57" i="48" s="1"/>
  <c r="K58" i="48" a="1"/>
  <c r="K58" i="48" s="1"/>
  <c r="K59" i="48" a="1"/>
  <c r="K59" i="48" s="1"/>
  <c r="K60" i="48" a="1"/>
  <c r="K60" i="48" s="1"/>
  <c r="K61" i="48" a="1"/>
  <c r="K61" i="48" s="1"/>
  <c r="K62" i="48" a="1"/>
  <c r="K62" i="48" s="1"/>
  <c r="K63" i="48" a="1"/>
  <c r="K63" i="48" s="1"/>
  <c r="K64" i="48" a="1"/>
  <c r="K64" i="48" s="1"/>
  <c r="K65" i="48" a="1"/>
  <c r="K65" i="48" s="1"/>
  <c r="K66" i="48" a="1"/>
  <c r="K66" i="48" s="1"/>
  <c r="K67" i="48" a="1"/>
  <c r="K67" i="48" s="1"/>
  <c r="K68" i="48" a="1"/>
  <c r="K68" i="48" s="1"/>
  <c r="K69" i="48" a="1"/>
  <c r="K69" i="48" s="1"/>
  <c r="K70" i="48" a="1"/>
  <c r="K70" i="48" s="1"/>
  <c r="K71" i="48" a="1"/>
  <c r="K71" i="48" s="1"/>
  <c r="K72" i="48" a="1"/>
  <c r="K72" i="48" s="1"/>
  <c r="K73" i="48" a="1"/>
  <c r="K73" i="48" s="1"/>
  <c r="K74" i="48" a="1"/>
  <c r="K74" i="48" s="1"/>
  <c r="K75" i="48" a="1"/>
  <c r="K75" i="48" s="1"/>
  <c r="K76" i="48" a="1"/>
  <c r="K76" i="48" s="1"/>
  <c r="K77" i="48" a="1"/>
  <c r="K77" i="48" s="1"/>
  <c r="K78" i="48" a="1"/>
  <c r="K78" i="48" s="1"/>
  <c r="K79" i="48" a="1"/>
  <c r="K79" i="48" s="1"/>
  <c r="K80" i="48" a="1"/>
  <c r="K80" i="48" s="1"/>
  <c r="K81" i="48" a="1"/>
  <c r="K81" i="48" s="1"/>
  <c r="K82" i="48" a="1"/>
  <c r="K82" i="48" s="1"/>
  <c r="K83" i="48" a="1"/>
  <c r="K83" i="48" s="1"/>
  <c r="K84" i="48" a="1"/>
  <c r="K84" i="48" s="1"/>
  <c r="K85" i="48" a="1"/>
  <c r="K85" i="48" s="1"/>
  <c r="K86" i="48" a="1"/>
  <c r="K86" i="48" s="1"/>
  <c r="K87" i="48" a="1"/>
  <c r="K87" i="48" s="1"/>
  <c r="K88" i="48" a="1"/>
  <c r="K88" i="48" s="1"/>
  <c r="K89" i="48" a="1"/>
  <c r="K89" i="48" s="1"/>
  <c r="K90" i="48" a="1"/>
  <c r="K90" i="48" s="1"/>
  <c r="K91" i="48" a="1"/>
  <c r="K91" i="48" s="1"/>
  <c r="K92" i="48" a="1"/>
  <c r="K92" i="48" s="1"/>
  <c r="K93" i="48" a="1"/>
  <c r="K93" i="48" s="1"/>
  <c r="K94" i="48" a="1"/>
  <c r="K94" i="48" s="1"/>
  <c r="K95" i="48" a="1"/>
  <c r="K95" i="48" s="1"/>
  <c r="K96" i="48" a="1"/>
  <c r="K96" i="48" s="1"/>
  <c r="K97" i="48" a="1"/>
  <c r="K97" i="48" s="1"/>
  <c r="K98" i="48" a="1"/>
  <c r="K98" i="48" s="1"/>
  <c r="K99" i="48" a="1"/>
  <c r="K99" i="48" s="1"/>
  <c r="K100" i="48" a="1"/>
  <c r="K100" i="48" s="1"/>
  <c r="K101" i="48" a="1"/>
  <c r="K101" i="48" s="1"/>
  <c r="K102" i="48" a="1"/>
  <c r="K102" i="48" s="1"/>
  <c r="K103" i="48" a="1"/>
  <c r="K103" i="48" s="1"/>
  <c r="K104" i="48" a="1"/>
  <c r="K104" i="48" s="1"/>
  <c r="K105" i="48" a="1"/>
  <c r="K105" i="48" s="1"/>
  <c r="K106" i="48" a="1"/>
  <c r="K106" i="48" s="1"/>
  <c r="K107" i="48" a="1"/>
  <c r="K107" i="48" s="1"/>
  <c r="K108" i="48" a="1"/>
  <c r="K108" i="48" s="1"/>
  <c r="K109" i="48" a="1"/>
  <c r="K109" i="48" s="1"/>
  <c r="K110" i="48" a="1"/>
  <c r="K110" i="48" s="1"/>
  <c r="K111" i="48" a="1"/>
  <c r="K111" i="48" s="1"/>
  <c r="K112" i="48" a="1"/>
  <c r="K112" i="48" s="1"/>
  <c r="K113" i="48" a="1"/>
  <c r="K113" i="48" s="1"/>
  <c r="K114" i="48" a="1"/>
  <c r="K114" i="48" s="1"/>
  <c r="K115" i="48" a="1"/>
  <c r="K115" i="48" s="1"/>
  <c r="K116" i="48" a="1"/>
  <c r="K116" i="48" s="1"/>
  <c r="K117" i="48" a="1"/>
  <c r="K117" i="48" s="1"/>
  <c r="K118" i="48" a="1"/>
  <c r="K118" i="48" s="1"/>
  <c r="K119" i="48" a="1"/>
  <c r="K119" i="48" s="1"/>
  <c r="K120" i="48" a="1"/>
  <c r="K120" i="48" s="1"/>
  <c r="K121" i="48" a="1"/>
  <c r="K121" i="48" s="1"/>
  <c r="K122" i="48" a="1"/>
  <c r="K122" i="48" s="1"/>
  <c r="K123" i="48" a="1"/>
  <c r="K123" i="48" s="1"/>
  <c r="K124" i="48" a="1"/>
  <c r="K124" i="48" s="1"/>
  <c r="K125" i="48" a="1"/>
  <c r="K125" i="48" s="1"/>
  <c r="K126" i="48" a="1"/>
  <c r="K126" i="48" s="1"/>
  <c r="K127" i="48" a="1"/>
  <c r="K127" i="48" s="1"/>
  <c r="K128" i="48" a="1"/>
  <c r="K128" i="48" s="1"/>
  <c r="K129" i="48" a="1"/>
  <c r="K129" i="48" s="1"/>
  <c r="K130" i="48" a="1"/>
  <c r="K130" i="48" s="1"/>
  <c r="K131" i="48" a="1"/>
  <c r="K131" i="48" s="1"/>
  <c r="K132" i="48" a="1"/>
  <c r="K132" i="48" s="1"/>
  <c r="K133" i="48" a="1"/>
  <c r="K133" i="48" s="1"/>
  <c r="K134" i="48" a="1"/>
  <c r="K134" i="48" s="1"/>
  <c r="K135" i="48" a="1"/>
  <c r="K135" i="48" s="1"/>
  <c r="K136" i="48" a="1"/>
  <c r="K136" i="48" s="1"/>
  <c r="K137" i="48" a="1"/>
  <c r="K137" i="48" s="1"/>
  <c r="K138" i="48" a="1"/>
  <c r="K138" i="48" s="1"/>
  <c r="K139" i="48" a="1"/>
  <c r="K139" i="48" s="1"/>
  <c r="K140" i="48" a="1"/>
  <c r="K140" i="48" s="1"/>
  <c r="K141" i="48" a="1"/>
  <c r="K141" i="48" s="1"/>
  <c r="K142" i="48" a="1"/>
  <c r="K142" i="48" s="1"/>
  <c r="K143" i="48" a="1"/>
  <c r="K143" i="48" s="1"/>
  <c r="K144" i="48" a="1"/>
  <c r="K144" i="48" s="1"/>
  <c r="K145" i="48" a="1"/>
  <c r="K145" i="48" s="1"/>
  <c r="K146" i="48" a="1"/>
  <c r="K146" i="48" s="1"/>
  <c r="K147" i="48" a="1"/>
  <c r="K147" i="48" s="1"/>
  <c r="K148" i="48" a="1"/>
  <c r="K148" i="48" s="1"/>
  <c r="K149" i="48" a="1"/>
  <c r="K149" i="48" s="1"/>
  <c r="K150" i="48" a="1"/>
  <c r="K150" i="48" s="1"/>
  <c r="K151" i="48" a="1"/>
  <c r="K151" i="48" s="1"/>
  <c r="K152" i="48" a="1"/>
  <c r="K152" i="48" s="1"/>
  <c r="K153" i="48" a="1"/>
  <c r="K153" i="48" s="1"/>
  <c r="K154" i="48" a="1"/>
  <c r="K154" i="48" s="1"/>
  <c r="K155" i="48" a="1"/>
  <c r="K155" i="48" s="1"/>
  <c r="K156" i="48" a="1"/>
  <c r="K156" i="48" s="1"/>
  <c r="K157" i="48" a="1"/>
  <c r="K157" i="48" s="1"/>
  <c r="K158" i="48" a="1"/>
  <c r="K158" i="48" s="1"/>
  <c r="K159" i="48" a="1"/>
  <c r="K159" i="48" s="1"/>
  <c r="K160" i="48" a="1"/>
  <c r="K160" i="48" s="1"/>
  <c r="K161" i="48" a="1"/>
  <c r="K161" i="48" s="1"/>
  <c r="K162" i="48" a="1"/>
  <c r="K162" i="48" s="1"/>
  <c r="K163" i="48" a="1"/>
  <c r="K163" i="48" s="1"/>
  <c r="K164" i="48" a="1"/>
  <c r="K164" i="48" s="1"/>
  <c r="K165" i="48" a="1"/>
  <c r="K165" i="48" s="1"/>
  <c r="K166" i="48" a="1"/>
  <c r="K166" i="48" s="1"/>
  <c r="K167" i="48" a="1"/>
  <c r="K167" i="48" s="1"/>
  <c r="K168" i="48" a="1"/>
  <c r="K168" i="48" s="1"/>
  <c r="K169" i="48" a="1"/>
  <c r="K169" i="48" s="1"/>
  <c r="K170" i="48" a="1"/>
  <c r="K170" i="48" s="1"/>
  <c r="K171" i="48" a="1"/>
  <c r="K171" i="48" s="1"/>
  <c r="K172" i="48" a="1"/>
  <c r="K172" i="48" s="1"/>
  <c r="K173" i="48" a="1"/>
  <c r="K173" i="48" s="1"/>
  <c r="K174" i="48" a="1"/>
  <c r="K174" i="48" s="1"/>
  <c r="K175" i="48" a="1"/>
  <c r="K175" i="48" s="1"/>
  <c r="K176" i="48" a="1"/>
  <c r="K176" i="48" s="1"/>
  <c r="K177" i="48" a="1"/>
  <c r="K177" i="48" s="1"/>
  <c r="K178" i="48" a="1"/>
  <c r="K178" i="48" s="1"/>
  <c r="K179" i="48" a="1"/>
  <c r="K179" i="48" s="1"/>
  <c r="K180" i="48" a="1"/>
  <c r="K180" i="48" s="1"/>
  <c r="K181" i="48" a="1"/>
  <c r="K181" i="48" s="1"/>
  <c r="K182" i="48" a="1"/>
  <c r="K182" i="48" s="1"/>
  <c r="K183" i="48" a="1"/>
  <c r="K183" i="48" s="1"/>
  <c r="K184" i="48" a="1"/>
  <c r="K184" i="48" s="1"/>
  <c r="K185" i="48" a="1"/>
  <c r="K185" i="48" s="1"/>
  <c r="K186" i="48" a="1"/>
  <c r="K186" i="48" s="1"/>
  <c r="K187" i="48" a="1"/>
  <c r="K187" i="48" s="1"/>
  <c r="K188" i="48" a="1"/>
  <c r="K188" i="48" s="1"/>
  <c r="K189" i="48" a="1"/>
  <c r="K189" i="48" s="1"/>
  <c r="K190" i="48" a="1"/>
  <c r="K190" i="48" s="1"/>
  <c r="K191" i="48" a="1"/>
  <c r="K191" i="48" s="1"/>
  <c r="K192" i="48" a="1"/>
  <c r="K192" i="48" s="1"/>
  <c r="K193" i="48" a="1"/>
  <c r="K193" i="48" s="1"/>
  <c r="K194" i="48" a="1"/>
  <c r="K194" i="48" s="1"/>
  <c r="K195" i="48" a="1"/>
  <c r="K195" i="48" s="1"/>
  <c r="K196" i="48" a="1"/>
  <c r="K196" i="48" s="1"/>
  <c r="K197" i="48" a="1"/>
  <c r="K197" i="48" s="1"/>
  <c r="K198" i="48" a="1"/>
  <c r="K198" i="48" s="1"/>
  <c r="K199" i="48" a="1"/>
  <c r="K199" i="48" s="1"/>
  <c r="K200" i="48" a="1"/>
  <c r="K200" i="48" s="1"/>
  <c r="K201" i="48" a="1"/>
  <c r="K201" i="48" s="1"/>
  <c r="K202" i="48" a="1"/>
  <c r="K202" i="48" s="1"/>
  <c r="K203" i="48" a="1"/>
  <c r="K203" i="48" s="1"/>
  <c r="K204" i="48" a="1"/>
  <c r="K204" i="48" s="1"/>
  <c r="K205" i="48" a="1"/>
  <c r="K205" i="48" s="1"/>
  <c r="K206" i="48" a="1"/>
  <c r="K206" i="48" s="1"/>
  <c r="K207" i="48" a="1"/>
  <c r="K207" i="48" s="1"/>
  <c r="K208" i="48" a="1"/>
  <c r="K208" i="48" s="1"/>
  <c r="K209" i="48" a="1"/>
  <c r="K209" i="48" s="1"/>
  <c r="K210" i="48" a="1"/>
  <c r="K210" i="48" s="1"/>
  <c r="K211" i="48" a="1"/>
  <c r="K211" i="48" s="1"/>
  <c r="K212" i="48" a="1"/>
  <c r="K212" i="48" s="1"/>
  <c r="K213" i="48" a="1"/>
  <c r="K213" i="48" s="1"/>
  <c r="K214" i="48" a="1"/>
  <c r="K214" i="48" s="1"/>
  <c r="K215" i="48" a="1"/>
  <c r="K215" i="48" s="1"/>
  <c r="K216" i="48" a="1"/>
  <c r="K216" i="48" s="1"/>
  <c r="K217" i="48" a="1"/>
  <c r="K217" i="48" s="1"/>
  <c r="K218" i="48" a="1"/>
  <c r="K218" i="48" s="1"/>
  <c r="K219" i="48" a="1"/>
  <c r="K219" i="48" s="1"/>
  <c r="K220" i="48" a="1"/>
  <c r="K220" i="48" s="1"/>
  <c r="K221" i="48" a="1"/>
  <c r="K221" i="48" s="1"/>
  <c r="K222" i="48" a="1"/>
  <c r="K222" i="48" s="1"/>
  <c r="K223" i="48" a="1"/>
  <c r="K223" i="48" s="1"/>
  <c r="K224" i="48" a="1"/>
  <c r="K224" i="48" s="1"/>
  <c r="K225" i="48" a="1"/>
  <c r="K225" i="48" s="1"/>
  <c r="K226" i="48" a="1"/>
  <c r="K226" i="48" s="1"/>
  <c r="K227" i="48" a="1"/>
  <c r="K227" i="48" s="1"/>
  <c r="K228" i="48" a="1"/>
  <c r="K228" i="48" s="1"/>
  <c r="K229" i="48" a="1"/>
  <c r="K229" i="48" s="1"/>
  <c r="K230" i="48" a="1"/>
  <c r="K230" i="48" s="1"/>
  <c r="K231" i="48" a="1"/>
  <c r="K231" i="48" s="1"/>
  <c r="K232" i="48" a="1"/>
  <c r="K232" i="48" s="1"/>
  <c r="K233" i="48" a="1"/>
  <c r="K233" i="48" s="1"/>
  <c r="K234" i="48" a="1"/>
  <c r="K234" i="48" s="1"/>
  <c r="K235" i="48" a="1"/>
  <c r="K235" i="48" s="1"/>
  <c r="K236" i="48" a="1"/>
  <c r="K236" i="48" s="1"/>
  <c r="K237" i="48" a="1"/>
  <c r="K237" i="48" s="1"/>
  <c r="K238" i="48" a="1"/>
  <c r="K238" i="48" s="1"/>
  <c r="K239" i="48" a="1"/>
  <c r="K239" i="48" s="1"/>
  <c r="K240" i="48" a="1"/>
  <c r="K240" i="48" s="1"/>
  <c r="K241" i="48" a="1"/>
  <c r="K241" i="48" s="1"/>
  <c r="K242" i="48" a="1"/>
  <c r="K242" i="48" s="1"/>
  <c r="K243" i="48" a="1"/>
  <c r="K243" i="48" s="1"/>
  <c r="K4" i="48" a="1"/>
  <c r="K4" i="48" s="1"/>
  <c r="M5" i="37" a="1"/>
  <c r="M5" i="37" s="1"/>
  <c r="N5" i="37" a="1"/>
  <c r="N5" i="37" s="1"/>
  <c r="O5" i="37" a="1"/>
  <c r="O5" i="37" s="1"/>
  <c r="P5" i="37" a="1"/>
  <c r="P5" i="37" s="1"/>
  <c r="M6" i="37" a="1"/>
  <c r="M6" i="37" s="1"/>
  <c r="N6" i="37" a="1"/>
  <c r="N6" i="37" s="1"/>
  <c r="O6" i="37" a="1"/>
  <c r="O6" i="37" s="1"/>
  <c r="P6" i="37" a="1"/>
  <c r="P6" i="37" s="1"/>
  <c r="M7" i="37" a="1"/>
  <c r="M7" i="37" s="1"/>
  <c r="N7" i="37" a="1"/>
  <c r="N7" i="37" s="1"/>
  <c r="O7" i="37" a="1"/>
  <c r="O7" i="37" s="1"/>
  <c r="P7" i="37" a="1"/>
  <c r="P7" i="37" s="1"/>
  <c r="M8" i="37" a="1"/>
  <c r="M8" i="37" s="1"/>
  <c r="N8" i="37" a="1"/>
  <c r="N8" i="37" s="1"/>
  <c r="O8" i="37" a="1"/>
  <c r="O8" i="37" s="1"/>
  <c r="P8" i="37" a="1"/>
  <c r="P8" i="37" s="1"/>
  <c r="M9" i="37" a="1"/>
  <c r="M9" i="37" s="1"/>
  <c r="N9" i="37" a="1"/>
  <c r="N9" i="37" s="1"/>
  <c r="O9" i="37" a="1"/>
  <c r="O9" i="37" s="1"/>
  <c r="P9" i="37" a="1"/>
  <c r="P9" i="37" s="1"/>
  <c r="M10" i="37" a="1"/>
  <c r="M10" i="37" s="1"/>
  <c r="N10" i="37" a="1"/>
  <c r="N10" i="37" s="1"/>
  <c r="O10" i="37" a="1"/>
  <c r="O10" i="37" s="1"/>
  <c r="P10" i="37" a="1"/>
  <c r="P10" i="37" s="1"/>
  <c r="M11" i="37" a="1"/>
  <c r="M11" i="37" s="1"/>
  <c r="N11" i="37" a="1"/>
  <c r="N11" i="37" s="1"/>
  <c r="O11" i="37" a="1"/>
  <c r="O11" i="37" s="1"/>
  <c r="P11" i="37" a="1"/>
  <c r="P11" i="37" s="1"/>
  <c r="M12" i="37" a="1"/>
  <c r="M12" i="37" s="1"/>
  <c r="N12" i="37" a="1"/>
  <c r="N12" i="37" s="1"/>
  <c r="O12" i="37" a="1"/>
  <c r="O12" i="37" s="1"/>
  <c r="P12" i="37" a="1"/>
  <c r="P12" i="37" s="1"/>
  <c r="M13" i="37" a="1"/>
  <c r="M13" i="37" s="1"/>
  <c r="N13" i="37" a="1"/>
  <c r="N13" i="37" s="1"/>
  <c r="O13" i="37" a="1"/>
  <c r="O13" i="37" s="1"/>
  <c r="P13" i="37" a="1"/>
  <c r="P13" i="37" s="1"/>
  <c r="M14" i="37" a="1"/>
  <c r="M14" i="37" s="1"/>
  <c r="N14" i="37" a="1"/>
  <c r="N14" i="37" s="1"/>
  <c r="O14" i="37" a="1"/>
  <c r="O14" i="37" s="1"/>
  <c r="P14" i="37" a="1"/>
  <c r="P14" i="37" s="1"/>
  <c r="M15" i="37" a="1"/>
  <c r="M15" i="37" s="1"/>
  <c r="N15" i="37" a="1"/>
  <c r="N15" i="37" s="1"/>
  <c r="O15" i="37" a="1"/>
  <c r="O15" i="37" s="1"/>
  <c r="P15" i="37" a="1"/>
  <c r="P15" i="37" s="1"/>
  <c r="M16" i="37" a="1"/>
  <c r="M16" i="37" s="1"/>
  <c r="N16" i="37" a="1"/>
  <c r="N16" i="37" s="1"/>
  <c r="O16" i="37" a="1"/>
  <c r="O16" i="37" s="1"/>
  <c r="P16" i="37" a="1"/>
  <c r="P16" i="37" s="1"/>
  <c r="M17" i="37" a="1"/>
  <c r="M17" i="37" s="1"/>
  <c r="N17" i="37" a="1"/>
  <c r="N17" i="37" s="1"/>
  <c r="O17" i="37" a="1"/>
  <c r="O17" i="37" s="1"/>
  <c r="P17" i="37" a="1"/>
  <c r="P17" i="37" s="1"/>
  <c r="M18" i="37" a="1"/>
  <c r="M18" i="37" s="1"/>
  <c r="N18" i="37" a="1"/>
  <c r="N18" i="37" s="1"/>
  <c r="O18" i="37" a="1"/>
  <c r="O18" i="37" s="1"/>
  <c r="P18" i="37" a="1"/>
  <c r="P18" i="37" s="1"/>
  <c r="M19" i="37" a="1"/>
  <c r="M19" i="37" s="1"/>
  <c r="N19" i="37" a="1"/>
  <c r="N19" i="37" s="1"/>
  <c r="O19" i="37" a="1"/>
  <c r="O19" i="37" s="1"/>
  <c r="P19" i="37" a="1"/>
  <c r="P19" i="37" s="1"/>
  <c r="M20" i="37" a="1"/>
  <c r="M20" i="37" s="1"/>
  <c r="N20" i="37" a="1"/>
  <c r="N20" i="37" s="1"/>
  <c r="O20" i="37" a="1"/>
  <c r="O20" i="37" s="1"/>
  <c r="P20" i="37" a="1"/>
  <c r="P20" i="37" s="1"/>
  <c r="M21" i="37" a="1"/>
  <c r="M21" i="37" s="1"/>
  <c r="N21" i="37" a="1"/>
  <c r="N21" i="37" s="1"/>
  <c r="O21" i="37" a="1"/>
  <c r="O21" i="37" s="1"/>
  <c r="P21" i="37" a="1"/>
  <c r="P21" i="37" s="1"/>
  <c r="M22" i="37" a="1"/>
  <c r="M22" i="37" s="1"/>
  <c r="N22" i="37" a="1"/>
  <c r="N22" i="37" s="1"/>
  <c r="O22" i="37" a="1"/>
  <c r="O22" i="37" s="1"/>
  <c r="P22" i="37" a="1"/>
  <c r="P22" i="37" s="1"/>
  <c r="M23" i="37" a="1"/>
  <c r="M23" i="37" s="1"/>
  <c r="N23" i="37" a="1"/>
  <c r="N23" i="37" s="1"/>
  <c r="O23" i="37" a="1"/>
  <c r="O23" i="37" s="1"/>
  <c r="P23" i="37" a="1"/>
  <c r="P23" i="37" s="1"/>
  <c r="M24" i="37" a="1"/>
  <c r="M24" i="37" s="1"/>
  <c r="N24" i="37" a="1"/>
  <c r="N24" i="37" s="1"/>
  <c r="O24" i="37" a="1"/>
  <c r="O24" i="37" s="1"/>
  <c r="P24" i="37" a="1"/>
  <c r="P24" i="37" s="1"/>
  <c r="M25" i="37" a="1"/>
  <c r="M25" i="37" s="1"/>
  <c r="N25" i="37" a="1"/>
  <c r="N25" i="37" s="1"/>
  <c r="O25" i="37" a="1"/>
  <c r="O25" i="37" s="1"/>
  <c r="P25" i="37" a="1"/>
  <c r="P25" i="37" s="1"/>
  <c r="M26" i="37" a="1"/>
  <c r="M26" i="37" s="1"/>
  <c r="N26" i="37" a="1"/>
  <c r="N26" i="37" s="1"/>
  <c r="O26" i="37" a="1"/>
  <c r="O26" i="37" s="1"/>
  <c r="P26" i="37" a="1"/>
  <c r="P26" i="37" s="1"/>
  <c r="M27" i="37" a="1"/>
  <c r="M27" i="37" s="1"/>
  <c r="N27" i="37" a="1"/>
  <c r="N27" i="37" s="1"/>
  <c r="O27" i="37" a="1"/>
  <c r="O27" i="37" s="1"/>
  <c r="P27" i="37" a="1"/>
  <c r="P27" i="37" s="1"/>
  <c r="M28" i="37" a="1"/>
  <c r="M28" i="37" s="1"/>
  <c r="N28" i="37" a="1"/>
  <c r="N28" i="37" s="1"/>
  <c r="O28" i="37" a="1"/>
  <c r="O28" i="37" s="1"/>
  <c r="P28" i="37" a="1"/>
  <c r="P28" i="37" s="1"/>
  <c r="M29" i="37" a="1"/>
  <c r="M29" i="37" s="1"/>
  <c r="N29" i="37" a="1"/>
  <c r="N29" i="37" s="1"/>
  <c r="O29" i="37" a="1"/>
  <c r="O29" i="37" s="1"/>
  <c r="P29" i="37" a="1"/>
  <c r="P29" i="37" s="1"/>
  <c r="M30" i="37" a="1"/>
  <c r="M30" i="37" s="1"/>
  <c r="N30" i="37" a="1"/>
  <c r="N30" i="37" s="1"/>
  <c r="O30" i="37" a="1"/>
  <c r="O30" i="37" s="1"/>
  <c r="P30" i="37" a="1"/>
  <c r="P30" i="37" s="1"/>
  <c r="M31" i="37" a="1"/>
  <c r="M31" i="37" s="1"/>
  <c r="N31" i="37" a="1"/>
  <c r="N31" i="37" s="1"/>
  <c r="O31" i="37" a="1"/>
  <c r="O31" i="37" s="1"/>
  <c r="P31" i="37" a="1"/>
  <c r="P31" i="37" s="1"/>
  <c r="M32" i="37" a="1"/>
  <c r="M32" i="37" s="1"/>
  <c r="N32" i="37" a="1"/>
  <c r="N32" i="37" s="1"/>
  <c r="O32" i="37" a="1"/>
  <c r="O32" i="37" s="1"/>
  <c r="P32" i="37" a="1"/>
  <c r="P32" i="37" s="1"/>
  <c r="M33" i="37" a="1"/>
  <c r="M33" i="37" s="1"/>
  <c r="N33" i="37" a="1"/>
  <c r="N33" i="37" s="1"/>
  <c r="O33" i="37" a="1"/>
  <c r="O33" i="37" s="1"/>
  <c r="P33" i="37" a="1"/>
  <c r="P33" i="37" s="1"/>
  <c r="M34" i="37" a="1"/>
  <c r="M34" i="37" s="1"/>
  <c r="N34" i="37" a="1"/>
  <c r="N34" i="37" s="1"/>
  <c r="O34" i="37" a="1"/>
  <c r="O34" i="37" s="1"/>
  <c r="P34" i="37" a="1"/>
  <c r="P34" i="37" s="1"/>
  <c r="M35" i="37" a="1"/>
  <c r="M35" i="37" s="1"/>
  <c r="N35" i="37" a="1"/>
  <c r="N35" i="37" s="1"/>
  <c r="O35" i="37" a="1"/>
  <c r="O35" i="37" s="1"/>
  <c r="P35" i="37" a="1"/>
  <c r="P35" i="37" s="1"/>
  <c r="M36" i="37" a="1"/>
  <c r="M36" i="37" s="1"/>
  <c r="N36" i="37" a="1"/>
  <c r="N36" i="37" s="1"/>
  <c r="O36" i="37" a="1"/>
  <c r="O36" i="37" s="1"/>
  <c r="P36" i="37" a="1"/>
  <c r="P36" i="37" s="1"/>
  <c r="M37" i="37" a="1"/>
  <c r="M37" i="37" s="1"/>
  <c r="N37" i="37" a="1"/>
  <c r="N37" i="37" s="1"/>
  <c r="O37" i="37" a="1"/>
  <c r="O37" i="37" s="1"/>
  <c r="P37" i="37" a="1"/>
  <c r="P37" i="37" s="1"/>
  <c r="M38" i="37" a="1"/>
  <c r="M38" i="37" s="1"/>
  <c r="N38" i="37" a="1"/>
  <c r="N38" i="37" s="1"/>
  <c r="O38" i="37" a="1"/>
  <c r="O38" i="37" s="1"/>
  <c r="P38" i="37" a="1"/>
  <c r="P38" i="37" s="1"/>
  <c r="M39" i="37" a="1"/>
  <c r="M39" i="37" s="1"/>
  <c r="N39" i="37" a="1"/>
  <c r="N39" i="37" s="1"/>
  <c r="O39" i="37" a="1"/>
  <c r="O39" i="37" s="1"/>
  <c r="P39" i="37" a="1"/>
  <c r="P39" i="37" s="1"/>
  <c r="M40" i="37" a="1"/>
  <c r="M40" i="37" s="1"/>
  <c r="N40" i="37" a="1"/>
  <c r="N40" i="37" s="1"/>
  <c r="O40" i="37" a="1"/>
  <c r="O40" i="37" s="1"/>
  <c r="P40" i="37" a="1"/>
  <c r="P40" i="37" s="1"/>
  <c r="M41" i="37" a="1"/>
  <c r="M41" i="37" s="1"/>
  <c r="N41" i="37" a="1"/>
  <c r="N41" i="37" s="1"/>
  <c r="O41" i="37" a="1"/>
  <c r="O41" i="37" s="1"/>
  <c r="P41" i="37" a="1"/>
  <c r="P41" i="37" s="1"/>
  <c r="M42" i="37" a="1"/>
  <c r="M42" i="37" s="1"/>
  <c r="N42" i="37" a="1"/>
  <c r="N42" i="37" s="1"/>
  <c r="O42" i="37" a="1"/>
  <c r="O42" i="37" s="1"/>
  <c r="P42" i="37" a="1"/>
  <c r="P42" i="37" s="1"/>
  <c r="M43" i="37" a="1"/>
  <c r="M43" i="37" s="1"/>
  <c r="N43" i="37" a="1"/>
  <c r="N43" i="37" s="1"/>
  <c r="O43" i="37" a="1"/>
  <c r="O43" i="37" s="1"/>
  <c r="P43" i="37" a="1"/>
  <c r="P43" i="37" s="1"/>
  <c r="M44" i="37" a="1"/>
  <c r="M44" i="37" s="1"/>
  <c r="N44" i="37" a="1"/>
  <c r="N44" i="37" s="1"/>
  <c r="O44" i="37" a="1"/>
  <c r="O44" i="37" s="1"/>
  <c r="P44" i="37" a="1"/>
  <c r="P44" i="37" s="1"/>
  <c r="M45" i="37" a="1"/>
  <c r="M45" i="37" s="1"/>
  <c r="N45" i="37" a="1"/>
  <c r="N45" i="37" s="1"/>
  <c r="O45" i="37" a="1"/>
  <c r="O45" i="37" s="1"/>
  <c r="P45" i="37" a="1"/>
  <c r="P45" i="37" s="1"/>
  <c r="M46" i="37" a="1"/>
  <c r="M46" i="37" s="1"/>
  <c r="N46" i="37" a="1"/>
  <c r="N46" i="37" s="1"/>
  <c r="O46" i="37" a="1"/>
  <c r="O46" i="37" s="1"/>
  <c r="P46" i="37" a="1"/>
  <c r="P46" i="37" s="1"/>
  <c r="M47" i="37" a="1"/>
  <c r="M47" i="37" s="1"/>
  <c r="N47" i="37" a="1"/>
  <c r="N47" i="37" s="1"/>
  <c r="O47" i="37" a="1"/>
  <c r="O47" i="37" s="1"/>
  <c r="P47" i="37" a="1"/>
  <c r="P47" i="37" s="1"/>
  <c r="M48" i="37" a="1"/>
  <c r="M48" i="37" s="1"/>
  <c r="N48" i="37" a="1"/>
  <c r="N48" i="37" s="1"/>
  <c r="O48" i="37" a="1"/>
  <c r="O48" i="37" s="1"/>
  <c r="P48" i="37" a="1"/>
  <c r="P48" i="37" s="1"/>
  <c r="M49" i="37" a="1"/>
  <c r="M49" i="37" s="1"/>
  <c r="N49" i="37" a="1"/>
  <c r="N49" i="37" s="1"/>
  <c r="O49" i="37" a="1"/>
  <c r="O49" i="37" s="1"/>
  <c r="P49" i="37" a="1"/>
  <c r="P49" i="37" s="1"/>
  <c r="M50" i="37" a="1"/>
  <c r="M50" i="37" s="1"/>
  <c r="N50" i="37" a="1"/>
  <c r="N50" i="37" s="1"/>
  <c r="O50" i="37" a="1"/>
  <c r="O50" i="37" s="1"/>
  <c r="P50" i="37" a="1"/>
  <c r="P50" i="37" s="1"/>
  <c r="M51" i="37" a="1"/>
  <c r="M51" i="37" s="1"/>
  <c r="N51" i="37" a="1"/>
  <c r="N51" i="37" s="1"/>
  <c r="O51" i="37" a="1"/>
  <c r="O51" i="37" s="1"/>
  <c r="P51" i="37" a="1"/>
  <c r="P51" i="37" s="1"/>
  <c r="M52" i="37" a="1"/>
  <c r="M52" i="37" s="1"/>
  <c r="N52" i="37" a="1"/>
  <c r="N52" i="37" s="1"/>
  <c r="O52" i="37" a="1"/>
  <c r="O52" i="37" s="1"/>
  <c r="P52" i="37" a="1"/>
  <c r="P52" i="37" s="1"/>
  <c r="M53" i="37" a="1"/>
  <c r="M53" i="37" s="1"/>
  <c r="N53" i="37" a="1"/>
  <c r="N53" i="37" s="1"/>
  <c r="O53" i="37" a="1"/>
  <c r="O53" i="37" s="1"/>
  <c r="P53" i="37" a="1"/>
  <c r="P53" i="37" s="1"/>
  <c r="M54" i="37" a="1"/>
  <c r="M54" i="37" s="1"/>
  <c r="N54" i="37" a="1"/>
  <c r="N54" i="37" s="1"/>
  <c r="O54" i="37" a="1"/>
  <c r="O54" i="37" s="1"/>
  <c r="P54" i="37" a="1"/>
  <c r="P54" i="37" s="1"/>
  <c r="M55" i="37" a="1"/>
  <c r="M55" i="37" s="1"/>
  <c r="N55" i="37" a="1"/>
  <c r="N55" i="37" s="1"/>
  <c r="O55" i="37" a="1"/>
  <c r="O55" i="37" s="1"/>
  <c r="P55" i="37" a="1"/>
  <c r="P55" i="37" s="1"/>
  <c r="M56" i="37" a="1"/>
  <c r="M56" i="37" s="1"/>
  <c r="N56" i="37" a="1"/>
  <c r="N56" i="37" s="1"/>
  <c r="O56" i="37" a="1"/>
  <c r="O56" i="37" s="1"/>
  <c r="P56" i="37" a="1"/>
  <c r="P56" i="37" s="1"/>
  <c r="M57" i="37" a="1"/>
  <c r="M57" i="37" s="1"/>
  <c r="N57" i="37" a="1"/>
  <c r="N57" i="37" s="1"/>
  <c r="O57" i="37" a="1"/>
  <c r="O57" i="37" s="1"/>
  <c r="P57" i="37" a="1"/>
  <c r="P57" i="37" s="1"/>
  <c r="M58" i="37" a="1"/>
  <c r="M58" i="37" s="1"/>
  <c r="N58" i="37" a="1"/>
  <c r="N58" i="37" s="1"/>
  <c r="O58" i="37" a="1"/>
  <c r="O58" i="37" s="1"/>
  <c r="P58" i="37" a="1"/>
  <c r="P58" i="37" s="1"/>
  <c r="M59" i="37" a="1"/>
  <c r="M59" i="37" s="1"/>
  <c r="N59" i="37" a="1"/>
  <c r="N59" i="37" s="1"/>
  <c r="O59" i="37" a="1"/>
  <c r="O59" i="37" s="1"/>
  <c r="P59" i="37" a="1"/>
  <c r="P59" i="37" s="1"/>
  <c r="M60" i="37" a="1"/>
  <c r="M60" i="37" s="1"/>
  <c r="N60" i="37" a="1"/>
  <c r="N60" i="37" s="1"/>
  <c r="O60" i="37" a="1"/>
  <c r="O60" i="37" s="1"/>
  <c r="P60" i="37" a="1"/>
  <c r="P60" i="37" s="1"/>
  <c r="M61" i="37" a="1"/>
  <c r="M61" i="37" s="1"/>
  <c r="N61" i="37" a="1"/>
  <c r="N61" i="37" s="1"/>
  <c r="O61" i="37" a="1"/>
  <c r="O61" i="37" s="1"/>
  <c r="P61" i="37" a="1"/>
  <c r="P61" i="37" s="1"/>
  <c r="M62" i="37" a="1"/>
  <c r="M62" i="37" s="1"/>
  <c r="N62" i="37" a="1"/>
  <c r="N62" i="37" s="1"/>
  <c r="O62" i="37" a="1"/>
  <c r="O62" i="37" s="1"/>
  <c r="P62" i="37" a="1"/>
  <c r="P62" i="37" s="1"/>
  <c r="M63" i="37" a="1"/>
  <c r="M63" i="37" s="1"/>
  <c r="N63" i="37" a="1"/>
  <c r="N63" i="37" s="1"/>
  <c r="O63" i="37" a="1"/>
  <c r="O63" i="37" s="1"/>
  <c r="P63" i="37" a="1"/>
  <c r="P63" i="37" s="1"/>
  <c r="M64" i="37" a="1"/>
  <c r="M64" i="37" s="1"/>
  <c r="N64" i="37" a="1"/>
  <c r="N64" i="37" s="1"/>
  <c r="O64" i="37" a="1"/>
  <c r="O64" i="37" s="1"/>
  <c r="P64" i="37" a="1"/>
  <c r="P64" i="37" s="1"/>
  <c r="M65" i="37" a="1"/>
  <c r="M65" i="37" s="1"/>
  <c r="N65" i="37" a="1"/>
  <c r="N65" i="37" s="1"/>
  <c r="O65" i="37" a="1"/>
  <c r="O65" i="37" s="1"/>
  <c r="P65" i="37" a="1"/>
  <c r="P65" i="37" s="1"/>
  <c r="M66" i="37" a="1"/>
  <c r="M66" i="37" s="1"/>
  <c r="N66" i="37" a="1"/>
  <c r="N66" i="37" s="1"/>
  <c r="O66" i="37" a="1"/>
  <c r="O66" i="37" s="1"/>
  <c r="P66" i="37" a="1"/>
  <c r="P66" i="37" s="1"/>
  <c r="M67" i="37" a="1"/>
  <c r="M67" i="37" s="1"/>
  <c r="N67" i="37" a="1"/>
  <c r="N67" i="37" s="1"/>
  <c r="O67" i="37" a="1"/>
  <c r="O67" i="37" s="1"/>
  <c r="P67" i="37" a="1"/>
  <c r="P67" i="37" s="1"/>
  <c r="M68" i="37" a="1"/>
  <c r="M68" i="37" s="1"/>
  <c r="N68" i="37" a="1"/>
  <c r="N68" i="37" s="1"/>
  <c r="O68" i="37" a="1"/>
  <c r="O68" i="37" s="1"/>
  <c r="P68" i="37" a="1"/>
  <c r="P68" i="37" s="1"/>
  <c r="M69" i="37" a="1"/>
  <c r="M69" i="37" s="1"/>
  <c r="N69" i="37" a="1"/>
  <c r="N69" i="37" s="1"/>
  <c r="O69" i="37" a="1"/>
  <c r="O69" i="37" s="1"/>
  <c r="P69" i="37" a="1"/>
  <c r="P69" i="37" s="1"/>
  <c r="M70" i="37" a="1"/>
  <c r="M70" i="37" s="1"/>
  <c r="N70" i="37" a="1"/>
  <c r="N70" i="37" s="1"/>
  <c r="O70" i="37" a="1"/>
  <c r="O70" i="37" s="1"/>
  <c r="P70" i="37" a="1"/>
  <c r="P70" i="37" s="1"/>
  <c r="M71" i="37" a="1"/>
  <c r="M71" i="37" s="1"/>
  <c r="N71" i="37" a="1"/>
  <c r="N71" i="37" s="1"/>
  <c r="O71" i="37" a="1"/>
  <c r="O71" i="37" s="1"/>
  <c r="P71" i="37" a="1"/>
  <c r="P71" i="37" s="1"/>
  <c r="M72" i="37" a="1"/>
  <c r="M72" i="37" s="1"/>
  <c r="N72" i="37" a="1"/>
  <c r="N72" i="37" s="1"/>
  <c r="O72" i="37" a="1"/>
  <c r="O72" i="37" s="1"/>
  <c r="P72" i="37" a="1"/>
  <c r="P72" i="37" s="1"/>
  <c r="M73" i="37" a="1"/>
  <c r="M73" i="37" s="1"/>
  <c r="N73" i="37" a="1"/>
  <c r="N73" i="37" s="1"/>
  <c r="O73" i="37" a="1"/>
  <c r="O73" i="37" s="1"/>
  <c r="P73" i="37" a="1"/>
  <c r="P73" i="37" s="1"/>
  <c r="M74" i="37" a="1"/>
  <c r="M74" i="37" s="1"/>
  <c r="N74" i="37" a="1"/>
  <c r="N74" i="37" s="1"/>
  <c r="O74" i="37" a="1"/>
  <c r="O74" i="37" s="1"/>
  <c r="P74" i="37" a="1"/>
  <c r="P74" i="37" s="1"/>
  <c r="M75" i="37" a="1"/>
  <c r="M75" i="37" s="1"/>
  <c r="N75" i="37" a="1"/>
  <c r="N75" i="37" s="1"/>
  <c r="O75" i="37" a="1"/>
  <c r="O75" i="37" s="1"/>
  <c r="P75" i="37" a="1"/>
  <c r="P75" i="37" s="1"/>
  <c r="M76" i="37" a="1"/>
  <c r="M76" i="37" s="1"/>
  <c r="N76" i="37" a="1"/>
  <c r="N76" i="37" s="1"/>
  <c r="O76" i="37" a="1"/>
  <c r="O76" i="37" s="1"/>
  <c r="P76" i="37" a="1"/>
  <c r="P76" i="37" s="1"/>
  <c r="M77" i="37" a="1"/>
  <c r="M77" i="37" s="1"/>
  <c r="N77" i="37" a="1"/>
  <c r="N77" i="37" s="1"/>
  <c r="O77" i="37" a="1"/>
  <c r="O77" i="37" s="1"/>
  <c r="P77" i="37" a="1"/>
  <c r="P77" i="37" s="1"/>
  <c r="M78" i="37" a="1"/>
  <c r="M78" i="37" s="1"/>
  <c r="N78" i="37" a="1"/>
  <c r="N78" i="37" s="1"/>
  <c r="O78" i="37" a="1"/>
  <c r="O78" i="37" s="1"/>
  <c r="P78" i="37" a="1"/>
  <c r="P78" i="37" s="1"/>
  <c r="M79" i="37" a="1"/>
  <c r="M79" i="37" s="1"/>
  <c r="N79" i="37" a="1"/>
  <c r="N79" i="37" s="1"/>
  <c r="O79" i="37" a="1"/>
  <c r="O79" i="37" s="1"/>
  <c r="P79" i="37" a="1"/>
  <c r="P79" i="37" s="1"/>
  <c r="M80" i="37" a="1"/>
  <c r="M80" i="37" s="1"/>
  <c r="N80" i="37" a="1"/>
  <c r="N80" i="37" s="1"/>
  <c r="O80" i="37" a="1"/>
  <c r="O80" i="37" s="1"/>
  <c r="P80" i="37" a="1"/>
  <c r="P80" i="37" s="1"/>
  <c r="M81" i="37" a="1"/>
  <c r="M81" i="37" s="1"/>
  <c r="N81" i="37" a="1"/>
  <c r="N81" i="37" s="1"/>
  <c r="O81" i="37" a="1"/>
  <c r="O81" i="37" s="1"/>
  <c r="P81" i="37" a="1"/>
  <c r="P81" i="37" s="1"/>
  <c r="M82" i="37" a="1"/>
  <c r="M82" i="37" s="1"/>
  <c r="N82" i="37" a="1"/>
  <c r="N82" i="37" s="1"/>
  <c r="O82" i="37" a="1"/>
  <c r="O82" i="37" s="1"/>
  <c r="P82" i="37" a="1"/>
  <c r="P82" i="37" s="1"/>
  <c r="M83" i="37" a="1"/>
  <c r="M83" i="37" s="1"/>
  <c r="N83" i="37" a="1"/>
  <c r="N83" i="37" s="1"/>
  <c r="O83" i="37" a="1"/>
  <c r="O83" i="37" s="1"/>
  <c r="P83" i="37" a="1"/>
  <c r="P83" i="37" s="1"/>
  <c r="M84" i="37" a="1"/>
  <c r="M84" i="37" s="1"/>
  <c r="N84" i="37" a="1"/>
  <c r="N84" i="37" s="1"/>
  <c r="O84" i="37" a="1"/>
  <c r="O84" i="37" s="1"/>
  <c r="P84" i="37" a="1"/>
  <c r="P84" i="37" s="1"/>
  <c r="M85" i="37" a="1"/>
  <c r="M85" i="37" s="1"/>
  <c r="N85" i="37" a="1"/>
  <c r="N85" i="37" s="1"/>
  <c r="O85" i="37" a="1"/>
  <c r="O85" i="37" s="1"/>
  <c r="P85" i="37" a="1"/>
  <c r="P85" i="37" s="1"/>
  <c r="M86" i="37" a="1"/>
  <c r="M86" i="37" s="1"/>
  <c r="N86" i="37" a="1"/>
  <c r="N86" i="37" s="1"/>
  <c r="O86" i="37" a="1"/>
  <c r="O86" i="37" s="1"/>
  <c r="P86" i="37" a="1"/>
  <c r="P86" i="37" s="1"/>
  <c r="M87" i="37" a="1"/>
  <c r="M87" i="37" s="1"/>
  <c r="N87" i="37" a="1"/>
  <c r="N87" i="37" s="1"/>
  <c r="O87" i="37" a="1"/>
  <c r="O87" i="37" s="1"/>
  <c r="P87" i="37" a="1"/>
  <c r="P87" i="37" s="1"/>
  <c r="M88" i="37" a="1"/>
  <c r="M88" i="37" s="1"/>
  <c r="N88" i="37" a="1"/>
  <c r="N88" i="37" s="1"/>
  <c r="O88" i="37" a="1"/>
  <c r="O88" i="37" s="1"/>
  <c r="P88" i="37" a="1"/>
  <c r="P88" i="37" s="1"/>
  <c r="M89" i="37" a="1"/>
  <c r="M89" i="37" s="1"/>
  <c r="N89" i="37" a="1"/>
  <c r="N89" i="37" s="1"/>
  <c r="O89" i="37" a="1"/>
  <c r="O89" i="37" s="1"/>
  <c r="P89" i="37" a="1"/>
  <c r="P89" i="37" s="1"/>
  <c r="M90" i="37" a="1"/>
  <c r="M90" i="37" s="1"/>
  <c r="N90" i="37" a="1"/>
  <c r="N90" i="37" s="1"/>
  <c r="O90" i="37" a="1"/>
  <c r="O90" i="37" s="1"/>
  <c r="P90" i="37" a="1"/>
  <c r="P90" i="37" s="1"/>
  <c r="M91" i="37" a="1"/>
  <c r="M91" i="37" s="1"/>
  <c r="N91" i="37" a="1"/>
  <c r="N91" i="37" s="1"/>
  <c r="O91" i="37" a="1"/>
  <c r="O91" i="37" s="1"/>
  <c r="P91" i="37" a="1"/>
  <c r="P91" i="37" s="1"/>
  <c r="M92" i="37" a="1"/>
  <c r="M92" i="37" s="1"/>
  <c r="N92" i="37" a="1"/>
  <c r="N92" i="37" s="1"/>
  <c r="O92" i="37" a="1"/>
  <c r="O92" i="37" s="1"/>
  <c r="P92" i="37" a="1"/>
  <c r="P92" i="37" s="1"/>
  <c r="M93" i="37" a="1"/>
  <c r="M93" i="37" s="1"/>
  <c r="N93" i="37" a="1"/>
  <c r="N93" i="37" s="1"/>
  <c r="O93" i="37" a="1"/>
  <c r="O93" i="37" s="1"/>
  <c r="P93" i="37" a="1"/>
  <c r="P93" i="37" s="1"/>
  <c r="M94" i="37" a="1"/>
  <c r="M94" i="37" s="1"/>
  <c r="N94" i="37" a="1"/>
  <c r="N94" i="37" s="1"/>
  <c r="O94" i="37" a="1"/>
  <c r="O94" i="37" s="1"/>
  <c r="P94" i="37" a="1"/>
  <c r="P94" i="37" s="1"/>
  <c r="M95" i="37" a="1"/>
  <c r="M95" i="37" s="1"/>
  <c r="N95" i="37" a="1"/>
  <c r="N95" i="37" s="1"/>
  <c r="O95" i="37" a="1"/>
  <c r="O95" i="37" s="1"/>
  <c r="P95" i="37" a="1"/>
  <c r="P95" i="37" s="1"/>
  <c r="M96" i="37" a="1"/>
  <c r="M96" i="37" s="1"/>
  <c r="N96" i="37" a="1"/>
  <c r="N96" i="37" s="1"/>
  <c r="O96" i="37" a="1"/>
  <c r="O96" i="37" s="1"/>
  <c r="P96" i="37" a="1"/>
  <c r="P96" i="37" s="1"/>
  <c r="M97" i="37" a="1"/>
  <c r="M97" i="37" s="1"/>
  <c r="N97" i="37" a="1"/>
  <c r="N97" i="37" s="1"/>
  <c r="O97" i="37" a="1"/>
  <c r="O97" i="37" s="1"/>
  <c r="P97" i="37" a="1"/>
  <c r="P97" i="37" s="1"/>
  <c r="M98" i="37" a="1"/>
  <c r="M98" i="37" s="1"/>
  <c r="N98" i="37" a="1"/>
  <c r="N98" i="37" s="1"/>
  <c r="O98" i="37" a="1"/>
  <c r="O98" i="37" s="1"/>
  <c r="P98" i="37" a="1"/>
  <c r="P98" i="37" s="1"/>
  <c r="M99" i="37" a="1"/>
  <c r="M99" i="37" s="1"/>
  <c r="N99" i="37" a="1"/>
  <c r="N99" i="37" s="1"/>
  <c r="O99" i="37" a="1"/>
  <c r="O99" i="37" s="1"/>
  <c r="P99" i="37" a="1"/>
  <c r="P99" i="37" s="1"/>
  <c r="M100" i="37" a="1"/>
  <c r="M100" i="37" s="1"/>
  <c r="N100" i="37" a="1"/>
  <c r="N100" i="37" s="1"/>
  <c r="O100" i="37" a="1"/>
  <c r="O100" i="37" s="1"/>
  <c r="P100" i="37" a="1"/>
  <c r="P100" i="37" s="1"/>
  <c r="M101" i="37" a="1"/>
  <c r="M101" i="37" s="1"/>
  <c r="N101" i="37" a="1"/>
  <c r="N101" i="37" s="1"/>
  <c r="O101" i="37" a="1"/>
  <c r="O101" i="37" s="1"/>
  <c r="P101" i="37" a="1"/>
  <c r="P101" i="37" s="1"/>
  <c r="M102" i="37" a="1"/>
  <c r="M102" i="37" s="1"/>
  <c r="N102" i="37" a="1"/>
  <c r="N102" i="37" s="1"/>
  <c r="O102" i="37" a="1"/>
  <c r="O102" i="37" s="1"/>
  <c r="P102" i="37" a="1"/>
  <c r="P102" i="37" s="1"/>
  <c r="M103" i="37" a="1"/>
  <c r="M103" i="37" s="1"/>
  <c r="N103" i="37" a="1"/>
  <c r="N103" i="37" s="1"/>
  <c r="O103" i="37" a="1"/>
  <c r="O103" i="37" s="1"/>
  <c r="P103" i="37" a="1"/>
  <c r="P103" i="37" s="1"/>
  <c r="M104" i="37" a="1"/>
  <c r="M104" i="37" s="1"/>
  <c r="N104" i="37" a="1"/>
  <c r="N104" i="37" s="1"/>
  <c r="O104" i="37" a="1"/>
  <c r="O104" i="37" s="1"/>
  <c r="P104" i="37" a="1"/>
  <c r="P104" i="37" s="1"/>
  <c r="M105" i="37" a="1"/>
  <c r="M105" i="37" s="1"/>
  <c r="N105" i="37" a="1"/>
  <c r="N105" i="37" s="1"/>
  <c r="O105" i="37" a="1"/>
  <c r="O105" i="37" s="1"/>
  <c r="P105" i="37" a="1"/>
  <c r="P105" i="37" s="1"/>
  <c r="M106" i="37" a="1"/>
  <c r="M106" i="37" s="1"/>
  <c r="N106" i="37" a="1"/>
  <c r="N106" i="37" s="1"/>
  <c r="O106" i="37" a="1"/>
  <c r="O106" i="37" s="1"/>
  <c r="P106" i="37" a="1"/>
  <c r="P106" i="37" s="1"/>
  <c r="M107" i="37" a="1"/>
  <c r="M107" i="37" s="1"/>
  <c r="N107" i="37" a="1"/>
  <c r="N107" i="37" s="1"/>
  <c r="O107" i="37" a="1"/>
  <c r="O107" i="37" s="1"/>
  <c r="P107" i="37" a="1"/>
  <c r="P107" i="37" s="1"/>
  <c r="M108" i="37" a="1"/>
  <c r="M108" i="37" s="1"/>
  <c r="N108" i="37" a="1"/>
  <c r="N108" i="37" s="1"/>
  <c r="O108" i="37" a="1"/>
  <c r="O108" i="37" s="1"/>
  <c r="P108" i="37" a="1"/>
  <c r="P108" i="37" s="1"/>
  <c r="M109" i="37" a="1"/>
  <c r="M109" i="37" s="1"/>
  <c r="N109" i="37" a="1"/>
  <c r="N109" i="37" s="1"/>
  <c r="O109" i="37" a="1"/>
  <c r="O109" i="37" s="1"/>
  <c r="P109" i="37" a="1"/>
  <c r="P109" i="37" s="1"/>
  <c r="M110" i="37" a="1"/>
  <c r="M110" i="37" s="1"/>
  <c r="N110" i="37" a="1"/>
  <c r="N110" i="37" s="1"/>
  <c r="O110" i="37" a="1"/>
  <c r="O110" i="37" s="1"/>
  <c r="P110" i="37" a="1"/>
  <c r="P110" i="37" s="1"/>
  <c r="M111" i="37" a="1"/>
  <c r="M111" i="37" s="1"/>
  <c r="N111" i="37" a="1"/>
  <c r="N111" i="37" s="1"/>
  <c r="O111" i="37" a="1"/>
  <c r="O111" i="37" s="1"/>
  <c r="P111" i="37" a="1"/>
  <c r="P111" i="37" s="1"/>
  <c r="M112" i="37" a="1"/>
  <c r="M112" i="37" s="1"/>
  <c r="N112" i="37" a="1"/>
  <c r="N112" i="37" s="1"/>
  <c r="O112" i="37" a="1"/>
  <c r="O112" i="37" s="1"/>
  <c r="P112" i="37" a="1"/>
  <c r="P112" i="37" s="1"/>
  <c r="M113" i="37" a="1"/>
  <c r="M113" i="37" s="1"/>
  <c r="N113" i="37" a="1"/>
  <c r="N113" i="37" s="1"/>
  <c r="O113" i="37" a="1"/>
  <c r="O113" i="37" s="1"/>
  <c r="P113" i="37" a="1"/>
  <c r="P113" i="37" s="1"/>
  <c r="M114" i="37" a="1"/>
  <c r="M114" i="37" s="1"/>
  <c r="N114" i="37" a="1"/>
  <c r="N114" i="37" s="1"/>
  <c r="O114" i="37" a="1"/>
  <c r="O114" i="37" s="1"/>
  <c r="P114" i="37" a="1"/>
  <c r="P114" i="37" s="1"/>
  <c r="M115" i="37" a="1"/>
  <c r="M115" i="37" s="1"/>
  <c r="N115" i="37" a="1"/>
  <c r="N115" i="37" s="1"/>
  <c r="O115" i="37" a="1"/>
  <c r="O115" i="37" s="1"/>
  <c r="P115" i="37" a="1"/>
  <c r="P115" i="37" s="1"/>
  <c r="M116" i="37" a="1"/>
  <c r="M116" i="37" s="1"/>
  <c r="N116" i="37" a="1"/>
  <c r="N116" i="37" s="1"/>
  <c r="O116" i="37" a="1"/>
  <c r="O116" i="37" s="1"/>
  <c r="P116" i="37" a="1"/>
  <c r="P116" i="37" s="1"/>
  <c r="M117" i="37" a="1"/>
  <c r="M117" i="37" s="1"/>
  <c r="N117" i="37" a="1"/>
  <c r="N117" i="37" s="1"/>
  <c r="O117" i="37" a="1"/>
  <c r="O117" i="37" s="1"/>
  <c r="P117" i="37" a="1"/>
  <c r="P117" i="37" s="1"/>
  <c r="M118" i="37" a="1"/>
  <c r="M118" i="37" s="1"/>
  <c r="N118" i="37" a="1"/>
  <c r="N118" i="37" s="1"/>
  <c r="O118" i="37" a="1"/>
  <c r="O118" i="37" s="1"/>
  <c r="P118" i="37" a="1"/>
  <c r="P118" i="37" s="1"/>
  <c r="M119" i="37" a="1"/>
  <c r="M119" i="37" s="1"/>
  <c r="N119" i="37" a="1"/>
  <c r="N119" i="37" s="1"/>
  <c r="O119" i="37" a="1"/>
  <c r="O119" i="37" s="1"/>
  <c r="P119" i="37" a="1"/>
  <c r="P119" i="37" s="1"/>
  <c r="M120" i="37" a="1"/>
  <c r="M120" i="37" s="1"/>
  <c r="N120" i="37" a="1"/>
  <c r="N120" i="37" s="1"/>
  <c r="O120" i="37" a="1"/>
  <c r="O120" i="37" s="1"/>
  <c r="P120" i="37" a="1"/>
  <c r="P120" i="37" s="1"/>
  <c r="M121" i="37" a="1"/>
  <c r="M121" i="37" s="1"/>
  <c r="N121" i="37" a="1"/>
  <c r="N121" i="37" s="1"/>
  <c r="O121" i="37" a="1"/>
  <c r="O121" i="37" s="1"/>
  <c r="P121" i="37" a="1"/>
  <c r="P121" i="37" s="1"/>
  <c r="M122" i="37" a="1"/>
  <c r="M122" i="37" s="1"/>
  <c r="N122" i="37" a="1"/>
  <c r="N122" i="37" s="1"/>
  <c r="O122" i="37" a="1"/>
  <c r="O122" i="37" s="1"/>
  <c r="P122" i="37" a="1"/>
  <c r="P122" i="37" s="1"/>
  <c r="M123" i="37" a="1"/>
  <c r="M123" i="37" s="1"/>
  <c r="N123" i="37" a="1"/>
  <c r="N123" i="37" s="1"/>
  <c r="O123" i="37" a="1"/>
  <c r="O123" i="37" s="1"/>
  <c r="P123" i="37" a="1"/>
  <c r="P123" i="37" s="1"/>
  <c r="M124" i="37" a="1"/>
  <c r="M124" i="37" s="1"/>
  <c r="N124" i="37" a="1"/>
  <c r="N124" i="37" s="1"/>
  <c r="O124" i="37" a="1"/>
  <c r="O124" i="37" s="1"/>
  <c r="P124" i="37" a="1"/>
  <c r="P124" i="37" s="1"/>
  <c r="M125" i="37" a="1"/>
  <c r="M125" i="37" s="1"/>
  <c r="N125" i="37" a="1"/>
  <c r="N125" i="37" s="1"/>
  <c r="O125" i="37" a="1"/>
  <c r="O125" i="37" s="1"/>
  <c r="P125" i="37" a="1"/>
  <c r="P125" i="37" s="1"/>
  <c r="M126" i="37" a="1"/>
  <c r="M126" i="37" s="1"/>
  <c r="N126" i="37" a="1"/>
  <c r="N126" i="37" s="1"/>
  <c r="O126" i="37" a="1"/>
  <c r="O126" i="37" s="1"/>
  <c r="P126" i="37" a="1"/>
  <c r="P126" i="37" s="1"/>
  <c r="M127" i="37" a="1"/>
  <c r="M127" i="37" s="1"/>
  <c r="N127" i="37" a="1"/>
  <c r="N127" i="37" s="1"/>
  <c r="O127" i="37" a="1"/>
  <c r="O127" i="37" s="1"/>
  <c r="P127" i="37" a="1"/>
  <c r="P127" i="37" s="1"/>
  <c r="M128" i="37" a="1"/>
  <c r="M128" i="37" s="1"/>
  <c r="N128" i="37" a="1"/>
  <c r="N128" i="37" s="1"/>
  <c r="O128" i="37" a="1"/>
  <c r="O128" i="37" s="1"/>
  <c r="P128" i="37" a="1"/>
  <c r="P128" i="37" s="1"/>
  <c r="M129" i="37" a="1"/>
  <c r="M129" i="37" s="1"/>
  <c r="N129" i="37" a="1"/>
  <c r="N129" i="37" s="1"/>
  <c r="O129" i="37" a="1"/>
  <c r="O129" i="37" s="1"/>
  <c r="P129" i="37" a="1"/>
  <c r="P129" i="37" s="1"/>
  <c r="M130" i="37" a="1"/>
  <c r="M130" i="37" s="1"/>
  <c r="N130" i="37" a="1"/>
  <c r="N130" i="37" s="1"/>
  <c r="O130" i="37" a="1"/>
  <c r="O130" i="37" s="1"/>
  <c r="P130" i="37" a="1"/>
  <c r="P130" i="37" s="1"/>
  <c r="M131" i="37" a="1"/>
  <c r="M131" i="37" s="1"/>
  <c r="N131" i="37" a="1"/>
  <c r="N131" i="37" s="1"/>
  <c r="O131" i="37" a="1"/>
  <c r="O131" i="37" s="1"/>
  <c r="P131" i="37" a="1"/>
  <c r="P131" i="37" s="1"/>
  <c r="M132" i="37" a="1"/>
  <c r="M132" i="37" s="1"/>
  <c r="N132" i="37" a="1"/>
  <c r="N132" i="37" s="1"/>
  <c r="O132" i="37" a="1"/>
  <c r="O132" i="37" s="1"/>
  <c r="P132" i="37" a="1"/>
  <c r="P132" i="37" s="1"/>
  <c r="M133" i="37" a="1"/>
  <c r="M133" i="37" s="1"/>
  <c r="N133" i="37" a="1"/>
  <c r="N133" i="37" s="1"/>
  <c r="O133" i="37" a="1"/>
  <c r="O133" i="37" s="1"/>
  <c r="P133" i="37" a="1"/>
  <c r="P133" i="37" s="1"/>
  <c r="M134" i="37" a="1"/>
  <c r="M134" i="37" s="1"/>
  <c r="N134" i="37" a="1"/>
  <c r="N134" i="37" s="1"/>
  <c r="O134" i="37" a="1"/>
  <c r="O134" i="37" s="1"/>
  <c r="P134" i="37" a="1"/>
  <c r="P134" i="37" s="1"/>
  <c r="M135" i="37" a="1"/>
  <c r="M135" i="37" s="1"/>
  <c r="N135" i="37" a="1"/>
  <c r="N135" i="37" s="1"/>
  <c r="O135" i="37" a="1"/>
  <c r="O135" i="37" s="1"/>
  <c r="P135" i="37" a="1"/>
  <c r="P135" i="37" s="1"/>
  <c r="M136" i="37" a="1"/>
  <c r="M136" i="37" s="1"/>
  <c r="N136" i="37" a="1"/>
  <c r="N136" i="37" s="1"/>
  <c r="O136" i="37" a="1"/>
  <c r="O136" i="37" s="1"/>
  <c r="P136" i="37" a="1"/>
  <c r="P136" i="37" s="1"/>
  <c r="M137" i="37" a="1"/>
  <c r="M137" i="37" s="1"/>
  <c r="N137" i="37" a="1"/>
  <c r="N137" i="37" s="1"/>
  <c r="O137" i="37" a="1"/>
  <c r="O137" i="37" s="1"/>
  <c r="P137" i="37" a="1"/>
  <c r="P137" i="37" s="1"/>
  <c r="M138" i="37" a="1"/>
  <c r="M138" i="37" s="1"/>
  <c r="N138" i="37" a="1"/>
  <c r="N138" i="37" s="1"/>
  <c r="O138" i="37" a="1"/>
  <c r="O138" i="37" s="1"/>
  <c r="P138" i="37" a="1"/>
  <c r="P138" i="37" s="1"/>
  <c r="M139" i="37" a="1"/>
  <c r="M139" i="37" s="1"/>
  <c r="N139" i="37" a="1"/>
  <c r="N139" i="37" s="1"/>
  <c r="O139" i="37" a="1"/>
  <c r="O139" i="37" s="1"/>
  <c r="P139" i="37" a="1"/>
  <c r="P139" i="37" s="1"/>
  <c r="M140" i="37" a="1"/>
  <c r="M140" i="37" s="1"/>
  <c r="N140" i="37" a="1"/>
  <c r="N140" i="37" s="1"/>
  <c r="O140" i="37" a="1"/>
  <c r="O140" i="37" s="1"/>
  <c r="P140" i="37" a="1"/>
  <c r="P140" i="37" s="1"/>
  <c r="M141" i="37" a="1"/>
  <c r="M141" i="37" s="1"/>
  <c r="N141" i="37" a="1"/>
  <c r="N141" i="37" s="1"/>
  <c r="O141" i="37" a="1"/>
  <c r="O141" i="37" s="1"/>
  <c r="P141" i="37" a="1"/>
  <c r="P141" i="37" s="1"/>
  <c r="M142" i="37" a="1"/>
  <c r="M142" i="37" s="1"/>
  <c r="N142" i="37" a="1"/>
  <c r="N142" i="37" s="1"/>
  <c r="O142" i="37" a="1"/>
  <c r="O142" i="37" s="1"/>
  <c r="P142" i="37" a="1"/>
  <c r="P142" i="37" s="1"/>
  <c r="M143" i="37" a="1"/>
  <c r="M143" i="37" s="1"/>
  <c r="N143" i="37" a="1"/>
  <c r="N143" i="37" s="1"/>
  <c r="O143" i="37" a="1"/>
  <c r="O143" i="37" s="1"/>
  <c r="P143" i="37" a="1"/>
  <c r="P143" i="37" s="1"/>
  <c r="M144" i="37" a="1"/>
  <c r="M144" i="37" s="1"/>
  <c r="N144" i="37" a="1"/>
  <c r="N144" i="37" s="1"/>
  <c r="O144" i="37" a="1"/>
  <c r="O144" i="37" s="1"/>
  <c r="P144" i="37" a="1"/>
  <c r="P144" i="37" s="1"/>
  <c r="M145" i="37" a="1"/>
  <c r="M145" i="37" s="1"/>
  <c r="N145" i="37" a="1"/>
  <c r="N145" i="37" s="1"/>
  <c r="O145" i="37" a="1"/>
  <c r="O145" i="37" s="1"/>
  <c r="P145" i="37" a="1"/>
  <c r="P145" i="37" s="1"/>
  <c r="M146" i="37" a="1"/>
  <c r="M146" i="37" s="1"/>
  <c r="N146" i="37" a="1"/>
  <c r="N146" i="37" s="1"/>
  <c r="O146" i="37" a="1"/>
  <c r="O146" i="37" s="1"/>
  <c r="P146" i="37" a="1"/>
  <c r="P146" i="37" s="1"/>
  <c r="M147" i="37" a="1"/>
  <c r="M147" i="37" s="1"/>
  <c r="N147" i="37" a="1"/>
  <c r="N147" i="37" s="1"/>
  <c r="O147" i="37" a="1"/>
  <c r="O147" i="37" s="1"/>
  <c r="P147" i="37" a="1"/>
  <c r="P147" i="37" s="1"/>
  <c r="M148" i="37" a="1"/>
  <c r="M148" i="37" s="1"/>
  <c r="N148" i="37" a="1"/>
  <c r="N148" i="37" s="1"/>
  <c r="O148" i="37" a="1"/>
  <c r="O148" i="37" s="1"/>
  <c r="P148" i="37" a="1"/>
  <c r="P148" i="37" s="1"/>
  <c r="M149" i="37" a="1"/>
  <c r="M149" i="37" s="1"/>
  <c r="N149" i="37" a="1"/>
  <c r="N149" i="37" s="1"/>
  <c r="O149" i="37" a="1"/>
  <c r="O149" i="37" s="1"/>
  <c r="P149" i="37" a="1"/>
  <c r="P149" i="37" s="1"/>
  <c r="M150" i="37" a="1"/>
  <c r="M150" i="37" s="1"/>
  <c r="N150" i="37" a="1"/>
  <c r="N150" i="37" s="1"/>
  <c r="O150" i="37" a="1"/>
  <c r="O150" i="37" s="1"/>
  <c r="P150" i="37" a="1"/>
  <c r="P150" i="37" s="1"/>
  <c r="M151" i="37" a="1"/>
  <c r="M151" i="37" s="1"/>
  <c r="N151" i="37" a="1"/>
  <c r="N151" i="37" s="1"/>
  <c r="O151" i="37" a="1"/>
  <c r="O151" i="37" s="1"/>
  <c r="P151" i="37" a="1"/>
  <c r="P151" i="37" s="1"/>
  <c r="M152" i="37" a="1"/>
  <c r="M152" i="37" s="1"/>
  <c r="N152" i="37" a="1"/>
  <c r="N152" i="37" s="1"/>
  <c r="O152" i="37" a="1"/>
  <c r="O152" i="37" s="1"/>
  <c r="P152" i="37" a="1"/>
  <c r="P152" i="37" s="1"/>
  <c r="M153" i="37" a="1"/>
  <c r="M153" i="37" s="1"/>
  <c r="N153" i="37" a="1"/>
  <c r="N153" i="37" s="1"/>
  <c r="O153" i="37" a="1"/>
  <c r="O153" i="37" s="1"/>
  <c r="P153" i="37" a="1"/>
  <c r="P153" i="37" s="1"/>
  <c r="M154" i="37" a="1"/>
  <c r="M154" i="37" s="1"/>
  <c r="N154" i="37" a="1"/>
  <c r="N154" i="37" s="1"/>
  <c r="O154" i="37" a="1"/>
  <c r="O154" i="37" s="1"/>
  <c r="P154" i="37" a="1"/>
  <c r="P154" i="37" s="1"/>
  <c r="M155" i="37" a="1"/>
  <c r="M155" i="37" s="1"/>
  <c r="N155" i="37" a="1"/>
  <c r="N155" i="37" s="1"/>
  <c r="O155" i="37" a="1"/>
  <c r="O155" i="37" s="1"/>
  <c r="P155" i="37" a="1"/>
  <c r="P155" i="37" s="1"/>
  <c r="M156" i="37" a="1"/>
  <c r="M156" i="37" s="1"/>
  <c r="N156" i="37" a="1"/>
  <c r="N156" i="37" s="1"/>
  <c r="O156" i="37" a="1"/>
  <c r="O156" i="37" s="1"/>
  <c r="P156" i="37" a="1"/>
  <c r="P156" i="37" s="1"/>
  <c r="M157" i="37" a="1"/>
  <c r="M157" i="37" s="1"/>
  <c r="N157" i="37" a="1"/>
  <c r="N157" i="37" s="1"/>
  <c r="O157" i="37" a="1"/>
  <c r="O157" i="37" s="1"/>
  <c r="P157" i="37" a="1"/>
  <c r="P157" i="37" s="1"/>
  <c r="M158" i="37" a="1"/>
  <c r="M158" i="37" s="1"/>
  <c r="N158" i="37" a="1"/>
  <c r="N158" i="37" s="1"/>
  <c r="O158" i="37" a="1"/>
  <c r="O158" i="37" s="1"/>
  <c r="P158" i="37" a="1"/>
  <c r="P158" i="37" s="1"/>
  <c r="M159" i="37" a="1"/>
  <c r="M159" i="37" s="1"/>
  <c r="N159" i="37" a="1"/>
  <c r="N159" i="37" s="1"/>
  <c r="O159" i="37" a="1"/>
  <c r="O159" i="37" s="1"/>
  <c r="P159" i="37" a="1"/>
  <c r="P159" i="37" s="1"/>
  <c r="M160" i="37" a="1"/>
  <c r="M160" i="37" s="1"/>
  <c r="N160" i="37" a="1"/>
  <c r="N160" i="37" s="1"/>
  <c r="O160" i="37" a="1"/>
  <c r="O160" i="37" s="1"/>
  <c r="P160" i="37" a="1"/>
  <c r="P160" i="37" s="1"/>
  <c r="M161" i="37" a="1"/>
  <c r="M161" i="37" s="1"/>
  <c r="N161" i="37" a="1"/>
  <c r="N161" i="37" s="1"/>
  <c r="O161" i="37" a="1"/>
  <c r="O161" i="37" s="1"/>
  <c r="P161" i="37" a="1"/>
  <c r="P161" i="37" s="1"/>
  <c r="M162" i="37" a="1"/>
  <c r="M162" i="37" s="1"/>
  <c r="N162" i="37" a="1"/>
  <c r="N162" i="37" s="1"/>
  <c r="O162" i="37" a="1"/>
  <c r="O162" i="37" s="1"/>
  <c r="P162" i="37" a="1"/>
  <c r="P162" i="37" s="1"/>
  <c r="M163" i="37" a="1"/>
  <c r="M163" i="37" s="1"/>
  <c r="N163" i="37" a="1"/>
  <c r="N163" i="37" s="1"/>
  <c r="O163" i="37" a="1"/>
  <c r="O163" i="37" s="1"/>
  <c r="P163" i="37" a="1"/>
  <c r="P163" i="37" s="1"/>
  <c r="M164" i="37" a="1"/>
  <c r="M164" i="37" s="1"/>
  <c r="N164" i="37" a="1"/>
  <c r="N164" i="37" s="1"/>
  <c r="O164" i="37" a="1"/>
  <c r="O164" i="37" s="1"/>
  <c r="P164" i="37" a="1"/>
  <c r="P164" i="37" s="1"/>
  <c r="M165" i="37" a="1"/>
  <c r="M165" i="37" s="1"/>
  <c r="N165" i="37" a="1"/>
  <c r="N165" i="37" s="1"/>
  <c r="O165" i="37" a="1"/>
  <c r="O165" i="37" s="1"/>
  <c r="P165" i="37" a="1"/>
  <c r="P165" i="37" s="1"/>
  <c r="M166" i="37" a="1"/>
  <c r="M166" i="37" s="1"/>
  <c r="N166" i="37" a="1"/>
  <c r="N166" i="37" s="1"/>
  <c r="O166" i="37" a="1"/>
  <c r="O166" i="37" s="1"/>
  <c r="P166" i="37" a="1"/>
  <c r="P166" i="37" s="1"/>
  <c r="M167" i="37" a="1"/>
  <c r="M167" i="37" s="1"/>
  <c r="N167" i="37" a="1"/>
  <c r="N167" i="37" s="1"/>
  <c r="O167" i="37" a="1"/>
  <c r="O167" i="37" s="1"/>
  <c r="P167" i="37" a="1"/>
  <c r="P167" i="37" s="1"/>
  <c r="M168" i="37" a="1"/>
  <c r="M168" i="37" s="1"/>
  <c r="N168" i="37" a="1"/>
  <c r="N168" i="37" s="1"/>
  <c r="O168" i="37" a="1"/>
  <c r="O168" i="37" s="1"/>
  <c r="P168" i="37" a="1"/>
  <c r="P168" i="37" s="1"/>
  <c r="M169" i="37" a="1"/>
  <c r="M169" i="37" s="1"/>
  <c r="N169" i="37" a="1"/>
  <c r="N169" i="37" s="1"/>
  <c r="O169" i="37" a="1"/>
  <c r="O169" i="37" s="1"/>
  <c r="P169" i="37" a="1"/>
  <c r="P169" i="37" s="1"/>
  <c r="M170" i="37" a="1"/>
  <c r="M170" i="37" s="1"/>
  <c r="N170" i="37" a="1"/>
  <c r="N170" i="37" s="1"/>
  <c r="O170" i="37" a="1"/>
  <c r="O170" i="37" s="1"/>
  <c r="P170" i="37" a="1"/>
  <c r="P170" i="37" s="1"/>
  <c r="M171" i="37" a="1"/>
  <c r="M171" i="37" s="1"/>
  <c r="N171" i="37" a="1"/>
  <c r="N171" i="37" s="1"/>
  <c r="O171" i="37" a="1"/>
  <c r="O171" i="37" s="1"/>
  <c r="P171" i="37" a="1"/>
  <c r="P171" i="37" s="1"/>
  <c r="M172" i="37" a="1"/>
  <c r="M172" i="37" s="1"/>
  <c r="N172" i="37" a="1"/>
  <c r="N172" i="37" s="1"/>
  <c r="O172" i="37" a="1"/>
  <c r="O172" i="37" s="1"/>
  <c r="P172" i="37" a="1"/>
  <c r="P172" i="37" s="1"/>
  <c r="M173" i="37" a="1"/>
  <c r="M173" i="37" s="1"/>
  <c r="N173" i="37" a="1"/>
  <c r="N173" i="37" s="1"/>
  <c r="O173" i="37" a="1"/>
  <c r="O173" i="37" s="1"/>
  <c r="P173" i="37" a="1"/>
  <c r="P173" i="37" s="1"/>
  <c r="M174" i="37" a="1"/>
  <c r="M174" i="37" s="1"/>
  <c r="N174" i="37" a="1"/>
  <c r="N174" i="37" s="1"/>
  <c r="O174" i="37" a="1"/>
  <c r="O174" i="37" s="1"/>
  <c r="P174" i="37" a="1"/>
  <c r="P174" i="37" s="1"/>
  <c r="M175" i="37" a="1"/>
  <c r="M175" i="37" s="1"/>
  <c r="N175" i="37" a="1"/>
  <c r="N175" i="37" s="1"/>
  <c r="O175" i="37" a="1"/>
  <c r="O175" i="37" s="1"/>
  <c r="P175" i="37" a="1"/>
  <c r="P175" i="37" s="1"/>
  <c r="M176" i="37" a="1"/>
  <c r="M176" i="37" s="1"/>
  <c r="N176" i="37" a="1"/>
  <c r="N176" i="37" s="1"/>
  <c r="O176" i="37" a="1"/>
  <c r="O176" i="37" s="1"/>
  <c r="P176" i="37" a="1"/>
  <c r="P176" i="37" s="1"/>
  <c r="M177" i="37" a="1"/>
  <c r="M177" i="37" s="1"/>
  <c r="N177" i="37" a="1"/>
  <c r="N177" i="37" s="1"/>
  <c r="O177" i="37" a="1"/>
  <c r="O177" i="37" s="1"/>
  <c r="P177" i="37" a="1"/>
  <c r="P177" i="37" s="1"/>
  <c r="M178" i="37" a="1"/>
  <c r="M178" i="37" s="1"/>
  <c r="N178" i="37" a="1"/>
  <c r="N178" i="37" s="1"/>
  <c r="O178" i="37" a="1"/>
  <c r="O178" i="37" s="1"/>
  <c r="P178" i="37" a="1"/>
  <c r="P178" i="37" s="1"/>
  <c r="M179" i="37" a="1"/>
  <c r="M179" i="37" s="1"/>
  <c r="N179" i="37" a="1"/>
  <c r="N179" i="37" s="1"/>
  <c r="O179" i="37" a="1"/>
  <c r="O179" i="37" s="1"/>
  <c r="P179" i="37" a="1"/>
  <c r="P179" i="37" s="1"/>
  <c r="M180" i="37" a="1"/>
  <c r="M180" i="37" s="1"/>
  <c r="N180" i="37" a="1"/>
  <c r="N180" i="37" s="1"/>
  <c r="O180" i="37" a="1"/>
  <c r="O180" i="37" s="1"/>
  <c r="P180" i="37" a="1"/>
  <c r="P180" i="37" s="1"/>
  <c r="M181" i="37" a="1"/>
  <c r="M181" i="37" s="1"/>
  <c r="N181" i="37" a="1"/>
  <c r="N181" i="37" s="1"/>
  <c r="O181" i="37" a="1"/>
  <c r="O181" i="37" s="1"/>
  <c r="P181" i="37" a="1"/>
  <c r="P181" i="37" s="1"/>
  <c r="M182" i="37" a="1"/>
  <c r="M182" i="37" s="1"/>
  <c r="N182" i="37" a="1"/>
  <c r="N182" i="37" s="1"/>
  <c r="O182" i="37" a="1"/>
  <c r="O182" i="37" s="1"/>
  <c r="P182" i="37" a="1"/>
  <c r="P182" i="37" s="1"/>
  <c r="M183" i="37" a="1"/>
  <c r="M183" i="37" s="1"/>
  <c r="N183" i="37" a="1"/>
  <c r="N183" i="37" s="1"/>
  <c r="O183" i="37" a="1"/>
  <c r="O183" i="37" s="1"/>
  <c r="P183" i="37" a="1"/>
  <c r="P183" i="37" s="1"/>
  <c r="M184" i="37" a="1"/>
  <c r="M184" i="37" s="1"/>
  <c r="N184" i="37" a="1"/>
  <c r="N184" i="37" s="1"/>
  <c r="O184" i="37" a="1"/>
  <c r="O184" i="37" s="1"/>
  <c r="P184" i="37" a="1"/>
  <c r="P184" i="37" s="1"/>
  <c r="M185" i="37" a="1"/>
  <c r="M185" i="37" s="1"/>
  <c r="N185" i="37" a="1"/>
  <c r="N185" i="37" s="1"/>
  <c r="O185" i="37" a="1"/>
  <c r="O185" i="37" s="1"/>
  <c r="P185" i="37" a="1"/>
  <c r="P185" i="37" s="1"/>
  <c r="M186" i="37" a="1"/>
  <c r="M186" i="37" s="1"/>
  <c r="N186" i="37" a="1"/>
  <c r="N186" i="37" s="1"/>
  <c r="O186" i="37" a="1"/>
  <c r="O186" i="37" s="1"/>
  <c r="P186" i="37" a="1"/>
  <c r="P186" i="37" s="1"/>
  <c r="M187" i="37" a="1"/>
  <c r="M187" i="37" s="1"/>
  <c r="N187" i="37" a="1"/>
  <c r="N187" i="37" s="1"/>
  <c r="O187" i="37" a="1"/>
  <c r="O187" i="37" s="1"/>
  <c r="P187" i="37" a="1"/>
  <c r="P187" i="37" s="1"/>
  <c r="M188" i="37" a="1"/>
  <c r="M188" i="37" s="1"/>
  <c r="N188" i="37" a="1"/>
  <c r="N188" i="37" s="1"/>
  <c r="O188" i="37" a="1"/>
  <c r="O188" i="37" s="1"/>
  <c r="P188" i="37" a="1"/>
  <c r="P188" i="37" s="1"/>
  <c r="M189" i="37" a="1"/>
  <c r="M189" i="37" s="1"/>
  <c r="N189" i="37" a="1"/>
  <c r="N189" i="37" s="1"/>
  <c r="O189" i="37" a="1"/>
  <c r="O189" i="37" s="1"/>
  <c r="P189" i="37" a="1"/>
  <c r="P189" i="37" s="1"/>
  <c r="M190" i="37" a="1"/>
  <c r="M190" i="37" s="1"/>
  <c r="N190" i="37" a="1"/>
  <c r="N190" i="37" s="1"/>
  <c r="O190" i="37" a="1"/>
  <c r="O190" i="37" s="1"/>
  <c r="P190" i="37" a="1"/>
  <c r="P190" i="37" s="1"/>
  <c r="M191" i="37" a="1"/>
  <c r="M191" i="37" s="1"/>
  <c r="N191" i="37" a="1"/>
  <c r="N191" i="37" s="1"/>
  <c r="O191" i="37" a="1"/>
  <c r="O191" i="37" s="1"/>
  <c r="P191" i="37" a="1"/>
  <c r="P191" i="37" s="1"/>
  <c r="M192" i="37" a="1"/>
  <c r="M192" i="37" s="1"/>
  <c r="N192" i="37" a="1"/>
  <c r="N192" i="37" s="1"/>
  <c r="O192" i="37" a="1"/>
  <c r="O192" i="37" s="1"/>
  <c r="P192" i="37" a="1"/>
  <c r="P192" i="37" s="1"/>
  <c r="M193" i="37" a="1"/>
  <c r="M193" i="37" s="1"/>
  <c r="N193" i="37" a="1"/>
  <c r="N193" i="37" s="1"/>
  <c r="O193" i="37" a="1"/>
  <c r="O193" i="37" s="1"/>
  <c r="P193" i="37" a="1"/>
  <c r="P193" i="37" s="1"/>
  <c r="M194" i="37" a="1"/>
  <c r="M194" i="37" s="1"/>
  <c r="N194" i="37" a="1"/>
  <c r="N194" i="37" s="1"/>
  <c r="O194" i="37" a="1"/>
  <c r="O194" i="37" s="1"/>
  <c r="P194" i="37" a="1"/>
  <c r="P194" i="37" s="1"/>
  <c r="M195" i="37" a="1"/>
  <c r="M195" i="37" s="1"/>
  <c r="N195" i="37" a="1"/>
  <c r="N195" i="37" s="1"/>
  <c r="O195" i="37" a="1"/>
  <c r="O195" i="37" s="1"/>
  <c r="P195" i="37" a="1"/>
  <c r="P195" i="37" s="1"/>
  <c r="M196" i="37" a="1"/>
  <c r="M196" i="37" s="1"/>
  <c r="N196" i="37" a="1"/>
  <c r="N196" i="37" s="1"/>
  <c r="O196" i="37" a="1"/>
  <c r="O196" i="37" s="1"/>
  <c r="P196" i="37" a="1"/>
  <c r="P196" i="37" s="1"/>
  <c r="M197" i="37" a="1"/>
  <c r="M197" i="37" s="1"/>
  <c r="N197" i="37" a="1"/>
  <c r="N197" i="37" s="1"/>
  <c r="O197" i="37" a="1"/>
  <c r="O197" i="37" s="1"/>
  <c r="P197" i="37" a="1"/>
  <c r="P197" i="37" s="1"/>
  <c r="M198" i="37" a="1"/>
  <c r="M198" i="37" s="1"/>
  <c r="N198" i="37" a="1"/>
  <c r="N198" i="37" s="1"/>
  <c r="O198" i="37" a="1"/>
  <c r="O198" i="37" s="1"/>
  <c r="P198" i="37" a="1"/>
  <c r="P198" i="37" s="1"/>
  <c r="M199" i="37" a="1"/>
  <c r="M199" i="37" s="1"/>
  <c r="N199" i="37" a="1"/>
  <c r="N199" i="37" s="1"/>
  <c r="O199" i="37" a="1"/>
  <c r="O199" i="37" s="1"/>
  <c r="P199" i="37" a="1"/>
  <c r="P199" i="37" s="1"/>
  <c r="M200" i="37" a="1"/>
  <c r="M200" i="37" s="1"/>
  <c r="N200" i="37" a="1"/>
  <c r="N200" i="37" s="1"/>
  <c r="O200" i="37" a="1"/>
  <c r="O200" i="37" s="1"/>
  <c r="P200" i="37" a="1"/>
  <c r="P200" i="37" s="1"/>
  <c r="M201" i="37" a="1"/>
  <c r="M201" i="37" s="1"/>
  <c r="N201" i="37" a="1"/>
  <c r="N201" i="37" s="1"/>
  <c r="O201" i="37" a="1"/>
  <c r="O201" i="37" s="1"/>
  <c r="P201" i="37" a="1"/>
  <c r="P201" i="37" s="1"/>
  <c r="M202" i="37" a="1"/>
  <c r="M202" i="37" s="1"/>
  <c r="N202" i="37" a="1"/>
  <c r="N202" i="37" s="1"/>
  <c r="O202" i="37" a="1"/>
  <c r="O202" i="37" s="1"/>
  <c r="P202" i="37" a="1"/>
  <c r="P202" i="37" s="1"/>
  <c r="M203" i="37" a="1"/>
  <c r="M203" i="37" s="1"/>
  <c r="N203" i="37" a="1"/>
  <c r="N203" i="37" s="1"/>
  <c r="O203" i="37" a="1"/>
  <c r="O203" i="37" s="1"/>
  <c r="P203" i="37" a="1"/>
  <c r="P203" i="37" s="1"/>
  <c r="M204" i="37" a="1"/>
  <c r="M204" i="37" s="1"/>
  <c r="N204" i="37" a="1"/>
  <c r="N204" i="37" s="1"/>
  <c r="O204" i="37" a="1"/>
  <c r="O204" i="37" s="1"/>
  <c r="P204" i="37" a="1"/>
  <c r="P204" i="37" s="1"/>
  <c r="M205" i="37" a="1"/>
  <c r="M205" i="37" s="1"/>
  <c r="N205" i="37" a="1"/>
  <c r="N205" i="37" s="1"/>
  <c r="O205" i="37" a="1"/>
  <c r="O205" i="37" s="1"/>
  <c r="P205" i="37" a="1"/>
  <c r="P205" i="37" s="1"/>
  <c r="M206" i="37" a="1"/>
  <c r="M206" i="37" s="1"/>
  <c r="N206" i="37" a="1"/>
  <c r="N206" i="37" s="1"/>
  <c r="O206" i="37" a="1"/>
  <c r="O206" i="37" s="1"/>
  <c r="P206" i="37" a="1"/>
  <c r="P206" i="37" s="1"/>
  <c r="M207" i="37" a="1"/>
  <c r="M207" i="37" s="1"/>
  <c r="N207" i="37" a="1"/>
  <c r="N207" i="37" s="1"/>
  <c r="O207" i="37" a="1"/>
  <c r="O207" i="37" s="1"/>
  <c r="P207" i="37" a="1"/>
  <c r="P207" i="37" s="1"/>
  <c r="M208" i="37" a="1"/>
  <c r="M208" i="37" s="1"/>
  <c r="N208" i="37" a="1"/>
  <c r="N208" i="37" s="1"/>
  <c r="O208" i="37" a="1"/>
  <c r="O208" i="37" s="1"/>
  <c r="P208" i="37" a="1"/>
  <c r="P208" i="37" s="1"/>
  <c r="M209" i="37" a="1"/>
  <c r="M209" i="37" s="1"/>
  <c r="N209" i="37" a="1"/>
  <c r="N209" i="37" s="1"/>
  <c r="O209" i="37" a="1"/>
  <c r="O209" i="37" s="1"/>
  <c r="P209" i="37" a="1"/>
  <c r="P209" i="37" s="1"/>
  <c r="M210" i="37" a="1"/>
  <c r="M210" i="37" s="1"/>
  <c r="N210" i="37" a="1"/>
  <c r="N210" i="37" s="1"/>
  <c r="O210" i="37" a="1"/>
  <c r="O210" i="37" s="1"/>
  <c r="P210" i="37" a="1"/>
  <c r="P210" i="37" s="1"/>
  <c r="M211" i="37" a="1"/>
  <c r="M211" i="37" s="1"/>
  <c r="N211" i="37" a="1"/>
  <c r="N211" i="37" s="1"/>
  <c r="O211" i="37" a="1"/>
  <c r="O211" i="37" s="1"/>
  <c r="P211" i="37" a="1"/>
  <c r="P211" i="37" s="1"/>
  <c r="M212" i="37" a="1"/>
  <c r="M212" i="37" s="1"/>
  <c r="N212" i="37" a="1"/>
  <c r="N212" i="37" s="1"/>
  <c r="O212" i="37" a="1"/>
  <c r="O212" i="37" s="1"/>
  <c r="P212" i="37" a="1"/>
  <c r="P212" i="37" s="1"/>
  <c r="M213" i="37" a="1"/>
  <c r="M213" i="37" s="1"/>
  <c r="N213" i="37" a="1"/>
  <c r="N213" i="37" s="1"/>
  <c r="O213" i="37" a="1"/>
  <c r="O213" i="37" s="1"/>
  <c r="P213" i="37" a="1"/>
  <c r="P213" i="37" s="1"/>
  <c r="M214" i="37" a="1"/>
  <c r="M214" i="37" s="1"/>
  <c r="N214" i="37" a="1"/>
  <c r="N214" i="37" s="1"/>
  <c r="O214" i="37" a="1"/>
  <c r="O214" i="37" s="1"/>
  <c r="P214" i="37" a="1"/>
  <c r="P214" i="37" s="1"/>
  <c r="M215" i="37" a="1"/>
  <c r="M215" i="37" s="1"/>
  <c r="N215" i="37" a="1"/>
  <c r="N215" i="37" s="1"/>
  <c r="O215" i="37" a="1"/>
  <c r="O215" i="37" s="1"/>
  <c r="P215" i="37" a="1"/>
  <c r="P215" i="37" s="1"/>
  <c r="M216" i="37" a="1"/>
  <c r="M216" i="37" s="1"/>
  <c r="N216" i="37" a="1"/>
  <c r="N216" i="37" s="1"/>
  <c r="O216" i="37" a="1"/>
  <c r="O216" i="37" s="1"/>
  <c r="P216" i="37" a="1"/>
  <c r="P216" i="37" s="1"/>
  <c r="M217" i="37" a="1"/>
  <c r="M217" i="37" s="1"/>
  <c r="N217" i="37" a="1"/>
  <c r="N217" i="37" s="1"/>
  <c r="O217" i="37" a="1"/>
  <c r="O217" i="37" s="1"/>
  <c r="P217" i="37" a="1"/>
  <c r="P217" i="37" s="1"/>
  <c r="M218" i="37" a="1"/>
  <c r="M218" i="37" s="1"/>
  <c r="N218" i="37" a="1"/>
  <c r="N218" i="37" s="1"/>
  <c r="O218" i="37" a="1"/>
  <c r="O218" i="37" s="1"/>
  <c r="P218" i="37" a="1"/>
  <c r="P218" i="37" s="1"/>
  <c r="M219" i="37" a="1"/>
  <c r="M219" i="37" s="1"/>
  <c r="N219" i="37" a="1"/>
  <c r="N219" i="37" s="1"/>
  <c r="O219" i="37" a="1"/>
  <c r="O219" i="37" s="1"/>
  <c r="P219" i="37" a="1"/>
  <c r="P219" i="37" s="1"/>
  <c r="M220" i="37" a="1"/>
  <c r="M220" i="37" s="1"/>
  <c r="N220" i="37" a="1"/>
  <c r="N220" i="37" s="1"/>
  <c r="O220" i="37" a="1"/>
  <c r="O220" i="37" s="1"/>
  <c r="P220" i="37" a="1"/>
  <c r="P220" i="37" s="1"/>
  <c r="M221" i="37" a="1"/>
  <c r="M221" i="37" s="1"/>
  <c r="N221" i="37" a="1"/>
  <c r="N221" i="37" s="1"/>
  <c r="O221" i="37" a="1"/>
  <c r="O221" i="37" s="1"/>
  <c r="P221" i="37" a="1"/>
  <c r="P221" i="37" s="1"/>
  <c r="M222" i="37" a="1"/>
  <c r="M222" i="37" s="1"/>
  <c r="N222" i="37" a="1"/>
  <c r="N222" i="37" s="1"/>
  <c r="O222" i="37" a="1"/>
  <c r="O222" i="37" s="1"/>
  <c r="P222" i="37" a="1"/>
  <c r="P222" i="37" s="1"/>
  <c r="M223" i="37" a="1"/>
  <c r="M223" i="37" s="1"/>
  <c r="N223" i="37" a="1"/>
  <c r="N223" i="37" s="1"/>
  <c r="O223" i="37" a="1"/>
  <c r="O223" i="37" s="1"/>
  <c r="P223" i="37" a="1"/>
  <c r="P223" i="37" s="1"/>
  <c r="M225" i="37" a="1"/>
  <c r="M225" i="37" s="1"/>
  <c r="N225" i="37" a="1"/>
  <c r="N225" i="37" s="1"/>
  <c r="O225" i="37" a="1"/>
  <c r="O225" i="37" s="1"/>
  <c r="P225" i="37" a="1"/>
  <c r="P225" i="37" s="1"/>
  <c r="M226" i="37" a="1"/>
  <c r="M226" i="37" s="1"/>
  <c r="N226" i="37" a="1"/>
  <c r="N226" i="37" s="1"/>
  <c r="O226" i="37" a="1"/>
  <c r="O226" i="37" s="1"/>
  <c r="P226" i="37" a="1"/>
  <c r="P226" i="37" s="1"/>
  <c r="M227" i="37" a="1"/>
  <c r="M227" i="37" s="1"/>
  <c r="N227" i="37" a="1"/>
  <c r="N227" i="37" s="1"/>
  <c r="O227" i="37" a="1"/>
  <c r="O227" i="37" s="1"/>
  <c r="P227" i="37" a="1"/>
  <c r="P227" i="37" s="1"/>
  <c r="M228" i="37" a="1"/>
  <c r="M228" i="37" s="1"/>
  <c r="N228" i="37" a="1"/>
  <c r="N228" i="37" s="1"/>
  <c r="O228" i="37" a="1"/>
  <c r="O228" i="37" s="1"/>
  <c r="P228" i="37" a="1"/>
  <c r="P228" i="37" s="1"/>
  <c r="M229" i="37" a="1"/>
  <c r="M229" i="37" s="1"/>
  <c r="N229" i="37" a="1"/>
  <c r="N229" i="37" s="1"/>
  <c r="O229" i="37" a="1"/>
  <c r="O229" i="37" s="1"/>
  <c r="P229" i="37" a="1"/>
  <c r="P229" i="37" s="1"/>
  <c r="M230" i="37" a="1"/>
  <c r="M230" i="37" s="1"/>
  <c r="N230" i="37" a="1"/>
  <c r="N230" i="37" s="1"/>
  <c r="O230" i="37" a="1"/>
  <c r="O230" i="37" s="1"/>
  <c r="P230" i="37" a="1"/>
  <c r="P230" i="37" s="1"/>
  <c r="M231" i="37" a="1"/>
  <c r="M231" i="37" s="1"/>
  <c r="N231" i="37" a="1"/>
  <c r="N231" i="37" s="1"/>
  <c r="O231" i="37" a="1"/>
  <c r="O231" i="37" s="1"/>
  <c r="P231" i="37" a="1"/>
  <c r="P231" i="37" s="1"/>
  <c r="M232" i="37" a="1"/>
  <c r="M232" i="37" s="1"/>
  <c r="N232" i="37" a="1"/>
  <c r="N232" i="37" s="1"/>
  <c r="O232" i="37" a="1"/>
  <c r="O232" i="37" s="1"/>
  <c r="P232" i="37" a="1"/>
  <c r="P232" i="37" s="1"/>
  <c r="M233" i="37" a="1"/>
  <c r="M233" i="37" s="1"/>
  <c r="N233" i="37" a="1"/>
  <c r="N233" i="37" s="1"/>
  <c r="O233" i="37" a="1"/>
  <c r="O233" i="37" s="1"/>
  <c r="P233" i="37" a="1"/>
  <c r="P233" i="37" s="1"/>
  <c r="M234" i="37" a="1"/>
  <c r="M234" i="37" s="1"/>
  <c r="N234" i="37" a="1"/>
  <c r="N234" i="37" s="1"/>
  <c r="O234" i="37" a="1"/>
  <c r="O234" i="37" s="1"/>
  <c r="P234" i="37" a="1"/>
  <c r="P234" i="37" s="1"/>
  <c r="M235" i="37" a="1"/>
  <c r="M235" i="37" s="1"/>
  <c r="N235" i="37" a="1"/>
  <c r="N235" i="37" s="1"/>
  <c r="O235" i="37" a="1"/>
  <c r="O235" i="37" s="1"/>
  <c r="P235" i="37" a="1"/>
  <c r="P235" i="37" s="1"/>
  <c r="M236" i="37" a="1"/>
  <c r="M236" i="37" s="1"/>
  <c r="N236" i="37" a="1"/>
  <c r="N236" i="37" s="1"/>
  <c r="O236" i="37" a="1"/>
  <c r="O236" i="37" s="1"/>
  <c r="P236" i="37" a="1"/>
  <c r="P236" i="37" s="1"/>
  <c r="M237" i="37" a="1"/>
  <c r="M237" i="37" s="1"/>
  <c r="N237" i="37" a="1"/>
  <c r="N237" i="37" s="1"/>
  <c r="O237" i="37" a="1"/>
  <c r="O237" i="37" s="1"/>
  <c r="P237" i="37" a="1"/>
  <c r="P237" i="37" s="1"/>
  <c r="M238" i="37" a="1"/>
  <c r="M238" i="37" s="1"/>
  <c r="N238" i="37" a="1"/>
  <c r="N238" i="37" s="1"/>
  <c r="O238" i="37" a="1"/>
  <c r="O238" i="37" s="1"/>
  <c r="P238" i="37" a="1"/>
  <c r="P238" i="37" s="1"/>
  <c r="M239" i="37" a="1"/>
  <c r="M239" i="37" s="1"/>
  <c r="N239" i="37" a="1"/>
  <c r="N239" i="37" s="1"/>
  <c r="O239" i="37" a="1"/>
  <c r="O239" i="37" s="1"/>
  <c r="P239" i="37" a="1"/>
  <c r="P239" i="37" s="1"/>
  <c r="M240" i="37" a="1"/>
  <c r="M240" i="37" s="1"/>
  <c r="N240" i="37" a="1"/>
  <c r="N240" i="37" s="1"/>
  <c r="O240" i="37" a="1"/>
  <c r="O240" i="37" s="1"/>
  <c r="P240" i="37" a="1"/>
  <c r="P240" i="37" s="1"/>
  <c r="M241" i="37" a="1"/>
  <c r="M241" i="37" s="1"/>
  <c r="N241" i="37" a="1"/>
  <c r="N241" i="37" s="1"/>
  <c r="O241" i="37" a="1"/>
  <c r="O241" i="37" s="1"/>
  <c r="P241" i="37" a="1"/>
  <c r="P241" i="37" s="1"/>
  <c r="M242" i="37" a="1"/>
  <c r="M242" i="37" s="1"/>
  <c r="N242" i="37" a="1"/>
  <c r="N242" i="37" s="1"/>
  <c r="O242" i="37" a="1"/>
  <c r="O242" i="37" s="1"/>
  <c r="P242" i="37" a="1"/>
  <c r="P242" i="37" s="1"/>
  <c r="M243" i="37" a="1"/>
  <c r="M243" i="37" s="1"/>
  <c r="N243" i="37" a="1"/>
  <c r="N243" i="37" s="1"/>
  <c r="O243" i="37" a="1"/>
  <c r="O243" i="37" s="1"/>
  <c r="P243" i="37" a="1"/>
  <c r="P243" i="37" s="1"/>
  <c r="M244" i="37" a="1"/>
  <c r="M244" i="37" s="1"/>
  <c r="N244" i="37" a="1"/>
  <c r="N244" i="37" s="1"/>
  <c r="O244" i="37" a="1"/>
  <c r="O244" i="37" s="1"/>
  <c r="P244" i="37" a="1"/>
  <c r="P244" i="37" s="1"/>
  <c r="P4" i="37" a="1"/>
  <c r="P4" i="37" s="1"/>
  <c r="O4" i="37" a="1"/>
  <c r="O4" i="37" s="1"/>
  <c r="N4" i="37" a="1"/>
  <c r="N4" i="37" s="1"/>
  <c r="M4" i="37" a="1"/>
  <c r="M4" i="37" s="1"/>
  <c r="L5" i="37" a="1"/>
  <c r="L5" i="37" s="1"/>
  <c r="L6" i="37" a="1"/>
  <c r="L6" i="37" s="1"/>
  <c r="L7" i="37" a="1"/>
  <c r="L7" i="37" s="1"/>
  <c r="L8" i="37" a="1"/>
  <c r="L8" i="37" s="1"/>
  <c r="L9" i="37" a="1"/>
  <c r="L9" i="37" s="1"/>
  <c r="L10" i="37" a="1"/>
  <c r="L10" i="37" s="1"/>
  <c r="L11" i="37" a="1"/>
  <c r="L11" i="37" s="1"/>
  <c r="L12" i="37" a="1"/>
  <c r="L12" i="37" s="1"/>
  <c r="L13" i="37" a="1"/>
  <c r="L13" i="37" s="1"/>
  <c r="L14" i="37" a="1"/>
  <c r="L14" i="37" s="1"/>
  <c r="L15" i="37" a="1"/>
  <c r="L15" i="37" s="1"/>
  <c r="L16" i="37" a="1"/>
  <c r="L16" i="37" s="1"/>
  <c r="L17" i="37" a="1"/>
  <c r="L17" i="37" s="1"/>
  <c r="L18" i="37" a="1"/>
  <c r="L18" i="37" s="1"/>
  <c r="L19" i="37" a="1"/>
  <c r="L19" i="37" s="1"/>
  <c r="L20" i="37" a="1"/>
  <c r="L20" i="37" s="1"/>
  <c r="L21" i="37" a="1"/>
  <c r="L21" i="37" s="1"/>
  <c r="L22" i="37" a="1"/>
  <c r="L22" i="37" s="1"/>
  <c r="L23" i="37" a="1"/>
  <c r="L23" i="37" s="1"/>
  <c r="L24" i="37" a="1"/>
  <c r="L24" i="37" s="1"/>
  <c r="L25" i="37" a="1"/>
  <c r="L25" i="37" s="1"/>
  <c r="L26" i="37" a="1"/>
  <c r="L26" i="37" s="1"/>
  <c r="L27" i="37" a="1"/>
  <c r="L27" i="37" s="1"/>
  <c r="L28" i="37" a="1"/>
  <c r="L28" i="37" s="1"/>
  <c r="L29" i="37" a="1"/>
  <c r="L29" i="37" s="1"/>
  <c r="L30" i="37" a="1"/>
  <c r="L30" i="37" s="1"/>
  <c r="L31" i="37" a="1"/>
  <c r="L31" i="37" s="1"/>
  <c r="L32" i="37" a="1"/>
  <c r="L32" i="37" s="1"/>
  <c r="L33" i="37" a="1"/>
  <c r="L33" i="37" s="1"/>
  <c r="L34" i="37" a="1"/>
  <c r="L34" i="37" s="1"/>
  <c r="L35" i="37" a="1"/>
  <c r="L35" i="37" s="1"/>
  <c r="L36" i="37" a="1"/>
  <c r="L36" i="37" s="1"/>
  <c r="L37" i="37" a="1"/>
  <c r="L37" i="37" s="1"/>
  <c r="L38" i="37" a="1"/>
  <c r="L38" i="37" s="1"/>
  <c r="L39" i="37" a="1"/>
  <c r="L39" i="37" s="1"/>
  <c r="L40" i="37" a="1"/>
  <c r="L40" i="37" s="1"/>
  <c r="L41" i="37" a="1"/>
  <c r="L41" i="37" s="1"/>
  <c r="L42" i="37" a="1"/>
  <c r="L42" i="37" s="1"/>
  <c r="L43" i="37" a="1"/>
  <c r="L43" i="37" s="1"/>
  <c r="L44" i="37" a="1"/>
  <c r="L44" i="37" s="1"/>
  <c r="L45" i="37" a="1"/>
  <c r="L45" i="37" s="1"/>
  <c r="L46" i="37" a="1"/>
  <c r="L46" i="37" s="1"/>
  <c r="L47" i="37" a="1"/>
  <c r="L47" i="37" s="1"/>
  <c r="L48" i="37" a="1"/>
  <c r="L48" i="37" s="1"/>
  <c r="L49" i="37" a="1"/>
  <c r="L49" i="37" s="1"/>
  <c r="L50" i="37" a="1"/>
  <c r="L50" i="37" s="1"/>
  <c r="L51" i="37" a="1"/>
  <c r="L51" i="37" s="1"/>
  <c r="L52" i="37" a="1"/>
  <c r="L52" i="37" s="1"/>
  <c r="L53" i="37" a="1"/>
  <c r="L53" i="37" s="1"/>
  <c r="L54" i="37" a="1"/>
  <c r="L54" i="37" s="1"/>
  <c r="L55" i="37" a="1"/>
  <c r="L55" i="37" s="1"/>
  <c r="L56" i="37" a="1"/>
  <c r="L56" i="37" s="1"/>
  <c r="L57" i="37" a="1"/>
  <c r="L57" i="37" s="1"/>
  <c r="L58" i="37" a="1"/>
  <c r="L58" i="37" s="1"/>
  <c r="L59" i="37" a="1"/>
  <c r="L59" i="37" s="1"/>
  <c r="L60" i="37" a="1"/>
  <c r="L60" i="37" s="1"/>
  <c r="L61" i="37" a="1"/>
  <c r="L61" i="37" s="1"/>
  <c r="L62" i="37" a="1"/>
  <c r="L62" i="37" s="1"/>
  <c r="L63" i="37" a="1"/>
  <c r="L63" i="37" s="1"/>
  <c r="L64" i="37" a="1"/>
  <c r="L64" i="37" s="1"/>
  <c r="L65" i="37" a="1"/>
  <c r="L65" i="37" s="1"/>
  <c r="L66" i="37" a="1"/>
  <c r="L66" i="37" s="1"/>
  <c r="L67" i="37" a="1"/>
  <c r="L67" i="37" s="1"/>
  <c r="L68" i="37" a="1"/>
  <c r="L68" i="37" s="1"/>
  <c r="L69" i="37" a="1"/>
  <c r="L69" i="37" s="1"/>
  <c r="L70" i="37" a="1"/>
  <c r="L70" i="37" s="1"/>
  <c r="L71" i="37" a="1"/>
  <c r="L71" i="37" s="1"/>
  <c r="L72" i="37" a="1"/>
  <c r="L72" i="37" s="1"/>
  <c r="L73" i="37" a="1"/>
  <c r="L73" i="37" s="1"/>
  <c r="L74" i="37" a="1"/>
  <c r="L74" i="37" s="1"/>
  <c r="L75" i="37" a="1"/>
  <c r="L75" i="37" s="1"/>
  <c r="L76" i="37" a="1"/>
  <c r="L76" i="37" s="1"/>
  <c r="L77" i="37" a="1"/>
  <c r="L77" i="37" s="1"/>
  <c r="L78" i="37" a="1"/>
  <c r="L78" i="37" s="1"/>
  <c r="L79" i="37" a="1"/>
  <c r="L79" i="37" s="1"/>
  <c r="L80" i="37" a="1"/>
  <c r="L80" i="37" s="1"/>
  <c r="L81" i="37" a="1"/>
  <c r="L81" i="37" s="1"/>
  <c r="L82" i="37" a="1"/>
  <c r="L82" i="37" s="1"/>
  <c r="L83" i="37" a="1"/>
  <c r="L83" i="37" s="1"/>
  <c r="L84" i="37" a="1"/>
  <c r="L84" i="37" s="1"/>
  <c r="L85" i="37" a="1"/>
  <c r="L85" i="37" s="1"/>
  <c r="L86" i="37" a="1"/>
  <c r="L86" i="37" s="1"/>
  <c r="L87" i="37" a="1"/>
  <c r="L87" i="37" s="1"/>
  <c r="L88" i="37" a="1"/>
  <c r="L88" i="37" s="1"/>
  <c r="L89" i="37" a="1"/>
  <c r="L89" i="37" s="1"/>
  <c r="L90" i="37" a="1"/>
  <c r="L90" i="37" s="1"/>
  <c r="L91" i="37" a="1"/>
  <c r="L91" i="37" s="1"/>
  <c r="L92" i="37" a="1"/>
  <c r="L92" i="37" s="1"/>
  <c r="L93" i="37" a="1"/>
  <c r="L93" i="37" s="1"/>
  <c r="L94" i="37" a="1"/>
  <c r="L94" i="37" s="1"/>
  <c r="L95" i="37" a="1"/>
  <c r="L95" i="37" s="1"/>
  <c r="L96" i="37" a="1"/>
  <c r="L96" i="37" s="1"/>
  <c r="L97" i="37" a="1"/>
  <c r="L97" i="37" s="1"/>
  <c r="L98" i="37" a="1"/>
  <c r="L98" i="37" s="1"/>
  <c r="L99" i="37" a="1"/>
  <c r="L99" i="37" s="1"/>
  <c r="L100" i="37" a="1"/>
  <c r="L100" i="37" s="1"/>
  <c r="L101" i="37" a="1"/>
  <c r="L101" i="37" s="1"/>
  <c r="L102" i="37" a="1"/>
  <c r="L102" i="37" s="1"/>
  <c r="L103" i="37" a="1"/>
  <c r="L103" i="37" s="1"/>
  <c r="L104" i="37" a="1"/>
  <c r="L104" i="37" s="1"/>
  <c r="L105" i="37" a="1"/>
  <c r="L105" i="37" s="1"/>
  <c r="L106" i="37" a="1"/>
  <c r="L106" i="37" s="1"/>
  <c r="L107" i="37" a="1"/>
  <c r="L107" i="37" s="1"/>
  <c r="L108" i="37" a="1"/>
  <c r="L108" i="37" s="1"/>
  <c r="L109" i="37" a="1"/>
  <c r="L109" i="37" s="1"/>
  <c r="L110" i="37" a="1"/>
  <c r="L110" i="37" s="1"/>
  <c r="L111" i="37" a="1"/>
  <c r="L111" i="37" s="1"/>
  <c r="L112" i="37" a="1"/>
  <c r="L112" i="37" s="1"/>
  <c r="L113" i="37" a="1"/>
  <c r="L113" i="37" s="1"/>
  <c r="L114" i="37" a="1"/>
  <c r="L114" i="37" s="1"/>
  <c r="L115" i="37" a="1"/>
  <c r="L115" i="37" s="1"/>
  <c r="L116" i="37" a="1"/>
  <c r="L116" i="37" s="1"/>
  <c r="L117" i="37" a="1"/>
  <c r="L117" i="37" s="1"/>
  <c r="L118" i="37" a="1"/>
  <c r="L118" i="37" s="1"/>
  <c r="L119" i="37" a="1"/>
  <c r="L119" i="37" s="1"/>
  <c r="L120" i="37" a="1"/>
  <c r="L120" i="37" s="1"/>
  <c r="L121" i="37" a="1"/>
  <c r="L121" i="37" s="1"/>
  <c r="L122" i="37" a="1"/>
  <c r="L122" i="37" s="1"/>
  <c r="L123" i="37" a="1"/>
  <c r="L123" i="37" s="1"/>
  <c r="L124" i="37" a="1"/>
  <c r="L124" i="37" s="1"/>
  <c r="L125" i="37" a="1"/>
  <c r="L125" i="37" s="1"/>
  <c r="L126" i="37" a="1"/>
  <c r="L126" i="37" s="1"/>
  <c r="L127" i="37" a="1"/>
  <c r="L127" i="37" s="1"/>
  <c r="L128" i="37" a="1"/>
  <c r="L128" i="37" s="1"/>
  <c r="L129" i="37" a="1"/>
  <c r="L129" i="37" s="1"/>
  <c r="L130" i="37" a="1"/>
  <c r="L130" i="37" s="1"/>
  <c r="L131" i="37" a="1"/>
  <c r="L131" i="37" s="1"/>
  <c r="L132" i="37" a="1"/>
  <c r="L132" i="37" s="1"/>
  <c r="L133" i="37" a="1"/>
  <c r="L133" i="37" s="1"/>
  <c r="L134" i="37" a="1"/>
  <c r="L134" i="37" s="1"/>
  <c r="L135" i="37" a="1"/>
  <c r="L135" i="37" s="1"/>
  <c r="L136" i="37" a="1"/>
  <c r="L136" i="37" s="1"/>
  <c r="L137" i="37" a="1"/>
  <c r="L137" i="37" s="1"/>
  <c r="L138" i="37" a="1"/>
  <c r="L138" i="37" s="1"/>
  <c r="L139" i="37" a="1"/>
  <c r="L139" i="37" s="1"/>
  <c r="L140" i="37" a="1"/>
  <c r="L140" i="37" s="1"/>
  <c r="L141" i="37" a="1"/>
  <c r="L141" i="37" s="1"/>
  <c r="L142" i="37" a="1"/>
  <c r="L142" i="37" s="1"/>
  <c r="L143" i="37" a="1"/>
  <c r="L143" i="37" s="1"/>
  <c r="L144" i="37" a="1"/>
  <c r="L144" i="37" s="1"/>
  <c r="L145" i="37" a="1"/>
  <c r="L145" i="37" s="1"/>
  <c r="L146" i="37" a="1"/>
  <c r="L146" i="37" s="1"/>
  <c r="L147" i="37" a="1"/>
  <c r="L147" i="37" s="1"/>
  <c r="L148" i="37" a="1"/>
  <c r="L148" i="37" s="1"/>
  <c r="L149" i="37" a="1"/>
  <c r="L149" i="37" s="1"/>
  <c r="L150" i="37" a="1"/>
  <c r="L150" i="37" s="1"/>
  <c r="L151" i="37" a="1"/>
  <c r="L151" i="37" s="1"/>
  <c r="L152" i="37" a="1"/>
  <c r="L152" i="37" s="1"/>
  <c r="L153" i="37" a="1"/>
  <c r="L153" i="37" s="1"/>
  <c r="L154" i="37" a="1"/>
  <c r="L154" i="37" s="1"/>
  <c r="L155" i="37" a="1"/>
  <c r="L155" i="37" s="1"/>
  <c r="L156" i="37" a="1"/>
  <c r="L156" i="37" s="1"/>
  <c r="L157" i="37" a="1"/>
  <c r="L157" i="37" s="1"/>
  <c r="L158" i="37" a="1"/>
  <c r="L158" i="37" s="1"/>
  <c r="L159" i="37" a="1"/>
  <c r="L159" i="37" s="1"/>
  <c r="L160" i="37" a="1"/>
  <c r="L160" i="37" s="1"/>
  <c r="L161" i="37" a="1"/>
  <c r="L161" i="37" s="1"/>
  <c r="L162" i="37" a="1"/>
  <c r="L162" i="37" s="1"/>
  <c r="L163" i="37" a="1"/>
  <c r="L163" i="37" s="1"/>
  <c r="L164" i="37" a="1"/>
  <c r="L164" i="37" s="1"/>
  <c r="L165" i="37" a="1"/>
  <c r="L165" i="37" s="1"/>
  <c r="L166" i="37" a="1"/>
  <c r="L166" i="37" s="1"/>
  <c r="L167" i="37" a="1"/>
  <c r="L167" i="37" s="1"/>
  <c r="L168" i="37" a="1"/>
  <c r="L168" i="37" s="1"/>
  <c r="L169" i="37" a="1"/>
  <c r="L169" i="37" s="1"/>
  <c r="L170" i="37" a="1"/>
  <c r="L170" i="37" s="1"/>
  <c r="L171" i="37" a="1"/>
  <c r="L171" i="37" s="1"/>
  <c r="L172" i="37" a="1"/>
  <c r="L172" i="37" s="1"/>
  <c r="L173" i="37" a="1"/>
  <c r="L173" i="37" s="1"/>
  <c r="L174" i="37" a="1"/>
  <c r="L174" i="37" s="1"/>
  <c r="L175" i="37" a="1"/>
  <c r="L175" i="37" s="1"/>
  <c r="L176" i="37" a="1"/>
  <c r="L176" i="37" s="1"/>
  <c r="L177" i="37" a="1"/>
  <c r="L177" i="37" s="1"/>
  <c r="L178" i="37" a="1"/>
  <c r="L178" i="37" s="1"/>
  <c r="L179" i="37" a="1"/>
  <c r="L179" i="37" s="1"/>
  <c r="L180" i="37" a="1"/>
  <c r="L180" i="37" s="1"/>
  <c r="L181" i="37" a="1"/>
  <c r="L181" i="37" s="1"/>
  <c r="L182" i="37" a="1"/>
  <c r="L182" i="37" s="1"/>
  <c r="L183" i="37" a="1"/>
  <c r="L183" i="37" s="1"/>
  <c r="L184" i="37" a="1"/>
  <c r="L184" i="37" s="1"/>
  <c r="L185" i="37" a="1"/>
  <c r="L185" i="37" s="1"/>
  <c r="L186" i="37" a="1"/>
  <c r="L186" i="37" s="1"/>
  <c r="L187" i="37" a="1"/>
  <c r="L187" i="37" s="1"/>
  <c r="L188" i="37" a="1"/>
  <c r="L188" i="37" s="1"/>
  <c r="L189" i="37" a="1"/>
  <c r="L189" i="37" s="1"/>
  <c r="L190" i="37" a="1"/>
  <c r="L190" i="37" s="1"/>
  <c r="L191" i="37" a="1"/>
  <c r="L191" i="37" s="1"/>
  <c r="L192" i="37" a="1"/>
  <c r="L192" i="37" s="1"/>
  <c r="L193" i="37" a="1"/>
  <c r="L193" i="37" s="1"/>
  <c r="L194" i="37" a="1"/>
  <c r="L194" i="37" s="1"/>
  <c r="L195" i="37" a="1"/>
  <c r="L195" i="37" s="1"/>
  <c r="L196" i="37" a="1"/>
  <c r="L196" i="37" s="1"/>
  <c r="L197" i="37" a="1"/>
  <c r="L197" i="37" s="1"/>
  <c r="L198" i="37" a="1"/>
  <c r="L198" i="37" s="1"/>
  <c r="L199" i="37" a="1"/>
  <c r="L199" i="37" s="1"/>
  <c r="L200" i="37" a="1"/>
  <c r="L200" i="37" s="1"/>
  <c r="L201" i="37" a="1"/>
  <c r="L201" i="37" s="1"/>
  <c r="L202" i="37" a="1"/>
  <c r="L202" i="37" s="1"/>
  <c r="L203" i="37" a="1"/>
  <c r="L203" i="37" s="1"/>
  <c r="L204" i="37" a="1"/>
  <c r="L204" i="37" s="1"/>
  <c r="L205" i="37" a="1"/>
  <c r="L205" i="37" s="1"/>
  <c r="L206" i="37" a="1"/>
  <c r="L206" i="37" s="1"/>
  <c r="L207" i="37" a="1"/>
  <c r="L207" i="37" s="1"/>
  <c r="L208" i="37" a="1"/>
  <c r="L208" i="37" s="1"/>
  <c r="L209" i="37" a="1"/>
  <c r="L209" i="37" s="1"/>
  <c r="L210" i="37" a="1"/>
  <c r="L210" i="37" s="1"/>
  <c r="L211" i="37" a="1"/>
  <c r="L211" i="37" s="1"/>
  <c r="L212" i="37" a="1"/>
  <c r="L212" i="37" s="1"/>
  <c r="L213" i="37" a="1"/>
  <c r="L213" i="37" s="1"/>
  <c r="L214" i="37" a="1"/>
  <c r="L214" i="37" s="1"/>
  <c r="L215" i="37" a="1"/>
  <c r="L215" i="37" s="1"/>
  <c r="L216" i="37" a="1"/>
  <c r="L216" i="37" s="1"/>
  <c r="L217" i="37" a="1"/>
  <c r="L217" i="37" s="1"/>
  <c r="L218" i="37" a="1"/>
  <c r="L218" i="37" s="1"/>
  <c r="L219" i="37" a="1"/>
  <c r="L219" i="37" s="1"/>
  <c r="L220" i="37" a="1"/>
  <c r="L220" i="37" s="1"/>
  <c r="L221" i="37" a="1"/>
  <c r="L221" i="37" s="1"/>
  <c r="L222" i="37" a="1"/>
  <c r="L222" i="37" s="1"/>
  <c r="L223" i="37" a="1"/>
  <c r="L223" i="37" s="1"/>
  <c r="L225" i="37" a="1"/>
  <c r="L225" i="37" s="1"/>
  <c r="L226" i="37" a="1"/>
  <c r="L226" i="37" s="1"/>
  <c r="L227" i="37" a="1"/>
  <c r="L227" i="37" s="1"/>
  <c r="L228" i="37" a="1"/>
  <c r="L228" i="37" s="1"/>
  <c r="L229" i="37" a="1"/>
  <c r="L229" i="37" s="1"/>
  <c r="L230" i="37" a="1"/>
  <c r="L230" i="37" s="1"/>
  <c r="L231" i="37" a="1"/>
  <c r="L231" i="37" s="1"/>
  <c r="L232" i="37" a="1"/>
  <c r="L232" i="37" s="1"/>
  <c r="L233" i="37" a="1"/>
  <c r="L233" i="37" s="1"/>
  <c r="L234" i="37" a="1"/>
  <c r="L234" i="37" s="1"/>
  <c r="L235" i="37" a="1"/>
  <c r="L235" i="37" s="1"/>
  <c r="L236" i="37" a="1"/>
  <c r="L236" i="37" s="1"/>
  <c r="L237" i="37" a="1"/>
  <c r="L237" i="37" s="1"/>
  <c r="L238" i="37" a="1"/>
  <c r="L238" i="37" s="1"/>
  <c r="L239" i="37" a="1"/>
  <c r="L239" i="37" s="1"/>
  <c r="L240" i="37" a="1"/>
  <c r="L240" i="37" s="1"/>
  <c r="L241" i="37" a="1"/>
  <c r="L241" i="37" s="1"/>
  <c r="L242" i="37" a="1"/>
  <c r="L242" i="37" s="1"/>
  <c r="L243" i="37" a="1"/>
  <c r="L243" i="37" s="1"/>
  <c r="L244" i="37" a="1"/>
  <c r="L244" i="37" s="1"/>
  <c r="L4" i="37" a="1"/>
  <c r="L4" i="37" s="1"/>
  <c r="K5" i="37" a="1"/>
  <c r="K5" i="37" s="1"/>
  <c r="K6" i="37" a="1"/>
  <c r="K6" i="37" s="1"/>
  <c r="K7" i="37" a="1"/>
  <c r="K7" i="37" s="1"/>
  <c r="K8" i="37" a="1"/>
  <c r="K8" i="37" s="1"/>
  <c r="K9" i="37" a="1"/>
  <c r="K9" i="37" s="1"/>
  <c r="K10" i="37" a="1"/>
  <c r="K10" i="37" s="1"/>
  <c r="K11" i="37" a="1"/>
  <c r="K11" i="37" s="1"/>
  <c r="K12" i="37" a="1"/>
  <c r="K12" i="37" s="1"/>
  <c r="K13" i="37" a="1"/>
  <c r="K13" i="37" s="1"/>
  <c r="K14" i="37" a="1"/>
  <c r="K14" i="37" s="1"/>
  <c r="K15" i="37" a="1"/>
  <c r="K15" i="37" s="1"/>
  <c r="K16" i="37" a="1"/>
  <c r="K16" i="37" s="1"/>
  <c r="K17" i="37" a="1"/>
  <c r="K17" i="37" s="1"/>
  <c r="K18" i="37" a="1"/>
  <c r="K18" i="37" s="1"/>
  <c r="K19" i="37" a="1"/>
  <c r="K19" i="37" s="1"/>
  <c r="K20" i="37" a="1"/>
  <c r="K20" i="37" s="1"/>
  <c r="K21" i="37" a="1"/>
  <c r="K21" i="37" s="1"/>
  <c r="K22" i="37" a="1"/>
  <c r="K22" i="37" s="1"/>
  <c r="K23" i="37" a="1"/>
  <c r="K23" i="37" s="1"/>
  <c r="K24" i="37" a="1"/>
  <c r="K24" i="37" s="1"/>
  <c r="K25" i="37" a="1"/>
  <c r="K25" i="37" s="1"/>
  <c r="K26" i="37" a="1"/>
  <c r="K26" i="37" s="1"/>
  <c r="K27" i="37" a="1"/>
  <c r="K27" i="37" s="1"/>
  <c r="K28" i="37" a="1"/>
  <c r="K28" i="37" s="1"/>
  <c r="K29" i="37" a="1"/>
  <c r="K29" i="37" s="1"/>
  <c r="K30" i="37" a="1"/>
  <c r="K30" i="37" s="1"/>
  <c r="K31" i="37" a="1"/>
  <c r="K31" i="37" s="1"/>
  <c r="K32" i="37" a="1"/>
  <c r="K32" i="37" s="1"/>
  <c r="K33" i="37" a="1"/>
  <c r="K33" i="37" s="1"/>
  <c r="K34" i="37" a="1"/>
  <c r="K34" i="37" s="1"/>
  <c r="K35" i="37" a="1"/>
  <c r="K35" i="37" s="1"/>
  <c r="K36" i="37" a="1"/>
  <c r="K36" i="37" s="1"/>
  <c r="K37" i="37" a="1"/>
  <c r="K37" i="37" s="1"/>
  <c r="K38" i="37" a="1"/>
  <c r="K38" i="37" s="1"/>
  <c r="K39" i="37" a="1"/>
  <c r="K39" i="37" s="1"/>
  <c r="K40" i="37" a="1"/>
  <c r="K40" i="37" s="1"/>
  <c r="K41" i="37" a="1"/>
  <c r="K41" i="37" s="1"/>
  <c r="K42" i="37" a="1"/>
  <c r="K42" i="37" s="1"/>
  <c r="K43" i="37" a="1"/>
  <c r="K43" i="37" s="1"/>
  <c r="K44" i="37" a="1"/>
  <c r="K44" i="37" s="1"/>
  <c r="K45" i="37" a="1"/>
  <c r="K45" i="37" s="1"/>
  <c r="K46" i="37" a="1"/>
  <c r="K46" i="37" s="1"/>
  <c r="K47" i="37" a="1"/>
  <c r="K47" i="37" s="1"/>
  <c r="K48" i="37" a="1"/>
  <c r="K48" i="37" s="1"/>
  <c r="K49" i="37" a="1"/>
  <c r="K49" i="37" s="1"/>
  <c r="K50" i="37" a="1"/>
  <c r="K50" i="37" s="1"/>
  <c r="K51" i="37" a="1"/>
  <c r="K51" i="37" s="1"/>
  <c r="K52" i="37" a="1"/>
  <c r="K52" i="37" s="1"/>
  <c r="K53" i="37" a="1"/>
  <c r="K53" i="37" s="1"/>
  <c r="K54" i="37" a="1"/>
  <c r="K54" i="37" s="1"/>
  <c r="K55" i="37" a="1"/>
  <c r="K55" i="37" s="1"/>
  <c r="K56" i="37" a="1"/>
  <c r="K56" i="37" s="1"/>
  <c r="K57" i="37" a="1"/>
  <c r="K57" i="37" s="1"/>
  <c r="K58" i="37" a="1"/>
  <c r="K58" i="37" s="1"/>
  <c r="K59" i="37" a="1"/>
  <c r="K59" i="37" s="1"/>
  <c r="K60" i="37" a="1"/>
  <c r="K60" i="37" s="1"/>
  <c r="K61" i="37" a="1"/>
  <c r="K61" i="37" s="1"/>
  <c r="K62" i="37" a="1"/>
  <c r="K62" i="37" s="1"/>
  <c r="K63" i="37" a="1"/>
  <c r="K63" i="37" s="1"/>
  <c r="K64" i="37" a="1"/>
  <c r="K64" i="37" s="1"/>
  <c r="K65" i="37" a="1"/>
  <c r="K65" i="37" s="1"/>
  <c r="K66" i="37" a="1"/>
  <c r="K66" i="37" s="1"/>
  <c r="K67" i="37" a="1"/>
  <c r="K67" i="37" s="1"/>
  <c r="K68" i="37" a="1"/>
  <c r="K68" i="37" s="1"/>
  <c r="K69" i="37" a="1"/>
  <c r="K69" i="37" s="1"/>
  <c r="K70" i="37" a="1"/>
  <c r="K70" i="37" s="1"/>
  <c r="K71" i="37" a="1"/>
  <c r="K71" i="37" s="1"/>
  <c r="K72" i="37" a="1"/>
  <c r="K72" i="37" s="1"/>
  <c r="K73" i="37" a="1"/>
  <c r="K73" i="37" s="1"/>
  <c r="K74" i="37" a="1"/>
  <c r="K74" i="37" s="1"/>
  <c r="K75" i="37" a="1"/>
  <c r="K75" i="37" s="1"/>
  <c r="K76" i="37" a="1"/>
  <c r="K76" i="37" s="1"/>
  <c r="K77" i="37" a="1"/>
  <c r="K77" i="37" s="1"/>
  <c r="K78" i="37" a="1"/>
  <c r="K78" i="37" s="1"/>
  <c r="K79" i="37" a="1"/>
  <c r="K79" i="37" s="1"/>
  <c r="K80" i="37" a="1"/>
  <c r="K80" i="37" s="1"/>
  <c r="K81" i="37" a="1"/>
  <c r="K81" i="37" s="1"/>
  <c r="K82" i="37" a="1"/>
  <c r="K82" i="37" s="1"/>
  <c r="K83" i="37" a="1"/>
  <c r="K83" i="37" s="1"/>
  <c r="K84" i="37" a="1"/>
  <c r="K84" i="37" s="1"/>
  <c r="K85" i="37" a="1"/>
  <c r="K85" i="37" s="1"/>
  <c r="K86" i="37" a="1"/>
  <c r="K86" i="37" s="1"/>
  <c r="K87" i="37" a="1"/>
  <c r="K87" i="37" s="1"/>
  <c r="K88" i="37" a="1"/>
  <c r="K88" i="37" s="1"/>
  <c r="K89" i="37" a="1"/>
  <c r="K89" i="37" s="1"/>
  <c r="K90" i="37" a="1"/>
  <c r="K90" i="37" s="1"/>
  <c r="K91" i="37" a="1"/>
  <c r="K91" i="37" s="1"/>
  <c r="K92" i="37" a="1"/>
  <c r="K92" i="37" s="1"/>
  <c r="K93" i="37" a="1"/>
  <c r="K93" i="37" s="1"/>
  <c r="K94" i="37" a="1"/>
  <c r="K94" i="37" s="1"/>
  <c r="K95" i="37" a="1"/>
  <c r="K95" i="37" s="1"/>
  <c r="K96" i="37" a="1"/>
  <c r="K96" i="37" s="1"/>
  <c r="K97" i="37" a="1"/>
  <c r="K97" i="37" s="1"/>
  <c r="K98" i="37" a="1"/>
  <c r="K98" i="37" s="1"/>
  <c r="K99" i="37" a="1"/>
  <c r="K99" i="37" s="1"/>
  <c r="K100" i="37" a="1"/>
  <c r="K100" i="37" s="1"/>
  <c r="K101" i="37" a="1"/>
  <c r="K101" i="37" s="1"/>
  <c r="K102" i="37" a="1"/>
  <c r="K102" i="37" s="1"/>
  <c r="K103" i="37" a="1"/>
  <c r="K103" i="37" s="1"/>
  <c r="K104" i="37" a="1"/>
  <c r="K104" i="37" s="1"/>
  <c r="K105" i="37" a="1"/>
  <c r="K105" i="37" s="1"/>
  <c r="K106" i="37" a="1"/>
  <c r="K106" i="37" s="1"/>
  <c r="K107" i="37" a="1"/>
  <c r="K107" i="37" s="1"/>
  <c r="K108" i="37" a="1"/>
  <c r="K108" i="37" s="1"/>
  <c r="K109" i="37" a="1"/>
  <c r="K109" i="37" s="1"/>
  <c r="K110" i="37" a="1"/>
  <c r="K110" i="37" s="1"/>
  <c r="K111" i="37" a="1"/>
  <c r="K111" i="37" s="1"/>
  <c r="K112" i="37" a="1"/>
  <c r="K112" i="37" s="1"/>
  <c r="K113" i="37" a="1"/>
  <c r="K113" i="37" s="1"/>
  <c r="K114" i="37" a="1"/>
  <c r="K114" i="37" s="1"/>
  <c r="K115" i="37" a="1"/>
  <c r="K115" i="37" s="1"/>
  <c r="K116" i="37" a="1"/>
  <c r="K116" i="37" s="1"/>
  <c r="K117" i="37" a="1"/>
  <c r="K117" i="37" s="1"/>
  <c r="K118" i="37" a="1"/>
  <c r="K118" i="37" s="1"/>
  <c r="K119" i="37" a="1"/>
  <c r="K119" i="37" s="1"/>
  <c r="K120" i="37" a="1"/>
  <c r="K120" i="37" s="1"/>
  <c r="K121" i="37" a="1"/>
  <c r="K121" i="37" s="1"/>
  <c r="K122" i="37" a="1"/>
  <c r="K122" i="37" s="1"/>
  <c r="K123" i="37" a="1"/>
  <c r="K123" i="37" s="1"/>
  <c r="K124" i="37" a="1"/>
  <c r="K124" i="37" s="1"/>
  <c r="K125" i="37" a="1"/>
  <c r="K125" i="37" s="1"/>
  <c r="K126" i="37" a="1"/>
  <c r="K126" i="37" s="1"/>
  <c r="K127" i="37" a="1"/>
  <c r="K127" i="37" s="1"/>
  <c r="K128" i="37" a="1"/>
  <c r="K128" i="37" s="1"/>
  <c r="K129" i="37" a="1"/>
  <c r="K129" i="37" s="1"/>
  <c r="K130" i="37" a="1"/>
  <c r="K130" i="37" s="1"/>
  <c r="K131" i="37" a="1"/>
  <c r="K131" i="37" s="1"/>
  <c r="K132" i="37" a="1"/>
  <c r="K132" i="37" s="1"/>
  <c r="K133" i="37" a="1"/>
  <c r="K133" i="37" s="1"/>
  <c r="K134" i="37" a="1"/>
  <c r="K134" i="37" s="1"/>
  <c r="K135" i="37" a="1"/>
  <c r="K135" i="37" s="1"/>
  <c r="K136" i="37" a="1"/>
  <c r="K136" i="37" s="1"/>
  <c r="K137" i="37" a="1"/>
  <c r="K137" i="37" s="1"/>
  <c r="K138" i="37" a="1"/>
  <c r="K138" i="37" s="1"/>
  <c r="K139" i="37" a="1"/>
  <c r="K139" i="37" s="1"/>
  <c r="K140" i="37" a="1"/>
  <c r="K140" i="37" s="1"/>
  <c r="K141" i="37" a="1"/>
  <c r="K141" i="37" s="1"/>
  <c r="K142" i="37" a="1"/>
  <c r="K142" i="37" s="1"/>
  <c r="K143" i="37" a="1"/>
  <c r="K143" i="37" s="1"/>
  <c r="K144" i="37" a="1"/>
  <c r="K144" i="37" s="1"/>
  <c r="K145" i="37" a="1"/>
  <c r="K145" i="37" s="1"/>
  <c r="K146" i="37" a="1"/>
  <c r="K146" i="37" s="1"/>
  <c r="K147" i="37" a="1"/>
  <c r="K147" i="37" s="1"/>
  <c r="K148" i="37" a="1"/>
  <c r="K148" i="37" s="1"/>
  <c r="K149" i="37" a="1"/>
  <c r="K149" i="37" s="1"/>
  <c r="K150" i="37" a="1"/>
  <c r="K150" i="37" s="1"/>
  <c r="K151" i="37" a="1"/>
  <c r="K151" i="37" s="1"/>
  <c r="K152" i="37" a="1"/>
  <c r="K152" i="37" s="1"/>
  <c r="K153" i="37" a="1"/>
  <c r="K153" i="37" s="1"/>
  <c r="K154" i="37" a="1"/>
  <c r="K154" i="37" s="1"/>
  <c r="K155" i="37" a="1"/>
  <c r="K155" i="37" s="1"/>
  <c r="K156" i="37" a="1"/>
  <c r="K156" i="37" s="1"/>
  <c r="K157" i="37" a="1"/>
  <c r="K157" i="37" s="1"/>
  <c r="K158" i="37" a="1"/>
  <c r="K158" i="37" s="1"/>
  <c r="K159" i="37" a="1"/>
  <c r="K159" i="37" s="1"/>
  <c r="K160" i="37" a="1"/>
  <c r="K160" i="37" s="1"/>
  <c r="K161" i="37" a="1"/>
  <c r="K161" i="37" s="1"/>
  <c r="K162" i="37" a="1"/>
  <c r="K162" i="37" s="1"/>
  <c r="K163" i="37" a="1"/>
  <c r="K163" i="37" s="1"/>
  <c r="K164" i="37" a="1"/>
  <c r="K164" i="37" s="1"/>
  <c r="K165" i="37" a="1"/>
  <c r="K165" i="37" s="1"/>
  <c r="K166" i="37" a="1"/>
  <c r="K166" i="37" s="1"/>
  <c r="K167" i="37" a="1"/>
  <c r="K167" i="37" s="1"/>
  <c r="K168" i="37" a="1"/>
  <c r="K168" i="37" s="1"/>
  <c r="K169" i="37" a="1"/>
  <c r="K169" i="37" s="1"/>
  <c r="K170" i="37" a="1"/>
  <c r="K170" i="37" s="1"/>
  <c r="K171" i="37" a="1"/>
  <c r="K171" i="37" s="1"/>
  <c r="K172" i="37" a="1"/>
  <c r="K172" i="37" s="1"/>
  <c r="K173" i="37" a="1"/>
  <c r="K173" i="37" s="1"/>
  <c r="K174" i="37" a="1"/>
  <c r="K174" i="37" s="1"/>
  <c r="K175" i="37" a="1"/>
  <c r="K175" i="37" s="1"/>
  <c r="K176" i="37" a="1"/>
  <c r="K176" i="37" s="1"/>
  <c r="K177" i="37" a="1"/>
  <c r="K177" i="37" s="1"/>
  <c r="K178" i="37" a="1"/>
  <c r="K178" i="37" s="1"/>
  <c r="K179" i="37" a="1"/>
  <c r="K179" i="37" s="1"/>
  <c r="K180" i="37" a="1"/>
  <c r="K180" i="37" s="1"/>
  <c r="K181" i="37" a="1"/>
  <c r="K181" i="37" s="1"/>
  <c r="K182" i="37" a="1"/>
  <c r="K182" i="37" s="1"/>
  <c r="K183" i="37" a="1"/>
  <c r="K183" i="37" s="1"/>
  <c r="K184" i="37" a="1"/>
  <c r="K184" i="37" s="1"/>
  <c r="K185" i="37" a="1"/>
  <c r="K185" i="37" s="1"/>
  <c r="K186" i="37" a="1"/>
  <c r="K186" i="37" s="1"/>
  <c r="K187" i="37" a="1"/>
  <c r="K187" i="37" s="1"/>
  <c r="K188" i="37" a="1"/>
  <c r="K188" i="37" s="1"/>
  <c r="K189" i="37" a="1"/>
  <c r="K189" i="37" s="1"/>
  <c r="K190" i="37" a="1"/>
  <c r="K190" i="37" s="1"/>
  <c r="K191" i="37" a="1"/>
  <c r="K191" i="37" s="1"/>
  <c r="K192" i="37" a="1"/>
  <c r="K192" i="37" s="1"/>
  <c r="K193" i="37" a="1"/>
  <c r="K193" i="37" s="1"/>
  <c r="K194" i="37" a="1"/>
  <c r="K194" i="37" s="1"/>
  <c r="K195" i="37" a="1"/>
  <c r="K195" i="37" s="1"/>
  <c r="K196" i="37" a="1"/>
  <c r="K196" i="37" s="1"/>
  <c r="K197" i="37" a="1"/>
  <c r="K197" i="37" s="1"/>
  <c r="K198" i="37" a="1"/>
  <c r="K198" i="37" s="1"/>
  <c r="K199" i="37" a="1"/>
  <c r="K199" i="37" s="1"/>
  <c r="K200" i="37" a="1"/>
  <c r="K200" i="37" s="1"/>
  <c r="K201" i="37" a="1"/>
  <c r="K201" i="37" s="1"/>
  <c r="K202" i="37" a="1"/>
  <c r="K202" i="37" s="1"/>
  <c r="K203" i="37" a="1"/>
  <c r="K203" i="37" s="1"/>
  <c r="K204" i="37" a="1"/>
  <c r="K204" i="37" s="1"/>
  <c r="K205" i="37" a="1"/>
  <c r="K205" i="37" s="1"/>
  <c r="K206" i="37" a="1"/>
  <c r="K206" i="37" s="1"/>
  <c r="K207" i="37" a="1"/>
  <c r="K207" i="37" s="1"/>
  <c r="K208" i="37" a="1"/>
  <c r="K208" i="37" s="1"/>
  <c r="K209" i="37" a="1"/>
  <c r="K209" i="37" s="1"/>
  <c r="K210" i="37" a="1"/>
  <c r="K210" i="37" s="1"/>
  <c r="K211" i="37" a="1"/>
  <c r="K211" i="37" s="1"/>
  <c r="K212" i="37" a="1"/>
  <c r="K212" i="37" s="1"/>
  <c r="K213" i="37" a="1"/>
  <c r="K213" i="37" s="1"/>
  <c r="K214" i="37" a="1"/>
  <c r="K214" i="37" s="1"/>
  <c r="K215" i="37" a="1"/>
  <c r="K215" i="37" s="1"/>
  <c r="K216" i="37" a="1"/>
  <c r="K216" i="37" s="1"/>
  <c r="K217" i="37" a="1"/>
  <c r="K217" i="37" s="1"/>
  <c r="K218" i="37" a="1"/>
  <c r="K218" i="37" s="1"/>
  <c r="K219" i="37" a="1"/>
  <c r="K219" i="37" s="1"/>
  <c r="K220" i="37" a="1"/>
  <c r="K220" i="37" s="1"/>
  <c r="K221" i="37" a="1"/>
  <c r="K221" i="37" s="1"/>
  <c r="K222" i="37" a="1"/>
  <c r="K222" i="37" s="1"/>
  <c r="K223" i="37" a="1"/>
  <c r="K223" i="37" s="1"/>
  <c r="K225" i="37" a="1"/>
  <c r="K225" i="37" s="1"/>
  <c r="K226" i="37" a="1"/>
  <c r="K226" i="37" s="1"/>
  <c r="K227" i="37" a="1"/>
  <c r="K227" i="37" s="1"/>
  <c r="K228" i="37" a="1"/>
  <c r="K228" i="37" s="1"/>
  <c r="K229" i="37" a="1"/>
  <c r="K229" i="37" s="1"/>
  <c r="K230" i="37" a="1"/>
  <c r="K230" i="37" s="1"/>
  <c r="K231" i="37" a="1"/>
  <c r="K231" i="37" s="1"/>
  <c r="K232" i="37" a="1"/>
  <c r="K232" i="37" s="1"/>
  <c r="K233" i="37" a="1"/>
  <c r="K233" i="37" s="1"/>
  <c r="K234" i="37" a="1"/>
  <c r="K234" i="37" s="1"/>
  <c r="K235" i="37" a="1"/>
  <c r="K235" i="37" s="1"/>
  <c r="K236" i="37" a="1"/>
  <c r="K236" i="37" s="1"/>
  <c r="K237" i="37" a="1"/>
  <c r="K237" i="37" s="1"/>
  <c r="K238" i="37" a="1"/>
  <c r="K238" i="37" s="1"/>
  <c r="K239" i="37" a="1"/>
  <c r="K239" i="37" s="1"/>
  <c r="K240" i="37" a="1"/>
  <c r="K240" i="37" s="1"/>
  <c r="K241" i="37" a="1"/>
  <c r="K241" i="37" s="1"/>
  <c r="K242" i="37" a="1"/>
  <c r="K242" i="37" s="1"/>
  <c r="K243" i="37" a="1"/>
  <c r="K243" i="37" s="1"/>
  <c r="K244" i="37" a="1"/>
  <c r="K244" i="37" s="1"/>
  <c r="K4" i="37" a="1"/>
  <c r="K4" i="37" s="1"/>
  <c r="J5" i="37" a="1"/>
  <c r="J5" i="37" s="1"/>
  <c r="J6" i="37" a="1"/>
  <c r="J6" i="37" s="1"/>
  <c r="J7" i="37" a="1"/>
  <c r="J7" i="37" s="1"/>
  <c r="J8" i="37" a="1"/>
  <c r="J8" i="37" s="1"/>
  <c r="J9" i="37" a="1"/>
  <c r="J9" i="37" s="1"/>
  <c r="J10" i="37" a="1"/>
  <c r="J10" i="37" s="1"/>
  <c r="J11" i="37" a="1"/>
  <c r="J11" i="37" s="1"/>
  <c r="J12" i="37" a="1"/>
  <c r="J12" i="37" s="1"/>
  <c r="J13" i="37" a="1"/>
  <c r="J13" i="37" s="1"/>
  <c r="J14" i="37" a="1"/>
  <c r="J14" i="37" s="1"/>
  <c r="J15" i="37" a="1"/>
  <c r="J15" i="37" s="1"/>
  <c r="J16" i="37" a="1"/>
  <c r="J16" i="37" s="1"/>
  <c r="J17" i="37" a="1"/>
  <c r="J17" i="37" s="1"/>
  <c r="J18" i="37" a="1"/>
  <c r="J18" i="37" s="1"/>
  <c r="J19" i="37" a="1"/>
  <c r="J19" i="37" s="1"/>
  <c r="J20" i="37" a="1"/>
  <c r="J20" i="37" s="1"/>
  <c r="J21" i="37" a="1"/>
  <c r="J21" i="37" s="1"/>
  <c r="J22" i="37" a="1"/>
  <c r="J22" i="37" s="1"/>
  <c r="J23" i="37" a="1"/>
  <c r="J23" i="37" s="1"/>
  <c r="J24" i="37" a="1"/>
  <c r="J24" i="37" s="1"/>
  <c r="J25" i="37" a="1"/>
  <c r="J25" i="37" s="1"/>
  <c r="J26" i="37" a="1"/>
  <c r="J26" i="37" s="1"/>
  <c r="J27" i="37" a="1"/>
  <c r="J27" i="37" s="1"/>
  <c r="J28" i="37" a="1"/>
  <c r="J28" i="37" s="1"/>
  <c r="J29" i="37" a="1"/>
  <c r="J29" i="37" s="1"/>
  <c r="J30" i="37" a="1"/>
  <c r="J30" i="37" s="1"/>
  <c r="J31" i="37" a="1"/>
  <c r="J31" i="37" s="1"/>
  <c r="J32" i="37" a="1"/>
  <c r="J32" i="37" s="1"/>
  <c r="J33" i="37" a="1"/>
  <c r="J33" i="37" s="1"/>
  <c r="J34" i="37" a="1"/>
  <c r="J34" i="37" s="1"/>
  <c r="J35" i="37" a="1"/>
  <c r="J35" i="37" s="1"/>
  <c r="J36" i="37" a="1"/>
  <c r="J36" i="37" s="1"/>
  <c r="J37" i="37" a="1"/>
  <c r="J37" i="37" s="1"/>
  <c r="J38" i="37" a="1"/>
  <c r="J38" i="37" s="1"/>
  <c r="J39" i="37" a="1"/>
  <c r="J39" i="37" s="1"/>
  <c r="J40" i="37" a="1"/>
  <c r="J40" i="37" s="1"/>
  <c r="J41" i="37" a="1"/>
  <c r="J41" i="37" s="1"/>
  <c r="J42" i="37" a="1"/>
  <c r="J42" i="37" s="1"/>
  <c r="J43" i="37" a="1"/>
  <c r="J43" i="37" s="1"/>
  <c r="J44" i="37" a="1"/>
  <c r="J44" i="37" s="1"/>
  <c r="J45" i="37" a="1"/>
  <c r="J45" i="37" s="1"/>
  <c r="J46" i="37" a="1"/>
  <c r="J46" i="37" s="1"/>
  <c r="J47" i="37" a="1"/>
  <c r="J47" i="37" s="1"/>
  <c r="J48" i="37" a="1"/>
  <c r="J48" i="37" s="1"/>
  <c r="J49" i="37" a="1"/>
  <c r="J49" i="37" s="1"/>
  <c r="J50" i="37" a="1"/>
  <c r="J50" i="37" s="1"/>
  <c r="J51" i="37" a="1"/>
  <c r="J51" i="37" s="1"/>
  <c r="J52" i="37" a="1"/>
  <c r="J52" i="37" s="1"/>
  <c r="J53" i="37" a="1"/>
  <c r="J53" i="37" s="1"/>
  <c r="J54" i="37" a="1"/>
  <c r="J54" i="37" s="1"/>
  <c r="J55" i="37" a="1"/>
  <c r="J55" i="37" s="1"/>
  <c r="J56" i="37" a="1"/>
  <c r="J56" i="37" s="1"/>
  <c r="J57" i="37" a="1"/>
  <c r="J57" i="37" s="1"/>
  <c r="J58" i="37" a="1"/>
  <c r="J58" i="37" s="1"/>
  <c r="J59" i="37" a="1"/>
  <c r="J59" i="37" s="1"/>
  <c r="J60" i="37" a="1"/>
  <c r="J60" i="37" s="1"/>
  <c r="J61" i="37" a="1"/>
  <c r="J61" i="37" s="1"/>
  <c r="J62" i="37" a="1"/>
  <c r="J62" i="37" s="1"/>
  <c r="J63" i="37" a="1"/>
  <c r="J63" i="37" s="1"/>
  <c r="J64" i="37" a="1"/>
  <c r="J64" i="37" s="1"/>
  <c r="J65" i="37" a="1"/>
  <c r="J65" i="37" s="1"/>
  <c r="J66" i="37" a="1"/>
  <c r="J66" i="37" s="1"/>
  <c r="J67" i="37" a="1"/>
  <c r="J67" i="37" s="1"/>
  <c r="J68" i="37" a="1"/>
  <c r="J68" i="37" s="1"/>
  <c r="J69" i="37" a="1"/>
  <c r="J69" i="37" s="1"/>
  <c r="J70" i="37" a="1"/>
  <c r="J70" i="37" s="1"/>
  <c r="J71" i="37" a="1"/>
  <c r="J71" i="37" s="1"/>
  <c r="J72" i="37" a="1"/>
  <c r="J72" i="37" s="1"/>
  <c r="J73" i="37" a="1"/>
  <c r="J73" i="37" s="1"/>
  <c r="J74" i="37" a="1"/>
  <c r="J74" i="37" s="1"/>
  <c r="J75" i="37" a="1"/>
  <c r="J75" i="37" s="1"/>
  <c r="J76" i="37" a="1"/>
  <c r="J76" i="37" s="1"/>
  <c r="J77" i="37" a="1"/>
  <c r="J77" i="37" s="1"/>
  <c r="J78" i="37" a="1"/>
  <c r="J78" i="37" s="1"/>
  <c r="J79" i="37" a="1"/>
  <c r="J79" i="37" s="1"/>
  <c r="J80" i="37" a="1"/>
  <c r="J80" i="37" s="1"/>
  <c r="J81" i="37" a="1"/>
  <c r="J81" i="37" s="1"/>
  <c r="J82" i="37" a="1"/>
  <c r="J82" i="37" s="1"/>
  <c r="J83" i="37" a="1"/>
  <c r="J83" i="37" s="1"/>
  <c r="J84" i="37" a="1"/>
  <c r="J84" i="37" s="1"/>
  <c r="J85" i="37" a="1"/>
  <c r="J85" i="37" s="1"/>
  <c r="J86" i="37" a="1"/>
  <c r="J86" i="37" s="1"/>
  <c r="J87" i="37" a="1"/>
  <c r="J87" i="37" s="1"/>
  <c r="J88" i="37" a="1"/>
  <c r="J88" i="37" s="1"/>
  <c r="J89" i="37" a="1"/>
  <c r="J89" i="37" s="1"/>
  <c r="J90" i="37" a="1"/>
  <c r="J90" i="37" s="1"/>
  <c r="J91" i="37" a="1"/>
  <c r="J91" i="37" s="1"/>
  <c r="J92" i="37" a="1"/>
  <c r="J92" i="37" s="1"/>
  <c r="J93" i="37" a="1"/>
  <c r="J93" i="37" s="1"/>
  <c r="J94" i="37" a="1"/>
  <c r="J94" i="37" s="1"/>
  <c r="J95" i="37" a="1"/>
  <c r="J95" i="37" s="1"/>
  <c r="J96" i="37" a="1"/>
  <c r="J96" i="37" s="1"/>
  <c r="J97" i="37" a="1"/>
  <c r="J97" i="37" s="1"/>
  <c r="J98" i="37" a="1"/>
  <c r="J98" i="37" s="1"/>
  <c r="J99" i="37" a="1"/>
  <c r="J99" i="37" s="1"/>
  <c r="J100" i="37" a="1"/>
  <c r="J100" i="37" s="1"/>
  <c r="J101" i="37" a="1"/>
  <c r="J101" i="37" s="1"/>
  <c r="J102" i="37" a="1"/>
  <c r="J102" i="37" s="1"/>
  <c r="J103" i="37" a="1"/>
  <c r="J103" i="37" s="1"/>
  <c r="J104" i="37" a="1"/>
  <c r="J104" i="37" s="1"/>
  <c r="J105" i="37" a="1"/>
  <c r="J105" i="37" s="1"/>
  <c r="J106" i="37" a="1"/>
  <c r="J106" i="37" s="1"/>
  <c r="J107" i="37" a="1"/>
  <c r="J107" i="37" s="1"/>
  <c r="J108" i="37" a="1"/>
  <c r="J108" i="37" s="1"/>
  <c r="J109" i="37" a="1"/>
  <c r="J109" i="37" s="1"/>
  <c r="J110" i="37" a="1"/>
  <c r="J110" i="37" s="1"/>
  <c r="J111" i="37" a="1"/>
  <c r="J111" i="37" s="1"/>
  <c r="J112" i="37" a="1"/>
  <c r="J112" i="37" s="1"/>
  <c r="J113" i="37" a="1"/>
  <c r="J113" i="37" s="1"/>
  <c r="J114" i="37" a="1"/>
  <c r="J114" i="37" s="1"/>
  <c r="J115" i="37" a="1"/>
  <c r="J115" i="37" s="1"/>
  <c r="J116" i="37" a="1"/>
  <c r="J116" i="37" s="1"/>
  <c r="J117" i="37" a="1"/>
  <c r="J117" i="37" s="1"/>
  <c r="J118" i="37" a="1"/>
  <c r="J118" i="37" s="1"/>
  <c r="J119" i="37" a="1"/>
  <c r="J119" i="37" s="1"/>
  <c r="J120" i="37" a="1"/>
  <c r="J120" i="37" s="1"/>
  <c r="J121" i="37" a="1"/>
  <c r="J121" i="37" s="1"/>
  <c r="J122" i="37" a="1"/>
  <c r="J122" i="37" s="1"/>
  <c r="J123" i="37" a="1"/>
  <c r="J123" i="37" s="1"/>
  <c r="J124" i="37" a="1"/>
  <c r="J124" i="37" s="1"/>
  <c r="J125" i="37" a="1"/>
  <c r="J125" i="37" s="1"/>
  <c r="J126" i="37" a="1"/>
  <c r="J126" i="37" s="1"/>
  <c r="J127" i="37" a="1"/>
  <c r="J127" i="37" s="1"/>
  <c r="J128" i="37" a="1"/>
  <c r="J128" i="37" s="1"/>
  <c r="J129" i="37" a="1"/>
  <c r="J129" i="37" s="1"/>
  <c r="J130" i="37" a="1"/>
  <c r="J130" i="37" s="1"/>
  <c r="J131" i="37" a="1"/>
  <c r="J131" i="37" s="1"/>
  <c r="J132" i="37" a="1"/>
  <c r="J132" i="37" s="1"/>
  <c r="J133" i="37" a="1"/>
  <c r="J133" i="37" s="1"/>
  <c r="J134" i="37" a="1"/>
  <c r="J134" i="37" s="1"/>
  <c r="J135" i="37" a="1"/>
  <c r="J135" i="37" s="1"/>
  <c r="J136" i="37" a="1"/>
  <c r="J136" i="37" s="1"/>
  <c r="J137" i="37" a="1"/>
  <c r="J137" i="37" s="1"/>
  <c r="J138" i="37" a="1"/>
  <c r="J138" i="37" s="1"/>
  <c r="J139" i="37" a="1"/>
  <c r="J139" i="37" s="1"/>
  <c r="J140" i="37" a="1"/>
  <c r="J140" i="37" s="1"/>
  <c r="J141" i="37" a="1"/>
  <c r="J141" i="37" s="1"/>
  <c r="J142" i="37" a="1"/>
  <c r="J142" i="37" s="1"/>
  <c r="J143" i="37" a="1"/>
  <c r="J143" i="37" s="1"/>
  <c r="J144" i="37" a="1"/>
  <c r="J144" i="37" s="1"/>
  <c r="J145" i="37" a="1"/>
  <c r="J145" i="37" s="1"/>
  <c r="J146" i="37" a="1"/>
  <c r="J146" i="37" s="1"/>
  <c r="J147" i="37" a="1"/>
  <c r="J147" i="37" s="1"/>
  <c r="J148" i="37" a="1"/>
  <c r="J148" i="37" s="1"/>
  <c r="J149" i="37" a="1"/>
  <c r="J149" i="37" s="1"/>
  <c r="J150" i="37" a="1"/>
  <c r="J150" i="37" s="1"/>
  <c r="J151" i="37" a="1"/>
  <c r="J151" i="37" s="1"/>
  <c r="J152" i="37" a="1"/>
  <c r="J152" i="37" s="1"/>
  <c r="J153" i="37" a="1"/>
  <c r="J153" i="37" s="1"/>
  <c r="J154" i="37" a="1"/>
  <c r="J154" i="37" s="1"/>
  <c r="J155" i="37" a="1"/>
  <c r="J155" i="37" s="1"/>
  <c r="J156" i="37" a="1"/>
  <c r="J156" i="37" s="1"/>
  <c r="J157" i="37" a="1"/>
  <c r="J157" i="37" s="1"/>
  <c r="J158" i="37" a="1"/>
  <c r="J158" i="37" s="1"/>
  <c r="J159" i="37" a="1"/>
  <c r="J159" i="37" s="1"/>
  <c r="J160" i="37" a="1"/>
  <c r="J160" i="37" s="1"/>
  <c r="J161" i="37" a="1"/>
  <c r="J161" i="37" s="1"/>
  <c r="J162" i="37" a="1"/>
  <c r="J162" i="37" s="1"/>
  <c r="J163" i="37" a="1"/>
  <c r="J163" i="37" s="1"/>
  <c r="J164" i="37" a="1"/>
  <c r="J164" i="37" s="1"/>
  <c r="J165" i="37" a="1"/>
  <c r="J165" i="37" s="1"/>
  <c r="J166" i="37" a="1"/>
  <c r="J166" i="37" s="1"/>
  <c r="J167" i="37" a="1"/>
  <c r="J167" i="37" s="1"/>
  <c r="J168" i="37" a="1"/>
  <c r="J168" i="37" s="1"/>
  <c r="J169" i="37" a="1"/>
  <c r="J169" i="37" s="1"/>
  <c r="J170" i="37" a="1"/>
  <c r="J170" i="37" s="1"/>
  <c r="J171" i="37" a="1"/>
  <c r="J171" i="37" s="1"/>
  <c r="J172" i="37" a="1"/>
  <c r="J172" i="37" s="1"/>
  <c r="J173" i="37" a="1"/>
  <c r="J173" i="37" s="1"/>
  <c r="J174" i="37" a="1"/>
  <c r="J174" i="37" s="1"/>
  <c r="J175" i="37" a="1"/>
  <c r="J175" i="37" s="1"/>
  <c r="J176" i="37" a="1"/>
  <c r="J176" i="37" s="1"/>
  <c r="J177" i="37" a="1"/>
  <c r="J177" i="37" s="1"/>
  <c r="J178" i="37" a="1"/>
  <c r="J178" i="37" s="1"/>
  <c r="J179" i="37" a="1"/>
  <c r="J179" i="37" s="1"/>
  <c r="J180" i="37" a="1"/>
  <c r="J180" i="37" s="1"/>
  <c r="J181" i="37" a="1"/>
  <c r="J181" i="37" s="1"/>
  <c r="J182" i="37" a="1"/>
  <c r="J182" i="37" s="1"/>
  <c r="J183" i="37" a="1"/>
  <c r="J183" i="37" s="1"/>
  <c r="J184" i="37" a="1"/>
  <c r="J184" i="37" s="1"/>
  <c r="J185" i="37" a="1"/>
  <c r="J185" i="37" s="1"/>
  <c r="J186" i="37" a="1"/>
  <c r="J186" i="37" s="1"/>
  <c r="J187" i="37" a="1"/>
  <c r="J187" i="37" s="1"/>
  <c r="J188" i="37" a="1"/>
  <c r="J188" i="37" s="1"/>
  <c r="J189" i="37" a="1"/>
  <c r="J189" i="37" s="1"/>
  <c r="J190" i="37" a="1"/>
  <c r="J190" i="37" s="1"/>
  <c r="J191" i="37" a="1"/>
  <c r="J191" i="37" s="1"/>
  <c r="J192" i="37" a="1"/>
  <c r="J192" i="37" s="1"/>
  <c r="J193" i="37" a="1"/>
  <c r="J193" i="37" s="1"/>
  <c r="J194" i="37" a="1"/>
  <c r="J194" i="37" s="1"/>
  <c r="J195" i="37" a="1"/>
  <c r="J195" i="37" s="1"/>
  <c r="J196" i="37" a="1"/>
  <c r="J196" i="37" s="1"/>
  <c r="J197" i="37" a="1"/>
  <c r="J197" i="37" s="1"/>
  <c r="J198" i="37" a="1"/>
  <c r="J198" i="37" s="1"/>
  <c r="J199" i="37" a="1"/>
  <c r="J199" i="37" s="1"/>
  <c r="J200" i="37" a="1"/>
  <c r="J200" i="37" s="1"/>
  <c r="J201" i="37" a="1"/>
  <c r="J201" i="37" s="1"/>
  <c r="J202" i="37" a="1"/>
  <c r="J202" i="37" s="1"/>
  <c r="J203" i="37" a="1"/>
  <c r="J203" i="37" s="1"/>
  <c r="J204" i="37" a="1"/>
  <c r="J204" i="37" s="1"/>
  <c r="J205" i="37" a="1"/>
  <c r="J205" i="37" s="1"/>
  <c r="J206" i="37" a="1"/>
  <c r="J206" i="37" s="1"/>
  <c r="J207" i="37" a="1"/>
  <c r="J207" i="37" s="1"/>
  <c r="J208" i="37" a="1"/>
  <c r="J208" i="37" s="1"/>
  <c r="J209" i="37" a="1"/>
  <c r="J209" i="37" s="1"/>
  <c r="J210" i="37" a="1"/>
  <c r="J210" i="37" s="1"/>
  <c r="J211" i="37" a="1"/>
  <c r="J211" i="37" s="1"/>
  <c r="J212" i="37" a="1"/>
  <c r="J212" i="37" s="1"/>
  <c r="J213" i="37" a="1"/>
  <c r="J213" i="37" s="1"/>
  <c r="J214" i="37" a="1"/>
  <c r="J214" i="37" s="1"/>
  <c r="J215" i="37" a="1"/>
  <c r="J215" i="37" s="1"/>
  <c r="J216" i="37" a="1"/>
  <c r="J216" i="37" s="1"/>
  <c r="J217" i="37" a="1"/>
  <c r="J217" i="37" s="1"/>
  <c r="J218" i="37" a="1"/>
  <c r="J218" i="37" s="1"/>
  <c r="J219" i="37" a="1"/>
  <c r="J219" i="37" s="1"/>
  <c r="J220" i="37" a="1"/>
  <c r="J220" i="37" s="1"/>
  <c r="J221" i="37" a="1"/>
  <c r="J221" i="37" s="1"/>
  <c r="J222" i="37" a="1"/>
  <c r="J222" i="37" s="1"/>
  <c r="J223" i="37" a="1"/>
  <c r="J223" i="37" s="1"/>
  <c r="J225" i="37" a="1"/>
  <c r="J225" i="37" s="1"/>
  <c r="J226" i="37" a="1"/>
  <c r="J226" i="37" s="1"/>
  <c r="J227" i="37" a="1"/>
  <c r="J227" i="37" s="1"/>
  <c r="J228" i="37" a="1"/>
  <c r="J228" i="37" s="1"/>
  <c r="J229" i="37" a="1"/>
  <c r="J229" i="37" s="1"/>
  <c r="J230" i="37" a="1"/>
  <c r="J230" i="37" s="1"/>
  <c r="J231" i="37" a="1"/>
  <c r="J231" i="37" s="1"/>
  <c r="J232" i="37" a="1"/>
  <c r="J232" i="37" s="1"/>
  <c r="J233" i="37" a="1"/>
  <c r="J233" i="37" s="1"/>
  <c r="J234" i="37" a="1"/>
  <c r="J234" i="37" s="1"/>
  <c r="J235" i="37" a="1"/>
  <c r="J235" i="37" s="1"/>
  <c r="J236" i="37" a="1"/>
  <c r="J236" i="37" s="1"/>
  <c r="J237" i="37" a="1"/>
  <c r="J237" i="37" s="1"/>
  <c r="J238" i="37" a="1"/>
  <c r="J238" i="37" s="1"/>
  <c r="J239" i="37" a="1"/>
  <c r="J239" i="37" s="1"/>
  <c r="J240" i="37" a="1"/>
  <c r="J240" i="37" s="1"/>
  <c r="J241" i="37" a="1"/>
  <c r="J241" i="37" s="1"/>
  <c r="J242" i="37" a="1"/>
  <c r="J242" i="37" s="1"/>
  <c r="J243" i="37" a="1"/>
  <c r="J243" i="37" s="1"/>
  <c r="J244" i="37" a="1"/>
  <c r="J244" i="37" s="1"/>
  <c r="J4" i="37" a="1"/>
  <c r="J4" i="37" s="1"/>
  <c r="B38" i="35"/>
  <c r="B35" i="35"/>
  <c r="B34" i="35"/>
  <c r="B33" i="35"/>
  <c r="B32" i="35"/>
  <c r="B31" i="35"/>
  <c r="B30" i="35"/>
  <c r="B26" i="35"/>
  <c r="D130" i="37" l="1"/>
  <c r="C31" i="59"/>
  <c r="C32" i="59"/>
  <c r="C30" i="59"/>
  <c r="E60" i="63"/>
  <c r="C24" i="59"/>
  <c r="C28" i="59"/>
  <c r="C60" i="63"/>
  <c r="C34" i="59"/>
  <c r="C26" i="59"/>
  <c r="C33" i="59"/>
  <c r="C25" i="59"/>
  <c r="C29" i="59"/>
  <c r="C27" i="59"/>
  <c r="F173" i="58" l="1"/>
  <c r="G173" i="58" s="1"/>
  <c r="F171" i="58"/>
  <c r="U70" i="65" l="1"/>
  <c r="U69" i="65"/>
  <c r="T70" i="65"/>
  <c r="T71" i="65"/>
  <c r="T72" i="65"/>
  <c r="T69" i="65"/>
  <c r="H9" i="4" l="1"/>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8" i="4"/>
  <c r="J139" i="58" l="1"/>
  <c r="J140" i="58"/>
  <c r="J141" i="58"/>
  <c r="J142" i="58"/>
  <c r="J143" i="58"/>
  <c r="J144" i="58"/>
  <c r="J145" i="58"/>
  <c r="J146" i="58"/>
  <c r="J147" i="58"/>
  <c r="J148" i="58"/>
  <c r="J149" i="58"/>
  <c r="J150" i="58"/>
  <c r="D33" i="59"/>
  <c r="D25" i="59"/>
  <c r="F30" i="59"/>
  <c r="E33" i="59"/>
  <c r="E25" i="59"/>
  <c r="D28" i="59"/>
  <c r="F27" i="59"/>
  <c r="E30" i="59"/>
  <c r="D26" i="59"/>
  <c r="E28" i="59"/>
  <c r="D31" i="59"/>
  <c r="F32" i="59"/>
  <c r="F24" i="59"/>
  <c r="E27" i="59"/>
  <c r="D30" i="59"/>
  <c r="F33" i="59"/>
  <c r="F25" i="59"/>
  <c r="D29" i="59"/>
  <c r="E26" i="59"/>
  <c r="F26" i="59"/>
  <c r="F34" i="59"/>
  <c r="D32" i="59"/>
  <c r="E29" i="59"/>
  <c r="E34" i="59"/>
  <c r="F31" i="59"/>
  <c r="E24" i="59"/>
  <c r="E32" i="59"/>
  <c r="F28" i="59"/>
  <c r="D27" i="59"/>
  <c r="D34" i="59"/>
  <c r="E31" i="59"/>
  <c r="F29" i="59"/>
  <c r="D24" i="59"/>
  <c r="F35" i="59" l="1"/>
  <c r="E35" i="59"/>
  <c r="D35" i="59"/>
  <c r="C35" i="59"/>
  <c r="I140" i="58"/>
  <c r="I141" i="58"/>
  <c r="I142" i="58"/>
  <c r="I143" i="58"/>
  <c r="I144" i="58"/>
  <c r="I145" i="58"/>
  <c r="I146" i="58"/>
  <c r="I147" i="58"/>
  <c r="I148" i="58"/>
  <c r="I149" i="58"/>
  <c r="I150" i="58"/>
  <c r="I139" i="58"/>
  <c r="G35" i="59" l="1"/>
  <c r="E17" i="58"/>
  <c r="O13" i="3" l="1" a="1"/>
  <c r="O13" i="3" s="1"/>
  <c r="P13" i="3" a="1"/>
  <c r="P13" i="3" s="1"/>
  <c r="Q13" i="3" a="1"/>
  <c r="Q13" i="3" s="1"/>
  <c r="O14" i="3" a="1"/>
  <c r="O14" i="3" s="1"/>
  <c r="P14" i="3" a="1"/>
  <c r="P14" i="3" s="1"/>
  <c r="Q14" i="3" a="1"/>
  <c r="Q14" i="3" s="1"/>
  <c r="O15" i="3" a="1"/>
  <c r="O15" i="3" s="1"/>
  <c r="P15" i="3" a="1"/>
  <c r="P15" i="3" s="1"/>
  <c r="Q15" i="3" a="1"/>
  <c r="Q15" i="3" s="1"/>
  <c r="O16" i="3" a="1"/>
  <c r="O16" i="3" s="1"/>
  <c r="P16" i="3" a="1"/>
  <c r="P16" i="3" s="1"/>
  <c r="Q16" i="3" a="1"/>
  <c r="Q16" i="3" s="1"/>
  <c r="O17" i="3" a="1"/>
  <c r="O17" i="3" s="1"/>
  <c r="P17" i="3" a="1"/>
  <c r="P17" i="3" s="1"/>
  <c r="Q17" i="3" a="1"/>
  <c r="Q17" i="3" s="1"/>
  <c r="O18" i="3" a="1"/>
  <c r="O18" i="3" s="1"/>
  <c r="P18" i="3" a="1"/>
  <c r="P18" i="3" s="1"/>
  <c r="Q18" i="3" a="1"/>
  <c r="Q18" i="3" s="1"/>
  <c r="O19" i="3" a="1"/>
  <c r="O19" i="3" s="1"/>
  <c r="P19" i="3" a="1"/>
  <c r="P19" i="3" s="1"/>
  <c r="Q19" i="3" a="1"/>
  <c r="Q19" i="3" s="1"/>
  <c r="O20" i="3" a="1"/>
  <c r="O20" i="3" s="1"/>
  <c r="P20" i="3" a="1"/>
  <c r="P20" i="3" s="1"/>
  <c r="Q20" i="3" a="1"/>
  <c r="Q20" i="3" s="1"/>
  <c r="O21" i="3" a="1"/>
  <c r="O21" i="3" s="1"/>
  <c r="P21" i="3" a="1"/>
  <c r="P21" i="3" s="1"/>
  <c r="Q21" i="3" a="1"/>
  <c r="Q21" i="3" s="1"/>
  <c r="O22" i="3" a="1"/>
  <c r="O22" i="3" s="1"/>
  <c r="P22" i="3" a="1"/>
  <c r="P22" i="3" s="1"/>
  <c r="Q22" i="3" a="1"/>
  <c r="Q22" i="3" s="1"/>
  <c r="O23" i="3" a="1"/>
  <c r="O23" i="3" s="1"/>
  <c r="P23" i="3" a="1"/>
  <c r="P23" i="3" s="1"/>
  <c r="Q23" i="3" a="1"/>
  <c r="Q23" i="3" s="1"/>
  <c r="O24" i="3" a="1"/>
  <c r="O24" i="3" s="1"/>
  <c r="P24" i="3" a="1"/>
  <c r="P24" i="3" s="1"/>
  <c r="Q24" i="3" a="1"/>
  <c r="Q24" i="3" s="1"/>
  <c r="O25" i="3" a="1"/>
  <c r="O25" i="3" s="1"/>
  <c r="P25" i="3" a="1"/>
  <c r="P25" i="3" s="1"/>
  <c r="Q25" i="3" a="1"/>
  <c r="Q25" i="3" s="1"/>
  <c r="O26" i="3" a="1"/>
  <c r="O26" i="3" s="1"/>
  <c r="P26" i="3" a="1"/>
  <c r="P26" i="3" s="1"/>
  <c r="Q26" i="3" a="1"/>
  <c r="Q26" i="3" s="1"/>
  <c r="O27" i="3" a="1"/>
  <c r="O27" i="3" s="1"/>
  <c r="P27" i="3" a="1"/>
  <c r="P27" i="3" s="1"/>
  <c r="Q27" i="3" a="1"/>
  <c r="Q27" i="3" s="1"/>
  <c r="O28" i="3" a="1"/>
  <c r="O28" i="3" s="1"/>
  <c r="P28" i="3" a="1"/>
  <c r="P28" i="3" s="1"/>
  <c r="Q28" i="3" a="1"/>
  <c r="Q28" i="3" s="1"/>
  <c r="O29" i="3" a="1"/>
  <c r="O29" i="3" s="1"/>
  <c r="P29" i="3" a="1"/>
  <c r="P29" i="3" s="1"/>
  <c r="Q29" i="3" a="1"/>
  <c r="Q29" i="3" s="1"/>
  <c r="O30" i="3" a="1"/>
  <c r="O30" i="3" s="1"/>
  <c r="P30" i="3" a="1"/>
  <c r="P30" i="3" s="1"/>
  <c r="Q30" i="3" a="1"/>
  <c r="Q30" i="3" s="1"/>
  <c r="O31" i="3" a="1"/>
  <c r="O31" i="3" s="1"/>
  <c r="P31" i="3" a="1"/>
  <c r="P31" i="3" s="1"/>
  <c r="Q31" i="3" a="1"/>
  <c r="Q31" i="3" s="1"/>
  <c r="O32" i="3" a="1"/>
  <c r="O32" i="3" s="1"/>
  <c r="P32" i="3" a="1"/>
  <c r="P32" i="3" s="1"/>
  <c r="Q32" i="3" a="1"/>
  <c r="Q32" i="3" s="1"/>
  <c r="O33" i="3" a="1"/>
  <c r="O33" i="3" s="1"/>
  <c r="P33" i="3" a="1"/>
  <c r="P33" i="3" s="1"/>
  <c r="Q33" i="3" a="1"/>
  <c r="Q33" i="3" s="1"/>
  <c r="O34" i="3" a="1"/>
  <c r="O34" i="3" s="1"/>
  <c r="P34" i="3" a="1"/>
  <c r="P34" i="3" s="1"/>
  <c r="Q34" i="3" a="1"/>
  <c r="Q34" i="3" s="1"/>
  <c r="O35" i="3" a="1"/>
  <c r="O35" i="3" s="1"/>
  <c r="P35" i="3" a="1"/>
  <c r="P35" i="3" s="1"/>
  <c r="Q35" i="3" a="1"/>
  <c r="Q35" i="3" s="1"/>
  <c r="O36" i="3" a="1"/>
  <c r="O36" i="3" s="1"/>
  <c r="P36" i="3" a="1"/>
  <c r="P36" i="3" s="1"/>
  <c r="Q36" i="3" a="1"/>
  <c r="Q36" i="3" s="1"/>
  <c r="O37" i="3" a="1"/>
  <c r="O37" i="3" s="1"/>
  <c r="P37" i="3" a="1"/>
  <c r="P37" i="3" s="1"/>
  <c r="Q37" i="3" a="1"/>
  <c r="Q37" i="3" s="1"/>
  <c r="O38" i="3" a="1"/>
  <c r="O38" i="3" s="1"/>
  <c r="P38" i="3" a="1"/>
  <c r="P38" i="3" s="1"/>
  <c r="Q38" i="3" a="1"/>
  <c r="Q38" i="3" s="1"/>
  <c r="O39" i="3" a="1"/>
  <c r="O39" i="3" s="1"/>
  <c r="P39" i="3" a="1"/>
  <c r="P39" i="3" s="1"/>
  <c r="Q39" i="3" a="1"/>
  <c r="Q39" i="3" s="1"/>
  <c r="O40" i="3" a="1"/>
  <c r="O40" i="3" s="1"/>
  <c r="P40" i="3" a="1"/>
  <c r="P40" i="3" s="1"/>
  <c r="Q40" i="3" a="1"/>
  <c r="Q40" i="3" s="1"/>
  <c r="O41" i="3" a="1"/>
  <c r="O41" i="3" s="1"/>
  <c r="P41" i="3" a="1"/>
  <c r="P41" i="3" s="1"/>
  <c r="Q41" i="3" a="1"/>
  <c r="Q41" i="3" s="1"/>
  <c r="O42" i="3" a="1"/>
  <c r="O42" i="3" s="1"/>
  <c r="P42" i="3" a="1"/>
  <c r="P42" i="3" s="1"/>
  <c r="Q42" i="3" a="1"/>
  <c r="Q42" i="3" s="1"/>
  <c r="O43" i="3" a="1"/>
  <c r="O43" i="3" s="1"/>
  <c r="P43" i="3" a="1"/>
  <c r="P43" i="3" s="1"/>
  <c r="Q43" i="3" a="1"/>
  <c r="Q43" i="3" s="1"/>
  <c r="O44" i="3" a="1"/>
  <c r="O44" i="3" s="1"/>
  <c r="P44" i="3" a="1"/>
  <c r="P44" i="3" s="1"/>
  <c r="Q44" i="3" a="1"/>
  <c r="Q44" i="3" s="1"/>
  <c r="O45" i="3" a="1"/>
  <c r="O45" i="3" s="1"/>
  <c r="P45" i="3" a="1"/>
  <c r="P45" i="3" s="1"/>
  <c r="Q45" i="3" a="1"/>
  <c r="Q45" i="3" s="1"/>
  <c r="O46" i="3" a="1"/>
  <c r="O46" i="3" s="1"/>
  <c r="P46" i="3" a="1"/>
  <c r="P46" i="3" s="1"/>
  <c r="Q46" i="3" a="1"/>
  <c r="Q46" i="3" s="1"/>
  <c r="O47" i="3" a="1"/>
  <c r="O47" i="3" s="1"/>
  <c r="P47" i="3" a="1"/>
  <c r="P47" i="3" s="1"/>
  <c r="Q47" i="3" a="1"/>
  <c r="Q47" i="3" s="1"/>
  <c r="O48" i="3" a="1"/>
  <c r="O48" i="3" s="1"/>
  <c r="P48" i="3" a="1"/>
  <c r="P48" i="3" s="1"/>
  <c r="Q48" i="3" a="1"/>
  <c r="Q48" i="3" s="1"/>
  <c r="O49" i="3" a="1"/>
  <c r="O49" i="3" s="1"/>
  <c r="P49" i="3" a="1"/>
  <c r="P49" i="3" s="1"/>
  <c r="Q49" i="3" a="1"/>
  <c r="Q49" i="3" s="1"/>
  <c r="O50" i="3" a="1"/>
  <c r="O50" i="3" s="1"/>
  <c r="P50" i="3" a="1"/>
  <c r="P50" i="3" s="1"/>
  <c r="Q50" i="3" a="1"/>
  <c r="Q50" i="3" s="1"/>
  <c r="O51" i="3" a="1"/>
  <c r="O51" i="3" s="1"/>
  <c r="P51" i="3" a="1"/>
  <c r="P51" i="3" s="1"/>
  <c r="Q51" i="3" a="1"/>
  <c r="Q51" i="3" s="1"/>
  <c r="O52" i="3" a="1"/>
  <c r="O52" i="3" s="1"/>
  <c r="P52" i="3" a="1"/>
  <c r="P52" i="3" s="1"/>
  <c r="Q52" i="3" a="1"/>
  <c r="Q52" i="3" s="1"/>
  <c r="O53" i="3" a="1"/>
  <c r="O53" i="3" s="1"/>
  <c r="P53" i="3" a="1"/>
  <c r="P53" i="3" s="1"/>
  <c r="Q53" i="3" a="1"/>
  <c r="Q53" i="3" s="1"/>
  <c r="O54" i="3" a="1"/>
  <c r="O54" i="3" s="1"/>
  <c r="P54" i="3" a="1"/>
  <c r="P54" i="3" s="1"/>
  <c r="Q54" i="3" a="1"/>
  <c r="Q54" i="3" s="1"/>
  <c r="O55" i="3" a="1"/>
  <c r="O55" i="3" s="1"/>
  <c r="P55" i="3" a="1"/>
  <c r="P55" i="3" s="1"/>
  <c r="Q55" i="3" a="1"/>
  <c r="Q55" i="3" s="1"/>
  <c r="O56" i="3" a="1"/>
  <c r="O56" i="3" s="1"/>
  <c r="P56" i="3" a="1"/>
  <c r="P56" i="3" s="1"/>
  <c r="Q56" i="3" a="1"/>
  <c r="Q56" i="3" s="1"/>
  <c r="O57" i="3" a="1"/>
  <c r="O57" i="3" s="1"/>
  <c r="P57" i="3" a="1"/>
  <c r="P57" i="3" s="1"/>
  <c r="Q57" i="3" a="1"/>
  <c r="Q57" i="3" s="1"/>
  <c r="O58" i="3" a="1"/>
  <c r="O58" i="3" s="1"/>
  <c r="P58" i="3" a="1"/>
  <c r="P58" i="3" s="1"/>
  <c r="Q58" i="3" a="1"/>
  <c r="Q58" i="3" s="1"/>
  <c r="O59" i="3" a="1"/>
  <c r="O59" i="3" s="1"/>
  <c r="P59" i="3" a="1"/>
  <c r="P59" i="3" s="1"/>
  <c r="Q59" i="3" a="1"/>
  <c r="Q59" i="3" s="1"/>
  <c r="O60" i="3" a="1"/>
  <c r="O60" i="3" s="1"/>
  <c r="P60" i="3" a="1"/>
  <c r="P60" i="3" s="1"/>
  <c r="Q60" i="3" a="1"/>
  <c r="Q60" i="3" s="1"/>
  <c r="O61" i="3" a="1"/>
  <c r="O61" i="3" s="1"/>
  <c r="P61" i="3" a="1"/>
  <c r="P61" i="3" s="1"/>
  <c r="Q61" i="3" a="1"/>
  <c r="Q61" i="3" s="1"/>
  <c r="O62" i="3" a="1"/>
  <c r="O62" i="3" s="1"/>
  <c r="P62" i="3" a="1"/>
  <c r="P62" i="3" s="1"/>
  <c r="Q62" i="3" a="1"/>
  <c r="Q62" i="3" s="1"/>
  <c r="O63" i="3" a="1"/>
  <c r="O63" i="3" s="1"/>
  <c r="P63" i="3" a="1"/>
  <c r="P63" i="3" s="1"/>
  <c r="Q63" i="3" a="1"/>
  <c r="Q63" i="3" s="1"/>
  <c r="O64" i="3" a="1"/>
  <c r="O64" i="3" s="1"/>
  <c r="P64" i="3" a="1"/>
  <c r="P64" i="3" s="1"/>
  <c r="Q64" i="3" a="1"/>
  <c r="Q64" i="3" s="1"/>
  <c r="O65" i="3" a="1"/>
  <c r="O65" i="3" s="1"/>
  <c r="P65" i="3" a="1"/>
  <c r="P65" i="3" s="1"/>
  <c r="Q65" i="3" a="1"/>
  <c r="Q65" i="3" s="1"/>
  <c r="O66" i="3" a="1"/>
  <c r="O66" i="3" s="1"/>
  <c r="P66" i="3" a="1"/>
  <c r="P66" i="3" s="1"/>
  <c r="Q66" i="3" a="1"/>
  <c r="Q66" i="3" s="1"/>
  <c r="O67" i="3" a="1"/>
  <c r="O67" i="3" s="1"/>
  <c r="P67" i="3" a="1"/>
  <c r="P67" i="3" s="1"/>
  <c r="Q67" i="3" a="1"/>
  <c r="Q67" i="3" s="1"/>
  <c r="O68" i="3" a="1"/>
  <c r="O68" i="3" s="1"/>
  <c r="P68" i="3" a="1"/>
  <c r="P68" i="3" s="1"/>
  <c r="Q68" i="3" a="1"/>
  <c r="Q68" i="3" s="1"/>
  <c r="O69" i="3" a="1"/>
  <c r="O69" i="3" s="1"/>
  <c r="P69" i="3" a="1"/>
  <c r="P69" i="3" s="1"/>
  <c r="Q69" i="3" a="1"/>
  <c r="Q69" i="3" s="1"/>
  <c r="O70" i="3" a="1"/>
  <c r="O70" i="3" s="1"/>
  <c r="P70" i="3" a="1"/>
  <c r="P70" i="3" s="1"/>
  <c r="Q70" i="3" a="1"/>
  <c r="Q70" i="3" s="1"/>
  <c r="O71" i="3" a="1"/>
  <c r="O71" i="3" s="1"/>
  <c r="P71" i="3" a="1"/>
  <c r="P71" i="3" s="1"/>
  <c r="Q71" i="3" a="1"/>
  <c r="Q71" i="3" s="1"/>
  <c r="O72" i="3" a="1"/>
  <c r="O72" i="3" s="1"/>
  <c r="P72" i="3" a="1"/>
  <c r="P72" i="3" s="1"/>
  <c r="Q72" i="3" a="1"/>
  <c r="Q72" i="3" s="1"/>
  <c r="O73" i="3" a="1"/>
  <c r="O73" i="3" s="1"/>
  <c r="P73" i="3" a="1"/>
  <c r="P73" i="3" s="1"/>
  <c r="Q73" i="3" a="1"/>
  <c r="Q73" i="3" s="1"/>
  <c r="O74" i="3" a="1"/>
  <c r="O74" i="3" s="1"/>
  <c r="P74" i="3" a="1"/>
  <c r="P74" i="3" s="1"/>
  <c r="Q74" i="3" a="1"/>
  <c r="Q74" i="3" s="1"/>
  <c r="O75" i="3" a="1"/>
  <c r="O75" i="3" s="1"/>
  <c r="P75" i="3" a="1"/>
  <c r="P75" i="3" s="1"/>
  <c r="Q75" i="3" a="1"/>
  <c r="Q75" i="3" s="1"/>
  <c r="O76" i="3" a="1"/>
  <c r="O76" i="3" s="1"/>
  <c r="P76" i="3" a="1"/>
  <c r="P76" i="3" s="1"/>
  <c r="Q76" i="3" a="1"/>
  <c r="Q76" i="3" s="1"/>
  <c r="O77" i="3" a="1"/>
  <c r="O77" i="3" s="1"/>
  <c r="P77" i="3" a="1"/>
  <c r="P77" i="3" s="1"/>
  <c r="Q77" i="3" a="1"/>
  <c r="Q77" i="3" s="1"/>
  <c r="O78" i="3" a="1"/>
  <c r="O78" i="3" s="1"/>
  <c r="P78" i="3" a="1"/>
  <c r="P78" i="3" s="1"/>
  <c r="Q78" i="3" a="1"/>
  <c r="Q78" i="3" s="1"/>
  <c r="O79" i="3" a="1"/>
  <c r="O79" i="3" s="1"/>
  <c r="P79" i="3" a="1"/>
  <c r="P79" i="3" s="1"/>
  <c r="Q79" i="3" a="1"/>
  <c r="Q79" i="3" s="1"/>
  <c r="O80" i="3" a="1"/>
  <c r="O80" i="3" s="1"/>
  <c r="P80" i="3" a="1"/>
  <c r="P80" i="3" s="1"/>
  <c r="Q80" i="3" a="1"/>
  <c r="Q80" i="3" s="1"/>
  <c r="O81" i="3" a="1"/>
  <c r="O81" i="3" s="1"/>
  <c r="P81" i="3" a="1"/>
  <c r="P81" i="3" s="1"/>
  <c r="Q81" i="3" a="1"/>
  <c r="Q81" i="3" s="1"/>
  <c r="O82" i="3" a="1"/>
  <c r="O82" i="3" s="1"/>
  <c r="P82" i="3" a="1"/>
  <c r="P82" i="3" s="1"/>
  <c r="Q82" i="3" a="1"/>
  <c r="Q82" i="3" s="1"/>
  <c r="O83" i="3" a="1"/>
  <c r="O83" i="3" s="1"/>
  <c r="P83" i="3" a="1"/>
  <c r="P83" i="3" s="1"/>
  <c r="Q83" i="3" a="1"/>
  <c r="Q83" i="3" s="1"/>
  <c r="O84" i="3" a="1"/>
  <c r="O84" i="3" s="1"/>
  <c r="P84" i="3" a="1"/>
  <c r="P84" i="3" s="1"/>
  <c r="Q84" i="3" a="1"/>
  <c r="Q84" i="3" s="1"/>
  <c r="O85" i="3" a="1"/>
  <c r="O85" i="3" s="1"/>
  <c r="P85" i="3" a="1"/>
  <c r="P85" i="3" s="1"/>
  <c r="Q85" i="3" a="1"/>
  <c r="Q85" i="3" s="1"/>
  <c r="O86" i="3" a="1"/>
  <c r="O86" i="3" s="1"/>
  <c r="P86" i="3" a="1"/>
  <c r="P86" i="3" s="1"/>
  <c r="Q86" i="3" a="1"/>
  <c r="Q86" i="3" s="1"/>
  <c r="O87" i="3" a="1"/>
  <c r="O87" i="3" s="1"/>
  <c r="P87" i="3" a="1"/>
  <c r="P87" i="3" s="1"/>
  <c r="Q87" i="3" a="1"/>
  <c r="Q87" i="3" s="1"/>
  <c r="O88" i="3" a="1"/>
  <c r="O88" i="3" s="1"/>
  <c r="P88" i="3" a="1"/>
  <c r="P88" i="3" s="1"/>
  <c r="Q88" i="3" a="1"/>
  <c r="Q88" i="3" s="1"/>
  <c r="O89" i="3" a="1"/>
  <c r="O89" i="3" s="1"/>
  <c r="P89" i="3" a="1"/>
  <c r="P89" i="3" s="1"/>
  <c r="Q89" i="3" a="1"/>
  <c r="Q89" i="3" s="1"/>
  <c r="O90" i="3" a="1"/>
  <c r="O90" i="3" s="1"/>
  <c r="P90" i="3" a="1"/>
  <c r="P90" i="3" s="1"/>
  <c r="Q90" i="3" a="1"/>
  <c r="Q90" i="3" s="1"/>
  <c r="O91" i="3" a="1"/>
  <c r="O91" i="3" s="1"/>
  <c r="P91" i="3" a="1"/>
  <c r="P91" i="3" s="1"/>
  <c r="Q91" i="3" a="1"/>
  <c r="Q91" i="3" s="1"/>
  <c r="O92" i="3" a="1"/>
  <c r="O92" i="3" s="1"/>
  <c r="P92" i="3" a="1"/>
  <c r="P92" i="3" s="1"/>
  <c r="Q92" i="3" a="1"/>
  <c r="Q92" i="3" s="1"/>
  <c r="O93" i="3" a="1"/>
  <c r="O93" i="3" s="1"/>
  <c r="P93" i="3" a="1"/>
  <c r="P93" i="3" s="1"/>
  <c r="Q93" i="3" a="1"/>
  <c r="Q93" i="3" s="1"/>
  <c r="O94" i="3" a="1"/>
  <c r="O94" i="3" s="1"/>
  <c r="P94" i="3" a="1"/>
  <c r="P94" i="3" s="1"/>
  <c r="Q94" i="3" a="1"/>
  <c r="Q94" i="3" s="1"/>
  <c r="O95" i="3" a="1"/>
  <c r="O95" i="3" s="1"/>
  <c r="P95" i="3" a="1"/>
  <c r="P95" i="3" s="1"/>
  <c r="Q95" i="3" a="1"/>
  <c r="Q95" i="3" s="1"/>
  <c r="O96" i="3" a="1"/>
  <c r="O96" i="3" s="1"/>
  <c r="P96" i="3" a="1"/>
  <c r="P96" i="3" s="1"/>
  <c r="Q96" i="3" a="1"/>
  <c r="Q96" i="3" s="1"/>
  <c r="O97" i="3" a="1"/>
  <c r="O97" i="3" s="1"/>
  <c r="P97" i="3" a="1"/>
  <c r="P97" i="3" s="1"/>
  <c r="Q97" i="3" a="1"/>
  <c r="Q97" i="3" s="1"/>
  <c r="O98" i="3" a="1"/>
  <c r="O98" i="3" s="1"/>
  <c r="P98" i="3" a="1"/>
  <c r="P98" i="3" s="1"/>
  <c r="Q98" i="3" a="1"/>
  <c r="Q98" i="3" s="1"/>
  <c r="O99" i="3" a="1"/>
  <c r="O99" i="3" s="1"/>
  <c r="P99" i="3" a="1"/>
  <c r="P99" i="3" s="1"/>
  <c r="Q99" i="3" a="1"/>
  <c r="Q99" i="3" s="1"/>
  <c r="O100" i="3" a="1"/>
  <c r="O100" i="3" s="1"/>
  <c r="P100" i="3" a="1"/>
  <c r="P100" i="3" s="1"/>
  <c r="Q100" i="3" a="1"/>
  <c r="Q100" i="3" s="1"/>
  <c r="O101" i="3" a="1"/>
  <c r="O101" i="3" s="1"/>
  <c r="P101" i="3" a="1"/>
  <c r="P101" i="3" s="1"/>
  <c r="Q101" i="3" a="1"/>
  <c r="Q101" i="3" s="1"/>
  <c r="O102" i="3" a="1"/>
  <c r="O102" i="3" s="1"/>
  <c r="P102" i="3" a="1"/>
  <c r="P102" i="3" s="1"/>
  <c r="Q102" i="3" a="1"/>
  <c r="Q102" i="3" s="1"/>
  <c r="O103" i="3" a="1"/>
  <c r="O103" i="3" s="1"/>
  <c r="P103" i="3" a="1"/>
  <c r="P103" i="3" s="1"/>
  <c r="Q103" i="3" a="1"/>
  <c r="Q103" i="3" s="1"/>
  <c r="O104" i="3" a="1"/>
  <c r="O104" i="3" s="1"/>
  <c r="P104" i="3" a="1"/>
  <c r="P104" i="3" s="1"/>
  <c r="Q104" i="3" a="1"/>
  <c r="Q104" i="3" s="1"/>
  <c r="O105" i="3" a="1"/>
  <c r="O105" i="3" s="1"/>
  <c r="P105" i="3" a="1"/>
  <c r="P105" i="3" s="1"/>
  <c r="Q105" i="3" a="1"/>
  <c r="Q105" i="3" s="1"/>
  <c r="O106" i="3" a="1"/>
  <c r="O106" i="3" s="1"/>
  <c r="P106" i="3" a="1"/>
  <c r="P106" i="3" s="1"/>
  <c r="Q106" i="3" a="1"/>
  <c r="Q106" i="3" s="1"/>
  <c r="O107" i="3" a="1"/>
  <c r="O107" i="3" s="1"/>
  <c r="P107" i="3" a="1"/>
  <c r="P107" i="3" s="1"/>
  <c r="Q107" i="3" a="1"/>
  <c r="Q107" i="3" s="1"/>
  <c r="O108" i="3" a="1"/>
  <c r="O108" i="3" s="1"/>
  <c r="P108" i="3" a="1"/>
  <c r="P108" i="3" s="1"/>
  <c r="Q108" i="3" a="1"/>
  <c r="Q108" i="3" s="1"/>
  <c r="O109" i="3" a="1"/>
  <c r="O109" i="3" s="1"/>
  <c r="P109" i="3" a="1"/>
  <c r="P109" i="3" s="1"/>
  <c r="Q109" i="3" a="1"/>
  <c r="Q109" i="3" s="1"/>
  <c r="O110" i="3" a="1"/>
  <c r="O110" i="3" s="1"/>
  <c r="P110" i="3" a="1"/>
  <c r="P110" i="3" s="1"/>
  <c r="Q110" i="3" a="1"/>
  <c r="Q110" i="3" s="1"/>
  <c r="O111" i="3" a="1"/>
  <c r="O111" i="3" s="1"/>
  <c r="P111" i="3" a="1"/>
  <c r="P111" i="3" s="1"/>
  <c r="Q111" i="3" a="1"/>
  <c r="Q111" i="3" s="1"/>
  <c r="O112" i="3" a="1"/>
  <c r="O112" i="3" s="1"/>
  <c r="P112" i="3" a="1"/>
  <c r="P112" i="3" s="1"/>
  <c r="Q112" i="3" a="1"/>
  <c r="Q112" i="3" s="1"/>
  <c r="O113" i="3" a="1"/>
  <c r="O113" i="3" s="1"/>
  <c r="P113" i="3" a="1"/>
  <c r="P113" i="3" s="1"/>
  <c r="Q113" i="3" a="1"/>
  <c r="Q113" i="3" s="1"/>
  <c r="O114" i="3" a="1"/>
  <c r="O114" i="3" s="1"/>
  <c r="P114" i="3" a="1"/>
  <c r="P114" i="3" s="1"/>
  <c r="Q114" i="3" a="1"/>
  <c r="Q114" i="3" s="1"/>
  <c r="O115" i="3" a="1"/>
  <c r="O115" i="3" s="1"/>
  <c r="P115" i="3" a="1"/>
  <c r="P115" i="3" s="1"/>
  <c r="Q115" i="3" a="1"/>
  <c r="Q115" i="3" s="1"/>
  <c r="O116" i="3" a="1"/>
  <c r="O116" i="3" s="1"/>
  <c r="P116" i="3" a="1"/>
  <c r="P116" i="3" s="1"/>
  <c r="Q116" i="3" a="1"/>
  <c r="Q116" i="3" s="1"/>
  <c r="O117" i="3" a="1"/>
  <c r="O117" i="3" s="1"/>
  <c r="P117" i="3" a="1"/>
  <c r="P117" i="3" s="1"/>
  <c r="Q117" i="3" a="1"/>
  <c r="Q117" i="3" s="1"/>
  <c r="O118" i="3" a="1"/>
  <c r="O118" i="3" s="1"/>
  <c r="P118" i="3" a="1"/>
  <c r="P118" i="3" s="1"/>
  <c r="Q118" i="3" a="1"/>
  <c r="Q118" i="3" s="1"/>
  <c r="O119" i="3" a="1"/>
  <c r="O119" i="3" s="1"/>
  <c r="P119" i="3" a="1"/>
  <c r="P119" i="3" s="1"/>
  <c r="Q119" i="3" a="1"/>
  <c r="Q119" i="3" s="1"/>
  <c r="O120" i="3" a="1"/>
  <c r="O120" i="3" s="1"/>
  <c r="P120" i="3" a="1"/>
  <c r="P120" i="3" s="1"/>
  <c r="Q120" i="3" a="1"/>
  <c r="Q120" i="3" s="1"/>
  <c r="O121" i="3" a="1"/>
  <c r="O121" i="3" s="1"/>
  <c r="P121" i="3" a="1"/>
  <c r="P121" i="3" s="1"/>
  <c r="Q121" i="3" a="1"/>
  <c r="Q121" i="3" s="1"/>
  <c r="O122" i="3" a="1"/>
  <c r="O122" i="3" s="1"/>
  <c r="P122" i="3" a="1"/>
  <c r="P122" i="3" s="1"/>
  <c r="Q122" i="3" a="1"/>
  <c r="Q122" i="3" s="1"/>
  <c r="O123" i="3" a="1"/>
  <c r="O123" i="3" s="1"/>
  <c r="P123" i="3" a="1"/>
  <c r="P123" i="3" s="1"/>
  <c r="Q123" i="3" a="1"/>
  <c r="Q123" i="3" s="1"/>
  <c r="O124" i="3" a="1"/>
  <c r="O124" i="3" s="1"/>
  <c r="P124" i="3" a="1"/>
  <c r="P124" i="3" s="1"/>
  <c r="Q124" i="3" a="1"/>
  <c r="Q124" i="3" s="1"/>
  <c r="O125" i="3" a="1"/>
  <c r="O125" i="3" s="1"/>
  <c r="P125" i="3" a="1"/>
  <c r="P125" i="3" s="1"/>
  <c r="Q125" i="3" a="1"/>
  <c r="Q125" i="3" s="1"/>
  <c r="O126" i="3" a="1"/>
  <c r="O126" i="3" s="1"/>
  <c r="P126" i="3" a="1"/>
  <c r="P126" i="3" s="1"/>
  <c r="Q126" i="3" a="1"/>
  <c r="Q126" i="3" s="1"/>
  <c r="O127" i="3" a="1"/>
  <c r="O127" i="3" s="1"/>
  <c r="P127" i="3" a="1"/>
  <c r="P127" i="3" s="1"/>
  <c r="Q127" i="3" a="1"/>
  <c r="Q127" i="3" s="1"/>
  <c r="O128" i="3" a="1"/>
  <c r="O128" i="3" s="1"/>
  <c r="P128" i="3" a="1"/>
  <c r="P128" i="3" s="1"/>
  <c r="Q128" i="3" a="1"/>
  <c r="Q128" i="3" s="1"/>
  <c r="O129" i="3" a="1"/>
  <c r="O129" i="3" s="1"/>
  <c r="P129" i="3" a="1"/>
  <c r="P129" i="3" s="1"/>
  <c r="Q129" i="3" a="1"/>
  <c r="Q129" i="3" s="1"/>
  <c r="O130" i="3" a="1"/>
  <c r="O130" i="3" s="1"/>
  <c r="P130" i="3" a="1"/>
  <c r="P130" i="3" s="1"/>
  <c r="Q130" i="3" a="1"/>
  <c r="Q130" i="3" s="1"/>
  <c r="O131" i="3" a="1"/>
  <c r="O131" i="3" s="1"/>
  <c r="P131" i="3" a="1"/>
  <c r="P131" i="3" s="1"/>
  <c r="Q131" i="3" a="1"/>
  <c r="Q131" i="3" s="1"/>
  <c r="O132" i="3" a="1"/>
  <c r="O132" i="3" s="1"/>
  <c r="P132" i="3" a="1"/>
  <c r="P132" i="3" s="1"/>
  <c r="Q132" i="3" a="1"/>
  <c r="Q132" i="3" s="1"/>
  <c r="O133" i="3" a="1"/>
  <c r="O133" i="3" s="1"/>
  <c r="P133" i="3" a="1"/>
  <c r="P133" i="3" s="1"/>
  <c r="Q133" i="3" a="1"/>
  <c r="Q133" i="3" s="1"/>
  <c r="O134" i="3" a="1"/>
  <c r="O134" i="3" s="1"/>
  <c r="P134" i="3" a="1"/>
  <c r="P134" i="3" s="1"/>
  <c r="Q134" i="3" a="1"/>
  <c r="Q134" i="3" s="1"/>
  <c r="O135" i="3" a="1"/>
  <c r="O135" i="3" s="1"/>
  <c r="P135" i="3" a="1"/>
  <c r="P135" i="3" s="1"/>
  <c r="Q135" i="3" a="1"/>
  <c r="Q135" i="3" s="1"/>
  <c r="O136" i="3" a="1"/>
  <c r="O136" i="3" s="1"/>
  <c r="P136" i="3" a="1"/>
  <c r="P136" i="3" s="1"/>
  <c r="Q136" i="3" a="1"/>
  <c r="Q136" i="3" s="1"/>
  <c r="O137" i="3" a="1"/>
  <c r="O137" i="3" s="1"/>
  <c r="P137" i="3" a="1"/>
  <c r="P137" i="3" s="1"/>
  <c r="Q137" i="3" a="1"/>
  <c r="Q137" i="3" s="1"/>
  <c r="O138" i="3" a="1"/>
  <c r="O138" i="3" s="1"/>
  <c r="P138" i="3" a="1"/>
  <c r="P138" i="3" s="1"/>
  <c r="Q138" i="3" a="1"/>
  <c r="Q138" i="3" s="1"/>
  <c r="O139" i="3" a="1"/>
  <c r="O139" i="3" s="1"/>
  <c r="P139" i="3" a="1"/>
  <c r="P139" i="3" s="1"/>
  <c r="Q139" i="3" a="1"/>
  <c r="Q139" i="3" s="1"/>
  <c r="O140" i="3" a="1"/>
  <c r="O140" i="3" s="1"/>
  <c r="P140" i="3" a="1"/>
  <c r="P140" i="3" s="1"/>
  <c r="Q140" i="3" a="1"/>
  <c r="Q140" i="3" s="1"/>
  <c r="O141" i="3" a="1"/>
  <c r="O141" i="3" s="1"/>
  <c r="P141" i="3" a="1"/>
  <c r="P141" i="3" s="1"/>
  <c r="Q141" i="3" a="1"/>
  <c r="Q141" i="3" s="1"/>
  <c r="O142" i="3" a="1"/>
  <c r="O142" i="3" s="1"/>
  <c r="P142" i="3" a="1"/>
  <c r="P142" i="3" s="1"/>
  <c r="Q142" i="3" a="1"/>
  <c r="Q142" i="3" s="1"/>
  <c r="O143" i="3" a="1"/>
  <c r="O143" i="3" s="1"/>
  <c r="P143" i="3" a="1"/>
  <c r="P143" i="3" s="1"/>
  <c r="Q143" i="3" a="1"/>
  <c r="Q143" i="3" s="1"/>
  <c r="O144" i="3" a="1"/>
  <c r="O144" i="3" s="1"/>
  <c r="P144" i="3" a="1"/>
  <c r="P144" i="3" s="1"/>
  <c r="Q144" i="3" a="1"/>
  <c r="Q144" i="3" s="1"/>
  <c r="O145" i="3" a="1"/>
  <c r="O145" i="3" s="1"/>
  <c r="P145" i="3" a="1"/>
  <c r="P145" i="3" s="1"/>
  <c r="Q145" i="3" a="1"/>
  <c r="Q145" i="3" s="1"/>
  <c r="O146" i="3" a="1"/>
  <c r="O146" i="3" s="1"/>
  <c r="P146" i="3" a="1"/>
  <c r="P146" i="3" s="1"/>
  <c r="Q146" i="3" a="1"/>
  <c r="Q146" i="3" s="1"/>
  <c r="O147" i="3" a="1"/>
  <c r="O147" i="3" s="1"/>
  <c r="P147" i="3" a="1"/>
  <c r="P147" i="3" s="1"/>
  <c r="Q147" i="3" a="1"/>
  <c r="Q147" i="3" s="1"/>
  <c r="O148" i="3" a="1"/>
  <c r="O148" i="3" s="1"/>
  <c r="P148" i="3" a="1"/>
  <c r="P148" i="3" s="1"/>
  <c r="Q148" i="3" a="1"/>
  <c r="Q148" i="3" s="1"/>
  <c r="O149" i="3" a="1"/>
  <c r="O149" i="3" s="1"/>
  <c r="P149" i="3" a="1"/>
  <c r="P149" i="3" s="1"/>
  <c r="Q149" i="3" a="1"/>
  <c r="Q149" i="3" s="1"/>
  <c r="O150" i="3" a="1"/>
  <c r="O150" i="3" s="1"/>
  <c r="P150" i="3" a="1"/>
  <c r="P150" i="3" s="1"/>
  <c r="Q150" i="3" a="1"/>
  <c r="Q150" i="3" s="1"/>
  <c r="O151" i="3" a="1"/>
  <c r="O151" i="3" s="1"/>
  <c r="P151" i="3" a="1"/>
  <c r="P151" i="3" s="1"/>
  <c r="Q151" i="3" a="1"/>
  <c r="Q151" i="3" s="1"/>
  <c r="O152" i="3" a="1"/>
  <c r="O152" i="3" s="1"/>
  <c r="P152" i="3" a="1"/>
  <c r="P152" i="3" s="1"/>
  <c r="Q152" i="3" a="1"/>
  <c r="Q152" i="3" s="1"/>
  <c r="O153" i="3" a="1"/>
  <c r="O153" i="3" s="1"/>
  <c r="P153" i="3" a="1"/>
  <c r="P153" i="3" s="1"/>
  <c r="Q153" i="3" a="1"/>
  <c r="Q153" i="3" s="1"/>
  <c r="O154" i="3" a="1"/>
  <c r="O154" i="3" s="1"/>
  <c r="P154" i="3" a="1"/>
  <c r="P154" i="3" s="1"/>
  <c r="Q154" i="3" a="1"/>
  <c r="Q154" i="3" s="1"/>
  <c r="O155" i="3" a="1"/>
  <c r="O155" i="3" s="1"/>
  <c r="P155" i="3" a="1"/>
  <c r="P155" i="3" s="1"/>
  <c r="Q155" i="3" a="1"/>
  <c r="Q155" i="3" s="1"/>
  <c r="O156" i="3" a="1"/>
  <c r="O156" i="3" s="1"/>
  <c r="P156" i="3" a="1"/>
  <c r="P156" i="3" s="1"/>
  <c r="Q156" i="3" a="1"/>
  <c r="Q156" i="3" s="1"/>
  <c r="O157" i="3" a="1"/>
  <c r="O157" i="3" s="1"/>
  <c r="P157" i="3" a="1"/>
  <c r="P157" i="3" s="1"/>
  <c r="Q157" i="3" a="1"/>
  <c r="Q157" i="3" s="1"/>
  <c r="O158" i="3" a="1"/>
  <c r="O158" i="3" s="1"/>
  <c r="P158" i="3" a="1"/>
  <c r="P158" i="3" s="1"/>
  <c r="Q158" i="3" a="1"/>
  <c r="Q158" i="3" s="1"/>
  <c r="O159" i="3" a="1"/>
  <c r="O159" i="3" s="1"/>
  <c r="P159" i="3" a="1"/>
  <c r="P159" i="3" s="1"/>
  <c r="Q159" i="3" a="1"/>
  <c r="Q159" i="3" s="1"/>
  <c r="O160" i="3" a="1"/>
  <c r="O160" i="3" s="1"/>
  <c r="P160" i="3" a="1"/>
  <c r="P160" i="3" s="1"/>
  <c r="Q160" i="3" a="1"/>
  <c r="Q160" i="3" s="1"/>
  <c r="O161" i="3" a="1"/>
  <c r="O161" i="3" s="1"/>
  <c r="P161" i="3" a="1"/>
  <c r="P161" i="3" s="1"/>
  <c r="Q161" i="3" a="1"/>
  <c r="Q161" i="3" s="1"/>
  <c r="O162" i="3" a="1"/>
  <c r="O162" i="3" s="1"/>
  <c r="P162" i="3" a="1"/>
  <c r="P162" i="3" s="1"/>
  <c r="Q162" i="3" a="1"/>
  <c r="Q162" i="3" s="1"/>
  <c r="O163" i="3" a="1"/>
  <c r="O163" i="3" s="1"/>
  <c r="P163" i="3" a="1"/>
  <c r="P163" i="3" s="1"/>
  <c r="Q163" i="3" a="1"/>
  <c r="Q163" i="3" s="1"/>
  <c r="O164" i="3" a="1"/>
  <c r="O164" i="3" s="1"/>
  <c r="P164" i="3" a="1"/>
  <c r="P164" i="3" s="1"/>
  <c r="Q164" i="3" a="1"/>
  <c r="Q164" i="3" s="1"/>
  <c r="O165" i="3" a="1"/>
  <c r="O165" i="3" s="1"/>
  <c r="P165" i="3" a="1"/>
  <c r="P165" i="3" s="1"/>
  <c r="Q165" i="3" a="1"/>
  <c r="Q165" i="3" s="1"/>
  <c r="O166" i="3" a="1"/>
  <c r="O166" i="3" s="1"/>
  <c r="P166" i="3" a="1"/>
  <c r="P166" i="3" s="1"/>
  <c r="Q166" i="3" a="1"/>
  <c r="Q166" i="3" s="1"/>
  <c r="O167" i="3" a="1"/>
  <c r="O167" i="3" s="1"/>
  <c r="P167" i="3" a="1"/>
  <c r="P167" i="3" s="1"/>
  <c r="Q167" i="3" a="1"/>
  <c r="Q167" i="3" s="1"/>
  <c r="O168" i="3" a="1"/>
  <c r="O168" i="3" s="1"/>
  <c r="P168" i="3" a="1"/>
  <c r="P168" i="3" s="1"/>
  <c r="Q168" i="3" a="1"/>
  <c r="Q168" i="3" s="1"/>
  <c r="O169" i="3" a="1"/>
  <c r="O169" i="3" s="1"/>
  <c r="P169" i="3" a="1"/>
  <c r="P169" i="3" s="1"/>
  <c r="Q169" i="3" a="1"/>
  <c r="Q169" i="3" s="1"/>
  <c r="O170" i="3" a="1"/>
  <c r="O170" i="3" s="1"/>
  <c r="P170" i="3" a="1"/>
  <c r="P170" i="3" s="1"/>
  <c r="Q170" i="3" a="1"/>
  <c r="Q170" i="3" s="1"/>
  <c r="O171" i="3" a="1"/>
  <c r="O171" i="3" s="1"/>
  <c r="P171" i="3" a="1"/>
  <c r="P171" i="3" s="1"/>
  <c r="Q171" i="3" a="1"/>
  <c r="Q171" i="3" s="1"/>
  <c r="O172" i="3" a="1"/>
  <c r="O172" i="3" s="1"/>
  <c r="P172" i="3" a="1"/>
  <c r="P172" i="3" s="1"/>
  <c r="Q172" i="3" a="1"/>
  <c r="Q172" i="3" s="1"/>
  <c r="O173" i="3" a="1"/>
  <c r="O173" i="3" s="1"/>
  <c r="P173" i="3" a="1"/>
  <c r="P173" i="3" s="1"/>
  <c r="Q173" i="3" a="1"/>
  <c r="Q173" i="3" s="1"/>
  <c r="O174" i="3" a="1"/>
  <c r="O174" i="3" s="1"/>
  <c r="P174" i="3" a="1"/>
  <c r="P174" i="3" s="1"/>
  <c r="Q174" i="3" a="1"/>
  <c r="Q174" i="3" s="1"/>
  <c r="O175" i="3" a="1"/>
  <c r="O175" i="3" s="1"/>
  <c r="P175" i="3" a="1"/>
  <c r="P175" i="3" s="1"/>
  <c r="Q175" i="3" a="1"/>
  <c r="Q175" i="3" s="1"/>
  <c r="O176" i="3" a="1"/>
  <c r="O176" i="3" s="1"/>
  <c r="P176" i="3" a="1"/>
  <c r="P176" i="3" s="1"/>
  <c r="Q176" i="3" a="1"/>
  <c r="Q176" i="3" s="1"/>
  <c r="O177" i="3" a="1"/>
  <c r="O177" i="3" s="1"/>
  <c r="P177" i="3" a="1"/>
  <c r="P177" i="3" s="1"/>
  <c r="Q177" i="3" a="1"/>
  <c r="Q177" i="3" s="1"/>
  <c r="O178" i="3" a="1"/>
  <c r="O178" i="3" s="1"/>
  <c r="P178" i="3" a="1"/>
  <c r="P178" i="3" s="1"/>
  <c r="Q178" i="3" a="1"/>
  <c r="Q178" i="3" s="1"/>
  <c r="O179" i="3" a="1"/>
  <c r="O179" i="3" s="1"/>
  <c r="P179" i="3" a="1"/>
  <c r="P179" i="3" s="1"/>
  <c r="Q179" i="3" a="1"/>
  <c r="Q179" i="3" s="1"/>
  <c r="O180" i="3" a="1"/>
  <c r="O180" i="3" s="1"/>
  <c r="P180" i="3" a="1"/>
  <c r="P180" i="3" s="1"/>
  <c r="Q180" i="3" a="1"/>
  <c r="Q180" i="3" s="1"/>
  <c r="O181" i="3" a="1"/>
  <c r="O181" i="3" s="1"/>
  <c r="P181" i="3" a="1"/>
  <c r="P181" i="3" s="1"/>
  <c r="Q181" i="3" a="1"/>
  <c r="Q181" i="3" s="1"/>
  <c r="O182" i="3" a="1"/>
  <c r="O182" i="3" s="1"/>
  <c r="P182" i="3" a="1"/>
  <c r="P182" i="3" s="1"/>
  <c r="Q182" i="3" a="1"/>
  <c r="Q182" i="3" s="1"/>
  <c r="O183" i="3" a="1"/>
  <c r="O183" i="3" s="1"/>
  <c r="P183" i="3" a="1"/>
  <c r="P183" i="3" s="1"/>
  <c r="Q183" i="3" a="1"/>
  <c r="Q183" i="3" s="1"/>
  <c r="O184" i="3" a="1"/>
  <c r="O184" i="3" s="1"/>
  <c r="P184" i="3" a="1"/>
  <c r="P184" i="3" s="1"/>
  <c r="Q184" i="3" a="1"/>
  <c r="Q184" i="3" s="1"/>
  <c r="O185" i="3" a="1"/>
  <c r="O185" i="3" s="1"/>
  <c r="P185" i="3" a="1"/>
  <c r="P185" i="3" s="1"/>
  <c r="Q185" i="3" a="1"/>
  <c r="Q185" i="3" s="1"/>
  <c r="O186" i="3" a="1"/>
  <c r="O186" i="3" s="1"/>
  <c r="P186" i="3" a="1"/>
  <c r="P186" i="3" s="1"/>
  <c r="Q186" i="3" a="1"/>
  <c r="Q186" i="3" s="1"/>
  <c r="O187" i="3" a="1"/>
  <c r="O187" i="3" s="1"/>
  <c r="P187" i="3" a="1"/>
  <c r="P187" i="3" s="1"/>
  <c r="Q187" i="3" a="1"/>
  <c r="Q187" i="3" s="1"/>
  <c r="O188" i="3" a="1"/>
  <c r="O188" i="3" s="1"/>
  <c r="P188" i="3" a="1"/>
  <c r="P188" i="3" s="1"/>
  <c r="Q188" i="3" a="1"/>
  <c r="Q188" i="3" s="1"/>
  <c r="O189" i="3" a="1"/>
  <c r="O189" i="3" s="1"/>
  <c r="P189" i="3" a="1"/>
  <c r="P189" i="3" s="1"/>
  <c r="Q189" i="3" a="1"/>
  <c r="Q189" i="3" s="1"/>
  <c r="O190" i="3" a="1"/>
  <c r="O190" i="3" s="1"/>
  <c r="P190" i="3" a="1"/>
  <c r="P190" i="3" s="1"/>
  <c r="Q190" i="3" a="1"/>
  <c r="Q190" i="3" s="1"/>
  <c r="O191" i="3" a="1"/>
  <c r="O191" i="3" s="1"/>
  <c r="P191" i="3" a="1"/>
  <c r="P191" i="3" s="1"/>
  <c r="Q191" i="3" a="1"/>
  <c r="Q191" i="3" s="1"/>
  <c r="O192" i="3" a="1"/>
  <c r="O192" i="3" s="1"/>
  <c r="P192" i="3" a="1"/>
  <c r="P192" i="3" s="1"/>
  <c r="Q192" i="3" a="1"/>
  <c r="Q192" i="3" s="1"/>
  <c r="O193" i="3" a="1"/>
  <c r="O193" i="3" s="1"/>
  <c r="P193" i="3" a="1"/>
  <c r="P193" i="3" s="1"/>
  <c r="Q193" i="3" a="1"/>
  <c r="Q193" i="3" s="1"/>
  <c r="O194" i="3" a="1"/>
  <c r="O194" i="3" s="1"/>
  <c r="P194" i="3" a="1"/>
  <c r="P194" i="3" s="1"/>
  <c r="Q194" i="3" a="1"/>
  <c r="Q194" i="3" s="1"/>
  <c r="O195" i="3" a="1"/>
  <c r="O195" i="3" s="1"/>
  <c r="P195" i="3" a="1"/>
  <c r="P195" i="3" s="1"/>
  <c r="Q195" i="3" a="1"/>
  <c r="Q195" i="3" s="1"/>
  <c r="O196" i="3" a="1"/>
  <c r="O196" i="3" s="1"/>
  <c r="P196" i="3" a="1"/>
  <c r="P196" i="3" s="1"/>
  <c r="Q196" i="3" a="1"/>
  <c r="Q196" i="3" s="1"/>
  <c r="O197" i="3" a="1"/>
  <c r="O197" i="3" s="1"/>
  <c r="P197" i="3" a="1"/>
  <c r="P197" i="3" s="1"/>
  <c r="Q197" i="3" a="1"/>
  <c r="Q197" i="3" s="1"/>
  <c r="O12" i="3" a="1"/>
  <c r="O12" i="3" s="1"/>
  <c r="P12" i="3" a="1"/>
  <c r="P12" i="3" s="1"/>
  <c r="Q12" i="3" a="1"/>
  <c r="Q12" i="3" s="1"/>
  <c r="N13" i="3" a="1"/>
  <c r="N13" i="3" s="1"/>
  <c r="N14" i="3" a="1"/>
  <c r="N14" i="3" s="1"/>
  <c r="N15" i="3" a="1"/>
  <c r="N15" i="3" s="1"/>
  <c r="N16" i="3" a="1"/>
  <c r="N16" i="3" s="1"/>
  <c r="N17" i="3" a="1"/>
  <c r="N17" i="3" s="1"/>
  <c r="N18" i="3" a="1"/>
  <c r="N18" i="3" s="1"/>
  <c r="N19" i="3" a="1"/>
  <c r="N19" i="3" s="1"/>
  <c r="N20" i="3" a="1"/>
  <c r="N20" i="3" s="1"/>
  <c r="N21" i="3" a="1"/>
  <c r="N21" i="3" s="1"/>
  <c r="N22" i="3" a="1"/>
  <c r="N22" i="3" s="1"/>
  <c r="N23" i="3" a="1"/>
  <c r="N23" i="3" s="1"/>
  <c r="N24" i="3" a="1"/>
  <c r="N24" i="3" s="1"/>
  <c r="N25" i="3" a="1"/>
  <c r="N25" i="3" s="1"/>
  <c r="N26" i="3" a="1"/>
  <c r="N26" i="3" s="1"/>
  <c r="N27" i="3" a="1"/>
  <c r="N27" i="3" s="1"/>
  <c r="N28" i="3" a="1"/>
  <c r="N28" i="3" s="1"/>
  <c r="N29" i="3" a="1"/>
  <c r="N29" i="3" s="1"/>
  <c r="N30" i="3" a="1"/>
  <c r="N30" i="3" s="1"/>
  <c r="N31" i="3" a="1"/>
  <c r="N31" i="3" s="1"/>
  <c r="N32" i="3" a="1"/>
  <c r="N32" i="3" s="1"/>
  <c r="N33" i="3" a="1"/>
  <c r="N33" i="3" s="1"/>
  <c r="N34" i="3" a="1"/>
  <c r="N34" i="3" s="1"/>
  <c r="N35" i="3" a="1"/>
  <c r="N35" i="3" s="1"/>
  <c r="N36" i="3" a="1"/>
  <c r="N36" i="3" s="1"/>
  <c r="N37" i="3" a="1"/>
  <c r="N37" i="3" s="1"/>
  <c r="N38" i="3" a="1"/>
  <c r="N38" i="3" s="1"/>
  <c r="N39" i="3" a="1"/>
  <c r="N39" i="3" s="1"/>
  <c r="N40" i="3" a="1"/>
  <c r="N40" i="3" s="1"/>
  <c r="N41" i="3" a="1"/>
  <c r="N41" i="3" s="1"/>
  <c r="N42" i="3" a="1"/>
  <c r="N42" i="3" s="1"/>
  <c r="N43" i="3" a="1"/>
  <c r="N43" i="3" s="1"/>
  <c r="N44" i="3" a="1"/>
  <c r="N44" i="3" s="1"/>
  <c r="N45" i="3" a="1"/>
  <c r="N45" i="3" s="1"/>
  <c r="N46" i="3" a="1"/>
  <c r="N46" i="3" s="1"/>
  <c r="N47" i="3" a="1"/>
  <c r="N47" i="3" s="1"/>
  <c r="N48" i="3" a="1"/>
  <c r="N48" i="3" s="1"/>
  <c r="N49" i="3" a="1"/>
  <c r="N49" i="3" s="1"/>
  <c r="N50" i="3" a="1"/>
  <c r="N50" i="3" s="1"/>
  <c r="N51" i="3" a="1"/>
  <c r="N51" i="3" s="1"/>
  <c r="N52" i="3" a="1"/>
  <c r="N52" i="3" s="1"/>
  <c r="N53" i="3" a="1"/>
  <c r="N53" i="3" s="1"/>
  <c r="N54" i="3" a="1"/>
  <c r="N54" i="3" s="1"/>
  <c r="N55" i="3" a="1"/>
  <c r="N55" i="3" s="1"/>
  <c r="N56" i="3" a="1"/>
  <c r="N56" i="3" s="1"/>
  <c r="N57" i="3" a="1"/>
  <c r="N57" i="3" s="1"/>
  <c r="N58" i="3" a="1"/>
  <c r="N58" i="3" s="1"/>
  <c r="N59" i="3" a="1"/>
  <c r="N59" i="3" s="1"/>
  <c r="N60" i="3" a="1"/>
  <c r="N60" i="3" s="1"/>
  <c r="N61" i="3" a="1"/>
  <c r="N61" i="3" s="1"/>
  <c r="N62" i="3" a="1"/>
  <c r="N62" i="3" s="1"/>
  <c r="N63" i="3" a="1"/>
  <c r="N63" i="3" s="1"/>
  <c r="N64" i="3" a="1"/>
  <c r="N64" i="3" s="1"/>
  <c r="N65" i="3" a="1"/>
  <c r="N65" i="3" s="1"/>
  <c r="N66" i="3" a="1"/>
  <c r="N66" i="3" s="1"/>
  <c r="N67" i="3" a="1"/>
  <c r="N67" i="3" s="1"/>
  <c r="N68" i="3" a="1"/>
  <c r="N68" i="3" s="1"/>
  <c r="N69" i="3" a="1"/>
  <c r="N69" i="3" s="1"/>
  <c r="N70" i="3" a="1"/>
  <c r="N70" i="3" s="1"/>
  <c r="N71" i="3" a="1"/>
  <c r="N71" i="3" s="1"/>
  <c r="N72" i="3" a="1"/>
  <c r="N72" i="3" s="1"/>
  <c r="N73" i="3" a="1"/>
  <c r="N73" i="3" s="1"/>
  <c r="N74" i="3" a="1"/>
  <c r="N74" i="3" s="1"/>
  <c r="N75" i="3" a="1"/>
  <c r="N75" i="3" s="1"/>
  <c r="N76" i="3" a="1"/>
  <c r="N76" i="3" s="1"/>
  <c r="N77" i="3" a="1"/>
  <c r="N77" i="3" s="1"/>
  <c r="N78" i="3" a="1"/>
  <c r="N78" i="3" s="1"/>
  <c r="N79" i="3" a="1"/>
  <c r="N79" i="3" s="1"/>
  <c r="N80" i="3" a="1"/>
  <c r="N80" i="3" s="1"/>
  <c r="N81" i="3" a="1"/>
  <c r="N81" i="3" s="1"/>
  <c r="N82" i="3" a="1"/>
  <c r="N82" i="3" s="1"/>
  <c r="N83" i="3" a="1"/>
  <c r="N83" i="3" s="1"/>
  <c r="N84" i="3" a="1"/>
  <c r="N84" i="3" s="1"/>
  <c r="N85" i="3" a="1"/>
  <c r="N85" i="3" s="1"/>
  <c r="N86" i="3" a="1"/>
  <c r="N86" i="3" s="1"/>
  <c r="N87" i="3" a="1"/>
  <c r="N87" i="3" s="1"/>
  <c r="N88" i="3" a="1"/>
  <c r="N88" i="3" s="1"/>
  <c r="N89" i="3" a="1"/>
  <c r="N89" i="3" s="1"/>
  <c r="N90" i="3" a="1"/>
  <c r="N90" i="3" s="1"/>
  <c r="N91" i="3" a="1"/>
  <c r="N91" i="3" s="1"/>
  <c r="N92" i="3" a="1"/>
  <c r="N92" i="3" s="1"/>
  <c r="N93" i="3" a="1"/>
  <c r="N93" i="3" s="1"/>
  <c r="N94" i="3" a="1"/>
  <c r="N94" i="3" s="1"/>
  <c r="N95" i="3" a="1"/>
  <c r="N95" i="3" s="1"/>
  <c r="N96" i="3" a="1"/>
  <c r="N96" i="3" s="1"/>
  <c r="N97" i="3" a="1"/>
  <c r="N97" i="3" s="1"/>
  <c r="N98" i="3" a="1"/>
  <c r="N98" i="3" s="1"/>
  <c r="N99" i="3" a="1"/>
  <c r="N99" i="3" s="1"/>
  <c r="N100" i="3" a="1"/>
  <c r="N100" i="3" s="1"/>
  <c r="N101" i="3" a="1"/>
  <c r="N101" i="3" s="1"/>
  <c r="N102" i="3" a="1"/>
  <c r="N102" i="3" s="1"/>
  <c r="N103" i="3" a="1"/>
  <c r="N103" i="3" s="1"/>
  <c r="N104" i="3" a="1"/>
  <c r="N104" i="3" s="1"/>
  <c r="N105" i="3" a="1"/>
  <c r="N105" i="3" s="1"/>
  <c r="N106" i="3" a="1"/>
  <c r="N106" i="3" s="1"/>
  <c r="N107" i="3" a="1"/>
  <c r="N107" i="3" s="1"/>
  <c r="N108" i="3" a="1"/>
  <c r="N108" i="3" s="1"/>
  <c r="N109" i="3" a="1"/>
  <c r="N109" i="3" s="1"/>
  <c r="N110" i="3" a="1"/>
  <c r="N110" i="3" s="1"/>
  <c r="N111" i="3" a="1"/>
  <c r="N111" i="3" s="1"/>
  <c r="N112" i="3" a="1"/>
  <c r="N112" i="3" s="1"/>
  <c r="N113" i="3" a="1"/>
  <c r="N113" i="3" s="1"/>
  <c r="N114" i="3" a="1"/>
  <c r="N114" i="3" s="1"/>
  <c r="N115" i="3" a="1"/>
  <c r="N115" i="3" s="1"/>
  <c r="N116" i="3" a="1"/>
  <c r="N116" i="3" s="1"/>
  <c r="N117" i="3" a="1"/>
  <c r="N117" i="3" s="1"/>
  <c r="N118" i="3" a="1"/>
  <c r="N118" i="3" s="1"/>
  <c r="N119" i="3" a="1"/>
  <c r="N119" i="3" s="1"/>
  <c r="N120" i="3" a="1"/>
  <c r="N120" i="3" s="1"/>
  <c r="N121" i="3" a="1"/>
  <c r="N121" i="3" s="1"/>
  <c r="N122" i="3" a="1"/>
  <c r="N122" i="3" s="1"/>
  <c r="N123" i="3" a="1"/>
  <c r="N123" i="3" s="1"/>
  <c r="N124" i="3" a="1"/>
  <c r="N124" i="3" s="1"/>
  <c r="N125" i="3" a="1"/>
  <c r="N125" i="3" s="1"/>
  <c r="N126" i="3" a="1"/>
  <c r="N126" i="3" s="1"/>
  <c r="N127" i="3" a="1"/>
  <c r="N127" i="3" s="1"/>
  <c r="N128" i="3" a="1"/>
  <c r="N128" i="3" s="1"/>
  <c r="N129" i="3" a="1"/>
  <c r="N129" i="3" s="1"/>
  <c r="N130" i="3" a="1"/>
  <c r="N130" i="3" s="1"/>
  <c r="N131" i="3" a="1"/>
  <c r="N131" i="3" s="1"/>
  <c r="N132" i="3" a="1"/>
  <c r="N132" i="3" s="1"/>
  <c r="N133" i="3" a="1"/>
  <c r="N133" i="3" s="1"/>
  <c r="N134" i="3" a="1"/>
  <c r="N134" i="3" s="1"/>
  <c r="N135" i="3" a="1"/>
  <c r="N135" i="3" s="1"/>
  <c r="N136" i="3" a="1"/>
  <c r="N136" i="3" s="1"/>
  <c r="N137" i="3" a="1"/>
  <c r="N137" i="3" s="1"/>
  <c r="N138" i="3" a="1"/>
  <c r="N138" i="3" s="1"/>
  <c r="N139" i="3" a="1"/>
  <c r="N139" i="3" s="1"/>
  <c r="N140" i="3" a="1"/>
  <c r="N140" i="3" s="1"/>
  <c r="N141" i="3" a="1"/>
  <c r="N141" i="3" s="1"/>
  <c r="N142" i="3" a="1"/>
  <c r="N142" i="3" s="1"/>
  <c r="N143" i="3" a="1"/>
  <c r="N143" i="3" s="1"/>
  <c r="N144" i="3" a="1"/>
  <c r="N144" i="3" s="1"/>
  <c r="N145" i="3" a="1"/>
  <c r="N145" i="3" s="1"/>
  <c r="N146" i="3" a="1"/>
  <c r="N146" i="3" s="1"/>
  <c r="N147" i="3" a="1"/>
  <c r="N147" i="3" s="1"/>
  <c r="N148" i="3" a="1"/>
  <c r="N148" i="3" s="1"/>
  <c r="N149" i="3" a="1"/>
  <c r="N149" i="3" s="1"/>
  <c r="N150" i="3" a="1"/>
  <c r="N150" i="3" s="1"/>
  <c r="N151" i="3" a="1"/>
  <c r="N151" i="3" s="1"/>
  <c r="N152" i="3" a="1"/>
  <c r="N152" i="3" s="1"/>
  <c r="N153" i="3" a="1"/>
  <c r="N153" i="3" s="1"/>
  <c r="N154" i="3" a="1"/>
  <c r="N154" i="3" s="1"/>
  <c r="N155" i="3" a="1"/>
  <c r="N155" i="3" s="1"/>
  <c r="N156" i="3" a="1"/>
  <c r="N156" i="3" s="1"/>
  <c r="N157" i="3" a="1"/>
  <c r="N157" i="3" s="1"/>
  <c r="N158" i="3" a="1"/>
  <c r="N158" i="3" s="1"/>
  <c r="N159" i="3" a="1"/>
  <c r="N159" i="3" s="1"/>
  <c r="N160" i="3" a="1"/>
  <c r="N160" i="3" s="1"/>
  <c r="N161" i="3" a="1"/>
  <c r="N161" i="3" s="1"/>
  <c r="N162" i="3" a="1"/>
  <c r="N162" i="3" s="1"/>
  <c r="N163" i="3" a="1"/>
  <c r="N163" i="3" s="1"/>
  <c r="N164" i="3" a="1"/>
  <c r="N164" i="3" s="1"/>
  <c r="N165" i="3" a="1"/>
  <c r="N165" i="3" s="1"/>
  <c r="N166" i="3" a="1"/>
  <c r="N166" i="3" s="1"/>
  <c r="N167" i="3" a="1"/>
  <c r="N167" i="3" s="1"/>
  <c r="N168" i="3" a="1"/>
  <c r="N168" i="3" s="1"/>
  <c r="N169" i="3" a="1"/>
  <c r="N169" i="3" s="1"/>
  <c r="N170" i="3" a="1"/>
  <c r="N170" i="3" s="1"/>
  <c r="N171" i="3" a="1"/>
  <c r="N171" i="3" s="1"/>
  <c r="N172" i="3" a="1"/>
  <c r="N172" i="3" s="1"/>
  <c r="N173" i="3" a="1"/>
  <c r="N173" i="3" s="1"/>
  <c r="N174" i="3" a="1"/>
  <c r="N174" i="3" s="1"/>
  <c r="N175" i="3" a="1"/>
  <c r="N175" i="3" s="1"/>
  <c r="N176" i="3" a="1"/>
  <c r="N176" i="3" s="1"/>
  <c r="N177" i="3" a="1"/>
  <c r="N177" i="3" s="1"/>
  <c r="N178" i="3" a="1"/>
  <c r="N178" i="3" s="1"/>
  <c r="N179" i="3" a="1"/>
  <c r="N179" i="3" s="1"/>
  <c r="N180" i="3" a="1"/>
  <c r="N180" i="3" s="1"/>
  <c r="N181" i="3" a="1"/>
  <c r="N181" i="3" s="1"/>
  <c r="N182" i="3" a="1"/>
  <c r="N182" i="3" s="1"/>
  <c r="N183" i="3" a="1"/>
  <c r="N183" i="3" s="1"/>
  <c r="N184" i="3" a="1"/>
  <c r="N184" i="3" s="1"/>
  <c r="N185" i="3" a="1"/>
  <c r="N185" i="3" s="1"/>
  <c r="N186" i="3" a="1"/>
  <c r="N186" i="3" s="1"/>
  <c r="N187" i="3" a="1"/>
  <c r="N187" i="3" s="1"/>
  <c r="N188" i="3" a="1"/>
  <c r="N188" i="3" s="1"/>
  <c r="N189" i="3" a="1"/>
  <c r="N189" i="3" s="1"/>
  <c r="N190" i="3" a="1"/>
  <c r="N190" i="3" s="1"/>
  <c r="N191" i="3" a="1"/>
  <c r="N191" i="3" s="1"/>
  <c r="N192" i="3" a="1"/>
  <c r="N192" i="3" s="1"/>
  <c r="N193" i="3" a="1"/>
  <c r="N193" i="3" s="1"/>
  <c r="N194" i="3" a="1"/>
  <c r="N194" i="3" s="1"/>
  <c r="N195" i="3" a="1"/>
  <c r="N195" i="3" s="1"/>
  <c r="N196" i="3" a="1"/>
  <c r="N196" i="3" s="1"/>
  <c r="N197" i="3" a="1"/>
  <c r="N197" i="3" s="1"/>
  <c r="N12" i="3" a="1"/>
  <c r="N12" i="3" s="1"/>
  <c r="H18" i="63"/>
  <c r="F30" i="63"/>
  <c r="B12" i="63"/>
  <c r="B13" i="63"/>
  <c r="J13" i="63" s="1"/>
  <c r="B14" i="63"/>
  <c r="F14" i="63" s="1"/>
  <c r="B15" i="63"/>
  <c r="H15" i="63" s="1"/>
  <c r="B16" i="63"/>
  <c r="B17" i="63"/>
  <c r="D17" i="63" s="1"/>
  <c r="B18" i="63"/>
  <c r="B19" i="63"/>
  <c r="H19" i="63" s="1"/>
  <c r="B20" i="63"/>
  <c r="B21" i="63"/>
  <c r="H21" i="63" s="1"/>
  <c r="B22" i="63"/>
  <c r="F22" i="63" s="1"/>
  <c r="B23" i="63"/>
  <c r="H23" i="63" s="1"/>
  <c r="B24" i="63"/>
  <c r="B25" i="63"/>
  <c r="D25" i="63" s="1"/>
  <c r="B26" i="63"/>
  <c r="H26" i="63" s="1"/>
  <c r="B27" i="63"/>
  <c r="H27" i="63" s="1"/>
  <c r="B28" i="63"/>
  <c r="B29" i="63"/>
  <c r="J29" i="63" s="1"/>
  <c r="B30" i="63"/>
  <c r="B31" i="63"/>
  <c r="H31" i="63" s="1"/>
  <c r="B32" i="63"/>
  <c r="B33" i="63"/>
  <c r="H33" i="63" s="1"/>
  <c r="B34" i="63"/>
  <c r="H34" i="63" s="1"/>
  <c r="B35" i="63"/>
  <c r="H35" i="63" s="1"/>
  <c r="B36" i="63"/>
  <c r="B37" i="63"/>
  <c r="H37" i="63" s="1"/>
  <c r="B38" i="63"/>
  <c r="F38" i="63" s="1"/>
  <c r="B39" i="63"/>
  <c r="H39" i="63" s="1"/>
  <c r="B40" i="63"/>
  <c r="B41" i="63"/>
  <c r="H41" i="63" s="1"/>
  <c r="B42" i="63"/>
  <c r="B43" i="63"/>
  <c r="H43" i="63" s="1"/>
  <c r="B44" i="63"/>
  <c r="B45" i="63"/>
  <c r="H45" i="63" s="1"/>
  <c r="B46" i="63"/>
  <c r="H46" i="63" s="1"/>
  <c r="B47" i="63"/>
  <c r="B48" i="63"/>
  <c r="B49" i="63"/>
  <c r="H49" i="63" s="1"/>
  <c r="B50" i="63"/>
  <c r="H50" i="63" s="1"/>
  <c r="B51" i="63"/>
  <c r="B52" i="63"/>
  <c r="B53" i="63"/>
  <c r="H53" i="63" s="1"/>
  <c r="B54" i="63"/>
  <c r="F54" i="63" s="1"/>
  <c r="B55" i="63"/>
  <c r="B56" i="63"/>
  <c r="B57" i="63"/>
  <c r="H57" i="63" s="1"/>
  <c r="B58" i="63"/>
  <c r="B59" i="63"/>
  <c r="H59" i="63" s="1"/>
  <c r="B11" i="63"/>
  <c r="D60" i="67"/>
  <c r="E60" i="67" s="1"/>
  <c r="C58" i="66"/>
  <c r="I58" i="66" s="1"/>
  <c r="L61" i="65"/>
  <c r="U71" i="65" s="1"/>
  <c r="J61" i="65"/>
  <c r="H61" i="65"/>
  <c r="F61" i="65"/>
  <c r="D61" i="65"/>
  <c r="I61" i="64"/>
  <c r="G61" i="64"/>
  <c r="E61" i="64"/>
  <c r="C61" i="64"/>
  <c r="K61" i="64" s="1"/>
  <c r="D17" i="58"/>
  <c r="C17" i="58"/>
  <c r="B17" i="58"/>
  <c r="H59" i="66"/>
  <c r="D62" i="64"/>
  <c r="L62" i="64"/>
  <c r="H62" i="65"/>
  <c r="B62" i="68"/>
  <c r="J62" i="68"/>
  <c r="L59" i="66"/>
  <c r="H62" i="68"/>
  <c r="D59" i="66"/>
  <c r="F59" i="66"/>
  <c r="F62" i="64"/>
  <c r="D62" i="65"/>
  <c r="J62" i="65"/>
  <c r="I62" i="68"/>
  <c r="E62" i="68"/>
  <c r="I60" i="63"/>
  <c r="F62" i="68"/>
  <c r="J59" i="66"/>
  <c r="G60" i="63"/>
  <c r="J62" i="64"/>
  <c r="F62" i="65"/>
  <c r="G62" i="68"/>
  <c r="C62" i="68"/>
  <c r="D62" i="68"/>
  <c r="H62" i="64"/>
  <c r="L62" i="65"/>
  <c r="L60" i="63" l="1"/>
  <c r="H25" i="63"/>
  <c r="F46" i="63"/>
  <c r="H13" i="63"/>
  <c r="F25" i="63"/>
  <c r="F37" i="63"/>
  <c r="J17" i="63"/>
  <c r="M61" i="64"/>
  <c r="U72" i="65"/>
  <c r="C59" i="66"/>
  <c r="E59" i="66" s="1"/>
  <c r="C62" i="65"/>
  <c r="G62" i="65" s="1"/>
  <c r="D49" i="63"/>
  <c r="D39" i="63"/>
  <c r="D31" i="63"/>
  <c r="D23" i="63"/>
  <c r="D15" i="63"/>
  <c r="F53" i="63"/>
  <c r="F41" i="63"/>
  <c r="F21" i="63"/>
  <c r="H29" i="63"/>
  <c r="J41" i="63"/>
  <c r="J25" i="63"/>
  <c r="J57" i="63"/>
  <c r="D45" i="63"/>
  <c r="D37" i="63"/>
  <c r="D29" i="63"/>
  <c r="D21" i="63"/>
  <c r="D13" i="63"/>
  <c r="F49" i="63"/>
  <c r="F29" i="63"/>
  <c r="F17" i="63"/>
  <c r="H17" i="63"/>
  <c r="J37" i="63"/>
  <c r="J21" i="63"/>
  <c r="J53" i="63"/>
  <c r="D57" i="63"/>
  <c r="D43" i="63"/>
  <c r="D35" i="63"/>
  <c r="D27" i="63"/>
  <c r="D19" i="63"/>
  <c r="F57" i="63"/>
  <c r="J33" i="63"/>
  <c r="J49" i="63"/>
  <c r="D53" i="63"/>
  <c r="D41" i="63"/>
  <c r="D33" i="63"/>
  <c r="F45" i="63"/>
  <c r="F33" i="63"/>
  <c r="F13" i="63"/>
  <c r="J45" i="63"/>
  <c r="J11" i="63"/>
  <c r="H11" i="63"/>
  <c r="D11" i="63"/>
  <c r="H56" i="63"/>
  <c r="F56" i="63"/>
  <c r="J56" i="63"/>
  <c r="D56" i="63"/>
  <c r="H52" i="63"/>
  <c r="F52" i="63"/>
  <c r="J52" i="63"/>
  <c r="D52" i="63"/>
  <c r="H48" i="63"/>
  <c r="F48" i="63"/>
  <c r="J48" i="63"/>
  <c r="D48" i="63"/>
  <c r="H44" i="63"/>
  <c r="F44" i="63"/>
  <c r="J44" i="63"/>
  <c r="D44" i="63"/>
  <c r="H40" i="63"/>
  <c r="F40" i="63"/>
  <c r="J40" i="63"/>
  <c r="D40" i="63"/>
  <c r="H36" i="63"/>
  <c r="F36" i="63"/>
  <c r="J36" i="63"/>
  <c r="D36" i="63"/>
  <c r="H32" i="63"/>
  <c r="F32" i="63"/>
  <c r="J32" i="63"/>
  <c r="D32" i="63"/>
  <c r="H28" i="63"/>
  <c r="F28" i="63"/>
  <c r="J28" i="63"/>
  <c r="D28" i="63"/>
  <c r="H24" i="63"/>
  <c r="F24" i="63"/>
  <c r="J24" i="63"/>
  <c r="D24" i="63"/>
  <c r="H20" i="63"/>
  <c r="F20" i="63"/>
  <c r="J20" i="63"/>
  <c r="D20" i="63"/>
  <c r="H16" i="63"/>
  <c r="F16" i="63"/>
  <c r="J16" i="63"/>
  <c r="D16" i="63"/>
  <c r="H12" i="63"/>
  <c r="F12" i="63"/>
  <c r="J12" i="63"/>
  <c r="D12" i="63"/>
  <c r="F59" i="63"/>
  <c r="J59" i="63"/>
  <c r="H55" i="63"/>
  <c r="F55" i="63"/>
  <c r="J55" i="63"/>
  <c r="H51" i="63"/>
  <c r="F51" i="63"/>
  <c r="J51" i="63"/>
  <c r="H47" i="63"/>
  <c r="F47" i="63"/>
  <c r="J47" i="63"/>
  <c r="D59" i="63"/>
  <c r="D51" i="63"/>
  <c r="F11" i="63"/>
  <c r="J58" i="63"/>
  <c r="D58" i="63"/>
  <c r="J54" i="63"/>
  <c r="D54" i="63"/>
  <c r="J50" i="63"/>
  <c r="D50" i="63"/>
  <c r="J46" i="63"/>
  <c r="D46" i="63"/>
  <c r="J42" i="63"/>
  <c r="D42" i="63"/>
  <c r="J38" i="63"/>
  <c r="D38" i="63"/>
  <c r="J34" i="63"/>
  <c r="D34" i="63"/>
  <c r="J30" i="63"/>
  <c r="D30" i="63"/>
  <c r="J26" i="63"/>
  <c r="D26" i="63"/>
  <c r="J22" i="63"/>
  <c r="D22" i="63"/>
  <c r="J18" i="63"/>
  <c r="D18" i="63"/>
  <c r="J14" i="63"/>
  <c r="D14" i="63"/>
  <c r="F58" i="63"/>
  <c r="F50" i="63"/>
  <c r="F42" i="63"/>
  <c r="F34" i="63"/>
  <c r="F26" i="63"/>
  <c r="F18" i="63"/>
  <c r="H58" i="63"/>
  <c r="H42" i="63"/>
  <c r="H30" i="63"/>
  <c r="H22" i="63"/>
  <c r="H14" i="63"/>
  <c r="D55" i="63"/>
  <c r="D47" i="63"/>
  <c r="H54" i="63"/>
  <c r="H38" i="63"/>
  <c r="J43" i="63"/>
  <c r="J39" i="63"/>
  <c r="J35" i="63"/>
  <c r="J31" i="63"/>
  <c r="J27" i="63"/>
  <c r="J23" i="63"/>
  <c r="J19" i="63"/>
  <c r="J15" i="63"/>
  <c r="F43" i="63"/>
  <c r="F39" i="63"/>
  <c r="F35" i="63"/>
  <c r="F31" i="63"/>
  <c r="F27" i="63"/>
  <c r="F23" i="63"/>
  <c r="F19" i="63"/>
  <c r="F15" i="63"/>
  <c r="C62" i="64"/>
  <c r="K58" i="66"/>
  <c r="E58" i="66"/>
  <c r="M58" i="66"/>
  <c r="G58" i="66"/>
  <c r="C61" i="65"/>
  <c r="M59" i="66" l="1"/>
  <c r="K59" i="66"/>
  <c r="I59" i="66"/>
  <c r="G59" i="66"/>
  <c r="M62" i="65"/>
  <c r="E62" i="65"/>
  <c r="K62" i="65"/>
  <c r="I62" i="65"/>
  <c r="G62" i="64"/>
  <c r="M62" i="64"/>
  <c r="K62" i="64"/>
  <c r="I62" i="64"/>
  <c r="E62" i="64"/>
  <c r="M61" i="65"/>
  <c r="I61" i="65"/>
  <c r="E61" i="65"/>
  <c r="K61" i="65"/>
  <c r="G61" i="65"/>
  <c r="E137" i="59"/>
  <c r="D137" i="59"/>
  <c r="E125" i="59"/>
  <c r="C142" i="59"/>
  <c r="D121" i="59"/>
  <c r="D122" i="59"/>
  <c r="C125" i="59"/>
  <c r="D143" i="59"/>
  <c r="E135" i="59"/>
  <c r="E138" i="59"/>
  <c r="C122" i="59"/>
  <c r="D125" i="59"/>
  <c r="E122" i="59"/>
  <c r="C137" i="59"/>
  <c r="C136" i="59"/>
  <c r="E134" i="59"/>
  <c r="E121" i="59"/>
  <c r="D136" i="59"/>
  <c r="E141" i="59"/>
  <c r="C124" i="59"/>
  <c r="E117" i="59"/>
  <c r="E123" i="59"/>
  <c r="D135" i="59"/>
  <c r="C140" i="59"/>
  <c r="C117" i="59"/>
  <c r="C134" i="59"/>
  <c r="E124" i="59"/>
  <c r="C123" i="59"/>
  <c r="C143" i="59"/>
  <c r="E140" i="59"/>
  <c r="C121" i="59"/>
  <c r="E142" i="59"/>
  <c r="E120" i="59"/>
  <c r="D123" i="59"/>
  <c r="D116" i="59"/>
  <c r="C135" i="59"/>
  <c r="D117" i="59"/>
  <c r="E144" i="59"/>
  <c r="C126" i="59"/>
  <c r="D139" i="59"/>
  <c r="E136" i="59"/>
  <c r="D142" i="59"/>
  <c r="D140" i="59"/>
  <c r="C141" i="59"/>
  <c r="E143" i="59"/>
  <c r="D126" i="59"/>
  <c r="D118" i="59"/>
  <c r="D141" i="59"/>
  <c r="C119" i="59"/>
  <c r="D134" i="59"/>
  <c r="E116" i="59"/>
  <c r="C139" i="59"/>
  <c r="C116" i="59"/>
  <c r="E139" i="59"/>
  <c r="D119" i="59"/>
  <c r="C138" i="59"/>
  <c r="D120" i="59"/>
  <c r="C118" i="59"/>
  <c r="C120" i="59"/>
  <c r="D138" i="59"/>
  <c r="D124" i="59"/>
  <c r="E118" i="59"/>
  <c r="E119" i="59"/>
  <c r="D144" i="59"/>
  <c r="C144" i="59"/>
  <c r="E126" i="59"/>
  <c r="F144" i="59" l="1"/>
  <c r="F142" i="59"/>
  <c r="F140" i="59"/>
  <c r="F138" i="59"/>
  <c r="F136" i="59"/>
  <c r="F143" i="59"/>
  <c r="F141" i="59"/>
  <c r="F139" i="59"/>
  <c r="F137" i="59"/>
  <c r="F135" i="59"/>
  <c r="F134" i="59"/>
  <c r="F116" i="59"/>
  <c r="F126" i="59"/>
  <c r="F125" i="59"/>
  <c r="F124" i="59"/>
  <c r="F123" i="59"/>
  <c r="F122" i="59"/>
  <c r="F121" i="59"/>
  <c r="F120" i="59"/>
  <c r="F119" i="59"/>
  <c r="F118" i="59"/>
  <c r="F117" i="59"/>
  <c r="E80" i="59"/>
  <c r="D84" i="59"/>
  <c r="E79" i="59"/>
  <c r="D85" i="59"/>
  <c r="D87" i="59"/>
  <c r="E100" i="59"/>
  <c r="F100" i="59"/>
  <c r="E98" i="59"/>
  <c r="F102" i="59"/>
  <c r="C104" i="59"/>
  <c r="F107" i="59"/>
  <c r="F99" i="59"/>
  <c r="E103" i="59"/>
  <c r="D102" i="59"/>
  <c r="F106" i="59"/>
  <c r="C105" i="59"/>
  <c r="D99" i="59"/>
  <c r="D105" i="59"/>
  <c r="C100" i="59"/>
  <c r="C106" i="59"/>
  <c r="D80" i="59"/>
  <c r="E89" i="59"/>
  <c r="D106" i="59"/>
  <c r="E107" i="59"/>
  <c r="C103" i="59"/>
  <c r="E105" i="59"/>
  <c r="F104" i="59"/>
  <c r="E84" i="59"/>
  <c r="E82" i="59"/>
  <c r="D79" i="59"/>
  <c r="D83" i="59"/>
  <c r="E87" i="59"/>
  <c r="D108" i="59"/>
  <c r="E108" i="59"/>
  <c r="C107" i="59"/>
  <c r="E104" i="59"/>
  <c r="D98" i="59"/>
  <c r="F103" i="59"/>
  <c r="D103" i="59"/>
  <c r="E102" i="59"/>
  <c r="D107" i="59"/>
  <c r="D82" i="59"/>
  <c r="E83" i="59"/>
  <c r="D101" i="59"/>
  <c r="E99" i="59"/>
  <c r="E101" i="59"/>
  <c r="E81" i="59"/>
  <c r="D81" i="59"/>
  <c r="E86" i="59"/>
  <c r="D89" i="59"/>
  <c r="E85" i="59"/>
  <c r="E88" i="59"/>
  <c r="C98" i="59"/>
  <c r="E106" i="59"/>
  <c r="F108" i="59"/>
  <c r="F98" i="59"/>
  <c r="C102" i="59"/>
  <c r="C108" i="59"/>
  <c r="F101" i="59"/>
  <c r="C101" i="59"/>
  <c r="D100" i="59"/>
  <c r="D86" i="59"/>
  <c r="D88" i="59"/>
  <c r="F105" i="59"/>
  <c r="D104" i="59"/>
  <c r="C99" i="59"/>
  <c r="Q138" i="5" l="1" a="1"/>
  <c r="Q138" i="5" s="1"/>
  <c r="P138" i="5" a="1"/>
  <c r="P138" i="5" s="1"/>
  <c r="O138" i="5" a="1"/>
  <c r="O138" i="5" s="1"/>
  <c r="N138" i="5" a="1"/>
  <c r="N138" i="5" s="1"/>
  <c r="M138" i="5" a="1"/>
  <c r="M138" i="5" s="1"/>
  <c r="N104" i="5" a="1"/>
  <c r="N104" i="5" s="1"/>
  <c r="O104" i="5" a="1"/>
  <c r="O104" i="5" s="1"/>
  <c r="P104" i="5" a="1"/>
  <c r="P104" i="5" s="1"/>
  <c r="Q104" i="5" a="1"/>
  <c r="Q104" i="5" s="1"/>
  <c r="M104" i="5" a="1"/>
  <c r="M104" i="5" s="1"/>
  <c r="G70" i="58"/>
  <c r="G69" i="58"/>
  <c r="G68" i="58"/>
  <c r="G67" i="58"/>
  <c r="G66" i="58"/>
  <c r="G65" i="58"/>
  <c r="G64" i="58"/>
  <c r="G63" i="58"/>
  <c r="G62" i="58"/>
  <c r="G61" i="58"/>
  <c r="G60" i="58"/>
  <c r="H65" i="58"/>
  <c r="H63" i="58"/>
  <c r="H66" i="58"/>
  <c r="H69" i="58"/>
  <c r="H67" i="58"/>
  <c r="H61" i="58"/>
  <c r="H68" i="58"/>
  <c r="H64" i="58"/>
  <c r="H60" i="58"/>
  <c r="H62" i="58"/>
  <c r="H70" i="58"/>
  <c r="C47" i="59"/>
  <c r="G29" i="59"/>
  <c r="D61" i="59"/>
  <c r="D63" i="59"/>
  <c r="C66" i="59"/>
  <c r="G34" i="59"/>
  <c r="G70" i="59"/>
  <c r="E61" i="59"/>
  <c r="F67" i="59"/>
  <c r="G60" i="59"/>
  <c r="G33" i="59"/>
  <c r="F68" i="59"/>
  <c r="C63" i="59"/>
  <c r="E62" i="59"/>
  <c r="C48" i="59"/>
  <c r="G31" i="59"/>
  <c r="D68" i="59"/>
  <c r="E60" i="59"/>
  <c r="D64" i="59"/>
  <c r="E63" i="59"/>
  <c r="C45" i="59"/>
  <c r="D69" i="59"/>
  <c r="F69" i="59"/>
  <c r="E64" i="59"/>
  <c r="E67" i="59"/>
  <c r="F61" i="59"/>
  <c r="F62" i="59"/>
  <c r="G69" i="59"/>
  <c r="E65" i="59"/>
  <c r="C70" i="59"/>
  <c r="D62" i="59"/>
  <c r="C46" i="59"/>
  <c r="G61" i="59"/>
  <c r="E66" i="59"/>
  <c r="C68" i="59"/>
  <c r="C53" i="59"/>
  <c r="G26" i="59"/>
  <c r="D67" i="59"/>
  <c r="C64" i="59"/>
  <c r="D60" i="59"/>
  <c r="C49" i="59"/>
  <c r="G32" i="59"/>
  <c r="F66" i="59"/>
  <c r="F63" i="59"/>
  <c r="F60" i="59"/>
  <c r="D65" i="59"/>
  <c r="G65" i="59"/>
  <c r="G63" i="59"/>
  <c r="G68" i="59"/>
  <c r="C43" i="59"/>
  <c r="C61" i="59"/>
  <c r="G24" i="59"/>
  <c r="E68" i="59"/>
  <c r="F64" i="59"/>
  <c r="C52" i="59"/>
  <c r="C67" i="59"/>
  <c r="C69" i="59"/>
  <c r="G62" i="59"/>
  <c r="C44" i="59"/>
  <c r="C60" i="59"/>
  <c r="C62" i="59"/>
  <c r="D66" i="59"/>
  <c r="G64" i="59"/>
  <c r="C51" i="59"/>
  <c r="G27" i="59"/>
  <c r="D70" i="59"/>
  <c r="E69" i="59"/>
  <c r="G67" i="59"/>
  <c r="G30" i="59"/>
  <c r="F70" i="59"/>
  <c r="C65" i="59"/>
  <c r="G25" i="59"/>
  <c r="G28" i="59"/>
  <c r="G66" i="59"/>
  <c r="E70" i="59"/>
  <c r="C50" i="59"/>
  <c r="F65" i="59"/>
  <c r="E73" i="59" l="1"/>
  <c r="G73" i="59"/>
  <c r="F73" i="59"/>
  <c r="F71" i="59"/>
  <c r="G71" i="59"/>
  <c r="D71" i="59"/>
  <c r="C71" i="59"/>
  <c r="E71" i="59"/>
  <c r="H63" i="59"/>
  <c r="H62" i="59"/>
  <c r="H61" i="59"/>
  <c r="H70" i="59"/>
  <c r="H69" i="59"/>
  <c r="H68" i="59"/>
  <c r="C73" i="59" s="1"/>
  <c r="H67" i="59"/>
  <c r="H66" i="59"/>
  <c r="H65" i="59"/>
  <c r="H64" i="59"/>
  <c r="H60" i="59"/>
  <c r="F145" i="59"/>
  <c r="F146" i="59" s="1"/>
  <c r="E145" i="59"/>
  <c r="Q211" i="73" s="1"/>
  <c r="D145" i="59"/>
  <c r="P211" i="73" s="1"/>
  <c r="C145" i="59"/>
  <c r="O211" i="73" s="1"/>
  <c r="G144" i="59"/>
  <c r="F127" i="59"/>
  <c r="G125" i="59" s="1"/>
  <c r="E127" i="59"/>
  <c r="Q210" i="73" s="1"/>
  <c r="D127" i="59"/>
  <c r="P210" i="73" s="1"/>
  <c r="C127" i="59"/>
  <c r="O210" i="73" s="1"/>
  <c r="F109" i="59"/>
  <c r="G106" i="59" s="1"/>
  <c r="E109" i="59"/>
  <c r="Q209" i="73" s="1"/>
  <c r="D109" i="59"/>
  <c r="P209" i="73" s="1"/>
  <c r="C109" i="59"/>
  <c r="O209" i="73" s="1"/>
  <c r="E90" i="59"/>
  <c r="E92" i="59" s="1"/>
  <c r="D90" i="59"/>
  <c r="D92" i="59" s="1"/>
  <c r="C90" i="59"/>
  <c r="C92" i="59" s="1"/>
  <c r="F163" i="73" s="1"/>
  <c r="C54" i="59"/>
  <c r="D53" i="59" s="1"/>
  <c r="E9" i="59"/>
  <c r="C6" i="59"/>
  <c r="E5" i="59"/>
  <c r="C14" i="59"/>
  <c r="D14" i="59"/>
  <c r="C8" i="59"/>
  <c r="D9" i="59"/>
  <c r="E13" i="59"/>
  <c r="E4" i="59"/>
  <c r="C5" i="59"/>
  <c r="C11" i="59"/>
  <c r="E6" i="59"/>
  <c r="E8" i="59"/>
  <c r="E10" i="59"/>
  <c r="D11" i="59"/>
  <c r="E14" i="59"/>
  <c r="C12" i="59"/>
  <c r="D10" i="59"/>
  <c r="E12" i="59"/>
  <c r="D7" i="59"/>
  <c r="C10" i="59"/>
  <c r="D6" i="59"/>
  <c r="D13" i="59"/>
  <c r="E11" i="59"/>
  <c r="C4" i="59"/>
  <c r="E7" i="59"/>
  <c r="D5" i="59"/>
  <c r="C13" i="59"/>
  <c r="C7" i="59"/>
  <c r="D4" i="59"/>
  <c r="C9" i="59"/>
  <c r="D8" i="59"/>
  <c r="D12" i="59"/>
  <c r="S211" i="73" l="1"/>
  <c r="D73" i="59"/>
  <c r="R209" i="73"/>
  <c r="R210" i="73"/>
  <c r="S209" i="73"/>
  <c r="S210" i="73"/>
  <c r="R211" i="73"/>
  <c r="T209" i="73"/>
  <c r="T210" i="73"/>
  <c r="T211" i="73"/>
  <c r="F12" i="59"/>
  <c r="F10" i="59"/>
  <c r="F6" i="59"/>
  <c r="F14" i="59"/>
  <c r="F5" i="59"/>
  <c r="F9" i="59"/>
  <c r="F4" i="59"/>
  <c r="F13" i="59"/>
  <c r="F7" i="59"/>
  <c r="F8" i="59"/>
  <c r="F11" i="59"/>
  <c r="G138" i="59"/>
  <c r="H71" i="59"/>
  <c r="G72" i="59" s="1"/>
  <c r="B60" i="63"/>
  <c r="D60" i="63" s="1"/>
  <c r="G134" i="59"/>
  <c r="G139" i="59"/>
  <c r="G135" i="59"/>
  <c r="G141" i="59"/>
  <c r="G137" i="59"/>
  <c r="G142" i="59"/>
  <c r="G136" i="59"/>
  <c r="G140" i="59"/>
  <c r="C146" i="59"/>
  <c r="E146" i="59"/>
  <c r="D146" i="59"/>
  <c r="G117" i="59"/>
  <c r="G126" i="59"/>
  <c r="G121" i="59"/>
  <c r="G123" i="59"/>
  <c r="G119" i="59"/>
  <c r="G100" i="59"/>
  <c r="G108" i="59"/>
  <c r="G99" i="59"/>
  <c r="G105" i="59"/>
  <c r="E110" i="59"/>
  <c r="G101" i="59"/>
  <c r="C110" i="59"/>
  <c r="G98" i="59"/>
  <c r="G104" i="59"/>
  <c r="D110" i="59"/>
  <c r="E15" i="59"/>
  <c r="D15" i="59"/>
  <c r="C15" i="59"/>
  <c r="G143" i="59"/>
  <c r="G116" i="59"/>
  <c r="G120" i="59"/>
  <c r="G124" i="59"/>
  <c r="E128" i="59"/>
  <c r="G118" i="59"/>
  <c r="G122" i="59"/>
  <c r="C128" i="59"/>
  <c r="D47" i="59"/>
  <c r="D43" i="59"/>
  <c r="D46" i="59"/>
  <c r="D52" i="59"/>
  <c r="D48" i="59"/>
  <c r="D44" i="59"/>
  <c r="D50" i="59"/>
  <c r="D128" i="59"/>
  <c r="G103" i="59"/>
  <c r="G107" i="59"/>
  <c r="F128" i="59"/>
  <c r="D51" i="59"/>
  <c r="F110" i="59"/>
  <c r="D45" i="59"/>
  <c r="D49" i="59"/>
  <c r="G102" i="59"/>
  <c r="H24" i="59" l="1"/>
  <c r="J60" i="63"/>
  <c r="H29" i="59"/>
  <c r="H60" i="63"/>
  <c r="F60" i="63"/>
  <c r="H72" i="59"/>
  <c r="D72" i="59"/>
  <c r="D54" i="59"/>
  <c r="H31" i="59"/>
  <c r="H30" i="59"/>
  <c r="H34" i="59"/>
  <c r="H27" i="59"/>
  <c r="H28" i="59"/>
  <c r="H25" i="59"/>
  <c r="H26" i="59"/>
  <c r="H32" i="59"/>
  <c r="H33" i="59"/>
  <c r="E72" i="59"/>
  <c r="F72" i="59"/>
  <c r="C72" i="59"/>
  <c r="H35" i="59" l="1"/>
  <c r="M16" i="3" a="1"/>
  <c r="M16" i="3" s="1"/>
  <c r="K32" i="38" a="1"/>
  <c r="K32" i="38" s="1"/>
  <c r="K33" i="38" a="1"/>
  <c r="K33" i="38" s="1"/>
  <c r="K34" i="38" a="1"/>
  <c r="K34" i="38" s="1"/>
  <c r="K35" i="38" a="1"/>
  <c r="K35" i="38" s="1"/>
  <c r="K36" i="38" a="1"/>
  <c r="K36" i="38" s="1"/>
  <c r="K37" i="38" a="1"/>
  <c r="K37" i="38" s="1"/>
  <c r="K38" i="38" a="1"/>
  <c r="K38" i="38" s="1"/>
  <c r="K39" i="38" a="1"/>
  <c r="K39" i="38" s="1"/>
  <c r="K40" i="38" a="1"/>
  <c r="K40" i="38" s="1"/>
  <c r="K41" i="38" a="1"/>
  <c r="K41" i="38" s="1"/>
  <c r="K42" i="38" a="1"/>
  <c r="K42" i="38" s="1"/>
  <c r="K43" i="38" a="1"/>
  <c r="K43" i="38" s="1"/>
  <c r="K44" i="38" a="1"/>
  <c r="K44" i="38" s="1"/>
  <c r="K45" i="38" a="1"/>
  <c r="K45" i="38" s="1"/>
  <c r="K46" i="38" a="1"/>
  <c r="K46" i="38" s="1"/>
  <c r="K47" i="38" a="1"/>
  <c r="K47" i="38" s="1"/>
  <c r="K48" i="38" a="1"/>
  <c r="K48" i="38" s="1"/>
  <c r="K49" i="38" a="1"/>
  <c r="K49" i="38" s="1"/>
  <c r="K50" i="38" a="1"/>
  <c r="K50" i="38" s="1"/>
  <c r="K51" i="38" a="1"/>
  <c r="K51" i="38" s="1"/>
  <c r="K52" i="38" a="1"/>
  <c r="K52" i="38" s="1"/>
  <c r="K53" i="38" a="1"/>
  <c r="K53" i="38" s="1"/>
  <c r="K54" i="38" a="1"/>
  <c r="K54" i="38" s="1"/>
  <c r="K55" i="38" a="1"/>
  <c r="K55" i="38" s="1"/>
  <c r="K56" i="38" a="1"/>
  <c r="K56" i="38" s="1"/>
  <c r="K57" i="38" a="1"/>
  <c r="K57" i="38" s="1"/>
  <c r="K58" i="38" a="1"/>
  <c r="K58" i="38" s="1"/>
  <c r="K59" i="38" a="1"/>
  <c r="K59" i="38" s="1"/>
  <c r="K60" i="38" a="1"/>
  <c r="K60" i="38" s="1"/>
  <c r="K61" i="38" a="1"/>
  <c r="K61" i="38" s="1"/>
  <c r="K62" i="38" a="1"/>
  <c r="K62" i="38" s="1"/>
  <c r="K63" i="38" a="1"/>
  <c r="K63" i="38" s="1"/>
  <c r="K64" i="38" a="1"/>
  <c r="K64" i="38" s="1"/>
  <c r="K65" i="38" a="1"/>
  <c r="K65" i="38" s="1"/>
  <c r="K66" i="38" a="1"/>
  <c r="K66" i="38" s="1"/>
  <c r="K67" i="38" a="1"/>
  <c r="K67" i="38" s="1"/>
  <c r="K68" i="38" a="1"/>
  <c r="K68" i="38" s="1"/>
  <c r="K69" i="38" a="1"/>
  <c r="K69" i="38" s="1"/>
  <c r="K70" i="38" a="1"/>
  <c r="K70" i="38" s="1"/>
  <c r="K71" i="38" a="1"/>
  <c r="K71" i="38" s="1"/>
  <c r="K72" i="38" a="1"/>
  <c r="K72" i="38" s="1"/>
  <c r="K73" i="38" a="1"/>
  <c r="K73" i="38" s="1"/>
  <c r="K74" i="38" a="1"/>
  <c r="K74" i="38" s="1"/>
  <c r="K75" i="38" a="1"/>
  <c r="K75" i="38" s="1"/>
  <c r="K76" i="38" a="1"/>
  <c r="K76" i="38" s="1"/>
  <c r="K77" i="38" a="1"/>
  <c r="K77" i="38" s="1"/>
  <c r="K78" i="38" a="1"/>
  <c r="K78" i="38" s="1"/>
  <c r="K79" i="38" a="1"/>
  <c r="K79" i="38" s="1"/>
  <c r="K80" i="38" a="1"/>
  <c r="K80" i="38" s="1"/>
  <c r="K81" i="38" a="1"/>
  <c r="K81" i="38" s="1"/>
  <c r="K82" i="38" a="1"/>
  <c r="K82" i="38" s="1"/>
  <c r="K83" i="38" a="1"/>
  <c r="K83" i="38" s="1"/>
  <c r="K84" i="38" a="1"/>
  <c r="K84" i="38" s="1"/>
  <c r="K85" i="38" a="1"/>
  <c r="K85" i="38" s="1"/>
  <c r="K86" i="38" a="1"/>
  <c r="K86" i="38" s="1"/>
  <c r="K87" i="38" a="1"/>
  <c r="K87" i="38" s="1"/>
  <c r="K88" i="38" a="1"/>
  <c r="K88" i="38" s="1"/>
  <c r="K89" i="38" a="1"/>
  <c r="K89" i="38" s="1"/>
  <c r="K90" i="38" a="1"/>
  <c r="K90" i="38" s="1"/>
  <c r="K91" i="38" a="1"/>
  <c r="K91" i="38" s="1"/>
  <c r="K92" i="38" a="1"/>
  <c r="K92" i="38" s="1"/>
  <c r="K93" i="38" a="1"/>
  <c r="K93" i="38" s="1"/>
  <c r="K94" i="38" a="1"/>
  <c r="K94" i="38" s="1"/>
  <c r="K95" i="38" a="1"/>
  <c r="K95" i="38" s="1"/>
  <c r="K96" i="38" a="1"/>
  <c r="K96" i="38" s="1"/>
  <c r="K97" i="38" a="1"/>
  <c r="K97" i="38" s="1"/>
  <c r="K98" i="38" a="1"/>
  <c r="K98" i="38" s="1"/>
  <c r="K99" i="38" a="1"/>
  <c r="K99" i="38" s="1"/>
  <c r="K100" i="38" a="1"/>
  <c r="K100" i="38" s="1"/>
  <c r="K101" i="38" a="1"/>
  <c r="K101" i="38" s="1"/>
  <c r="K102" i="38" a="1"/>
  <c r="K102" i="38" s="1"/>
  <c r="K103" i="38" a="1"/>
  <c r="K103" i="38" s="1"/>
  <c r="K104" i="38" a="1"/>
  <c r="K104" i="38" s="1"/>
  <c r="K105" i="38" a="1"/>
  <c r="K105" i="38" s="1"/>
  <c r="K106" i="38" a="1"/>
  <c r="K106" i="38" s="1"/>
  <c r="K107" i="38" a="1"/>
  <c r="K107" i="38" s="1"/>
  <c r="K108" i="38" a="1"/>
  <c r="K108" i="38" s="1"/>
  <c r="K109" i="38" a="1"/>
  <c r="K109" i="38" s="1"/>
  <c r="K110" i="38" a="1"/>
  <c r="K110" i="38" s="1"/>
  <c r="K111" i="38" a="1"/>
  <c r="K111" i="38" s="1"/>
  <c r="K112" i="38" a="1"/>
  <c r="K112" i="38" s="1"/>
  <c r="K113" i="38" a="1"/>
  <c r="K113" i="38" s="1"/>
  <c r="K114" i="38" a="1"/>
  <c r="K114" i="38" s="1"/>
  <c r="K115" i="38" a="1"/>
  <c r="K115" i="38" s="1"/>
  <c r="K116" i="38" a="1"/>
  <c r="K116" i="38" s="1"/>
  <c r="K117" i="38" a="1"/>
  <c r="K117" i="38" s="1"/>
  <c r="K118" i="38" a="1"/>
  <c r="K118" i="38" s="1"/>
  <c r="K119" i="38" a="1"/>
  <c r="K119" i="38" s="1"/>
  <c r="K120" i="38" a="1"/>
  <c r="K120" i="38" s="1"/>
  <c r="K121" i="38" a="1"/>
  <c r="K121" i="38" s="1"/>
  <c r="K122" i="38" a="1"/>
  <c r="K122" i="38" s="1"/>
  <c r="K123" i="38" a="1"/>
  <c r="K123" i="38" s="1"/>
  <c r="K124" i="38" a="1"/>
  <c r="K124" i="38" s="1"/>
  <c r="K125" i="38" a="1"/>
  <c r="K125" i="38" s="1"/>
  <c r="K126" i="38" a="1"/>
  <c r="K126" i="38" s="1"/>
  <c r="K127" i="38" a="1"/>
  <c r="K127" i="38" s="1"/>
  <c r="K128" i="38" a="1"/>
  <c r="K128" i="38" s="1"/>
  <c r="K129" i="38" a="1"/>
  <c r="K129" i="38" s="1"/>
  <c r="K130" i="38" a="1"/>
  <c r="K130" i="38" s="1"/>
  <c r="K131" i="38" a="1"/>
  <c r="K131" i="38" s="1"/>
  <c r="K132" i="38" a="1"/>
  <c r="K132" i="38" s="1"/>
  <c r="K133" i="38" a="1"/>
  <c r="K133" i="38" s="1"/>
  <c r="K134" i="38" a="1"/>
  <c r="K134" i="38" s="1"/>
  <c r="K135" i="38" a="1"/>
  <c r="K135" i="38" s="1"/>
  <c r="K136" i="38" a="1"/>
  <c r="K136" i="38" s="1"/>
  <c r="K137" i="38" a="1"/>
  <c r="K137" i="38" s="1"/>
  <c r="K138" i="38" a="1"/>
  <c r="K138" i="38" s="1"/>
  <c r="K139" i="38" a="1"/>
  <c r="K139" i="38" s="1"/>
  <c r="K140" i="38" a="1"/>
  <c r="K140" i="38" s="1"/>
  <c r="K141" i="38" a="1"/>
  <c r="K141" i="38" s="1"/>
  <c r="K142" i="38" a="1"/>
  <c r="K142" i="38" s="1"/>
  <c r="K143" i="38" a="1"/>
  <c r="K143" i="38" s="1"/>
  <c r="K144" i="38" a="1"/>
  <c r="K144" i="38" s="1"/>
  <c r="K145" i="38" a="1"/>
  <c r="K145" i="38" s="1"/>
  <c r="K146" i="38" a="1"/>
  <c r="K146" i="38" s="1"/>
  <c r="K147" i="38" a="1"/>
  <c r="K147" i="38" s="1"/>
  <c r="K148" i="38" a="1"/>
  <c r="K148" i="38" s="1"/>
  <c r="K149" i="38" a="1"/>
  <c r="K149" i="38" s="1"/>
  <c r="K150" i="38" a="1"/>
  <c r="K150" i="38" s="1"/>
  <c r="K151" i="38" a="1"/>
  <c r="K151" i="38" s="1"/>
  <c r="K152" i="38" a="1"/>
  <c r="K152" i="38" s="1"/>
  <c r="K153" i="38" a="1"/>
  <c r="K153" i="38" s="1"/>
  <c r="K154" i="38" a="1"/>
  <c r="K154" i="38" s="1"/>
  <c r="K155" i="38" a="1"/>
  <c r="K155" i="38" s="1"/>
  <c r="K156" i="38" a="1"/>
  <c r="K156" i="38" s="1"/>
  <c r="K157" i="38" a="1"/>
  <c r="K157" i="38" s="1"/>
  <c r="K158" i="38" a="1"/>
  <c r="K158" i="38" s="1"/>
  <c r="K159" i="38" a="1"/>
  <c r="K159" i="38" s="1"/>
  <c r="K160" i="38" a="1"/>
  <c r="K160" i="38" s="1"/>
  <c r="K161" i="38" a="1"/>
  <c r="K161" i="38" s="1"/>
  <c r="K162" i="38" a="1"/>
  <c r="K162" i="38" s="1"/>
  <c r="K163" i="38" a="1"/>
  <c r="K163" i="38" s="1"/>
  <c r="K164" i="38" a="1"/>
  <c r="K164" i="38" s="1"/>
  <c r="K165" i="38" a="1"/>
  <c r="K165" i="38" s="1"/>
  <c r="K166" i="38" a="1"/>
  <c r="K166" i="38" s="1"/>
  <c r="K167" i="38" a="1"/>
  <c r="K167" i="38" s="1"/>
  <c r="K168" i="38" a="1"/>
  <c r="K168" i="38" s="1"/>
  <c r="K169" i="38" a="1"/>
  <c r="K169" i="38" s="1"/>
  <c r="K170" i="38" a="1"/>
  <c r="K170" i="38" s="1"/>
  <c r="K171" i="38" a="1"/>
  <c r="K171" i="38" s="1"/>
  <c r="K172" i="38" a="1"/>
  <c r="K172" i="38" s="1"/>
  <c r="K173" i="38" a="1"/>
  <c r="K173" i="38" s="1"/>
  <c r="K174" i="38" a="1"/>
  <c r="K174" i="38" s="1"/>
  <c r="K175" i="38" a="1"/>
  <c r="K175" i="38" s="1"/>
  <c r="K176" i="38" a="1"/>
  <c r="K176" i="38" s="1"/>
  <c r="K177" i="38" a="1"/>
  <c r="K177" i="38" s="1"/>
  <c r="K178" i="38" a="1"/>
  <c r="K178" i="38" s="1"/>
  <c r="K179" i="38" a="1"/>
  <c r="K179" i="38" s="1"/>
  <c r="K180" i="38" a="1"/>
  <c r="K180" i="38" s="1"/>
  <c r="K181" i="38" a="1"/>
  <c r="K181" i="38" s="1"/>
  <c r="K182" i="38" a="1"/>
  <c r="K182" i="38" s="1"/>
  <c r="K183" i="38" a="1"/>
  <c r="K183" i="38" s="1"/>
  <c r="K184" i="38" a="1"/>
  <c r="K184" i="38" s="1"/>
  <c r="K185" i="38" a="1"/>
  <c r="K185" i="38" s="1"/>
  <c r="K186" i="38" a="1"/>
  <c r="K186" i="38" s="1"/>
  <c r="K187" i="38" a="1"/>
  <c r="K187" i="38" s="1"/>
  <c r="K188" i="38" a="1"/>
  <c r="K188" i="38" s="1"/>
  <c r="K189" i="38" a="1"/>
  <c r="K189" i="38" s="1"/>
  <c r="K190" i="38" a="1"/>
  <c r="K190" i="38" s="1"/>
  <c r="K30" i="38" a="1"/>
  <c r="K30" i="38" s="1"/>
  <c r="K31" i="38" a="1"/>
  <c r="K31" i="38" s="1"/>
  <c r="K16" i="38" a="1"/>
  <c r="K16" i="38" s="1"/>
  <c r="K17" i="38" a="1"/>
  <c r="K17" i="38" s="1"/>
  <c r="K18" i="38" a="1"/>
  <c r="K18" i="38" s="1"/>
  <c r="K19" i="38" a="1"/>
  <c r="K19" i="38" s="1"/>
  <c r="K20" i="38" a="1"/>
  <c r="K20" i="38" s="1"/>
  <c r="K21" i="38" a="1"/>
  <c r="K21" i="38" s="1"/>
  <c r="K22" i="38" a="1"/>
  <c r="K22" i="38" s="1"/>
  <c r="K23" i="38" a="1"/>
  <c r="K23" i="38" s="1"/>
  <c r="K24" i="38" a="1"/>
  <c r="K24" i="38" s="1"/>
  <c r="K25" i="38" a="1"/>
  <c r="K25" i="38" s="1"/>
  <c r="K26" i="38" a="1"/>
  <c r="K26" i="38" s="1"/>
  <c r="K27" i="38" a="1"/>
  <c r="K27" i="38" s="1"/>
  <c r="K28" i="38" a="1"/>
  <c r="K28" i="38" s="1"/>
  <c r="K29" i="38" a="1"/>
  <c r="K29" i="38" s="1"/>
  <c r="K13" i="38" a="1"/>
  <c r="K13" i="38" s="1"/>
  <c r="K14" i="38" a="1"/>
  <c r="K14" i="38" s="1"/>
  <c r="K15" i="38" a="1"/>
  <c r="K15" i="38" s="1"/>
  <c r="K8" i="38" a="1"/>
  <c r="K8" i="38" s="1"/>
  <c r="K9" i="38" a="1"/>
  <c r="K9" i="38" s="1"/>
  <c r="K10" i="38" a="1"/>
  <c r="K10" i="38" s="1"/>
  <c r="K11" i="38" a="1"/>
  <c r="K11" i="38" s="1"/>
  <c r="K12" i="38" a="1"/>
  <c r="K12" i="38" s="1"/>
  <c r="K7" i="38" a="1"/>
  <c r="K7" i="38" s="1"/>
  <c r="H8" i="38" a="1"/>
  <c r="H8" i="38" s="1"/>
  <c r="H9" i="38" a="1"/>
  <c r="H9" i="38" s="1"/>
  <c r="H10" i="38" a="1"/>
  <c r="H10" i="38" s="1"/>
  <c r="H11" i="38" a="1"/>
  <c r="H11" i="38" s="1"/>
  <c r="H12" i="38" a="1"/>
  <c r="H12" i="38" s="1"/>
  <c r="H13" i="38" a="1"/>
  <c r="H13" i="38" s="1"/>
  <c r="H14" i="38" a="1"/>
  <c r="H14" i="38" s="1"/>
  <c r="H15" i="38" a="1"/>
  <c r="H15" i="38" s="1"/>
  <c r="H16" i="38" a="1"/>
  <c r="H16" i="38" s="1"/>
  <c r="H17" i="38" a="1"/>
  <c r="H17" i="38" s="1"/>
  <c r="H18" i="38" a="1"/>
  <c r="H18" i="38" s="1"/>
  <c r="H19" i="38" a="1"/>
  <c r="H19" i="38" s="1"/>
  <c r="H20" i="38" a="1"/>
  <c r="H20" i="38" s="1"/>
  <c r="H21" i="38" a="1"/>
  <c r="H21" i="38" s="1"/>
  <c r="H22" i="38" a="1"/>
  <c r="H22" i="38" s="1"/>
  <c r="H23" i="38" a="1"/>
  <c r="H23" i="38" s="1"/>
  <c r="H24" i="38" a="1"/>
  <c r="H24" i="38" s="1"/>
  <c r="H25" i="38" a="1"/>
  <c r="H25" i="38" s="1"/>
  <c r="H26" i="38" a="1"/>
  <c r="H26" i="38" s="1"/>
  <c r="H27" i="38" a="1"/>
  <c r="H27" i="38" s="1"/>
  <c r="H28" i="38" a="1"/>
  <c r="H28" i="38" s="1"/>
  <c r="H29" i="38" a="1"/>
  <c r="H29" i="38" s="1"/>
  <c r="H30" i="38" a="1"/>
  <c r="H30" i="38" s="1"/>
  <c r="H31" i="38" a="1"/>
  <c r="H31" i="38" s="1"/>
  <c r="H32" i="38" a="1"/>
  <c r="H32" i="38" s="1"/>
  <c r="H33" i="38" a="1"/>
  <c r="H33" i="38" s="1"/>
  <c r="H34" i="38" a="1"/>
  <c r="H34" i="38" s="1"/>
  <c r="H35" i="38" a="1"/>
  <c r="H35" i="38" s="1"/>
  <c r="H36" i="38" a="1"/>
  <c r="H36" i="38" s="1"/>
  <c r="H37" i="38" a="1"/>
  <c r="H37" i="38" s="1"/>
  <c r="H38" i="38" a="1"/>
  <c r="H38" i="38" s="1"/>
  <c r="H39" i="38" a="1"/>
  <c r="H39" i="38" s="1"/>
  <c r="H40" i="38" a="1"/>
  <c r="H40" i="38" s="1"/>
  <c r="H41" i="38" a="1"/>
  <c r="H41" i="38" s="1"/>
  <c r="H42" i="38" a="1"/>
  <c r="H42" i="38" s="1"/>
  <c r="H43" i="38" a="1"/>
  <c r="H43" i="38" s="1"/>
  <c r="H44" i="38" a="1"/>
  <c r="H44" i="38" s="1"/>
  <c r="H45" i="38" a="1"/>
  <c r="H45" i="38" s="1"/>
  <c r="H46" i="38" a="1"/>
  <c r="H46" i="38" s="1"/>
  <c r="H47" i="38" a="1"/>
  <c r="H47" i="38" s="1"/>
  <c r="H48" i="38" a="1"/>
  <c r="H48" i="38" s="1"/>
  <c r="H49" i="38" a="1"/>
  <c r="H49" i="38" s="1"/>
  <c r="H50" i="38" a="1"/>
  <c r="H50" i="38" s="1"/>
  <c r="H51" i="38" a="1"/>
  <c r="H51" i="38" s="1"/>
  <c r="H52" i="38" a="1"/>
  <c r="H52" i="38" s="1"/>
  <c r="H53" i="38" a="1"/>
  <c r="H53" i="38" s="1"/>
  <c r="H54" i="38" a="1"/>
  <c r="H54" i="38" s="1"/>
  <c r="H55" i="38" a="1"/>
  <c r="H55" i="38" s="1"/>
  <c r="H56" i="38" a="1"/>
  <c r="H56" i="38" s="1"/>
  <c r="H57" i="38" a="1"/>
  <c r="H57" i="38" s="1"/>
  <c r="H58" i="38" a="1"/>
  <c r="H58" i="38" s="1"/>
  <c r="H59" i="38" a="1"/>
  <c r="H59" i="38" s="1"/>
  <c r="H60" i="38" a="1"/>
  <c r="H60" i="38" s="1"/>
  <c r="H61" i="38" a="1"/>
  <c r="H61" i="38" s="1"/>
  <c r="H62" i="38" a="1"/>
  <c r="H62" i="38" s="1"/>
  <c r="H63" i="38" a="1"/>
  <c r="H63" i="38" s="1"/>
  <c r="H64" i="38" a="1"/>
  <c r="H64" i="38" s="1"/>
  <c r="H65" i="38" a="1"/>
  <c r="H65" i="38" s="1"/>
  <c r="H66" i="38" a="1"/>
  <c r="H66" i="38" s="1"/>
  <c r="H67" i="38" a="1"/>
  <c r="H67" i="38" s="1"/>
  <c r="H68" i="38" a="1"/>
  <c r="H68" i="38" s="1"/>
  <c r="H69" i="38" a="1"/>
  <c r="H69" i="38" s="1"/>
  <c r="H70" i="38" a="1"/>
  <c r="H70" i="38" s="1"/>
  <c r="H71" i="38" a="1"/>
  <c r="H71" i="38" s="1"/>
  <c r="H72" i="38" a="1"/>
  <c r="H72" i="38" s="1"/>
  <c r="H73" i="38" a="1"/>
  <c r="H73" i="38" s="1"/>
  <c r="H74" i="38" a="1"/>
  <c r="H74" i="38" s="1"/>
  <c r="H75" i="38" a="1"/>
  <c r="H75" i="38" s="1"/>
  <c r="H76" i="38" a="1"/>
  <c r="H76" i="38" s="1"/>
  <c r="H77" i="38" a="1"/>
  <c r="H77" i="38" s="1"/>
  <c r="H78" i="38" a="1"/>
  <c r="H78" i="38" s="1"/>
  <c r="H79" i="38" a="1"/>
  <c r="H79" i="38" s="1"/>
  <c r="H80" i="38" a="1"/>
  <c r="H80" i="38" s="1"/>
  <c r="H81" i="38" a="1"/>
  <c r="H81" i="38" s="1"/>
  <c r="H82" i="38" a="1"/>
  <c r="H82" i="38" s="1"/>
  <c r="H83" i="38" a="1"/>
  <c r="H83" i="38" s="1"/>
  <c r="H84" i="38" a="1"/>
  <c r="H84" i="38" s="1"/>
  <c r="H85" i="38" a="1"/>
  <c r="H85" i="38" s="1"/>
  <c r="H86" i="38" a="1"/>
  <c r="H86" i="38" s="1"/>
  <c r="H87" i="38" a="1"/>
  <c r="H87" i="38" s="1"/>
  <c r="H88" i="38" a="1"/>
  <c r="H88" i="38" s="1"/>
  <c r="H89" i="38" a="1"/>
  <c r="H89" i="38" s="1"/>
  <c r="H90" i="38" a="1"/>
  <c r="H90" i="38" s="1"/>
  <c r="H91" i="38" a="1"/>
  <c r="H91" i="38" s="1"/>
  <c r="H92" i="38" a="1"/>
  <c r="H92" i="38" s="1"/>
  <c r="H93" i="38" a="1"/>
  <c r="H93" i="38" s="1"/>
  <c r="H94" i="38" a="1"/>
  <c r="H94" i="38" s="1"/>
  <c r="H95" i="38" a="1"/>
  <c r="H95" i="38" s="1"/>
  <c r="H96" i="38" a="1"/>
  <c r="H96" i="38" s="1"/>
  <c r="H97" i="38" a="1"/>
  <c r="H97" i="38" s="1"/>
  <c r="H98" i="38" a="1"/>
  <c r="H98" i="38" s="1"/>
  <c r="H99" i="38" a="1"/>
  <c r="H99" i="38" s="1"/>
  <c r="H100" i="38" a="1"/>
  <c r="H100" i="38" s="1"/>
  <c r="H101" i="38" a="1"/>
  <c r="H101" i="38" s="1"/>
  <c r="H102" i="38" a="1"/>
  <c r="H102" i="38" s="1"/>
  <c r="H103" i="38" a="1"/>
  <c r="H103" i="38" s="1"/>
  <c r="H104" i="38" a="1"/>
  <c r="H104" i="38" s="1"/>
  <c r="H105" i="38" a="1"/>
  <c r="H105" i="38" s="1"/>
  <c r="H106" i="38" a="1"/>
  <c r="H106" i="38" s="1"/>
  <c r="H107" i="38" a="1"/>
  <c r="H107" i="38" s="1"/>
  <c r="H108" i="38" a="1"/>
  <c r="H108" i="38" s="1"/>
  <c r="H109" i="38" a="1"/>
  <c r="H109" i="38" s="1"/>
  <c r="H110" i="38" a="1"/>
  <c r="H110" i="38" s="1"/>
  <c r="H111" i="38" a="1"/>
  <c r="H111" i="38" s="1"/>
  <c r="H112" i="38" a="1"/>
  <c r="H112" i="38" s="1"/>
  <c r="H113" i="38" a="1"/>
  <c r="H113" i="38" s="1"/>
  <c r="H114" i="38" a="1"/>
  <c r="H114" i="38" s="1"/>
  <c r="H115" i="38" a="1"/>
  <c r="H115" i="38" s="1"/>
  <c r="H116" i="38" a="1"/>
  <c r="H116" i="38" s="1"/>
  <c r="H117" i="38" a="1"/>
  <c r="H117" i="38" s="1"/>
  <c r="H118" i="38" a="1"/>
  <c r="H118" i="38" s="1"/>
  <c r="H119" i="38" a="1"/>
  <c r="H119" i="38" s="1"/>
  <c r="H120" i="38" a="1"/>
  <c r="H120" i="38" s="1"/>
  <c r="H121" i="38" a="1"/>
  <c r="H121" i="38" s="1"/>
  <c r="H122" i="38" a="1"/>
  <c r="H122" i="38" s="1"/>
  <c r="H123" i="38" a="1"/>
  <c r="H123" i="38" s="1"/>
  <c r="H124" i="38" a="1"/>
  <c r="H124" i="38" s="1"/>
  <c r="H125" i="38" a="1"/>
  <c r="H125" i="38" s="1"/>
  <c r="H126" i="38" a="1"/>
  <c r="H126" i="38" s="1"/>
  <c r="H127" i="38" a="1"/>
  <c r="H127" i="38" s="1"/>
  <c r="H128" i="38" a="1"/>
  <c r="H128" i="38" s="1"/>
  <c r="H129" i="38" a="1"/>
  <c r="H129" i="38" s="1"/>
  <c r="H130" i="38" a="1"/>
  <c r="H130" i="38" s="1"/>
  <c r="H131" i="38" a="1"/>
  <c r="H131" i="38" s="1"/>
  <c r="H132" i="38" a="1"/>
  <c r="H132" i="38" s="1"/>
  <c r="H133" i="38" a="1"/>
  <c r="H133" i="38" s="1"/>
  <c r="H134" i="38" a="1"/>
  <c r="H134" i="38" s="1"/>
  <c r="H135" i="38" a="1"/>
  <c r="H135" i="38" s="1"/>
  <c r="H136" i="38" a="1"/>
  <c r="H136" i="38" s="1"/>
  <c r="H137" i="38" a="1"/>
  <c r="H137" i="38" s="1"/>
  <c r="H138" i="38" a="1"/>
  <c r="H138" i="38" s="1"/>
  <c r="H139" i="38" a="1"/>
  <c r="H139" i="38" s="1"/>
  <c r="H140" i="38" a="1"/>
  <c r="H140" i="38" s="1"/>
  <c r="H141" i="38" a="1"/>
  <c r="H141" i="38" s="1"/>
  <c r="H142" i="38" a="1"/>
  <c r="H142" i="38" s="1"/>
  <c r="H143" i="38" a="1"/>
  <c r="H143" i="38" s="1"/>
  <c r="H144" i="38" a="1"/>
  <c r="H144" i="38" s="1"/>
  <c r="H145" i="38" a="1"/>
  <c r="H145" i="38" s="1"/>
  <c r="H146" i="38" a="1"/>
  <c r="H146" i="38" s="1"/>
  <c r="H147" i="38" a="1"/>
  <c r="H147" i="38" s="1"/>
  <c r="H148" i="38" a="1"/>
  <c r="H148" i="38" s="1"/>
  <c r="H149" i="38" a="1"/>
  <c r="H149" i="38" s="1"/>
  <c r="H150" i="38" a="1"/>
  <c r="H150" i="38" s="1"/>
  <c r="H151" i="38" a="1"/>
  <c r="H151" i="38" s="1"/>
  <c r="H152" i="38" a="1"/>
  <c r="H152" i="38" s="1"/>
  <c r="H153" i="38" a="1"/>
  <c r="H153" i="38" s="1"/>
  <c r="H154" i="38" a="1"/>
  <c r="H154" i="38" s="1"/>
  <c r="H155" i="38" a="1"/>
  <c r="H155" i="38" s="1"/>
  <c r="H156" i="38" a="1"/>
  <c r="H156" i="38" s="1"/>
  <c r="H157" i="38" a="1"/>
  <c r="H157" i="38" s="1"/>
  <c r="H158" i="38" a="1"/>
  <c r="H158" i="38" s="1"/>
  <c r="H159" i="38" a="1"/>
  <c r="H159" i="38" s="1"/>
  <c r="H160" i="38" a="1"/>
  <c r="H160" i="38" s="1"/>
  <c r="H161" i="38" a="1"/>
  <c r="H161" i="38" s="1"/>
  <c r="H162" i="38" a="1"/>
  <c r="H162" i="38" s="1"/>
  <c r="H163" i="38" a="1"/>
  <c r="H163" i="38" s="1"/>
  <c r="H164" i="38" a="1"/>
  <c r="H164" i="38" s="1"/>
  <c r="H165" i="38" a="1"/>
  <c r="H165" i="38" s="1"/>
  <c r="H166" i="38" a="1"/>
  <c r="H166" i="38" s="1"/>
  <c r="H167" i="38" a="1"/>
  <c r="H167" i="38" s="1"/>
  <c r="H168" i="38" a="1"/>
  <c r="H168" i="38" s="1"/>
  <c r="H169" i="38" a="1"/>
  <c r="H169" i="38" s="1"/>
  <c r="H170" i="38" a="1"/>
  <c r="H170" i="38" s="1"/>
  <c r="H171" i="38" a="1"/>
  <c r="H171" i="38" s="1"/>
  <c r="H172" i="38" a="1"/>
  <c r="H172" i="38" s="1"/>
  <c r="H173" i="38" a="1"/>
  <c r="H173" i="38" s="1"/>
  <c r="H174" i="38" a="1"/>
  <c r="H174" i="38" s="1"/>
  <c r="H175" i="38" a="1"/>
  <c r="H175" i="38" s="1"/>
  <c r="H176" i="38" a="1"/>
  <c r="H176" i="38" s="1"/>
  <c r="H177" i="38" a="1"/>
  <c r="H177" i="38" s="1"/>
  <c r="H178" i="38" a="1"/>
  <c r="H178" i="38" s="1"/>
  <c r="H179" i="38" a="1"/>
  <c r="H179" i="38" s="1"/>
  <c r="H180" i="38" a="1"/>
  <c r="H180" i="38" s="1"/>
  <c r="H181" i="38" a="1"/>
  <c r="H181" i="38" s="1"/>
  <c r="H182" i="38" a="1"/>
  <c r="H182" i="38" s="1"/>
  <c r="H183" i="38" a="1"/>
  <c r="H183" i="38" s="1"/>
  <c r="H184" i="38" a="1"/>
  <c r="H184" i="38" s="1"/>
  <c r="H185" i="38" a="1"/>
  <c r="H185" i="38" s="1"/>
  <c r="H186" i="38" a="1"/>
  <c r="H186" i="38" s="1"/>
  <c r="H187" i="38" a="1"/>
  <c r="H187" i="38" s="1"/>
  <c r="H188" i="38" a="1"/>
  <c r="H188" i="38" s="1"/>
  <c r="H189" i="38" a="1"/>
  <c r="H189" i="38" s="1"/>
  <c r="H190" i="38" a="1"/>
  <c r="H190" i="38" s="1"/>
  <c r="H7" i="38" a="1"/>
  <c r="H7" i="38" s="1"/>
  <c r="E8" i="38" a="1"/>
  <c r="E8" i="38" s="1"/>
  <c r="E9" i="38" a="1"/>
  <c r="E9" i="38" s="1"/>
  <c r="E10" i="38" a="1"/>
  <c r="E10" i="38" s="1"/>
  <c r="E11" i="38" a="1"/>
  <c r="E11" i="38" s="1"/>
  <c r="E12" i="38" a="1"/>
  <c r="E12" i="38" s="1"/>
  <c r="E13" i="38" a="1"/>
  <c r="E13" i="38" s="1"/>
  <c r="E14" i="38" a="1"/>
  <c r="E14" i="38" s="1"/>
  <c r="E15" i="38" a="1"/>
  <c r="E15" i="38" s="1"/>
  <c r="E16" i="38" a="1"/>
  <c r="E16" i="38" s="1"/>
  <c r="E17" i="38" a="1"/>
  <c r="E17" i="38" s="1"/>
  <c r="E18" i="38" a="1"/>
  <c r="E18" i="38" s="1"/>
  <c r="E19" i="38" a="1"/>
  <c r="E19" i="38" s="1"/>
  <c r="E20" i="38" a="1"/>
  <c r="E20" i="38" s="1"/>
  <c r="E21" i="38" a="1"/>
  <c r="E21" i="38" s="1"/>
  <c r="E22" i="38" a="1"/>
  <c r="E22" i="38" s="1"/>
  <c r="E23" i="38" a="1"/>
  <c r="E23" i="38" s="1"/>
  <c r="E24" i="38" a="1"/>
  <c r="E24" i="38" s="1"/>
  <c r="E25" i="38" a="1"/>
  <c r="E25" i="38" s="1"/>
  <c r="E26" i="38" a="1"/>
  <c r="E26" i="38" s="1"/>
  <c r="E27" i="38" a="1"/>
  <c r="E27" i="38" s="1"/>
  <c r="E28" i="38" a="1"/>
  <c r="E28" i="38" s="1"/>
  <c r="E29" i="38" a="1"/>
  <c r="E29" i="38" s="1"/>
  <c r="E30" i="38" a="1"/>
  <c r="E30" i="38" s="1"/>
  <c r="E31" i="38" a="1"/>
  <c r="E31" i="38" s="1"/>
  <c r="E32" i="38" a="1"/>
  <c r="E32" i="38" s="1"/>
  <c r="E33" i="38" a="1"/>
  <c r="E33" i="38" s="1"/>
  <c r="E34" i="38" a="1"/>
  <c r="E34" i="38" s="1"/>
  <c r="E35" i="38" a="1"/>
  <c r="E35" i="38" s="1"/>
  <c r="E36" i="38" a="1"/>
  <c r="E36" i="38" s="1"/>
  <c r="E37" i="38" a="1"/>
  <c r="E37" i="38" s="1"/>
  <c r="E38" i="38" a="1"/>
  <c r="E38" i="38" s="1"/>
  <c r="E39" i="38" a="1"/>
  <c r="E39" i="38" s="1"/>
  <c r="E40" i="38" a="1"/>
  <c r="E40" i="38" s="1"/>
  <c r="E41" i="38" a="1"/>
  <c r="E41" i="38" s="1"/>
  <c r="E42" i="38" a="1"/>
  <c r="E42" i="38" s="1"/>
  <c r="E43" i="38" a="1"/>
  <c r="E43" i="38" s="1"/>
  <c r="E44" i="38" a="1"/>
  <c r="E44" i="38" s="1"/>
  <c r="E45" i="38" a="1"/>
  <c r="E45" i="38" s="1"/>
  <c r="E46" i="38" a="1"/>
  <c r="E46" i="38" s="1"/>
  <c r="E47" i="38" a="1"/>
  <c r="E47" i="38" s="1"/>
  <c r="E48" i="38" a="1"/>
  <c r="E48" i="38" s="1"/>
  <c r="E49" i="38" a="1"/>
  <c r="E49" i="38" s="1"/>
  <c r="E50" i="38" a="1"/>
  <c r="E50" i="38" s="1"/>
  <c r="E51" i="38" a="1"/>
  <c r="E51" i="38" s="1"/>
  <c r="E52" i="38" a="1"/>
  <c r="E52" i="38" s="1"/>
  <c r="E53" i="38" a="1"/>
  <c r="E53" i="38" s="1"/>
  <c r="E54" i="38" a="1"/>
  <c r="E54" i="38" s="1"/>
  <c r="E55" i="38" a="1"/>
  <c r="E55" i="38" s="1"/>
  <c r="E56" i="38" a="1"/>
  <c r="E56" i="38" s="1"/>
  <c r="E57" i="38" a="1"/>
  <c r="E57" i="38" s="1"/>
  <c r="E58" i="38" a="1"/>
  <c r="E58" i="38" s="1"/>
  <c r="E59" i="38" a="1"/>
  <c r="E59" i="38" s="1"/>
  <c r="E60" i="38" a="1"/>
  <c r="E60" i="38" s="1"/>
  <c r="E61" i="38" a="1"/>
  <c r="E61" i="38" s="1"/>
  <c r="E62" i="38" a="1"/>
  <c r="E62" i="38" s="1"/>
  <c r="E63" i="38" a="1"/>
  <c r="E63" i="38" s="1"/>
  <c r="E64" i="38" a="1"/>
  <c r="E64" i="38" s="1"/>
  <c r="E65" i="38" a="1"/>
  <c r="E65" i="38" s="1"/>
  <c r="E66" i="38" a="1"/>
  <c r="E66" i="38" s="1"/>
  <c r="E67" i="38" a="1"/>
  <c r="E67" i="38" s="1"/>
  <c r="E68" i="38" a="1"/>
  <c r="E68" i="38" s="1"/>
  <c r="E69" i="38" a="1"/>
  <c r="E69" i="38" s="1"/>
  <c r="E70" i="38" a="1"/>
  <c r="E70" i="38" s="1"/>
  <c r="E71" i="38" a="1"/>
  <c r="E71" i="38" s="1"/>
  <c r="E72" i="38" a="1"/>
  <c r="E72" i="38" s="1"/>
  <c r="E73" i="38" a="1"/>
  <c r="E73" i="38" s="1"/>
  <c r="E74" i="38" a="1"/>
  <c r="E74" i="38" s="1"/>
  <c r="E75" i="38" a="1"/>
  <c r="E75" i="38" s="1"/>
  <c r="E76" i="38" a="1"/>
  <c r="E76" i="38" s="1"/>
  <c r="E77" i="38" a="1"/>
  <c r="E77" i="38" s="1"/>
  <c r="E78" i="38" a="1"/>
  <c r="E78" i="38" s="1"/>
  <c r="E79" i="38" a="1"/>
  <c r="E79" i="38" s="1"/>
  <c r="E80" i="38" a="1"/>
  <c r="E80" i="38" s="1"/>
  <c r="E81" i="38" a="1"/>
  <c r="E81" i="38" s="1"/>
  <c r="E82" i="38" a="1"/>
  <c r="E82" i="38" s="1"/>
  <c r="E83" i="38" a="1"/>
  <c r="E83" i="38" s="1"/>
  <c r="E84" i="38" a="1"/>
  <c r="E84" i="38" s="1"/>
  <c r="E85" i="38" a="1"/>
  <c r="E85" i="38" s="1"/>
  <c r="E86" i="38" a="1"/>
  <c r="E86" i="38" s="1"/>
  <c r="E87" i="38" a="1"/>
  <c r="E87" i="38" s="1"/>
  <c r="E88" i="38" a="1"/>
  <c r="E88" i="38" s="1"/>
  <c r="E89" i="38" a="1"/>
  <c r="E89" i="38" s="1"/>
  <c r="E90" i="38" a="1"/>
  <c r="E90" i="38" s="1"/>
  <c r="E91" i="38" a="1"/>
  <c r="E91" i="38" s="1"/>
  <c r="E92" i="38" a="1"/>
  <c r="E92" i="38" s="1"/>
  <c r="E93" i="38" a="1"/>
  <c r="E93" i="38" s="1"/>
  <c r="E94" i="38" a="1"/>
  <c r="E94" i="38" s="1"/>
  <c r="E95" i="38" a="1"/>
  <c r="E95" i="38" s="1"/>
  <c r="E96" i="38" a="1"/>
  <c r="E96" i="38" s="1"/>
  <c r="E97" i="38" a="1"/>
  <c r="E97" i="38" s="1"/>
  <c r="E98" i="38" a="1"/>
  <c r="E98" i="38" s="1"/>
  <c r="E99" i="38" a="1"/>
  <c r="E99" i="38" s="1"/>
  <c r="E100" i="38" a="1"/>
  <c r="E100" i="38" s="1"/>
  <c r="E101" i="38" a="1"/>
  <c r="E101" i="38" s="1"/>
  <c r="E102" i="38" a="1"/>
  <c r="E102" i="38" s="1"/>
  <c r="E103" i="38" a="1"/>
  <c r="E103" i="38" s="1"/>
  <c r="E104" i="38" a="1"/>
  <c r="E104" i="38" s="1"/>
  <c r="E105" i="38" a="1"/>
  <c r="E105" i="38" s="1"/>
  <c r="E106" i="38" a="1"/>
  <c r="E106" i="38" s="1"/>
  <c r="E107" i="38" a="1"/>
  <c r="E107" i="38" s="1"/>
  <c r="E108" i="38" a="1"/>
  <c r="E108" i="38" s="1"/>
  <c r="E109" i="38" a="1"/>
  <c r="E109" i="38" s="1"/>
  <c r="E110" i="38" a="1"/>
  <c r="E110" i="38" s="1"/>
  <c r="E111" i="38" a="1"/>
  <c r="E111" i="38" s="1"/>
  <c r="E112" i="38" a="1"/>
  <c r="E112" i="38" s="1"/>
  <c r="E113" i="38" a="1"/>
  <c r="E113" i="38" s="1"/>
  <c r="E114" i="38" a="1"/>
  <c r="E114" i="38" s="1"/>
  <c r="E115" i="38" a="1"/>
  <c r="E115" i="38" s="1"/>
  <c r="E116" i="38" a="1"/>
  <c r="E116" i="38" s="1"/>
  <c r="E117" i="38" a="1"/>
  <c r="E117" i="38" s="1"/>
  <c r="E118" i="38" a="1"/>
  <c r="E118" i="38" s="1"/>
  <c r="E119" i="38" a="1"/>
  <c r="E119" i="38" s="1"/>
  <c r="E120" i="38" a="1"/>
  <c r="E120" i="38" s="1"/>
  <c r="E121" i="38" a="1"/>
  <c r="E121" i="38" s="1"/>
  <c r="E122" i="38" a="1"/>
  <c r="E122" i="38" s="1"/>
  <c r="E123" i="38" a="1"/>
  <c r="E123" i="38" s="1"/>
  <c r="E124" i="38" a="1"/>
  <c r="E124" i="38" s="1"/>
  <c r="E125" i="38" a="1"/>
  <c r="E125" i="38" s="1"/>
  <c r="E126" i="38" a="1"/>
  <c r="E126" i="38" s="1"/>
  <c r="E127" i="38" a="1"/>
  <c r="E127" i="38" s="1"/>
  <c r="E128" i="38" a="1"/>
  <c r="E128" i="38" s="1"/>
  <c r="E129" i="38" a="1"/>
  <c r="E129" i="38" s="1"/>
  <c r="E130" i="38" a="1"/>
  <c r="E130" i="38" s="1"/>
  <c r="E131" i="38" a="1"/>
  <c r="E131" i="38" s="1"/>
  <c r="E132" i="38" a="1"/>
  <c r="E132" i="38" s="1"/>
  <c r="E133" i="38" a="1"/>
  <c r="E133" i="38" s="1"/>
  <c r="E134" i="38" a="1"/>
  <c r="E134" i="38" s="1"/>
  <c r="E135" i="38" a="1"/>
  <c r="E135" i="38" s="1"/>
  <c r="E136" i="38" a="1"/>
  <c r="E136" i="38" s="1"/>
  <c r="E137" i="38" a="1"/>
  <c r="E137" i="38" s="1"/>
  <c r="E138" i="38" a="1"/>
  <c r="E138" i="38" s="1"/>
  <c r="E139" i="38" a="1"/>
  <c r="E139" i="38" s="1"/>
  <c r="E140" i="38" a="1"/>
  <c r="E140" i="38" s="1"/>
  <c r="E141" i="38" a="1"/>
  <c r="E141" i="38" s="1"/>
  <c r="E142" i="38" a="1"/>
  <c r="E142" i="38" s="1"/>
  <c r="E143" i="38" a="1"/>
  <c r="E143" i="38" s="1"/>
  <c r="E144" i="38" a="1"/>
  <c r="E144" i="38" s="1"/>
  <c r="E145" i="38" a="1"/>
  <c r="E145" i="38" s="1"/>
  <c r="E146" i="38" a="1"/>
  <c r="E146" i="38" s="1"/>
  <c r="E147" i="38" a="1"/>
  <c r="E147" i="38" s="1"/>
  <c r="E148" i="38" a="1"/>
  <c r="E148" i="38" s="1"/>
  <c r="E149" i="38" a="1"/>
  <c r="E149" i="38" s="1"/>
  <c r="E150" i="38" a="1"/>
  <c r="E150" i="38" s="1"/>
  <c r="E151" i="38" a="1"/>
  <c r="E151" i="38" s="1"/>
  <c r="E152" i="38" a="1"/>
  <c r="E152" i="38" s="1"/>
  <c r="E153" i="38" a="1"/>
  <c r="E153" i="38" s="1"/>
  <c r="E154" i="38" a="1"/>
  <c r="E154" i="38" s="1"/>
  <c r="E155" i="38" a="1"/>
  <c r="E155" i="38" s="1"/>
  <c r="E156" i="38" a="1"/>
  <c r="E156" i="38" s="1"/>
  <c r="E157" i="38" a="1"/>
  <c r="E157" i="38" s="1"/>
  <c r="E158" i="38" a="1"/>
  <c r="E158" i="38" s="1"/>
  <c r="E159" i="38" a="1"/>
  <c r="E159" i="38" s="1"/>
  <c r="E160" i="38" a="1"/>
  <c r="E160" i="38" s="1"/>
  <c r="E161" i="38" a="1"/>
  <c r="E161" i="38" s="1"/>
  <c r="E162" i="38" a="1"/>
  <c r="E162" i="38" s="1"/>
  <c r="E163" i="38" a="1"/>
  <c r="E163" i="38" s="1"/>
  <c r="E164" i="38" a="1"/>
  <c r="E164" i="38" s="1"/>
  <c r="E165" i="38" a="1"/>
  <c r="E165" i="38" s="1"/>
  <c r="E166" i="38" a="1"/>
  <c r="E166" i="38" s="1"/>
  <c r="E167" i="38" a="1"/>
  <c r="E167" i="38" s="1"/>
  <c r="E168" i="38" a="1"/>
  <c r="E168" i="38" s="1"/>
  <c r="E169" i="38" a="1"/>
  <c r="E169" i="38" s="1"/>
  <c r="E170" i="38" a="1"/>
  <c r="E170" i="38" s="1"/>
  <c r="E171" i="38" a="1"/>
  <c r="E171" i="38" s="1"/>
  <c r="E172" i="38" a="1"/>
  <c r="E172" i="38" s="1"/>
  <c r="E173" i="38" a="1"/>
  <c r="E173" i="38" s="1"/>
  <c r="E174" i="38" a="1"/>
  <c r="E174" i="38" s="1"/>
  <c r="E175" i="38" a="1"/>
  <c r="E175" i="38" s="1"/>
  <c r="E176" i="38" a="1"/>
  <c r="E176" i="38" s="1"/>
  <c r="E177" i="38" a="1"/>
  <c r="E177" i="38" s="1"/>
  <c r="E178" i="38" a="1"/>
  <c r="E178" i="38" s="1"/>
  <c r="E179" i="38" a="1"/>
  <c r="E179" i="38" s="1"/>
  <c r="E180" i="38" a="1"/>
  <c r="E180" i="38" s="1"/>
  <c r="E181" i="38" a="1"/>
  <c r="E181" i="38" s="1"/>
  <c r="E182" i="38" a="1"/>
  <c r="E182" i="38" s="1"/>
  <c r="E183" i="38" a="1"/>
  <c r="E183" i="38" s="1"/>
  <c r="E184" i="38" a="1"/>
  <c r="E184" i="38" s="1"/>
  <c r="E185" i="38" a="1"/>
  <c r="E185" i="38" s="1"/>
  <c r="E186" i="38" a="1"/>
  <c r="E186" i="38" s="1"/>
  <c r="E187" i="38" a="1"/>
  <c r="E187" i="38" s="1"/>
  <c r="E188" i="38" a="1"/>
  <c r="E188" i="38" s="1"/>
  <c r="E189" i="38" a="1"/>
  <c r="E189" i="38" s="1"/>
  <c r="E190" i="38" a="1"/>
  <c r="E190" i="38" s="1"/>
  <c r="E7" i="38" a="1"/>
  <c r="E7" i="38" s="1"/>
  <c r="I8" i="38" a="1"/>
  <c r="I8" i="38" s="1"/>
  <c r="J8" i="38" a="1"/>
  <c r="J8" i="38" s="1"/>
  <c r="I9" i="38" a="1"/>
  <c r="I9" i="38" s="1"/>
  <c r="J9" i="38" a="1"/>
  <c r="J9" i="38" s="1"/>
  <c r="I10" i="38" a="1"/>
  <c r="I10" i="38" s="1"/>
  <c r="J10" i="38" a="1"/>
  <c r="J10" i="38" s="1"/>
  <c r="I11" i="38" a="1"/>
  <c r="I11" i="38" s="1"/>
  <c r="J11" i="38" a="1"/>
  <c r="J11" i="38" s="1"/>
  <c r="I12" i="38" a="1"/>
  <c r="I12" i="38" s="1"/>
  <c r="J12" i="38" a="1"/>
  <c r="J12" i="38" s="1"/>
  <c r="I13" i="38" a="1"/>
  <c r="I13" i="38" s="1"/>
  <c r="J13" i="38" a="1"/>
  <c r="J13" i="38" s="1"/>
  <c r="I14" i="38" a="1"/>
  <c r="I14" i="38" s="1"/>
  <c r="J14" i="38" a="1"/>
  <c r="J14" i="38" s="1"/>
  <c r="I15" i="38" a="1"/>
  <c r="I15" i="38" s="1"/>
  <c r="J15" i="38" a="1"/>
  <c r="J15" i="38" s="1"/>
  <c r="I16" i="38" a="1"/>
  <c r="I16" i="38" s="1"/>
  <c r="J16" i="38" a="1"/>
  <c r="J16" i="38" s="1"/>
  <c r="I17" i="38" a="1"/>
  <c r="I17" i="38" s="1"/>
  <c r="J17" i="38" a="1"/>
  <c r="J17" i="38" s="1"/>
  <c r="I18" i="38" a="1"/>
  <c r="I18" i="38" s="1"/>
  <c r="J18" i="38" a="1"/>
  <c r="J18" i="38" s="1"/>
  <c r="I19" i="38" a="1"/>
  <c r="I19" i="38" s="1"/>
  <c r="J19" i="38" a="1"/>
  <c r="J19" i="38" s="1"/>
  <c r="I20" i="38" a="1"/>
  <c r="I20" i="38" s="1"/>
  <c r="J20" i="38" a="1"/>
  <c r="J20" i="38" s="1"/>
  <c r="I21" i="38" a="1"/>
  <c r="I21" i="38" s="1"/>
  <c r="J21" i="38" a="1"/>
  <c r="J21" i="38" s="1"/>
  <c r="I22" i="38" a="1"/>
  <c r="I22" i="38" s="1"/>
  <c r="J22" i="38" a="1"/>
  <c r="J22" i="38" s="1"/>
  <c r="I23" i="38" a="1"/>
  <c r="I23" i="38" s="1"/>
  <c r="J23" i="38" a="1"/>
  <c r="J23" i="38" s="1"/>
  <c r="I24" i="38" a="1"/>
  <c r="I24" i="38" s="1"/>
  <c r="J24" i="38" a="1"/>
  <c r="J24" i="38" s="1"/>
  <c r="I25" i="38" a="1"/>
  <c r="I25" i="38" s="1"/>
  <c r="J25" i="38" a="1"/>
  <c r="J25" i="38" s="1"/>
  <c r="I26" i="38" a="1"/>
  <c r="I26" i="38" s="1"/>
  <c r="J26" i="38" a="1"/>
  <c r="J26" i="38" s="1"/>
  <c r="I27" i="38" a="1"/>
  <c r="I27" i="38" s="1"/>
  <c r="J27" i="38" a="1"/>
  <c r="J27" i="38" s="1"/>
  <c r="I28" i="38" a="1"/>
  <c r="I28" i="38" s="1"/>
  <c r="J28" i="38" a="1"/>
  <c r="J28" i="38" s="1"/>
  <c r="I29" i="38" a="1"/>
  <c r="I29" i="38" s="1"/>
  <c r="J29" i="38" a="1"/>
  <c r="J29" i="38" s="1"/>
  <c r="I30" i="38" a="1"/>
  <c r="I30" i="38" s="1"/>
  <c r="J30" i="38" a="1"/>
  <c r="J30" i="38" s="1"/>
  <c r="I31" i="38" a="1"/>
  <c r="I31" i="38" s="1"/>
  <c r="J31" i="38" a="1"/>
  <c r="J31" i="38" s="1"/>
  <c r="I32" i="38" a="1"/>
  <c r="I32" i="38" s="1"/>
  <c r="J32" i="38" a="1"/>
  <c r="J32" i="38" s="1"/>
  <c r="I33" i="38" a="1"/>
  <c r="I33" i="38" s="1"/>
  <c r="J33" i="38" a="1"/>
  <c r="J33" i="38" s="1"/>
  <c r="I34" i="38" a="1"/>
  <c r="I34" i="38" s="1"/>
  <c r="J34" i="38" a="1"/>
  <c r="J34" i="38" s="1"/>
  <c r="I35" i="38" a="1"/>
  <c r="I35" i="38" s="1"/>
  <c r="J35" i="38" a="1"/>
  <c r="J35" i="38" s="1"/>
  <c r="I36" i="38" a="1"/>
  <c r="I36" i="38" s="1"/>
  <c r="J36" i="38" a="1"/>
  <c r="J36" i="38" s="1"/>
  <c r="I37" i="38" a="1"/>
  <c r="I37" i="38" s="1"/>
  <c r="J37" i="38" a="1"/>
  <c r="J37" i="38" s="1"/>
  <c r="I38" i="38" a="1"/>
  <c r="I38" i="38" s="1"/>
  <c r="J38" i="38" a="1"/>
  <c r="J38" i="38" s="1"/>
  <c r="I39" i="38" a="1"/>
  <c r="I39" i="38" s="1"/>
  <c r="J39" i="38" a="1"/>
  <c r="J39" i="38" s="1"/>
  <c r="I40" i="38" a="1"/>
  <c r="I40" i="38" s="1"/>
  <c r="J40" i="38" a="1"/>
  <c r="J40" i="38" s="1"/>
  <c r="I41" i="38" a="1"/>
  <c r="I41" i="38" s="1"/>
  <c r="J41" i="38" a="1"/>
  <c r="J41" i="38" s="1"/>
  <c r="I42" i="38" a="1"/>
  <c r="I42" i="38" s="1"/>
  <c r="J42" i="38" a="1"/>
  <c r="J42" i="38" s="1"/>
  <c r="I43" i="38" a="1"/>
  <c r="I43" i="38" s="1"/>
  <c r="J43" i="38" a="1"/>
  <c r="J43" i="38" s="1"/>
  <c r="I44" i="38" a="1"/>
  <c r="I44" i="38" s="1"/>
  <c r="J44" i="38" a="1"/>
  <c r="J44" i="38" s="1"/>
  <c r="I45" i="38" a="1"/>
  <c r="I45" i="38" s="1"/>
  <c r="J45" i="38" a="1"/>
  <c r="J45" i="38" s="1"/>
  <c r="I46" i="38" a="1"/>
  <c r="I46" i="38" s="1"/>
  <c r="J46" i="38" a="1"/>
  <c r="J46" i="38" s="1"/>
  <c r="I47" i="38" a="1"/>
  <c r="I47" i="38" s="1"/>
  <c r="J47" i="38" a="1"/>
  <c r="J47" i="38" s="1"/>
  <c r="I48" i="38" a="1"/>
  <c r="I48" i="38" s="1"/>
  <c r="J48" i="38" a="1"/>
  <c r="J48" i="38" s="1"/>
  <c r="I49" i="38" a="1"/>
  <c r="I49" i="38" s="1"/>
  <c r="J49" i="38" a="1"/>
  <c r="J49" i="38" s="1"/>
  <c r="I50" i="38" a="1"/>
  <c r="I50" i="38" s="1"/>
  <c r="J50" i="38" a="1"/>
  <c r="J50" i="38" s="1"/>
  <c r="I51" i="38" a="1"/>
  <c r="I51" i="38" s="1"/>
  <c r="J51" i="38" a="1"/>
  <c r="J51" i="38" s="1"/>
  <c r="I52" i="38" a="1"/>
  <c r="I52" i="38" s="1"/>
  <c r="J52" i="38" a="1"/>
  <c r="J52" i="38" s="1"/>
  <c r="I53" i="38" a="1"/>
  <c r="I53" i="38" s="1"/>
  <c r="J53" i="38" a="1"/>
  <c r="J53" i="38" s="1"/>
  <c r="I54" i="38" a="1"/>
  <c r="I54" i="38" s="1"/>
  <c r="J54" i="38" a="1"/>
  <c r="J54" i="38" s="1"/>
  <c r="I55" i="38" a="1"/>
  <c r="I55" i="38" s="1"/>
  <c r="J55" i="38" a="1"/>
  <c r="J55" i="38" s="1"/>
  <c r="I56" i="38" a="1"/>
  <c r="I56" i="38" s="1"/>
  <c r="J56" i="38" a="1"/>
  <c r="J56" i="38" s="1"/>
  <c r="I57" i="38" a="1"/>
  <c r="I57" i="38" s="1"/>
  <c r="J57" i="38" a="1"/>
  <c r="J57" i="38" s="1"/>
  <c r="I58" i="38" a="1"/>
  <c r="I58" i="38" s="1"/>
  <c r="J58" i="38" a="1"/>
  <c r="J58" i="38" s="1"/>
  <c r="I59" i="38" a="1"/>
  <c r="I59" i="38" s="1"/>
  <c r="J59" i="38" a="1"/>
  <c r="J59" i="38" s="1"/>
  <c r="I60" i="38" a="1"/>
  <c r="I60" i="38" s="1"/>
  <c r="J60" i="38" a="1"/>
  <c r="J60" i="38" s="1"/>
  <c r="I61" i="38" a="1"/>
  <c r="I61" i="38" s="1"/>
  <c r="J61" i="38" a="1"/>
  <c r="J61" i="38" s="1"/>
  <c r="I62" i="38" a="1"/>
  <c r="I62" i="38" s="1"/>
  <c r="J62" i="38" a="1"/>
  <c r="J62" i="38" s="1"/>
  <c r="I63" i="38" a="1"/>
  <c r="I63" i="38" s="1"/>
  <c r="J63" i="38" a="1"/>
  <c r="J63" i="38" s="1"/>
  <c r="I64" i="38" a="1"/>
  <c r="I64" i="38" s="1"/>
  <c r="J64" i="38" a="1"/>
  <c r="J64" i="38" s="1"/>
  <c r="I65" i="38" a="1"/>
  <c r="I65" i="38" s="1"/>
  <c r="J65" i="38" a="1"/>
  <c r="J65" i="38" s="1"/>
  <c r="I66" i="38" a="1"/>
  <c r="I66" i="38" s="1"/>
  <c r="J66" i="38" a="1"/>
  <c r="J66" i="38" s="1"/>
  <c r="I67" i="38" a="1"/>
  <c r="I67" i="38" s="1"/>
  <c r="J67" i="38" a="1"/>
  <c r="J67" i="38" s="1"/>
  <c r="I68" i="38" a="1"/>
  <c r="I68" i="38" s="1"/>
  <c r="J68" i="38" a="1"/>
  <c r="J68" i="38" s="1"/>
  <c r="I69" i="38" a="1"/>
  <c r="I69" i="38" s="1"/>
  <c r="J69" i="38" a="1"/>
  <c r="J69" i="38" s="1"/>
  <c r="I70" i="38" a="1"/>
  <c r="I70" i="38" s="1"/>
  <c r="J70" i="38" a="1"/>
  <c r="J70" i="38" s="1"/>
  <c r="I71" i="38" a="1"/>
  <c r="I71" i="38" s="1"/>
  <c r="J71" i="38" a="1"/>
  <c r="J71" i="38" s="1"/>
  <c r="I72" i="38" a="1"/>
  <c r="I72" i="38" s="1"/>
  <c r="J72" i="38" a="1"/>
  <c r="J72" i="38" s="1"/>
  <c r="I73" i="38" a="1"/>
  <c r="I73" i="38" s="1"/>
  <c r="J73" i="38" a="1"/>
  <c r="J73" i="38" s="1"/>
  <c r="I74" i="38" a="1"/>
  <c r="I74" i="38" s="1"/>
  <c r="J74" i="38" a="1"/>
  <c r="J74" i="38" s="1"/>
  <c r="I75" i="38" a="1"/>
  <c r="I75" i="38" s="1"/>
  <c r="J75" i="38" a="1"/>
  <c r="J75" i="38" s="1"/>
  <c r="I76" i="38" a="1"/>
  <c r="I76" i="38" s="1"/>
  <c r="J76" i="38" a="1"/>
  <c r="J76" i="38" s="1"/>
  <c r="I77" i="38" a="1"/>
  <c r="I77" i="38" s="1"/>
  <c r="J77" i="38" a="1"/>
  <c r="J77" i="38" s="1"/>
  <c r="I78" i="38" a="1"/>
  <c r="I78" i="38" s="1"/>
  <c r="J78" i="38" a="1"/>
  <c r="J78" i="38" s="1"/>
  <c r="I79" i="38" a="1"/>
  <c r="I79" i="38" s="1"/>
  <c r="J79" i="38" a="1"/>
  <c r="J79" i="38" s="1"/>
  <c r="I80" i="38" a="1"/>
  <c r="I80" i="38" s="1"/>
  <c r="J80" i="38" a="1"/>
  <c r="J80" i="38" s="1"/>
  <c r="I81" i="38" a="1"/>
  <c r="I81" i="38" s="1"/>
  <c r="J81" i="38" a="1"/>
  <c r="J81" i="38" s="1"/>
  <c r="I82" i="38" a="1"/>
  <c r="I82" i="38" s="1"/>
  <c r="J82" i="38" a="1"/>
  <c r="J82" i="38" s="1"/>
  <c r="I83" i="38" a="1"/>
  <c r="I83" i="38" s="1"/>
  <c r="J83" i="38" a="1"/>
  <c r="J83" i="38" s="1"/>
  <c r="I84" i="38" a="1"/>
  <c r="I84" i="38" s="1"/>
  <c r="J84" i="38" a="1"/>
  <c r="J84" i="38" s="1"/>
  <c r="I85" i="38" a="1"/>
  <c r="I85" i="38" s="1"/>
  <c r="J85" i="38" a="1"/>
  <c r="J85" i="38" s="1"/>
  <c r="I86" i="38" a="1"/>
  <c r="I86" i="38" s="1"/>
  <c r="J86" i="38" a="1"/>
  <c r="J86" i="38" s="1"/>
  <c r="I87" i="38" a="1"/>
  <c r="I87" i="38" s="1"/>
  <c r="J87" i="38" a="1"/>
  <c r="J87" i="38" s="1"/>
  <c r="I88" i="38" a="1"/>
  <c r="I88" i="38" s="1"/>
  <c r="J88" i="38" a="1"/>
  <c r="J88" i="38" s="1"/>
  <c r="I89" i="38" a="1"/>
  <c r="I89" i="38" s="1"/>
  <c r="J89" i="38" a="1"/>
  <c r="J89" i="38" s="1"/>
  <c r="I90" i="38" a="1"/>
  <c r="I90" i="38" s="1"/>
  <c r="J90" i="38" a="1"/>
  <c r="J90" i="38" s="1"/>
  <c r="I91" i="38" a="1"/>
  <c r="I91" i="38" s="1"/>
  <c r="J91" i="38" a="1"/>
  <c r="J91" i="38" s="1"/>
  <c r="I92" i="38" a="1"/>
  <c r="I92" i="38" s="1"/>
  <c r="J92" i="38" a="1"/>
  <c r="J92" i="38" s="1"/>
  <c r="I93" i="38" a="1"/>
  <c r="I93" i="38" s="1"/>
  <c r="J93" i="38" a="1"/>
  <c r="J93" i="38" s="1"/>
  <c r="I94" i="38" a="1"/>
  <c r="I94" i="38" s="1"/>
  <c r="J94" i="38" a="1"/>
  <c r="J94" i="38" s="1"/>
  <c r="I95" i="38" a="1"/>
  <c r="I95" i="38" s="1"/>
  <c r="J95" i="38" a="1"/>
  <c r="J95" i="38" s="1"/>
  <c r="I96" i="38" a="1"/>
  <c r="I96" i="38" s="1"/>
  <c r="J96" i="38" a="1"/>
  <c r="J96" i="38" s="1"/>
  <c r="I97" i="38" a="1"/>
  <c r="I97" i="38" s="1"/>
  <c r="J97" i="38" a="1"/>
  <c r="J97" i="38" s="1"/>
  <c r="I98" i="38" a="1"/>
  <c r="I98" i="38" s="1"/>
  <c r="J98" i="38" a="1"/>
  <c r="J98" i="38" s="1"/>
  <c r="I99" i="38" a="1"/>
  <c r="I99" i="38" s="1"/>
  <c r="J99" i="38" a="1"/>
  <c r="J99" i="38" s="1"/>
  <c r="I100" i="38" a="1"/>
  <c r="I100" i="38" s="1"/>
  <c r="J100" i="38" a="1"/>
  <c r="J100" i="38" s="1"/>
  <c r="I101" i="38" a="1"/>
  <c r="I101" i="38" s="1"/>
  <c r="J101" i="38" a="1"/>
  <c r="J101" i="38" s="1"/>
  <c r="I102" i="38" a="1"/>
  <c r="I102" i="38" s="1"/>
  <c r="J102" i="38" a="1"/>
  <c r="J102" i="38" s="1"/>
  <c r="I103" i="38" a="1"/>
  <c r="I103" i="38" s="1"/>
  <c r="J103" i="38" a="1"/>
  <c r="J103" i="38" s="1"/>
  <c r="I104" i="38" a="1"/>
  <c r="I104" i="38" s="1"/>
  <c r="J104" i="38" a="1"/>
  <c r="J104" i="38" s="1"/>
  <c r="I105" i="38" a="1"/>
  <c r="I105" i="38" s="1"/>
  <c r="J105" i="38" a="1"/>
  <c r="J105" i="38" s="1"/>
  <c r="I106" i="38" a="1"/>
  <c r="I106" i="38" s="1"/>
  <c r="J106" i="38" a="1"/>
  <c r="J106" i="38" s="1"/>
  <c r="I107" i="38" a="1"/>
  <c r="I107" i="38" s="1"/>
  <c r="J107" i="38" a="1"/>
  <c r="J107" i="38" s="1"/>
  <c r="I108" i="38" a="1"/>
  <c r="I108" i="38" s="1"/>
  <c r="J108" i="38" a="1"/>
  <c r="J108" i="38" s="1"/>
  <c r="I109" i="38" a="1"/>
  <c r="I109" i="38" s="1"/>
  <c r="J109" i="38" a="1"/>
  <c r="J109" i="38" s="1"/>
  <c r="I110" i="38" a="1"/>
  <c r="I110" i="38" s="1"/>
  <c r="J110" i="38" a="1"/>
  <c r="J110" i="38" s="1"/>
  <c r="I111" i="38" a="1"/>
  <c r="I111" i="38" s="1"/>
  <c r="J111" i="38" a="1"/>
  <c r="J111" i="38" s="1"/>
  <c r="I112" i="38" a="1"/>
  <c r="I112" i="38" s="1"/>
  <c r="J112" i="38" a="1"/>
  <c r="J112" i="38" s="1"/>
  <c r="I113" i="38" a="1"/>
  <c r="I113" i="38" s="1"/>
  <c r="J113" i="38" a="1"/>
  <c r="J113" i="38" s="1"/>
  <c r="I114" i="38" a="1"/>
  <c r="I114" i="38" s="1"/>
  <c r="J114" i="38" a="1"/>
  <c r="J114" i="38" s="1"/>
  <c r="I115" i="38" a="1"/>
  <c r="I115" i="38" s="1"/>
  <c r="J115" i="38" a="1"/>
  <c r="J115" i="38" s="1"/>
  <c r="I116" i="38" a="1"/>
  <c r="I116" i="38" s="1"/>
  <c r="J116" i="38" a="1"/>
  <c r="J116" i="38" s="1"/>
  <c r="I117" i="38" a="1"/>
  <c r="I117" i="38" s="1"/>
  <c r="J117" i="38" a="1"/>
  <c r="J117" i="38" s="1"/>
  <c r="I118" i="38" a="1"/>
  <c r="I118" i="38" s="1"/>
  <c r="J118" i="38" a="1"/>
  <c r="J118" i="38" s="1"/>
  <c r="I119" i="38" a="1"/>
  <c r="I119" i="38" s="1"/>
  <c r="J119" i="38" a="1"/>
  <c r="J119" i="38" s="1"/>
  <c r="I120" i="38" a="1"/>
  <c r="I120" i="38" s="1"/>
  <c r="J120" i="38" a="1"/>
  <c r="J120" i="38" s="1"/>
  <c r="I121" i="38" a="1"/>
  <c r="I121" i="38" s="1"/>
  <c r="J121" i="38" a="1"/>
  <c r="J121" i="38" s="1"/>
  <c r="I122" i="38" a="1"/>
  <c r="I122" i="38" s="1"/>
  <c r="J122" i="38" a="1"/>
  <c r="J122" i="38" s="1"/>
  <c r="I123" i="38" a="1"/>
  <c r="I123" i="38" s="1"/>
  <c r="J123" i="38" a="1"/>
  <c r="J123" i="38" s="1"/>
  <c r="I124" i="38" a="1"/>
  <c r="I124" i="38" s="1"/>
  <c r="J124" i="38" a="1"/>
  <c r="J124" i="38" s="1"/>
  <c r="I125" i="38" a="1"/>
  <c r="I125" i="38" s="1"/>
  <c r="J125" i="38" a="1"/>
  <c r="J125" i="38" s="1"/>
  <c r="I126" i="38" a="1"/>
  <c r="I126" i="38" s="1"/>
  <c r="J126" i="38" a="1"/>
  <c r="J126" i="38" s="1"/>
  <c r="I127" i="38" a="1"/>
  <c r="I127" i="38" s="1"/>
  <c r="J127" i="38" a="1"/>
  <c r="J127" i="38" s="1"/>
  <c r="I128" i="38" a="1"/>
  <c r="I128" i="38" s="1"/>
  <c r="J128" i="38" a="1"/>
  <c r="J128" i="38" s="1"/>
  <c r="I129" i="38" a="1"/>
  <c r="I129" i="38" s="1"/>
  <c r="J129" i="38" a="1"/>
  <c r="J129" i="38" s="1"/>
  <c r="I130" i="38" a="1"/>
  <c r="I130" i="38" s="1"/>
  <c r="J130" i="38" a="1"/>
  <c r="J130" i="38" s="1"/>
  <c r="I131" i="38" a="1"/>
  <c r="I131" i="38" s="1"/>
  <c r="J131" i="38" a="1"/>
  <c r="J131" i="38" s="1"/>
  <c r="I132" i="38" a="1"/>
  <c r="I132" i="38" s="1"/>
  <c r="J132" i="38" a="1"/>
  <c r="J132" i="38" s="1"/>
  <c r="I133" i="38" a="1"/>
  <c r="I133" i="38" s="1"/>
  <c r="J133" i="38" a="1"/>
  <c r="J133" i="38" s="1"/>
  <c r="I134" i="38" a="1"/>
  <c r="I134" i="38" s="1"/>
  <c r="J134" i="38" a="1"/>
  <c r="J134" i="38" s="1"/>
  <c r="I135" i="38" a="1"/>
  <c r="I135" i="38" s="1"/>
  <c r="J135" i="38" a="1"/>
  <c r="J135" i="38" s="1"/>
  <c r="I136" i="38" a="1"/>
  <c r="I136" i="38" s="1"/>
  <c r="J136" i="38" a="1"/>
  <c r="J136" i="38" s="1"/>
  <c r="I137" i="38" a="1"/>
  <c r="I137" i="38" s="1"/>
  <c r="J137" i="38" a="1"/>
  <c r="J137" i="38" s="1"/>
  <c r="I138" i="38" a="1"/>
  <c r="I138" i="38" s="1"/>
  <c r="J138" i="38" a="1"/>
  <c r="J138" i="38" s="1"/>
  <c r="I139" i="38" a="1"/>
  <c r="I139" i="38" s="1"/>
  <c r="J139" i="38" a="1"/>
  <c r="J139" i="38" s="1"/>
  <c r="I140" i="38" a="1"/>
  <c r="I140" i="38" s="1"/>
  <c r="J140" i="38" a="1"/>
  <c r="J140" i="38" s="1"/>
  <c r="I141" i="38" a="1"/>
  <c r="I141" i="38" s="1"/>
  <c r="J141" i="38" a="1"/>
  <c r="J141" i="38" s="1"/>
  <c r="I142" i="38" a="1"/>
  <c r="I142" i="38" s="1"/>
  <c r="J142" i="38" a="1"/>
  <c r="J142" i="38" s="1"/>
  <c r="I143" i="38" a="1"/>
  <c r="I143" i="38" s="1"/>
  <c r="J143" i="38" a="1"/>
  <c r="J143" i="38" s="1"/>
  <c r="I144" i="38" a="1"/>
  <c r="I144" i="38" s="1"/>
  <c r="J144" i="38" a="1"/>
  <c r="J144" i="38" s="1"/>
  <c r="I145" i="38" a="1"/>
  <c r="I145" i="38" s="1"/>
  <c r="J145" i="38" a="1"/>
  <c r="J145" i="38" s="1"/>
  <c r="I146" i="38" a="1"/>
  <c r="I146" i="38" s="1"/>
  <c r="J146" i="38" a="1"/>
  <c r="J146" i="38" s="1"/>
  <c r="I147" i="38" a="1"/>
  <c r="I147" i="38" s="1"/>
  <c r="J147" i="38" a="1"/>
  <c r="J147" i="38" s="1"/>
  <c r="I148" i="38" a="1"/>
  <c r="I148" i="38" s="1"/>
  <c r="J148" i="38" a="1"/>
  <c r="J148" i="38" s="1"/>
  <c r="I149" i="38" a="1"/>
  <c r="I149" i="38" s="1"/>
  <c r="J149" i="38" a="1"/>
  <c r="J149" i="38" s="1"/>
  <c r="I150" i="38" a="1"/>
  <c r="I150" i="38" s="1"/>
  <c r="J150" i="38" a="1"/>
  <c r="J150" i="38" s="1"/>
  <c r="I151" i="38" a="1"/>
  <c r="I151" i="38" s="1"/>
  <c r="J151" i="38" a="1"/>
  <c r="J151" i="38" s="1"/>
  <c r="I152" i="38" a="1"/>
  <c r="I152" i="38" s="1"/>
  <c r="J152" i="38" a="1"/>
  <c r="J152" i="38" s="1"/>
  <c r="I153" i="38" a="1"/>
  <c r="I153" i="38" s="1"/>
  <c r="J153" i="38" a="1"/>
  <c r="J153" i="38" s="1"/>
  <c r="I154" i="38" a="1"/>
  <c r="I154" i="38" s="1"/>
  <c r="J154" i="38" a="1"/>
  <c r="J154" i="38" s="1"/>
  <c r="I155" i="38" a="1"/>
  <c r="I155" i="38" s="1"/>
  <c r="J155" i="38" a="1"/>
  <c r="J155" i="38" s="1"/>
  <c r="I156" i="38" a="1"/>
  <c r="I156" i="38" s="1"/>
  <c r="J156" i="38" a="1"/>
  <c r="J156" i="38" s="1"/>
  <c r="I157" i="38" a="1"/>
  <c r="I157" i="38" s="1"/>
  <c r="J157" i="38" a="1"/>
  <c r="J157" i="38" s="1"/>
  <c r="I158" i="38" a="1"/>
  <c r="I158" i="38" s="1"/>
  <c r="J158" i="38" a="1"/>
  <c r="J158" i="38" s="1"/>
  <c r="I159" i="38" a="1"/>
  <c r="I159" i="38" s="1"/>
  <c r="J159" i="38" a="1"/>
  <c r="J159" i="38" s="1"/>
  <c r="I160" i="38" a="1"/>
  <c r="I160" i="38" s="1"/>
  <c r="J160" i="38" a="1"/>
  <c r="J160" i="38" s="1"/>
  <c r="I161" i="38" a="1"/>
  <c r="I161" i="38" s="1"/>
  <c r="J161" i="38" a="1"/>
  <c r="J161" i="38" s="1"/>
  <c r="I162" i="38" a="1"/>
  <c r="I162" i="38" s="1"/>
  <c r="J162" i="38" a="1"/>
  <c r="J162" i="38" s="1"/>
  <c r="I163" i="38" a="1"/>
  <c r="I163" i="38" s="1"/>
  <c r="J163" i="38" a="1"/>
  <c r="J163" i="38" s="1"/>
  <c r="I164" i="38" a="1"/>
  <c r="I164" i="38" s="1"/>
  <c r="J164" i="38" a="1"/>
  <c r="J164" i="38" s="1"/>
  <c r="I165" i="38" a="1"/>
  <c r="I165" i="38" s="1"/>
  <c r="J165" i="38" a="1"/>
  <c r="J165" i="38" s="1"/>
  <c r="I166" i="38" a="1"/>
  <c r="I166" i="38" s="1"/>
  <c r="J166" i="38" a="1"/>
  <c r="J166" i="38" s="1"/>
  <c r="I167" i="38" a="1"/>
  <c r="I167" i="38" s="1"/>
  <c r="J167" i="38" a="1"/>
  <c r="J167" i="38" s="1"/>
  <c r="I168" i="38" a="1"/>
  <c r="I168" i="38" s="1"/>
  <c r="J168" i="38" a="1"/>
  <c r="J168" i="38" s="1"/>
  <c r="I169" i="38" a="1"/>
  <c r="I169" i="38" s="1"/>
  <c r="J169" i="38" a="1"/>
  <c r="J169" i="38" s="1"/>
  <c r="I170" i="38" a="1"/>
  <c r="I170" i="38" s="1"/>
  <c r="J170" i="38" a="1"/>
  <c r="J170" i="38" s="1"/>
  <c r="I171" i="38" a="1"/>
  <c r="I171" i="38" s="1"/>
  <c r="J171" i="38" a="1"/>
  <c r="J171" i="38" s="1"/>
  <c r="I172" i="38" a="1"/>
  <c r="I172" i="38" s="1"/>
  <c r="J172" i="38" a="1"/>
  <c r="J172" i="38" s="1"/>
  <c r="I173" i="38" a="1"/>
  <c r="I173" i="38" s="1"/>
  <c r="J173" i="38" a="1"/>
  <c r="J173" i="38" s="1"/>
  <c r="I174" i="38" a="1"/>
  <c r="I174" i="38" s="1"/>
  <c r="J174" i="38" a="1"/>
  <c r="J174" i="38" s="1"/>
  <c r="I175" i="38" a="1"/>
  <c r="I175" i="38" s="1"/>
  <c r="J175" i="38" a="1"/>
  <c r="J175" i="38" s="1"/>
  <c r="I176" i="38" a="1"/>
  <c r="I176" i="38" s="1"/>
  <c r="J176" i="38" a="1"/>
  <c r="J176" i="38" s="1"/>
  <c r="I177" i="38" a="1"/>
  <c r="I177" i="38" s="1"/>
  <c r="J177" i="38" a="1"/>
  <c r="J177" i="38" s="1"/>
  <c r="I178" i="38" a="1"/>
  <c r="I178" i="38" s="1"/>
  <c r="J178" i="38" a="1"/>
  <c r="J178" i="38" s="1"/>
  <c r="I179" i="38" a="1"/>
  <c r="I179" i="38" s="1"/>
  <c r="J179" i="38" a="1"/>
  <c r="J179" i="38" s="1"/>
  <c r="I180" i="38" a="1"/>
  <c r="I180" i="38" s="1"/>
  <c r="J180" i="38" a="1"/>
  <c r="J180" i="38" s="1"/>
  <c r="I181" i="38" a="1"/>
  <c r="I181" i="38" s="1"/>
  <c r="J181" i="38" a="1"/>
  <c r="J181" i="38" s="1"/>
  <c r="I182" i="38" a="1"/>
  <c r="I182" i="38" s="1"/>
  <c r="J182" i="38" a="1"/>
  <c r="J182" i="38" s="1"/>
  <c r="I183" i="38" a="1"/>
  <c r="I183" i="38" s="1"/>
  <c r="J183" i="38" a="1"/>
  <c r="J183" i="38" s="1"/>
  <c r="I184" i="38" a="1"/>
  <c r="I184" i="38" s="1"/>
  <c r="J184" i="38" a="1"/>
  <c r="J184" i="38" s="1"/>
  <c r="I185" i="38" a="1"/>
  <c r="I185" i="38" s="1"/>
  <c r="J185" i="38" a="1"/>
  <c r="J185" i="38" s="1"/>
  <c r="I186" i="38" a="1"/>
  <c r="I186" i="38" s="1"/>
  <c r="J186" i="38" a="1"/>
  <c r="J186" i="38" s="1"/>
  <c r="I187" i="38" a="1"/>
  <c r="I187" i="38" s="1"/>
  <c r="J187" i="38" a="1"/>
  <c r="J187" i="38" s="1"/>
  <c r="I188" i="38" a="1"/>
  <c r="I188" i="38" s="1"/>
  <c r="J188" i="38" a="1"/>
  <c r="J188" i="38" s="1"/>
  <c r="I189" i="38" a="1"/>
  <c r="I189" i="38" s="1"/>
  <c r="J189" i="38" a="1"/>
  <c r="J189" i="38" s="1"/>
  <c r="I190" i="38" a="1"/>
  <c r="I190" i="38" s="1"/>
  <c r="J190" i="38" a="1"/>
  <c r="J190" i="38" s="1"/>
  <c r="I7" i="38" a="1"/>
  <c r="I7" i="38" s="1"/>
  <c r="J7" i="38" a="1"/>
  <c r="J7" i="38" s="1"/>
  <c r="F8" i="38" a="1"/>
  <c r="F8" i="38" s="1"/>
  <c r="G8" i="38" a="1"/>
  <c r="G8" i="38" s="1"/>
  <c r="F9" i="38" a="1"/>
  <c r="F9" i="38" s="1"/>
  <c r="G9" i="38" a="1"/>
  <c r="G9" i="38" s="1"/>
  <c r="F10" i="38" a="1"/>
  <c r="F10" i="38" s="1"/>
  <c r="G10" i="38" a="1"/>
  <c r="G10" i="38" s="1"/>
  <c r="F11" i="38" a="1"/>
  <c r="F11" i="38" s="1"/>
  <c r="G11" i="38" a="1"/>
  <c r="G11" i="38" s="1"/>
  <c r="F12" i="38" a="1"/>
  <c r="F12" i="38" s="1"/>
  <c r="G12" i="38" a="1"/>
  <c r="G12" i="38" s="1"/>
  <c r="F13" i="38" a="1"/>
  <c r="F13" i="38" s="1"/>
  <c r="G13" i="38" a="1"/>
  <c r="G13" i="38" s="1"/>
  <c r="F14" i="38" a="1"/>
  <c r="F14" i="38" s="1"/>
  <c r="G14" i="38" a="1"/>
  <c r="G14" i="38" s="1"/>
  <c r="F15" i="38" a="1"/>
  <c r="F15" i="38" s="1"/>
  <c r="G15" i="38" a="1"/>
  <c r="G15" i="38" s="1"/>
  <c r="F16" i="38" a="1"/>
  <c r="F16" i="38" s="1"/>
  <c r="G16" i="38" a="1"/>
  <c r="G16" i="38" s="1"/>
  <c r="F17" i="38" a="1"/>
  <c r="F17" i="38" s="1"/>
  <c r="G17" i="38" a="1"/>
  <c r="G17" i="38" s="1"/>
  <c r="F18" i="38" a="1"/>
  <c r="F18" i="38" s="1"/>
  <c r="G18" i="38" a="1"/>
  <c r="G18" i="38" s="1"/>
  <c r="F19" i="38" a="1"/>
  <c r="F19" i="38" s="1"/>
  <c r="G19" i="38" a="1"/>
  <c r="G19" i="38" s="1"/>
  <c r="F20" i="38" a="1"/>
  <c r="F20" i="38" s="1"/>
  <c r="G20" i="38" a="1"/>
  <c r="G20" i="38" s="1"/>
  <c r="F21" i="38" a="1"/>
  <c r="F21" i="38" s="1"/>
  <c r="G21" i="38" a="1"/>
  <c r="G21" i="38" s="1"/>
  <c r="F22" i="38" a="1"/>
  <c r="F22" i="38" s="1"/>
  <c r="G22" i="38" a="1"/>
  <c r="G22" i="38" s="1"/>
  <c r="F23" i="38" a="1"/>
  <c r="F23" i="38" s="1"/>
  <c r="G23" i="38" a="1"/>
  <c r="G23" i="38" s="1"/>
  <c r="F24" i="38" a="1"/>
  <c r="F24" i="38" s="1"/>
  <c r="G24" i="38" a="1"/>
  <c r="G24" i="38" s="1"/>
  <c r="F25" i="38" a="1"/>
  <c r="F25" i="38" s="1"/>
  <c r="G25" i="38" a="1"/>
  <c r="G25" i="38" s="1"/>
  <c r="F26" i="38" a="1"/>
  <c r="F26" i="38" s="1"/>
  <c r="G26" i="38" a="1"/>
  <c r="G26" i="38" s="1"/>
  <c r="F27" i="38" a="1"/>
  <c r="F27" i="38" s="1"/>
  <c r="G27" i="38" a="1"/>
  <c r="G27" i="38" s="1"/>
  <c r="F28" i="38" a="1"/>
  <c r="F28" i="38" s="1"/>
  <c r="G28" i="38" a="1"/>
  <c r="G28" i="38" s="1"/>
  <c r="F29" i="38" a="1"/>
  <c r="F29" i="38" s="1"/>
  <c r="G29" i="38" a="1"/>
  <c r="G29" i="38" s="1"/>
  <c r="F30" i="38" a="1"/>
  <c r="F30" i="38" s="1"/>
  <c r="G30" i="38" a="1"/>
  <c r="G30" i="38" s="1"/>
  <c r="F31" i="38" a="1"/>
  <c r="F31" i="38" s="1"/>
  <c r="G31" i="38" a="1"/>
  <c r="G31" i="38" s="1"/>
  <c r="F32" i="38" a="1"/>
  <c r="F32" i="38" s="1"/>
  <c r="G32" i="38" a="1"/>
  <c r="G32" i="38" s="1"/>
  <c r="F33" i="38" a="1"/>
  <c r="F33" i="38" s="1"/>
  <c r="G33" i="38" a="1"/>
  <c r="G33" i="38" s="1"/>
  <c r="F34" i="38" a="1"/>
  <c r="F34" i="38" s="1"/>
  <c r="G34" i="38" a="1"/>
  <c r="G34" i="38" s="1"/>
  <c r="F35" i="38" a="1"/>
  <c r="F35" i="38" s="1"/>
  <c r="G35" i="38" a="1"/>
  <c r="G35" i="38" s="1"/>
  <c r="F36" i="38" a="1"/>
  <c r="F36" i="38" s="1"/>
  <c r="G36" i="38" a="1"/>
  <c r="G36" i="38" s="1"/>
  <c r="F37" i="38" a="1"/>
  <c r="F37" i="38" s="1"/>
  <c r="G37" i="38" a="1"/>
  <c r="G37" i="38" s="1"/>
  <c r="F38" i="38" a="1"/>
  <c r="F38" i="38" s="1"/>
  <c r="G38" i="38" a="1"/>
  <c r="G38" i="38" s="1"/>
  <c r="F39" i="38" a="1"/>
  <c r="F39" i="38" s="1"/>
  <c r="G39" i="38" a="1"/>
  <c r="G39" i="38" s="1"/>
  <c r="F40" i="38" a="1"/>
  <c r="F40" i="38" s="1"/>
  <c r="G40" i="38" a="1"/>
  <c r="G40" i="38" s="1"/>
  <c r="F41" i="38" a="1"/>
  <c r="F41" i="38" s="1"/>
  <c r="G41" i="38" a="1"/>
  <c r="G41" i="38" s="1"/>
  <c r="F42" i="38" a="1"/>
  <c r="F42" i="38" s="1"/>
  <c r="G42" i="38" a="1"/>
  <c r="G42" i="38" s="1"/>
  <c r="F43" i="38" a="1"/>
  <c r="F43" i="38" s="1"/>
  <c r="G43" i="38" a="1"/>
  <c r="G43" i="38" s="1"/>
  <c r="F44" i="38" a="1"/>
  <c r="F44" i="38" s="1"/>
  <c r="G44" i="38" a="1"/>
  <c r="G44" i="38" s="1"/>
  <c r="F45" i="38" a="1"/>
  <c r="F45" i="38" s="1"/>
  <c r="G45" i="38" a="1"/>
  <c r="G45" i="38" s="1"/>
  <c r="F46" i="38" a="1"/>
  <c r="F46" i="38" s="1"/>
  <c r="G46" i="38" a="1"/>
  <c r="G46" i="38" s="1"/>
  <c r="F47" i="38" a="1"/>
  <c r="F47" i="38" s="1"/>
  <c r="G47" i="38" a="1"/>
  <c r="G47" i="38" s="1"/>
  <c r="F48" i="38" a="1"/>
  <c r="F48" i="38" s="1"/>
  <c r="G48" i="38" a="1"/>
  <c r="G48" i="38" s="1"/>
  <c r="F49" i="38" a="1"/>
  <c r="F49" i="38" s="1"/>
  <c r="G49" i="38" a="1"/>
  <c r="G49" i="38" s="1"/>
  <c r="F50" i="38" a="1"/>
  <c r="F50" i="38" s="1"/>
  <c r="G50" i="38" a="1"/>
  <c r="G50" i="38" s="1"/>
  <c r="F51" i="38" a="1"/>
  <c r="F51" i="38" s="1"/>
  <c r="G51" i="38" a="1"/>
  <c r="G51" i="38" s="1"/>
  <c r="F52" i="38" a="1"/>
  <c r="F52" i="38" s="1"/>
  <c r="G52" i="38" a="1"/>
  <c r="G52" i="38" s="1"/>
  <c r="F53" i="38" a="1"/>
  <c r="F53" i="38" s="1"/>
  <c r="G53" i="38" a="1"/>
  <c r="G53" i="38" s="1"/>
  <c r="F54" i="38" a="1"/>
  <c r="F54" i="38" s="1"/>
  <c r="G54" i="38" a="1"/>
  <c r="G54" i="38" s="1"/>
  <c r="F55" i="38" a="1"/>
  <c r="F55" i="38" s="1"/>
  <c r="G55" i="38" a="1"/>
  <c r="G55" i="38" s="1"/>
  <c r="F56" i="38" a="1"/>
  <c r="F56" i="38" s="1"/>
  <c r="G56" i="38" a="1"/>
  <c r="G56" i="38" s="1"/>
  <c r="F57" i="38" a="1"/>
  <c r="F57" i="38" s="1"/>
  <c r="G57" i="38" a="1"/>
  <c r="G57" i="38" s="1"/>
  <c r="F58" i="38" a="1"/>
  <c r="F58" i="38" s="1"/>
  <c r="G58" i="38" a="1"/>
  <c r="G58" i="38" s="1"/>
  <c r="F59" i="38" a="1"/>
  <c r="F59" i="38" s="1"/>
  <c r="G59" i="38" a="1"/>
  <c r="G59" i="38" s="1"/>
  <c r="F60" i="38" a="1"/>
  <c r="F60" i="38" s="1"/>
  <c r="G60" i="38" a="1"/>
  <c r="G60" i="38" s="1"/>
  <c r="F61" i="38" a="1"/>
  <c r="F61" i="38" s="1"/>
  <c r="G61" i="38" a="1"/>
  <c r="G61" i="38" s="1"/>
  <c r="F62" i="38" a="1"/>
  <c r="F62" i="38" s="1"/>
  <c r="G62" i="38" a="1"/>
  <c r="G62" i="38" s="1"/>
  <c r="F63" i="38" a="1"/>
  <c r="F63" i="38" s="1"/>
  <c r="G63" i="38" a="1"/>
  <c r="G63" i="38" s="1"/>
  <c r="F64" i="38" a="1"/>
  <c r="F64" i="38" s="1"/>
  <c r="G64" i="38" a="1"/>
  <c r="G64" i="38" s="1"/>
  <c r="F65" i="38" a="1"/>
  <c r="F65" i="38" s="1"/>
  <c r="G65" i="38" a="1"/>
  <c r="G65" i="38" s="1"/>
  <c r="F66" i="38" a="1"/>
  <c r="F66" i="38" s="1"/>
  <c r="G66" i="38" a="1"/>
  <c r="G66" i="38" s="1"/>
  <c r="F67" i="38" a="1"/>
  <c r="F67" i="38" s="1"/>
  <c r="G67" i="38" a="1"/>
  <c r="G67" i="38" s="1"/>
  <c r="F68" i="38" a="1"/>
  <c r="F68" i="38" s="1"/>
  <c r="G68" i="38" a="1"/>
  <c r="G68" i="38" s="1"/>
  <c r="F69" i="38" a="1"/>
  <c r="F69" i="38" s="1"/>
  <c r="G69" i="38" a="1"/>
  <c r="G69" i="38" s="1"/>
  <c r="F70" i="38" a="1"/>
  <c r="F70" i="38" s="1"/>
  <c r="G70" i="38" a="1"/>
  <c r="G70" i="38" s="1"/>
  <c r="F71" i="38" a="1"/>
  <c r="F71" i="38" s="1"/>
  <c r="G71" i="38" a="1"/>
  <c r="G71" i="38" s="1"/>
  <c r="F72" i="38" a="1"/>
  <c r="F72" i="38" s="1"/>
  <c r="G72" i="38" a="1"/>
  <c r="G72" i="38" s="1"/>
  <c r="F73" i="38" a="1"/>
  <c r="F73" i="38" s="1"/>
  <c r="G73" i="38" a="1"/>
  <c r="G73" i="38" s="1"/>
  <c r="F74" i="38" a="1"/>
  <c r="F74" i="38" s="1"/>
  <c r="G74" i="38" a="1"/>
  <c r="G74" i="38" s="1"/>
  <c r="F75" i="38" a="1"/>
  <c r="F75" i="38" s="1"/>
  <c r="G75" i="38" a="1"/>
  <c r="G75" i="38" s="1"/>
  <c r="F76" i="38" a="1"/>
  <c r="F76" i="38" s="1"/>
  <c r="G76" i="38" a="1"/>
  <c r="G76" i="38" s="1"/>
  <c r="F77" i="38" a="1"/>
  <c r="F77" i="38" s="1"/>
  <c r="G77" i="38" a="1"/>
  <c r="G77" i="38" s="1"/>
  <c r="F78" i="38" a="1"/>
  <c r="F78" i="38" s="1"/>
  <c r="G78" i="38" a="1"/>
  <c r="G78" i="38" s="1"/>
  <c r="F79" i="38" a="1"/>
  <c r="F79" i="38" s="1"/>
  <c r="G79" i="38" a="1"/>
  <c r="G79" i="38" s="1"/>
  <c r="F80" i="38" a="1"/>
  <c r="F80" i="38" s="1"/>
  <c r="G80" i="38" a="1"/>
  <c r="G80" i="38" s="1"/>
  <c r="F81" i="38" a="1"/>
  <c r="F81" i="38" s="1"/>
  <c r="G81" i="38" a="1"/>
  <c r="G81" i="38" s="1"/>
  <c r="F82" i="38" a="1"/>
  <c r="F82" i="38" s="1"/>
  <c r="G82" i="38" a="1"/>
  <c r="G82" i="38" s="1"/>
  <c r="F83" i="38" a="1"/>
  <c r="F83" i="38" s="1"/>
  <c r="G83" i="38" a="1"/>
  <c r="G83" i="38" s="1"/>
  <c r="F84" i="38" a="1"/>
  <c r="F84" i="38" s="1"/>
  <c r="G84" i="38" a="1"/>
  <c r="G84" i="38" s="1"/>
  <c r="F85" i="38" a="1"/>
  <c r="F85" i="38" s="1"/>
  <c r="G85" i="38" a="1"/>
  <c r="G85" i="38" s="1"/>
  <c r="F86" i="38" a="1"/>
  <c r="F86" i="38" s="1"/>
  <c r="G86" i="38" a="1"/>
  <c r="G86" i="38" s="1"/>
  <c r="F87" i="38" a="1"/>
  <c r="F87" i="38" s="1"/>
  <c r="G87" i="38" a="1"/>
  <c r="G87" i="38" s="1"/>
  <c r="F88" i="38" a="1"/>
  <c r="F88" i="38" s="1"/>
  <c r="G88" i="38" a="1"/>
  <c r="G88" i="38" s="1"/>
  <c r="F89" i="38" a="1"/>
  <c r="F89" i="38" s="1"/>
  <c r="G89" i="38" a="1"/>
  <c r="G89" i="38" s="1"/>
  <c r="F90" i="38" a="1"/>
  <c r="F90" i="38" s="1"/>
  <c r="G90" i="38" a="1"/>
  <c r="G90" i="38" s="1"/>
  <c r="F91" i="38" a="1"/>
  <c r="F91" i="38" s="1"/>
  <c r="G91" i="38" a="1"/>
  <c r="G91" i="38" s="1"/>
  <c r="F92" i="38" a="1"/>
  <c r="F92" i="38" s="1"/>
  <c r="G92" i="38" a="1"/>
  <c r="G92" i="38" s="1"/>
  <c r="F93" i="38" a="1"/>
  <c r="F93" i="38" s="1"/>
  <c r="G93" i="38" a="1"/>
  <c r="G93" i="38" s="1"/>
  <c r="F94" i="38" a="1"/>
  <c r="F94" i="38" s="1"/>
  <c r="G94" i="38" a="1"/>
  <c r="G94" i="38" s="1"/>
  <c r="F95" i="38" a="1"/>
  <c r="F95" i="38" s="1"/>
  <c r="G95" i="38" a="1"/>
  <c r="G95" i="38" s="1"/>
  <c r="F96" i="38" a="1"/>
  <c r="F96" i="38" s="1"/>
  <c r="G96" i="38" a="1"/>
  <c r="G96" i="38" s="1"/>
  <c r="F97" i="38" a="1"/>
  <c r="F97" i="38" s="1"/>
  <c r="G97" i="38" a="1"/>
  <c r="G97" i="38" s="1"/>
  <c r="F98" i="38" a="1"/>
  <c r="F98" i="38" s="1"/>
  <c r="G98" i="38" a="1"/>
  <c r="G98" i="38" s="1"/>
  <c r="F99" i="38" a="1"/>
  <c r="F99" i="38" s="1"/>
  <c r="G99" i="38" a="1"/>
  <c r="G99" i="38" s="1"/>
  <c r="F100" i="38" a="1"/>
  <c r="F100" i="38" s="1"/>
  <c r="G100" i="38" a="1"/>
  <c r="G100" i="38" s="1"/>
  <c r="F101" i="38" a="1"/>
  <c r="F101" i="38" s="1"/>
  <c r="G101" i="38" a="1"/>
  <c r="G101" i="38" s="1"/>
  <c r="F102" i="38" a="1"/>
  <c r="F102" i="38" s="1"/>
  <c r="G102" i="38" a="1"/>
  <c r="G102" i="38" s="1"/>
  <c r="F103" i="38" a="1"/>
  <c r="F103" i="38" s="1"/>
  <c r="G103" i="38" a="1"/>
  <c r="G103" i="38" s="1"/>
  <c r="F104" i="38" a="1"/>
  <c r="F104" i="38" s="1"/>
  <c r="G104" i="38" a="1"/>
  <c r="G104" i="38" s="1"/>
  <c r="F105" i="38" a="1"/>
  <c r="F105" i="38" s="1"/>
  <c r="G105" i="38" a="1"/>
  <c r="G105" i="38" s="1"/>
  <c r="F106" i="38" a="1"/>
  <c r="F106" i="38" s="1"/>
  <c r="G106" i="38" a="1"/>
  <c r="G106" i="38" s="1"/>
  <c r="F107" i="38" a="1"/>
  <c r="F107" i="38" s="1"/>
  <c r="G107" i="38" a="1"/>
  <c r="G107" i="38" s="1"/>
  <c r="F108" i="38" a="1"/>
  <c r="F108" i="38" s="1"/>
  <c r="G108" i="38" a="1"/>
  <c r="G108" i="38" s="1"/>
  <c r="F109" i="38" a="1"/>
  <c r="F109" i="38" s="1"/>
  <c r="G109" i="38" a="1"/>
  <c r="G109" i="38" s="1"/>
  <c r="F110" i="38" a="1"/>
  <c r="F110" i="38" s="1"/>
  <c r="G110" i="38" a="1"/>
  <c r="G110" i="38" s="1"/>
  <c r="F111" i="38" a="1"/>
  <c r="F111" i="38" s="1"/>
  <c r="G111" i="38" a="1"/>
  <c r="G111" i="38" s="1"/>
  <c r="F112" i="38" a="1"/>
  <c r="F112" i="38" s="1"/>
  <c r="G112" i="38" a="1"/>
  <c r="G112" i="38" s="1"/>
  <c r="F113" i="38" a="1"/>
  <c r="F113" i="38" s="1"/>
  <c r="G113" i="38" a="1"/>
  <c r="G113" i="38" s="1"/>
  <c r="F114" i="38" a="1"/>
  <c r="F114" i="38" s="1"/>
  <c r="G114" i="38" a="1"/>
  <c r="G114" i="38" s="1"/>
  <c r="F115" i="38" a="1"/>
  <c r="F115" i="38" s="1"/>
  <c r="G115" i="38" a="1"/>
  <c r="G115" i="38" s="1"/>
  <c r="F116" i="38" a="1"/>
  <c r="F116" i="38" s="1"/>
  <c r="G116" i="38" a="1"/>
  <c r="G116" i="38" s="1"/>
  <c r="F117" i="38" a="1"/>
  <c r="F117" i="38" s="1"/>
  <c r="G117" i="38" a="1"/>
  <c r="G117" i="38" s="1"/>
  <c r="F118" i="38" a="1"/>
  <c r="F118" i="38" s="1"/>
  <c r="G118" i="38" a="1"/>
  <c r="G118" i="38" s="1"/>
  <c r="F119" i="38" a="1"/>
  <c r="F119" i="38" s="1"/>
  <c r="G119" i="38" a="1"/>
  <c r="G119" i="38" s="1"/>
  <c r="F120" i="38" a="1"/>
  <c r="F120" i="38" s="1"/>
  <c r="G120" i="38" a="1"/>
  <c r="G120" i="38" s="1"/>
  <c r="F121" i="38" a="1"/>
  <c r="F121" i="38" s="1"/>
  <c r="G121" i="38" a="1"/>
  <c r="G121" i="38" s="1"/>
  <c r="F122" i="38" a="1"/>
  <c r="F122" i="38" s="1"/>
  <c r="G122" i="38" a="1"/>
  <c r="G122" i="38" s="1"/>
  <c r="F123" i="38" a="1"/>
  <c r="F123" i="38" s="1"/>
  <c r="G123" i="38" a="1"/>
  <c r="G123" i="38" s="1"/>
  <c r="F124" i="38" a="1"/>
  <c r="F124" i="38" s="1"/>
  <c r="G124" i="38" a="1"/>
  <c r="G124" i="38" s="1"/>
  <c r="F125" i="38" a="1"/>
  <c r="F125" i="38" s="1"/>
  <c r="G125" i="38" a="1"/>
  <c r="G125" i="38" s="1"/>
  <c r="F126" i="38" a="1"/>
  <c r="F126" i="38" s="1"/>
  <c r="G126" i="38" a="1"/>
  <c r="G126" i="38" s="1"/>
  <c r="F127" i="38" a="1"/>
  <c r="F127" i="38" s="1"/>
  <c r="G127" i="38" a="1"/>
  <c r="G127" i="38" s="1"/>
  <c r="F128" i="38" a="1"/>
  <c r="F128" i="38" s="1"/>
  <c r="G128" i="38" a="1"/>
  <c r="G128" i="38" s="1"/>
  <c r="F129" i="38" a="1"/>
  <c r="F129" i="38" s="1"/>
  <c r="G129" i="38" a="1"/>
  <c r="G129" i="38" s="1"/>
  <c r="F130" i="38" a="1"/>
  <c r="F130" i="38" s="1"/>
  <c r="G130" i="38" a="1"/>
  <c r="G130" i="38" s="1"/>
  <c r="F131" i="38" a="1"/>
  <c r="F131" i="38" s="1"/>
  <c r="G131" i="38" a="1"/>
  <c r="G131" i="38" s="1"/>
  <c r="F132" i="38" a="1"/>
  <c r="F132" i="38" s="1"/>
  <c r="G132" i="38" a="1"/>
  <c r="G132" i="38" s="1"/>
  <c r="F133" i="38" a="1"/>
  <c r="F133" i="38" s="1"/>
  <c r="G133" i="38" a="1"/>
  <c r="G133" i="38" s="1"/>
  <c r="F134" i="38" a="1"/>
  <c r="F134" i="38" s="1"/>
  <c r="G134" i="38" a="1"/>
  <c r="G134" i="38" s="1"/>
  <c r="F135" i="38" a="1"/>
  <c r="F135" i="38" s="1"/>
  <c r="G135" i="38" a="1"/>
  <c r="G135" i="38" s="1"/>
  <c r="F136" i="38" a="1"/>
  <c r="F136" i="38" s="1"/>
  <c r="G136" i="38" a="1"/>
  <c r="G136" i="38" s="1"/>
  <c r="F137" i="38" a="1"/>
  <c r="F137" i="38" s="1"/>
  <c r="G137" i="38" a="1"/>
  <c r="G137" i="38" s="1"/>
  <c r="F138" i="38" a="1"/>
  <c r="F138" i="38" s="1"/>
  <c r="G138" i="38" a="1"/>
  <c r="G138" i="38" s="1"/>
  <c r="F139" i="38" a="1"/>
  <c r="F139" i="38" s="1"/>
  <c r="G139" i="38" a="1"/>
  <c r="G139" i="38" s="1"/>
  <c r="F140" i="38" a="1"/>
  <c r="F140" i="38" s="1"/>
  <c r="G140" i="38" a="1"/>
  <c r="G140" i="38" s="1"/>
  <c r="F141" i="38" a="1"/>
  <c r="F141" i="38" s="1"/>
  <c r="G141" i="38" a="1"/>
  <c r="G141" i="38" s="1"/>
  <c r="F142" i="38" a="1"/>
  <c r="F142" i="38" s="1"/>
  <c r="G142" i="38" a="1"/>
  <c r="G142" i="38" s="1"/>
  <c r="F143" i="38" a="1"/>
  <c r="F143" i="38" s="1"/>
  <c r="G143" i="38" a="1"/>
  <c r="G143" i="38" s="1"/>
  <c r="F144" i="38" a="1"/>
  <c r="F144" i="38" s="1"/>
  <c r="G144" i="38" a="1"/>
  <c r="G144" i="38" s="1"/>
  <c r="F145" i="38" a="1"/>
  <c r="F145" i="38" s="1"/>
  <c r="G145" i="38" a="1"/>
  <c r="G145" i="38" s="1"/>
  <c r="F146" i="38" a="1"/>
  <c r="F146" i="38" s="1"/>
  <c r="G146" i="38" a="1"/>
  <c r="G146" i="38" s="1"/>
  <c r="F147" i="38" a="1"/>
  <c r="F147" i="38" s="1"/>
  <c r="G147" i="38" a="1"/>
  <c r="G147" i="38" s="1"/>
  <c r="F148" i="38" a="1"/>
  <c r="F148" i="38" s="1"/>
  <c r="G148" i="38" a="1"/>
  <c r="G148" i="38" s="1"/>
  <c r="F149" i="38" a="1"/>
  <c r="F149" i="38" s="1"/>
  <c r="G149" i="38" a="1"/>
  <c r="G149" i="38" s="1"/>
  <c r="F150" i="38" a="1"/>
  <c r="F150" i="38" s="1"/>
  <c r="G150" i="38" a="1"/>
  <c r="G150" i="38" s="1"/>
  <c r="F151" i="38" a="1"/>
  <c r="F151" i="38" s="1"/>
  <c r="G151" i="38" a="1"/>
  <c r="G151" i="38" s="1"/>
  <c r="F152" i="38" a="1"/>
  <c r="F152" i="38" s="1"/>
  <c r="G152" i="38" a="1"/>
  <c r="G152" i="38" s="1"/>
  <c r="F153" i="38" a="1"/>
  <c r="F153" i="38" s="1"/>
  <c r="G153" i="38" a="1"/>
  <c r="G153" i="38" s="1"/>
  <c r="F154" i="38" a="1"/>
  <c r="F154" i="38" s="1"/>
  <c r="G154" i="38" a="1"/>
  <c r="G154" i="38" s="1"/>
  <c r="F155" i="38" a="1"/>
  <c r="F155" i="38" s="1"/>
  <c r="G155" i="38" a="1"/>
  <c r="G155" i="38" s="1"/>
  <c r="F156" i="38" a="1"/>
  <c r="F156" i="38" s="1"/>
  <c r="G156" i="38" a="1"/>
  <c r="G156" i="38" s="1"/>
  <c r="F157" i="38" a="1"/>
  <c r="F157" i="38" s="1"/>
  <c r="G157" i="38" a="1"/>
  <c r="G157" i="38" s="1"/>
  <c r="F158" i="38" a="1"/>
  <c r="F158" i="38" s="1"/>
  <c r="G158" i="38" a="1"/>
  <c r="G158" i="38" s="1"/>
  <c r="F159" i="38" a="1"/>
  <c r="F159" i="38" s="1"/>
  <c r="G159" i="38" a="1"/>
  <c r="G159" i="38" s="1"/>
  <c r="F160" i="38" a="1"/>
  <c r="F160" i="38" s="1"/>
  <c r="G160" i="38" a="1"/>
  <c r="G160" i="38" s="1"/>
  <c r="F161" i="38" a="1"/>
  <c r="F161" i="38" s="1"/>
  <c r="G161" i="38" a="1"/>
  <c r="G161" i="38" s="1"/>
  <c r="F162" i="38" a="1"/>
  <c r="F162" i="38" s="1"/>
  <c r="G162" i="38" a="1"/>
  <c r="G162" i="38" s="1"/>
  <c r="F163" i="38" a="1"/>
  <c r="F163" i="38" s="1"/>
  <c r="G163" i="38" a="1"/>
  <c r="G163" i="38" s="1"/>
  <c r="F164" i="38" a="1"/>
  <c r="F164" i="38" s="1"/>
  <c r="G164" i="38" a="1"/>
  <c r="G164" i="38" s="1"/>
  <c r="F165" i="38" a="1"/>
  <c r="F165" i="38" s="1"/>
  <c r="G165" i="38" a="1"/>
  <c r="G165" i="38" s="1"/>
  <c r="F166" i="38" a="1"/>
  <c r="F166" i="38" s="1"/>
  <c r="G166" i="38" a="1"/>
  <c r="G166" i="38" s="1"/>
  <c r="F167" i="38" a="1"/>
  <c r="F167" i="38" s="1"/>
  <c r="G167" i="38" a="1"/>
  <c r="G167" i="38" s="1"/>
  <c r="F168" i="38" a="1"/>
  <c r="F168" i="38" s="1"/>
  <c r="G168" i="38" a="1"/>
  <c r="G168" i="38" s="1"/>
  <c r="F169" i="38" a="1"/>
  <c r="F169" i="38" s="1"/>
  <c r="G169" i="38" a="1"/>
  <c r="G169" i="38" s="1"/>
  <c r="F170" i="38" a="1"/>
  <c r="F170" i="38" s="1"/>
  <c r="G170" i="38" a="1"/>
  <c r="G170" i="38" s="1"/>
  <c r="F171" i="38" a="1"/>
  <c r="F171" i="38" s="1"/>
  <c r="G171" i="38" a="1"/>
  <c r="G171" i="38" s="1"/>
  <c r="F172" i="38" a="1"/>
  <c r="F172" i="38" s="1"/>
  <c r="G172" i="38" a="1"/>
  <c r="G172" i="38" s="1"/>
  <c r="F173" i="38" a="1"/>
  <c r="F173" i="38" s="1"/>
  <c r="G173" i="38" a="1"/>
  <c r="G173" i="38" s="1"/>
  <c r="F174" i="38" a="1"/>
  <c r="F174" i="38" s="1"/>
  <c r="G174" i="38" a="1"/>
  <c r="G174" i="38" s="1"/>
  <c r="F175" i="38" a="1"/>
  <c r="F175" i="38" s="1"/>
  <c r="G175" i="38" a="1"/>
  <c r="G175" i="38" s="1"/>
  <c r="F176" i="38" a="1"/>
  <c r="F176" i="38" s="1"/>
  <c r="G176" i="38" a="1"/>
  <c r="G176" i="38" s="1"/>
  <c r="F177" i="38" a="1"/>
  <c r="F177" i="38" s="1"/>
  <c r="G177" i="38" a="1"/>
  <c r="G177" i="38" s="1"/>
  <c r="F178" i="38" a="1"/>
  <c r="F178" i="38" s="1"/>
  <c r="G178" i="38" a="1"/>
  <c r="G178" i="38" s="1"/>
  <c r="F179" i="38" a="1"/>
  <c r="F179" i="38" s="1"/>
  <c r="G179" i="38" a="1"/>
  <c r="G179" i="38" s="1"/>
  <c r="F180" i="38" a="1"/>
  <c r="F180" i="38" s="1"/>
  <c r="G180" i="38" a="1"/>
  <c r="G180" i="38" s="1"/>
  <c r="F181" i="38" a="1"/>
  <c r="F181" i="38" s="1"/>
  <c r="G181" i="38" a="1"/>
  <c r="G181" i="38" s="1"/>
  <c r="F182" i="38" a="1"/>
  <c r="F182" i="38" s="1"/>
  <c r="G182" i="38" a="1"/>
  <c r="G182" i="38" s="1"/>
  <c r="F183" i="38" a="1"/>
  <c r="F183" i="38" s="1"/>
  <c r="G183" i="38" a="1"/>
  <c r="G183" i="38" s="1"/>
  <c r="F184" i="38" a="1"/>
  <c r="F184" i="38" s="1"/>
  <c r="G184" i="38" a="1"/>
  <c r="G184" i="38" s="1"/>
  <c r="F185" i="38" a="1"/>
  <c r="F185" i="38" s="1"/>
  <c r="G185" i="38" a="1"/>
  <c r="G185" i="38" s="1"/>
  <c r="F186" i="38" a="1"/>
  <c r="F186" i="38" s="1"/>
  <c r="G186" i="38" a="1"/>
  <c r="G186" i="38" s="1"/>
  <c r="F187" i="38" a="1"/>
  <c r="F187" i="38" s="1"/>
  <c r="G187" i="38" a="1"/>
  <c r="G187" i="38" s="1"/>
  <c r="F188" i="38" a="1"/>
  <c r="F188" i="38" s="1"/>
  <c r="G188" i="38" a="1"/>
  <c r="G188" i="38" s="1"/>
  <c r="F189" i="38" a="1"/>
  <c r="F189" i="38" s="1"/>
  <c r="G189" i="38" a="1"/>
  <c r="G189" i="38" s="1"/>
  <c r="F190" i="38" a="1"/>
  <c r="F190" i="38" s="1"/>
  <c r="G190" i="38" a="1"/>
  <c r="G190" i="38" s="1"/>
  <c r="G7" i="38" a="1"/>
  <c r="G7" i="38" s="1"/>
  <c r="F7" i="38" a="1"/>
  <c r="F7" i="38" s="1"/>
  <c r="D7" i="38" a="1"/>
  <c r="D7" i="38" s="1"/>
  <c r="C7" i="38" a="1"/>
  <c r="C7" i="38" s="1"/>
  <c r="D8" i="38" a="1"/>
  <c r="D8" i="38" s="1"/>
  <c r="D9" i="38" a="1"/>
  <c r="D9" i="38" s="1"/>
  <c r="D10" i="38" a="1"/>
  <c r="D10" i="38" s="1"/>
  <c r="D11" i="38" a="1"/>
  <c r="D11" i="38" s="1"/>
  <c r="D12" i="38" a="1"/>
  <c r="D12" i="38" s="1"/>
  <c r="D13" i="38" a="1"/>
  <c r="D13" i="38" s="1"/>
  <c r="D14" i="38" a="1"/>
  <c r="D14" i="38" s="1"/>
  <c r="D15" i="38" a="1"/>
  <c r="D15" i="38" s="1"/>
  <c r="D16" i="38" a="1"/>
  <c r="D16" i="38" s="1"/>
  <c r="D17" i="38" a="1"/>
  <c r="D17" i="38" s="1"/>
  <c r="D18" i="38" a="1"/>
  <c r="D18" i="38" s="1"/>
  <c r="D19" i="38" a="1"/>
  <c r="D19" i="38" s="1"/>
  <c r="D20" i="38" a="1"/>
  <c r="D20" i="38" s="1"/>
  <c r="D21" i="38" a="1"/>
  <c r="D21" i="38" s="1"/>
  <c r="D22" i="38" a="1"/>
  <c r="D22" i="38" s="1"/>
  <c r="D23" i="38" a="1"/>
  <c r="D23" i="38" s="1"/>
  <c r="D24" i="38" a="1"/>
  <c r="D24" i="38" s="1"/>
  <c r="D25" i="38" a="1"/>
  <c r="D25" i="38" s="1"/>
  <c r="D26" i="38" a="1"/>
  <c r="D26" i="38" s="1"/>
  <c r="D27" i="38" a="1"/>
  <c r="D27" i="38" s="1"/>
  <c r="D28" i="38" a="1"/>
  <c r="D28" i="38" s="1"/>
  <c r="D29" i="38" a="1"/>
  <c r="D29" i="38" s="1"/>
  <c r="D30" i="38" a="1"/>
  <c r="D30" i="38" s="1"/>
  <c r="D31" i="38" a="1"/>
  <c r="D31" i="38" s="1"/>
  <c r="D32" i="38" a="1"/>
  <c r="D32" i="38" s="1"/>
  <c r="D33" i="38" a="1"/>
  <c r="D33" i="38" s="1"/>
  <c r="D34" i="38" a="1"/>
  <c r="D34" i="38" s="1"/>
  <c r="D35" i="38" a="1"/>
  <c r="D35" i="38" s="1"/>
  <c r="D36" i="38" a="1"/>
  <c r="D36" i="38" s="1"/>
  <c r="D37" i="38" a="1"/>
  <c r="D37" i="38" s="1"/>
  <c r="D38" i="38" a="1"/>
  <c r="D38" i="38" s="1"/>
  <c r="D39" i="38" a="1"/>
  <c r="D39" i="38" s="1"/>
  <c r="D40" i="38" a="1"/>
  <c r="D40" i="38" s="1"/>
  <c r="D41" i="38" a="1"/>
  <c r="D41" i="38" s="1"/>
  <c r="D42" i="38" a="1"/>
  <c r="D42" i="38" s="1"/>
  <c r="D43" i="38" a="1"/>
  <c r="D43" i="38" s="1"/>
  <c r="D44" i="38" a="1"/>
  <c r="D44" i="38" s="1"/>
  <c r="D45" i="38" a="1"/>
  <c r="D45" i="38" s="1"/>
  <c r="D46" i="38" a="1"/>
  <c r="D46" i="38" s="1"/>
  <c r="D47" i="38" a="1"/>
  <c r="D47" i="38" s="1"/>
  <c r="D48" i="38" a="1"/>
  <c r="D48" i="38" s="1"/>
  <c r="D49" i="38" a="1"/>
  <c r="D49" i="38" s="1"/>
  <c r="D50" i="38" a="1"/>
  <c r="D50" i="38" s="1"/>
  <c r="D51" i="38" a="1"/>
  <c r="D51" i="38" s="1"/>
  <c r="D52" i="38" a="1"/>
  <c r="D52" i="38" s="1"/>
  <c r="D53" i="38" a="1"/>
  <c r="D53" i="38" s="1"/>
  <c r="D54" i="38" a="1"/>
  <c r="D54" i="38" s="1"/>
  <c r="D55" i="38" a="1"/>
  <c r="D55" i="38" s="1"/>
  <c r="D56" i="38" a="1"/>
  <c r="D56" i="38" s="1"/>
  <c r="D57" i="38" a="1"/>
  <c r="D57" i="38" s="1"/>
  <c r="D58" i="38" a="1"/>
  <c r="D58" i="38" s="1"/>
  <c r="D59" i="38" a="1"/>
  <c r="D59" i="38" s="1"/>
  <c r="D60" i="38" a="1"/>
  <c r="D60" i="38" s="1"/>
  <c r="D61" i="38" a="1"/>
  <c r="D61" i="38" s="1"/>
  <c r="D62" i="38" a="1"/>
  <c r="D62" i="38" s="1"/>
  <c r="D63" i="38" a="1"/>
  <c r="D63" i="38" s="1"/>
  <c r="D64" i="38" a="1"/>
  <c r="D64" i="38" s="1"/>
  <c r="D65" i="38" a="1"/>
  <c r="D65" i="38" s="1"/>
  <c r="D66" i="38" a="1"/>
  <c r="D66" i="38" s="1"/>
  <c r="D67" i="38" a="1"/>
  <c r="D67" i="38" s="1"/>
  <c r="D68" i="38" a="1"/>
  <c r="D68" i="38" s="1"/>
  <c r="D69" i="38" a="1"/>
  <c r="D69" i="38" s="1"/>
  <c r="D70" i="38" a="1"/>
  <c r="D70" i="38" s="1"/>
  <c r="D71" i="38" a="1"/>
  <c r="D71" i="38" s="1"/>
  <c r="D72" i="38" a="1"/>
  <c r="D72" i="38" s="1"/>
  <c r="D73" i="38" a="1"/>
  <c r="D73" i="38" s="1"/>
  <c r="D74" i="38" a="1"/>
  <c r="D74" i="38" s="1"/>
  <c r="D75" i="38" a="1"/>
  <c r="D75" i="38" s="1"/>
  <c r="D76" i="38" a="1"/>
  <c r="D76" i="38" s="1"/>
  <c r="D77" i="38" a="1"/>
  <c r="D77" i="38" s="1"/>
  <c r="D78" i="38" a="1"/>
  <c r="D78" i="38" s="1"/>
  <c r="D79" i="38" a="1"/>
  <c r="D79" i="38" s="1"/>
  <c r="D80" i="38" a="1"/>
  <c r="D80" i="38" s="1"/>
  <c r="D81" i="38" a="1"/>
  <c r="D81" i="38" s="1"/>
  <c r="D82" i="38" a="1"/>
  <c r="D82" i="38" s="1"/>
  <c r="D83" i="38" a="1"/>
  <c r="D83" i="38" s="1"/>
  <c r="D84" i="38" a="1"/>
  <c r="D84" i="38" s="1"/>
  <c r="D85" i="38" a="1"/>
  <c r="D85" i="38" s="1"/>
  <c r="D86" i="38" a="1"/>
  <c r="D86" i="38" s="1"/>
  <c r="D87" i="38" a="1"/>
  <c r="D87" i="38" s="1"/>
  <c r="D88" i="38" a="1"/>
  <c r="D88" i="38" s="1"/>
  <c r="D89" i="38" a="1"/>
  <c r="D89" i="38" s="1"/>
  <c r="D90" i="38" a="1"/>
  <c r="D90" i="38" s="1"/>
  <c r="D91" i="38" a="1"/>
  <c r="D91" i="38" s="1"/>
  <c r="D92" i="38" a="1"/>
  <c r="D92" i="38" s="1"/>
  <c r="D93" i="38" a="1"/>
  <c r="D93" i="38" s="1"/>
  <c r="D94" i="38" a="1"/>
  <c r="D94" i="38" s="1"/>
  <c r="D95" i="38" a="1"/>
  <c r="D95" i="38" s="1"/>
  <c r="D96" i="38" a="1"/>
  <c r="D96" i="38" s="1"/>
  <c r="D97" i="38" a="1"/>
  <c r="D97" i="38" s="1"/>
  <c r="D98" i="38" a="1"/>
  <c r="D98" i="38" s="1"/>
  <c r="D99" i="38" a="1"/>
  <c r="D99" i="38" s="1"/>
  <c r="D100" i="38" a="1"/>
  <c r="D100" i="38" s="1"/>
  <c r="D101" i="38" a="1"/>
  <c r="D101" i="38" s="1"/>
  <c r="D102" i="38" a="1"/>
  <c r="D102" i="38" s="1"/>
  <c r="D103" i="38" a="1"/>
  <c r="D103" i="38" s="1"/>
  <c r="D104" i="38" a="1"/>
  <c r="D104" i="38" s="1"/>
  <c r="D105" i="38" a="1"/>
  <c r="D105" i="38" s="1"/>
  <c r="D106" i="38" a="1"/>
  <c r="D106" i="38" s="1"/>
  <c r="D107" i="38" a="1"/>
  <c r="D107" i="38" s="1"/>
  <c r="D108" i="38" a="1"/>
  <c r="D108" i="38" s="1"/>
  <c r="D109" i="38" a="1"/>
  <c r="D109" i="38" s="1"/>
  <c r="D110" i="38" a="1"/>
  <c r="D110" i="38" s="1"/>
  <c r="D111" i="38" a="1"/>
  <c r="D111" i="38" s="1"/>
  <c r="D112" i="38" a="1"/>
  <c r="D112" i="38" s="1"/>
  <c r="D113" i="38" a="1"/>
  <c r="D113" i="38" s="1"/>
  <c r="D114" i="38" a="1"/>
  <c r="D114" i="38" s="1"/>
  <c r="D115" i="38" a="1"/>
  <c r="D115" i="38" s="1"/>
  <c r="D116" i="38" a="1"/>
  <c r="D116" i="38" s="1"/>
  <c r="D117" i="38" a="1"/>
  <c r="D117" i="38" s="1"/>
  <c r="D118" i="38" a="1"/>
  <c r="D118" i="38" s="1"/>
  <c r="D119" i="38" a="1"/>
  <c r="D119" i="38" s="1"/>
  <c r="D120" i="38" a="1"/>
  <c r="D120" i="38" s="1"/>
  <c r="D121" i="38" a="1"/>
  <c r="D121" i="38" s="1"/>
  <c r="D122" i="38" a="1"/>
  <c r="D122" i="38" s="1"/>
  <c r="D123" i="38" a="1"/>
  <c r="D123" i="38" s="1"/>
  <c r="D124" i="38" a="1"/>
  <c r="D124" i="38" s="1"/>
  <c r="D125" i="38" a="1"/>
  <c r="D125" i="38" s="1"/>
  <c r="D126" i="38" a="1"/>
  <c r="D126" i="38" s="1"/>
  <c r="D127" i="38" a="1"/>
  <c r="D127" i="38" s="1"/>
  <c r="D128" i="38" a="1"/>
  <c r="D128" i="38" s="1"/>
  <c r="D129" i="38" a="1"/>
  <c r="D129" i="38" s="1"/>
  <c r="D130" i="38" a="1"/>
  <c r="D130" i="38" s="1"/>
  <c r="D131" i="38" a="1"/>
  <c r="D131" i="38" s="1"/>
  <c r="D132" i="38" a="1"/>
  <c r="D132" i="38" s="1"/>
  <c r="D133" i="38" a="1"/>
  <c r="D133" i="38" s="1"/>
  <c r="D134" i="38" a="1"/>
  <c r="D134" i="38" s="1"/>
  <c r="D135" i="38" a="1"/>
  <c r="D135" i="38" s="1"/>
  <c r="D136" i="38" a="1"/>
  <c r="D136" i="38" s="1"/>
  <c r="D137" i="38" a="1"/>
  <c r="D137" i="38" s="1"/>
  <c r="D138" i="38" a="1"/>
  <c r="D138" i="38" s="1"/>
  <c r="D139" i="38" a="1"/>
  <c r="D139" i="38" s="1"/>
  <c r="D140" i="38" a="1"/>
  <c r="D140" i="38" s="1"/>
  <c r="D141" i="38" a="1"/>
  <c r="D141" i="38" s="1"/>
  <c r="D142" i="38" a="1"/>
  <c r="D142" i="38" s="1"/>
  <c r="D143" i="38" a="1"/>
  <c r="D143" i="38" s="1"/>
  <c r="D144" i="38" a="1"/>
  <c r="D144" i="38" s="1"/>
  <c r="D145" i="38" a="1"/>
  <c r="D145" i="38" s="1"/>
  <c r="D146" i="38" a="1"/>
  <c r="D146" i="38" s="1"/>
  <c r="D147" i="38" a="1"/>
  <c r="D147" i="38" s="1"/>
  <c r="D148" i="38" a="1"/>
  <c r="D148" i="38" s="1"/>
  <c r="D149" i="38" a="1"/>
  <c r="D149" i="38" s="1"/>
  <c r="D150" i="38" a="1"/>
  <c r="D150" i="38" s="1"/>
  <c r="D151" i="38" a="1"/>
  <c r="D151" i="38" s="1"/>
  <c r="D152" i="38" a="1"/>
  <c r="D152" i="38" s="1"/>
  <c r="D153" i="38" a="1"/>
  <c r="D153" i="38" s="1"/>
  <c r="D154" i="38" a="1"/>
  <c r="D154" i="38" s="1"/>
  <c r="D155" i="38" a="1"/>
  <c r="D155" i="38" s="1"/>
  <c r="D156" i="38" a="1"/>
  <c r="D156" i="38" s="1"/>
  <c r="D157" i="38" a="1"/>
  <c r="D157" i="38" s="1"/>
  <c r="D158" i="38" a="1"/>
  <c r="D158" i="38" s="1"/>
  <c r="D159" i="38" a="1"/>
  <c r="D159" i="38" s="1"/>
  <c r="D160" i="38" a="1"/>
  <c r="D160" i="38" s="1"/>
  <c r="D161" i="38" a="1"/>
  <c r="D161" i="38" s="1"/>
  <c r="D162" i="38" a="1"/>
  <c r="D162" i="38" s="1"/>
  <c r="D163" i="38" a="1"/>
  <c r="D163" i="38" s="1"/>
  <c r="D164" i="38" a="1"/>
  <c r="D164" i="38" s="1"/>
  <c r="D165" i="38" a="1"/>
  <c r="D165" i="38" s="1"/>
  <c r="D166" i="38" a="1"/>
  <c r="D166" i="38" s="1"/>
  <c r="D167" i="38" a="1"/>
  <c r="D167" i="38" s="1"/>
  <c r="D168" i="38" a="1"/>
  <c r="D168" i="38" s="1"/>
  <c r="D169" i="38" a="1"/>
  <c r="D169" i="38" s="1"/>
  <c r="D170" i="38" a="1"/>
  <c r="D170" i="38" s="1"/>
  <c r="D171" i="38" a="1"/>
  <c r="D171" i="38" s="1"/>
  <c r="D172" i="38" a="1"/>
  <c r="D172" i="38" s="1"/>
  <c r="D173" i="38" a="1"/>
  <c r="D173" i="38" s="1"/>
  <c r="D174" i="38" a="1"/>
  <c r="D174" i="38" s="1"/>
  <c r="D175" i="38" a="1"/>
  <c r="D175" i="38" s="1"/>
  <c r="D176" i="38" a="1"/>
  <c r="D176" i="38" s="1"/>
  <c r="D177" i="38" a="1"/>
  <c r="D177" i="38" s="1"/>
  <c r="D178" i="38" a="1"/>
  <c r="D178" i="38" s="1"/>
  <c r="D179" i="38" a="1"/>
  <c r="D179" i="38" s="1"/>
  <c r="D180" i="38" a="1"/>
  <c r="D180" i="38" s="1"/>
  <c r="D181" i="38" a="1"/>
  <c r="D181" i="38" s="1"/>
  <c r="D182" i="38" a="1"/>
  <c r="D182" i="38" s="1"/>
  <c r="D183" i="38" a="1"/>
  <c r="D183" i="38" s="1"/>
  <c r="D184" i="38" a="1"/>
  <c r="D184" i="38" s="1"/>
  <c r="D185" i="38" a="1"/>
  <c r="D185" i="38" s="1"/>
  <c r="D186" i="38" a="1"/>
  <c r="D186" i="38" s="1"/>
  <c r="D187" i="38" a="1"/>
  <c r="D187" i="38" s="1"/>
  <c r="D188" i="38" a="1"/>
  <c r="D188" i="38" s="1"/>
  <c r="D189" i="38" a="1"/>
  <c r="D189" i="38" s="1"/>
  <c r="D190" i="38" a="1"/>
  <c r="D190" i="38" s="1"/>
  <c r="C8" i="38" a="1"/>
  <c r="C8" i="38" s="1"/>
  <c r="C9" i="38" a="1"/>
  <c r="C9" i="38" s="1"/>
  <c r="C10" i="38" a="1"/>
  <c r="C10" i="38" s="1"/>
  <c r="C11" i="38" a="1"/>
  <c r="C11" i="38" s="1"/>
  <c r="C12" i="38" a="1"/>
  <c r="C12" i="38" s="1"/>
  <c r="C13" i="38" a="1"/>
  <c r="C13" i="38" s="1"/>
  <c r="C14" i="38" a="1"/>
  <c r="C14" i="38" s="1"/>
  <c r="C15" i="38" a="1"/>
  <c r="C15" i="38" s="1"/>
  <c r="C16" i="38" a="1"/>
  <c r="C16" i="38" s="1"/>
  <c r="C17" i="38" a="1"/>
  <c r="C17" i="38" s="1"/>
  <c r="C18" i="38" a="1"/>
  <c r="C18" i="38" s="1"/>
  <c r="C19" i="38" a="1"/>
  <c r="C19" i="38" s="1"/>
  <c r="C20" i="38" a="1"/>
  <c r="C20" i="38" s="1"/>
  <c r="C21" i="38" a="1"/>
  <c r="C21" i="38" s="1"/>
  <c r="C22" i="38" a="1"/>
  <c r="C22" i="38" s="1"/>
  <c r="C23" i="38" a="1"/>
  <c r="C23" i="38" s="1"/>
  <c r="C24" i="38" a="1"/>
  <c r="C24" i="38" s="1"/>
  <c r="C25" i="38" a="1"/>
  <c r="C25" i="38" s="1"/>
  <c r="C26" i="38" a="1"/>
  <c r="C26" i="38" s="1"/>
  <c r="C27" i="38" a="1"/>
  <c r="C27" i="38" s="1"/>
  <c r="C28" i="38" a="1"/>
  <c r="C28" i="38" s="1"/>
  <c r="C29" i="38" a="1"/>
  <c r="C29" i="38" s="1"/>
  <c r="C30" i="38" a="1"/>
  <c r="C30" i="38" s="1"/>
  <c r="C31" i="38" a="1"/>
  <c r="C31" i="38" s="1"/>
  <c r="C32" i="38" a="1"/>
  <c r="C32" i="38" s="1"/>
  <c r="C33" i="38" a="1"/>
  <c r="C33" i="38" s="1"/>
  <c r="C34" i="38" a="1"/>
  <c r="C34" i="38" s="1"/>
  <c r="C35" i="38" a="1"/>
  <c r="C35" i="38" s="1"/>
  <c r="C36" i="38" a="1"/>
  <c r="C36" i="38" s="1"/>
  <c r="C37" i="38" a="1"/>
  <c r="C37" i="38" s="1"/>
  <c r="C38" i="38" a="1"/>
  <c r="C38" i="38" s="1"/>
  <c r="C39" i="38" a="1"/>
  <c r="C39" i="38" s="1"/>
  <c r="C40" i="38" a="1"/>
  <c r="C40" i="38" s="1"/>
  <c r="C41" i="38" a="1"/>
  <c r="C41" i="38" s="1"/>
  <c r="C42" i="38" a="1"/>
  <c r="C42" i="38" s="1"/>
  <c r="C43" i="38" a="1"/>
  <c r="C43" i="38" s="1"/>
  <c r="C44" i="38" a="1"/>
  <c r="C44" i="38" s="1"/>
  <c r="C45" i="38" a="1"/>
  <c r="C45" i="38" s="1"/>
  <c r="C46" i="38" a="1"/>
  <c r="C46" i="38" s="1"/>
  <c r="C47" i="38" a="1"/>
  <c r="C47" i="38" s="1"/>
  <c r="C48" i="38" a="1"/>
  <c r="C48" i="38" s="1"/>
  <c r="C49" i="38" a="1"/>
  <c r="C49" i="38" s="1"/>
  <c r="C50" i="38" a="1"/>
  <c r="C50" i="38" s="1"/>
  <c r="C51" i="38" a="1"/>
  <c r="C51" i="38" s="1"/>
  <c r="C52" i="38" a="1"/>
  <c r="C52" i="38" s="1"/>
  <c r="C53" i="38" a="1"/>
  <c r="C53" i="38" s="1"/>
  <c r="C54" i="38" a="1"/>
  <c r="C54" i="38" s="1"/>
  <c r="C55" i="38" a="1"/>
  <c r="C55" i="38" s="1"/>
  <c r="C56" i="38" a="1"/>
  <c r="C56" i="38" s="1"/>
  <c r="C57" i="38" a="1"/>
  <c r="C57" i="38" s="1"/>
  <c r="C58" i="38" a="1"/>
  <c r="C58" i="38" s="1"/>
  <c r="C59" i="38" a="1"/>
  <c r="C59" i="38" s="1"/>
  <c r="C60" i="38" a="1"/>
  <c r="C60" i="38" s="1"/>
  <c r="C61" i="38" a="1"/>
  <c r="C61" i="38" s="1"/>
  <c r="C62" i="38" a="1"/>
  <c r="C62" i="38" s="1"/>
  <c r="C63" i="38" a="1"/>
  <c r="C63" i="38" s="1"/>
  <c r="C64" i="38" a="1"/>
  <c r="C64" i="38" s="1"/>
  <c r="C65" i="38" a="1"/>
  <c r="C65" i="38" s="1"/>
  <c r="C66" i="38" a="1"/>
  <c r="C66" i="38" s="1"/>
  <c r="C67" i="38" a="1"/>
  <c r="C67" i="38" s="1"/>
  <c r="C68" i="38" a="1"/>
  <c r="C68" i="38" s="1"/>
  <c r="C69" i="38" a="1"/>
  <c r="C69" i="38" s="1"/>
  <c r="C70" i="38" a="1"/>
  <c r="C70" i="38" s="1"/>
  <c r="C71" i="38" a="1"/>
  <c r="C71" i="38" s="1"/>
  <c r="C72" i="38" a="1"/>
  <c r="C72" i="38" s="1"/>
  <c r="C73" i="38" a="1"/>
  <c r="C73" i="38" s="1"/>
  <c r="C74" i="38" a="1"/>
  <c r="C74" i="38" s="1"/>
  <c r="C75" i="38" a="1"/>
  <c r="C75" i="38" s="1"/>
  <c r="C76" i="38" a="1"/>
  <c r="C76" i="38" s="1"/>
  <c r="C77" i="38" a="1"/>
  <c r="C77" i="38" s="1"/>
  <c r="C78" i="38" a="1"/>
  <c r="C78" i="38" s="1"/>
  <c r="C79" i="38" a="1"/>
  <c r="C79" i="38" s="1"/>
  <c r="C80" i="38" a="1"/>
  <c r="C80" i="38" s="1"/>
  <c r="C81" i="38" a="1"/>
  <c r="C81" i="38" s="1"/>
  <c r="C82" i="38" a="1"/>
  <c r="C82" i="38" s="1"/>
  <c r="C83" i="38" a="1"/>
  <c r="C83" i="38" s="1"/>
  <c r="C84" i="38" a="1"/>
  <c r="C84" i="38" s="1"/>
  <c r="C85" i="38" a="1"/>
  <c r="C85" i="38" s="1"/>
  <c r="C86" i="38" a="1"/>
  <c r="C86" i="38" s="1"/>
  <c r="C87" i="38" a="1"/>
  <c r="C87" i="38" s="1"/>
  <c r="C88" i="38" a="1"/>
  <c r="C88" i="38" s="1"/>
  <c r="C89" i="38" a="1"/>
  <c r="C89" i="38" s="1"/>
  <c r="C90" i="38" a="1"/>
  <c r="C90" i="38" s="1"/>
  <c r="C91" i="38" a="1"/>
  <c r="C91" i="38" s="1"/>
  <c r="C92" i="38" a="1"/>
  <c r="C92" i="38" s="1"/>
  <c r="C93" i="38" a="1"/>
  <c r="C93" i="38" s="1"/>
  <c r="C94" i="38" a="1"/>
  <c r="C94" i="38" s="1"/>
  <c r="C95" i="38" a="1"/>
  <c r="C95" i="38" s="1"/>
  <c r="C96" i="38" a="1"/>
  <c r="C96" i="38" s="1"/>
  <c r="C97" i="38" a="1"/>
  <c r="C97" i="38" s="1"/>
  <c r="C98" i="38" a="1"/>
  <c r="C98" i="38" s="1"/>
  <c r="C99" i="38" a="1"/>
  <c r="C99" i="38" s="1"/>
  <c r="C100" i="38" a="1"/>
  <c r="C100" i="38" s="1"/>
  <c r="C101" i="38" a="1"/>
  <c r="C101" i="38" s="1"/>
  <c r="C102" i="38" a="1"/>
  <c r="C102" i="38" s="1"/>
  <c r="C103" i="38" a="1"/>
  <c r="C103" i="38" s="1"/>
  <c r="C104" i="38" a="1"/>
  <c r="C104" i="38" s="1"/>
  <c r="C105" i="38" a="1"/>
  <c r="C105" i="38" s="1"/>
  <c r="C106" i="38" a="1"/>
  <c r="C106" i="38" s="1"/>
  <c r="C107" i="38" a="1"/>
  <c r="C107" i="38" s="1"/>
  <c r="C108" i="38" a="1"/>
  <c r="C108" i="38" s="1"/>
  <c r="C109" i="38" a="1"/>
  <c r="C109" i="38" s="1"/>
  <c r="C110" i="38" a="1"/>
  <c r="C110" i="38" s="1"/>
  <c r="C111" i="38" a="1"/>
  <c r="C111" i="38" s="1"/>
  <c r="C112" i="38" a="1"/>
  <c r="C112" i="38" s="1"/>
  <c r="C113" i="38" a="1"/>
  <c r="C113" i="38" s="1"/>
  <c r="C114" i="38" a="1"/>
  <c r="C114" i="38" s="1"/>
  <c r="C115" i="38" a="1"/>
  <c r="C115" i="38" s="1"/>
  <c r="C116" i="38" a="1"/>
  <c r="C116" i="38" s="1"/>
  <c r="C117" i="38" a="1"/>
  <c r="C117" i="38" s="1"/>
  <c r="C118" i="38" a="1"/>
  <c r="C118" i="38" s="1"/>
  <c r="C119" i="38" a="1"/>
  <c r="C119" i="38" s="1"/>
  <c r="C120" i="38" a="1"/>
  <c r="C120" i="38" s="1"/>
  <c r="C121" i="38" a="1"/>
  <c r="C121" i="38" s="1"/>
  <c r="C122" i="38" a="1"/>
  <c r="C122" i="38" s="1"/>
  <c r="C123" i="38" a="1"/>
  <c r="C123" i="38" s="1"/>
  <c r="C124" i="38" a="1"/>
  <c r="C124" i="38" s="1"/>
  <c r="C125" i="38" a="1"/>
  <c r="C125" i="38" s="1"/>
  <c r="C126" i="38" a="1"/>
  <c r="C126" i="38" s="1"/>
  <c r="C127" i="38" a="1"/>
  <c r="C127" i="38" s="1"/>
  <c r="C128" i="38" a="1"/>
  <c r="C128" i="38" s="1"/>
  <c r="C129" i="38" a="1"/>
  <c r="C129" i="38" s="1"/>
  <c r="C130" i="38" a="1"/>
  <c r="C130" i="38" s="1"/>
  <c r="C131" i="38" a="1"/>
  <c r="C131" i="38" s="1"/>
  <c r="C132" i="38" a="1"/>
  <c r="C132" i="38" s="1"/>
  <c r="C133" i="38" a="1"/>
  <c r="C133" i="38" s="1"/>
  <c r="C134" i="38" a="1"/>
  <c r="C134" i="38" s="1"/>
  <c r="C135" i="38" a="1"/>
  <c r="C135" i="38" s="1"/>
  <c r="C136" i="38" a="1"/>
  <c r="C136" i="38" s="1"/>
  <c r="C137" i="38" a="1"/>
  <c r="C137" i="38" s="1"/>
  <c r="C138" i="38" a="1"/>
  <c r="C138" i="38" s="1"/>
  <c r="C139" i="38" a="1"/>
  <c r="C139" i="38" s="1"/>
  <c r="C140" i="38" a="1"/>
  <c r="C140" i="38" s="1"/>
  <c r="C141" i="38" a="1"/>
  <c r="C141" i="38" s="1"/>
  <c r="C142" i="38" a="1"/>
  <c r="C142" i="38" s="1"/>
  <c r="C143" i="38" a="1"/>
  <c r="C143" i="38" s="1"/>
  <c r="C144" i="38" a="1"/>
  <c r="C144" i="38" s="1"/>
  <c r="C145" i="38" a="1"/>
  <c r="C145" i="38" s="1"/>
  <c r="C146" i="38" a="1"/>
  <c r="C146" i="38" s="1"/>
  <c r="C147" i="38" a="1"/>
  <c r="C147" i="38" s="1"/>
  <c r="C148" i="38" a="1"/>
  <c r="C148" i="38" s="1"/>
  <c r="C149" i="38" a="1"/>
  <c r="C149" i="38" s="1"/>
  <c r="C150" i="38" a="1"/>
  <c r="C150" i="38" s="1"/>
  <c r="C151" i="38" a="1"/>
  <c r="C151" i="38" s="1"/>
  <c r="C152" i="38" a="1"/>
  <c r="C152" i="38" s="1"/>
  <c r="C153" i="38" a="1"/>
  <c r="C153" i="38" s="1"/>
  <c r="C154" i="38" a="1"/>
  <c r="C154" i="38" s="1"/>
  <c r="C155" i="38" a="1"/>
  <c r="C155" i="38" s="1"/>
  <c r="C156" i="38" a="1"/>
  <c r="C156" i="38" s="1"/>
  <c r="C157" i="38" a="1"/>
  <c r="C157" i="38" s="1"/>
  <c r="C158" i="38" a="1"/>
  <c r="C158" i="38" s="1"/>
  <c r="C159" i="38" a="1"/>
  <c r="C159" i="38" s="1"/>
  <c r="C160" i="38" a="1"/>
  <c r="C160" i="38" s="1"/>
  <c r="C161" i="38" a="1"/>
  <c r="C161" i="38" s="1"/>
  <c r="C162" i="38" a="1"/>
  <c r="C162" i="38" s="1"/>
  <c r="C163" i="38" a="1"/>
  <c r="C163" i="38" s="1"/>
  <c r="C164" i="38" a="1"/>
  <c r="C164" i="38" s="1"/>
  <c r="C165" i="38" a="1"/>
  <c r="C165" i="38" s="1"/>
  <c r="C166" i="38" a="1"/>
  <c r="C166" i="38" s="1"/>
  <c r="C167" i="38" a="1"/>
  <c r="C167" i="38" s="1"/>
  <c r="C168" i="38" a="1"/>
  <c r="C168" i="38" s="1"/>
  <c r="C169" i="38" a="1"/>
  <c r="C169" i="38" s="1"/>
  <c r="C170" i="38" a="1"/>
  <c r="C170" i="38" s="1"/>
  <c r="C171" i="38" a="1"/>
  <c r="C171" i="38" s="1"/>
  <c r="C172" i="38" a="1"/>
  <c r="C172" i="38" s="1"/>
  <c r="C173" i="38" a="1"/>
  <c r="C173" i="38" s="1"/>
  <c r="C174" i="38" a="1"/>
  <c r="C174" i="38" s="1"/>
  <c r="C175" i="38" a="1"/>
  <c r="C175" i="38" s="1"/>
  <c r="C176" i="38" a="1"/>
  <c r="C176" i="38" s="1"/>
  <c r="C177" i="38" a="1"/>
  <c r="C177" i="38" s="1"/>
  <c r="C178" i="38" a="1"/>
  <c r="C178" i="38" s="1"/>
  <c r="C179" i="38" a="1"/>
  <c r="C179" i="38" s="1"/>
  <c r="C180" i="38" a="1"/>
  <c r="C180" i="38" s="1"/>
  <c r="C181" i="38" a="1"/>
  <c r="C181" i="38" s="1"/>
  <c r="C182" i="38" a="1"/>
  <c r="C182" i="38" s="1"/>
  <c r="C183" i="38" a="1"/>
  <c r="C183" i="38" s="1"/>
  <c r="C184" i="38" a="1"/>
  <c r="C184" i="38" s="1"/>
  <c r="C185" i="38" a="1"/>
  <c r="C185" i="38" s="1"/>
  <c r="C186" i="38" a="1"/>
  <c r="C186" i="38" s="1"/>
  <c r="C187" i="38" a="1"/>
  <c r="C187" i="38" s="1"/>
  <c r="C188" i="38" a="1"/>
  <c r="C188" i="38" s="1"/>
  <c r="C189" i="38" a="1"/>
  <c r="C189" i="38" s="1"/>
  <c r="C190" i="38" a="1"/>
  <c r="C190" i="38" s="1"/>
  <c r="J12" i="4" l="1"/>
  <c r="J145" i="4"/>
  <c r="J9" i="4"/>
  <c r="J10" i="4"/>
  <c r="J11"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8" i="4"/>
  <c r="K13" i="6" l="1"/>
  <c r="K14" i="6"/>
  <c r="K15" i="6"/>
  <c r="K16" i="6"/>
  <c r="K17" i="6"/>
  <c r="K22" i="6"/>
  <c r="K23" i="6"/>
  <c r="K30" i="6"/>
  <c r="K37" i="6"/>
  <c r="K95" i="6"/>
  <c r="K96" i="6"/>
  <c r="K97" i="6"/>
  <c r="K98" i="6"/>
  <c r="K99" i="6"/>
  <c r="K100" i="6"/>
  <c r="K101" i="6"/>
  <c r="K105" i="6"/>
  <c r="K106" i="6"/>
  <c r="K116" i="6"/>
  <c r="K117" i="6"/>
  <c r="K118" i="6"/>
  <c r="K119" i="6"/>
  <c r="K121" i="6"/>
  <c r="K122" i="6"/>
  <c r="K123" i="6"/>
  <c r="K124" i="6"/>
  <c r="K132" i="6"/>
  <c r="K133" i="6"/>
  <c r="K134" i="6"/>
  <c r="K135" i="6"/>
  <c r="K136" i="6"/>
  <c r="K137" i="6"/>
  <c r="K138" i="6"/>
  <c r="K139" i="6"/>
  <c r="K140" i="6"/>
  <c r="K141" i="6"/>
  <c r="K145" i="6"/>
  <c r="K146" i="6"/>
  <c r="K155" i="6"/>
  <c r="K159" i="6"/>
  <c r="K160" i="6"/>
  <c r="K161" i="6"/>
  <c r="K171" i="6"/>
  <c r="K189" i="6"/>
  <c r="K190" i="6"/>
  <c r="K191" i="6"/>
  <c r="K199" i="6"/>
  <c r="K206" i="6"/>
  <c r="K207" i="6"/>
  <c r="K224" i="6"/>
  <c r="K178" i="6"/>
  <c r="K158" i="6"/>
  <c r="K154" i="6"/>
  <c r="K151" i="6"/>
  <c r="K92" i="6"/>
  <c r="K76" i="6"/>
  <c r="K73" i="6"/>
  <c r="K69" i="6"/>
  <c r="K63" i="6"/>
  <c r="K36" i="6"/>
  <c r="K31" i="6"/>
  <c r="K29" i="6"/>
  <c r="K24" i="6"/>
  <c r="K20" i="6"/>
  <c r="H96" i="6"/>
  <c r="H99" i="6"/>
  <c r="H100" i="6"/>
  <c r="H101" i="6"/>
  <c r="H105" i="6"/>
  <c r="H106" i="6"/>
  <c r="H116" i="6"/>
  <c r="H117" i="6"/>
  <c r="H118" i="6"/>
  <c r="H119" i="6"/>
  <c r="H137" i="6"/>
  <c r="H145" i="6"/>
  <c r="H190" i="6"/>
  <c r="G10" i="16" l="1"/>
  <c r="I10" i="16" s="1"/>
  <c r="G11" i="16"/>
  <c r="I11" i="16" s="1"/>
  <c r="G12" i="16"/>
  <c r="I12" i="16" s="1"/>
  <c r="G13" i="16"/>
  <c r="I13" i="16" s="1"/>
  <c r="G14" i="16"/>
  <c r="I14" i="16" s="1"/>
  <c r="G15" i="16"/>
  <c r="I15" i="16" s="1"/>
  <c r="G16" i="16"/>
  <c r="I16" i="16" s="1"/>
  <c r="G17" i="16"/>
  <c r="I17" i="16" s="1"/>
  <c r="G18" i="16"/>
  <c r="I18" i="16" s="1"/>
  <c r="G19" i="16"/>
  <c r="I19" i="16" s="1"/>
  <c r="G20" i="16"/>
  <c r="I20" i="16" s="1"/>
  <c r="G21" i="16"/>
  <c r="I21" i="16" s="1"/>
  <c r="G22" i="16"/>
  <c r="I22" i="16" s="1"/>
  <c r="G23" i="16"/>
  <c r="I23" i="16" s="1"/>
  <c r="G24" i="16"/>
  <c r="I24" i="16" s="1"/>
  <c r="G25" i="16"/>
  <c r="I25" i="16" s="1"/>
  <c r="G26" i="16"/>
  <c r="I26" i="16" s="1"/>
  <c r="G27" i="16"/>
  <c r="I27" i="16" s="1"/>
  <c r="G28" i="16"/>
  <c r="I28" i="16" s="1"/>
  <c r="G29" i="16"/>
  <c r="I29" i="16" s="1"/>
  <c r="G30" i="16"/>
  <c r="I30" i="16" s="1"/>
  <c r="G31" i="16"/>
  <c r="I31" i="16" s="1"/>
  <c r="G32" i="16"/>
  <c r="I32" i="16" s="1"/>
  <c r="G33" i="16"/>
  <c r="I33" i="16" s="1"/>
  <c r="G34" i="16"/>
  <c r="I34" i="16" s="1"/>
  <c r="G35" i="16"/>
  <c r="I35" i="16" s="1"/>
  <c r="G36" i="16"/>
  <c r="I36" i="16" s="1"/>
  <c r="G37" i="16"/>
  <c r="I37" i="16" s="1"/>
  <c r="G38" i="16"/>
  <c r="I38" i="16" s="1"/>
  <c r="G39" i="16"/>
  <c r="I39" i="16" s="1"/>
  <c r="G40" i="16"/>
  <c r="I40" i="16" s="1"/>
  <c r="G41" i="16"/>
  <c r="I41" i="16" s="1"/>
  <c r="G42" i="16"/>
  <c r="I42" i="16" s="1"/>
  <c r="G43" i="16"/>
  <c r="I43" i="16" s="1"/>
  <c r="G44" i="16"/>
  <c r="I44" i="16" s="1"/>
  <c r="G45" i="16"/>
  <c r="I45" i="16" s="1"/>
  <c r="G46" i="16"/>
  <c r="I46" i="16" s="1"/>
  <c r="G47" i="16"/>
  <c r="I47" i="16" s="1"/>
  <c r="G48" i="16"/>
  <c r="I48" i="16" s="1"/>
  <c r="G49" i="16"/>
  <c r="I49" i="16" s="1"/>
  <c r="G50" i="16"/>
  <c r="I50" i="16" s="1"/>
  <c r="G51" i="16"/>
  <c r="I51" i="16" s="1"/>
  <c r="G52" i="16"/>
  <c r="I52" i="16" s="1"/>
  <c r="G53" i="16"/>
  <c r="I53" i="16" s="1"/>
  <c r="G54" i="16"/>
  <c r="I54" i="16" s="1"/>
  <c r="G55" i="16"/>
  <c r="I55" i="16" s="1"/>
  <c r="G56" i="16"/>
  <c r="I56" i="16" s="1"/>
  <c r="G57" i="16"/>
  <c r="I57" i="16" s="1"/>
  <c r="G58" i="16"/>
  <c r="I58" i="16" s="1"/>
  <c r="G59" i="16"/>
  <c r="I59" i="16" s="1"/>
  <c r="G60" i="16"/>
  <c r="I60" i="16" s="1"/>
  <c r="G61" i="16"/>
  <c r="I61" i="16" s="1"/>
  <c r="G62" i="16"/>
  <c r="I62" i="16" s="1"/>
  <c r="G63" i="16"/>
  <c r="I63" i="16" s="1"/>
  <c r="G64" i="16"/>
  <c r="I64" i="16" s="1"/>
  <c r="G65" i="16"/>
  <c r="I65" i="16" s="1"/>
  <c r="G66" i="16"/>
  <c r="I66" i="16" s="1"/>
  <c r="G67" i="16"/>
  <c r="I67" i="16" s="1"/>
  <c r="G68" i="16"/>
  <c r="I68" i="16" s="1"/>
  <c r="G69" i="16"/>
  <c r="I69" i="16" s="1"/>
  <c r="G70" i="16"/>
  <c r="I70" i="16" s="1"/>
  <c r="G71" i="16"/>
  <c r="I71" i="16" s="1"/>
  <c r="G72" i="16"/>
  <c r="I72" i="16" s="1"/>
  <c r="G73" i="16"/>
  <c r="I73" i="16" s="1"/>
  <c r="G74" i="16"/>
  <c r="I74" i="16" s="1"/>
  <c r="G75" i="16"/>
  <c r="I75" i="16" s="1"/>
  <c r="G76" i="16"/>
  <c r="I76" i="16" s="1"/>
  <c r="G77" i="16"/>
  <c r="I77" i="16" s="1"/>
  <c r="G78" i="16"/>
  <c r="I78" i="16" s="1"/>
  <c r="G79" i="16"/>
  <c r="I79" i="16" s="1"/>
  <c r="G80" i="16"/>
  <c r="I80" i="16" s="1"/>
  <c r="G81" i="16"/>
  <c r="I81" i="16" s="1"/>
  <c r="G82" i="16"/>
  <c r="I82" i="16" s="1"/>
  <c r="G83" i="16"/>
  <c r="I83" i="16" s="1"/>
  <c r="G84" i="16"/>
  <c r="I84" i="16" s="1"/>
  <c r="G85" i="16"/>
  <c r="I85" i="16" s="1"/>
  <c r="G86" i="16"/>
  <c r="I86" i="16" s="1"/>
  <c r="G87" i="16"/>
  <c r="I87" i="16" s="1"/>
  <c r="G88" i="16"/>
  <c r="I88" i="16" s="1"/>
  <c r="G89" i="16"/>
  <c r="I89" i="16" s="1"/>
  <c r="G90" i="16"/>
  <c r="I90" i="16" s="1"/>
  <c r="G91" i="16"/>
  <c r="I91" i="16" s="1"/>
  <c r="G92" i="16"/>
  <c r="I92" i="16" s="1"/>
  <c r="G93" i="16"/>
  <c r="I93" i="16" s="1"/>
  <c r="G94" i="16"/>
  <c r="I94" i="16" s="1"/>
  <c r="G95" i="16"/>
  <c r="I95" i="16" s="1"/>
  <c r="G96" i="16"/>
  <c r="I96" i="16" s="1"/>
  <c r="G97" i="16"/>
  <c r="I97" i="16" s="1"/>
  <c r="G98" i="16"/>
  <c r="I98" i="16" s="1"/>
  <c r="G99" i="16"/>
  <c r="I99" i="16" s="1"/>
  <c r="G100" i="16"/>
  <c r="I100" i="16" s="1"/>
  <c r="G101" i="16"/>
  <c r="I101" i="16" s="1"/>
  <c r="G102" i="16"/>
  <c r="I102" i="16" s="1"/>
  <c r="G103" i="16"/>
  <c r="I103" i="16" s="1"/>
  <c r="G104" i="16"/>
  <c r="I104" i="16" s="1"/>
  <c r="G105" i="16"/>
  <c r="I105" i="16" s="1"/>
  <c r="G106" i="16"/>
  <c r="I106" i="16" s="1"/>
  <c r="G107" i="16"/>
  <c r="I107" i="16" s="1"/>
  <c r="G108" i="16"/>
  <c r="I108" i="16" s="1"/>
  <c r="G109" i="16"/>
  <c r="I109" i="16" s="1"/>
  <c r="G110" i="16"/>
  <c r="I110" i="16" s="1"/>
  <c r="G111" i="16"/>
  <c r="I111" i="16" s="1"/>
  <c r="G112" i="16"/>
  <c r="I112" i="16" s="1"/>
  <c r="G113" i="16"/>
  <c r="I113" i="16" s="1"/>
  <c r="G114" i="16"/>
  <c r="I114" i="16" s="1"/>
  <c r="G115" i="16"/>
  <c r="I115" i="16" s="1"/>
  <c r="G116" i="16"/>
  <c r="I116" i="16" s="1"/>
  <c r="G117" i="16"/>
  <c r="I117" i="16" s="1"/>
  <c r="G118" i="16"/>
  <c r="I118" i="16" s="1"/>
  <c r="G119" i="16"/>
  <c r="I119" i="16" s="1"/>
  <c r="G120" i="16"/>
  <c r="I120" i="16" s="1"/>
  <c r="G121" i="16"/>
  <c r="I121" i="16" s="1"/>
  <c r="G122" i="16"/>
  <c r="I122" i="16" s="1"/>
  <c r="G123" i="16"/>
  <c r="I123" i="16" s="1"/>
  <c r="G124" i="16"/>
  <c r="I124" i="16" s="1"/>
  <c r="G125" i="16"/>
  <c r="I125" i="16" s="1"/>
  <c r="G126" i="16"/>
  <c r="I126" i="16" s="1"/>
  <c r="G127" i="16"/>
  <c r="I127" i="16" s="1"/>
  <c r="G128" i="16"/>
  <c r="I128" i="16" s="1"/>
  <c r="G129" i="16"/>
  <c r="I129" i="16" s="1"/>
  <c r="G130" i="16"/>
  <c r="I130" i="16" s="1"/>
  <c r="G131" i="16"/>
  <c r="I131" i="16" s="1"/>
  <c r="G132" i="16"/>
  <c r="I132" i="16" s="1"/>
  <c r="G133" i="16"/>
  <c r="I133" i="16" s="1"/>
  <c r="G134" i="16"/>
  <c r="I134" i="16" s="1"/>
  <c r="G135" i="16"/>
  <c r="I135" i="16" s="1"/>
  <c r="G136" i="16"/>
  <c r="I136" i="16" s="1"/>
  <c r="G137" i="16"/>
  <c r="I137" i="16" s="1"/>
  <c r="G138" i="16"/>
  <c r="I138" i="16" s="1"/>
  <c r="G139" i="16"/>
  <c r="I139" i="16" s="1"/>
  <c r="G140" i="16"/>
  <c r="I140" i="16" s="1"/>
  <c r="G141" i="16"/>
  <c r="I141" i="16" s="1"/>
  <c r="G142" i="16"/>
  <c r="I142" i="16" s="1"/>
  <c r="G143" i="16"/>
  <c r="I143" i="16" s="1"/>
  <c r="G144" i="16"/>
  <c r="I144" i="16" s="1"/>
  <c r="G145" i="16"/>
  <c r="I145" i="16" s="1"/>
  <c r="G146" i="16"/>
  <c r="I146" i="16" s="1"/>
  <c r="G147" i="16"/>
  <c r="I147" i="16" s="1"/>
  <c r="G148" i="16"/>
  <c r="I148" i="16" s="1"/>
  <c r="G149" i="16"/>
  <c r="I149" i="16" s="1"/>
  <c r="G150" i="16"/>
  <c r="I150" i="16" s="1"/>
  <c r="G151" i="16"/>
  <c r="I151" i="16" s="1"/>
  <c r="G152" i="16"/>
  <c r="I152" i="16" s="1"/>
  <c r="G153" i="16"/>
  <c r="I153" i="16" s="1"/>
  <c r="G154" i="16"/>
  <c r="I154" i="16" s="1"/>
  <c r="G155" i="16"/>
  <c r="I155" i="16" s="1"/>
  <c r="G156" i="16"/>
  <c r="I156" i="16" s="1"/>
  <c r="G157" i="16"/>
  <c r="I157" i="16" s="1"/>
  <c r="G158" i="16"/>
  <c r="I158" i="16" s="1"/>
  <c r="G159" i="16"/>
  <c r="I159" i="16" s="1"/>
  <c r="G160" i="16"/>
  <c r="I160" i="16" s="1"/>
  <c r="G161" i="16"/>
  <c r="I161" i="16" s="1"/>
  <c r="G162" i="16"/>
  <c r="I162" i="16" s="1"/>
  <c r="G163" i="16"/>
  <c r="I163" i="16" s="1"/>
  <c r="G164" i="16"/>
  <c r="I164" i="16" s="1"/>
  <c r="G165" i="16"/>
  <c r="I165" i="16" s="1"/>
  <c r="G166" i="16"/>
  <c r="I166" i="16" s="1"/>
  <c r="G167" i="16"/>
  <c r="I167" i="16" s="1"/>
  <c r="G168" i="16"/>
  <c r="I168" i="16" s="1"/>
  <c r="G169" i="16"/>
  <c r="I169" i="16" s="1"/>
  <c r="G170" i="16"/>
  <c r="I170" i="16" s="1"/>
  <c r="G171" i="16"/>
  <c r="I171" i="16" s="1"/>
  <c r="G172" i="16"/>
  <c r="I172" i="16" s="1"/>
  <c r="G173" i="16"/>
  <c r="I173" i="16" s="1"/>
  <c r="G174" i="16"/>
  <c r="I174" i="16" s="1"/>
  <c r="G175" i="16"/>
  <c r="I175" i="16" s="1"/>
  <c r="G176" i="16"/>
  <c r="I176" i="16" s="1"/>
  <c r="G177" i="16"/>
  <c r="I177" i="16" s="1"/>
  <c r="G178" i="16"/>
  <c r="I178" i="16" s="1"/>
  <c r="G179" i="16"/>
  <c r="I179" i="16" s="1"/>
  <c r="G180" i="16"/>
  <c r="I180" i="16" s="1"/>
  <c r="G181" i="16"/>
  <c r="I181" i="16" s="1"/>
  <c r="G182" i="16"/>
  <c r="I182" i="16" s="1"/>
  <c r="G183" i="16"/>
  <c r="I183" i="16" s="1"/>
  <c r="G184" i="16"/>
  <c r="I184" i="16" s="1"/>
  <c r="G185" i="16"/>
  <c r="I185" i="16" s="1"/>
  <c r="G186" i="16"/>
  <c r="I186" i="16" s="1"/>
  <c r="G187" i="16"/>
  <c r="I187" i="16" s="1"/>
  <c r="G188" i="16"/>
  <c r="I188" i="16" s="1"/>
  <c r="G189" i="16"/>
  <c r="I189" i="16" s="1"/>
  <c r="G190" i="16"/>
  <c r="I190" i="16" s="1"/>
  <c r="G191" i="16"/>
  <c r="I191" i="16" s="1"/>
  <c r="G192" i="16"/>
  <c r="I192" i="16" s="1"/>
  <c r="G193" i="16"/>
  <c r="I193" i="16" s="1"/>
  <c r="G194" i="16"/>
  <c r="I194" i="16" s="1"/>
  <c r="G195" i="16"/>
  <c r="I195" i="16" s="1"/>
  <c r="G196" i="16"/>
  <c r="I196" i="16" s="1"/>
  <c r="G197" i="16"/>
  <c r="I197" i="16" s="1"/>
  <c r="G198" i="16"/>
  <c r="I198" i="16" s="1"/>
  <c r="G199" i="16"/>
  <c r="I199" i="16" s="1"/>
  <c r="G200" i="16"/>
  <c r="I200" i="16" s="1"/>
  <c r="G201" i="16"/>
  <c r="I201" i="16" s="1"/>
  <c r="G202" i="16"/>
  <c r="I202" i="16" s="1"/>
  <c r="G203" i="16"/>
  <c r="I203" i="16" s="1"/>
  <c r="G204" i="16"/>
  <c r="I204" i="16" s="1"/>
  <c r="G205" i="16"/>
  <c r="I205" i="16" s="1"/>
  <c r="G206" i="16"/>
  <c r="I206" i="16" s="1"/>
  <c r="G207" i="16"/>
  <c r="I207" i="16" s="1"/>
  <c r="G208" i="16"/>
  <c r="I208" i="16" s="1"/>
  <c r="G209" i="16"/>
  <c r="I209" i="16" s="1"/>
  <c r="G210" i="16"/>
  <c r="I210" i="16" s="1"/>
  <c r="G211" i="16"/>
  <c r="I211" i="16" s="1"/>
  <c r="G212" i="16"/>
  <c r="I212" i="16" s="1"/>
  <c r="G213" i="16"/>
  <c r="I213" i="16" s="1"/>
  <c r="G214" i="16"/>
  <c r="I214" i="16" s="1"/>
  <c r="G215" i="16"/>
  <c r="I215" i="16" s="1"/>
  <c r="G216" i="16"/>
  <c r="I216" i="16" s="1"/>
  <c r="G217" i="16"/>
  <c r="I217" i="16" s="1"/>
  <c r="G218" i="16"/>
  <c r="I218" i="16" s="1"/>
  <c r="G219" i="16"/>
  <c r="I219" i="16" s="1"/>
  <c r="G220" i="16"/>
  <c r="I220" i="16" s="1"/>
  <c r="G221" i="16"/>
  <c r="I221" i="16" s="1"/>
  <c r="G222" i="16"/>
  <c r="I222" i="16" s="1"/>
  <c r="G223" i="16"/>
  <c r="I223" i="16" s="1"/>
  <c r="G224" i="16"/>
  <c r="I224" i="16" s="1"/>
  <c r="G9" i="16"/>
  <c r="I9" i="16" s="1"/>
  <c r="F10" i="16"/>
  <c r="J10" i="16" s="1"/>
  <c r="F11" i="16"/>
  <c r="J11" i="16" s="1"/>
  <c r="F12" i="16"/>
  <c r="J12" i="16" s="1"/>
  <c r="F13" i="16"/>
  <c r="F14" i="16"/>
  <c r="J14" i="16" s="1"/>
  <c r="F15" i="16"/>
  <c r="J15" i="16" s="1"/>
  <c r="F16" i="16"/>
  <c r="J16" i="16" s="1"/>
  <c r="F17" i="16"/>
  <c r="J17" i="16" s="1"/>
  <c r="F18" i="16"/>
  <c r="J18" i="16" s="1"/>
  <c r="F19" i="16"/>
  <c r="J19" i="16" s="1"/>
  <c r="F20" i="16"/>
  <c r="J20" i="16" s="1"/>
  <c r="F21" i="16"/>
  <c r="J21" i="16" s="1"/>
  <c r="F22" i="16"/>
  <c r="J22" i="16" s="1"/>
  <c r="F23" i="16"/>
  <c r="J23" i="16" s="1"/>
  <c r="F24" i="16"/>
  <c r="J24" i="16" s="1"/>
  <c r="F25" i="16"/>
  <c r="J25" i="16" s="1"/>
  <c r="F26" i="16"/>
  <c r="J26" i="16" s="1"/>
  <c r="F27" i="16"/>
  <c r="J27" i="16" s="1"/>
  <c r="F28" i="16"/>
  <c r="J28" i="16" s="1"/>
  <c r="F29" i="16"/>
  <c r="J29" i="16" s="1"/>
  <c r="F30" i="16"/>
  <c r="J30" i="16" s="1"/>
  <c r="F31" i="16"/>
  <c r="J31" i="16" s="1"/>
  <c r="F32" i="16"/>
  <c r="J32" i="16" s="1"/>
  <c r="F33" i="16"/>
  <c r="J33" i="16" s="1"/>
  <c r="F34" i="16"/>
  <c r="J34" i="16" s="1"/>
  <c r="F35" i="16"/>
  <c r="J35" i="16" s="1"/>
  <c r="F36" i="16"/>
  <c r="J36" i="16" s="1"/>
  <c r="F37" i="16"/>
  <c r="J37" i="16" s="1"/>
  <c r="F38" i="16"/>
  <c r="J38" i="16" s="1"/>
  <c r="F39" i="16"/>
  <c r="J39" i="16" s="1"/>
  <c r="F40" i="16"/>
  <c r="J40" i="16" s="1"/>
  <c r="F41" i="16"/>
  <c r="J41" i="16" s="1"/>
  <c r="F42" i="16"/>
  <c r="J42" i="16" s="1"/>
  <c r="F43" i="16"/>
  <c r="J43" i="16" s="1"/>
  <c r="F44" i="16"/>
  <c r="J44" i="16" s="1"/>
  <c r="F45" i="16"/>
  <c r="J45" i="16" s="1"/>
  <c r="F46" i="16"/>
  <c r="J46" i="16" s="1"/>
  <c r="F47" i="16"/>
  <c r="J47" i="16" s="1"/>
  <c r="F48" i="16"/>
  <c r="J48" i="16" s="1"/>
  <c r="F49" i="16"/>
  <c r="J49" i="16" s="1"/>
  <c r="F50" i="16"/>
  <c r="J50" i="16" s="1"/>
  <c r="F51" i="16"/>
  <c r="J51" i="16" s="1"/>
  <c r="F52" i="16"/>
  <c r="J52" i="16" s="1"/>
  <c r="F53" i="16"/>
  <c r="J53" i="16" s="1"/>
  <c r="F54" i="16"/>
  <c r="J54" i="16" s="1"/>
  <c r="F55" i="16"/>
  <c r="J55" i="16" s="1"/>
  <c r="F56" i="16"/>
  <c r="J56" i="16" s="1"/>
  <c r="F57" i="16"/>
  <c r="J57" i="16" s="1"/>
  <c r="F58" i="16"/>
  <c r="J58" i="16" s="1"/>
  <c r="F59" i="16"/>
  <c r="J59" i="16" s="1"/>
  <c r="F60" i="16"/>
  <c r="J60" i="16" s="1"/>
  <c r="F61" i="16"/>
  <c r="J61" i="16" s="1"/>
  <c r="F62" i="16"/>
  <c r="J62" i="16" s="1"/>
  <c r="F63" i="16"/>
  <c r="J63" i="16" s="1"/>
  <c r="F64" i="16"/>
  <c r="J64" i="16" s="1"/>
  <c r="F65" i="16"/>
  <c r="J65" i="16" s="1"/>
  <c r="F66" i="16"/>
  <c r="J66" i="16" s="1"/>
  <c r="F67" i="16"/>
  <c r="J67" i="16" s="1"/>
  <c r="F68" i="16"/>
  <c r="J68" i="16" s="1"/>
  <c r="F69" i="16"/>
  <c r="J69" i="16" s="1"/>
  <c r="F70" i="16"/>
  <c r="J70" i="16" s="1"/>
  <c r="F71" i="16"/>
  <c r="J71" i="16" s="1"/>
  <c r="F72" i="16"/>
  <c r="J72" i="16" s="1"/>
  <c r="F73" i="16"/>
  <c r="J73" i="16" s="1"/>
  <c r="F74" i="16"/>
  <c r="J74" i="16" s="1"/>
  <c r="F75" i="16"/>
  <c r="J75" i="16" s="1"/>
  <c r="F76" i="16"/>
  <c r="J76" i="16" s="1"/>
  <c r="F77" i="16"/>
  <c r="J77" i="16" s="1"/>
  <c r="F78" i="16"/>
  <c r="J78" i="16" s="1"/>
  <c r="F79" i="16"/>
  <c r="J79" i="16" s="1"/>
  <c r="F80" i="16"/>
  <c r="J80" i="16" s="1"/>
  <c r="F81" i="16"/>
  <c r="J81" i="16" s="1"/>
  <c r="F82" i="16"/>
  <c r="J82" i="16" s="1"/>
  <c r="F83" i="16"/>
  <c r="J83" i="16" s="1"/>
  <c r="F84" i="16"/>
  <c r="J84" i="16" s="1"/>
  <c r="F85" i="16"/>
  <c r="J85" i="16" s="1"/>
  <c r="F86" i="16"/>
  <c r="J86" i="16" s="1"/>
  <c r="F87" i="16"/>
  <c r="F88" i="16"/>
  <c r="J88" i="16" s="1"/>
  <c r="F89" i="16"/>
  <c r="J89" i="16" s="1"/>
  <c r="F90" i="16"/>
  <c r="F91" i="16"/>
  <c r="J91" i="16" s="1"/>
  <c r="F92" i="16"/>
  <c r="J92" i="16" s="1"/>
  <c r="F93" i="16"/>
  <c r="J93" i="16" s="1"/>
  <c r="F94" i="16"/>
  <c r="J94" i="16" s="1"/>
  <c r="F95" i="16"/>
  <c r="J95" i="16" s="1"/>
  <c r="F96" i="16"/>
  <c r="J96" i="16" s="1"/>
  <c r="F97" i="16"/>
  <c r="J97" i="16" s="1"/>
  <c r="F98" i="16"/>
  <c r="J98" i="16" s="1"/>
  <c r="F99" i="16"/>
  <c r="J99" i="16" s="1"/>
  <c r="F100" i="16"/>
  <c r="J100" i="16" s="1"/>
  <c r="F101" i="16"/>
  <c r="J101" i="16" s="1"/>
  <c r="F102" i="16"/>
  <c r="J102" i="16" s="1"/>
  <c r="F103" i="16"/>
  <c r="J103" i="16" s="1"/>
  <c r="F104" i="16"/>
  <c r="J104" i="16" s="1"/>
  <c r="F105" i="16"/>
  <c r="J105" i="16" s="1"/>
  <c r="F106" i="16"/>
  <c r="J106" i="16" s="1"/>
  <c r="F107" i="16"/>
  <c r="J107" i="16" s="1"/>
  <c r="F108" i="16"/>
  <c r="J108" i="16" s="1"/>
  <c r="F109" i="16"/>
  <c r="J109" i="16" s="1"/>
  <c r="F110" i="16"/>
  <c r="J110" i="16" s="1"/>
  <c r="F111" i="16"/>
  <c r="J111" i="16" s="1"/>
  <c r="F112" i="16"/>
  <c r="J112" i="16" s="1"/>
  <c r="F113" i="16"/>
  <c r="J113" i="16" s="1"/>
  <c r="F114" i="16"/>
  <c r="J114" i="16" s="1"/>
  <c r="F115" i="16"/>
  <c r="J115" i="16" s="1"/>
  <c r="F116" i="16"/>
  <c r="J116" i="16" s="1"/>
  <c r="F117" i="16"/>
  <c r="J117" i="16" s="1"/>
  <c r="F118" i="16"/>
  <c r="J118" i="16" s="1"/>
  <c r="F119" i="16"/>
  <c r="J119" i="16" s="1"/>
  <c r="F120" i="16"/>
  <c r="J120" i="16" s="1"/>
  <c r="F121" i="16"/>
  <c r="J121" i="16" s="1"/>
  <c r="F122" i="16"/>
  <c r="J122" i="16" s="1"/>
  <c r="F123" i="16"/>
  <c r="J123" i="16" s="1"/>
  <c r="F124" i="16"/>
  <c r="J124" i="16" s="1"/>
  <c r="F125" i="16"/>
  <c r="J125" i="16" s="1"/>
  <c r="F126" i="16"/>
  <c r="J126" i="16" s="1"/>
  <c r="F127" i="16"/>
  <c r="J127" i="16" s="1"/>
  <c r="F128" i="16"/>
  <c r="J128" i="16" s="1"/>
  <c r="F129" i="16"/>
  <c r="J129" i="16" s="1"/>
  <c r="F130" i="16"/>
  <c r="J130" i="16" s="1"/>
  <c r="F131" i="16"/>
  <c r="J131" i="16" s="1"/>
  <c r="F132" i="16"/>
  <c r="J132" i="16" s="1"/>
  <c r="F133" i="16"/>
  <c r="J133" i="16" s="1"/>
  <c r="F134" i="16"/>
  <c r="J134" i="16" s="1"/>
  <c r="F135" i="16"/>
  <c r="J135" i="16" s="1"/>
  <c r="F136" i="16"/>
  <c r="J136" i="16" s="1"/>
  <c r="F137" i="16"/>
  <c r="J137" i="16" s="1"/>
  <c r="F138" i="16"/>
  <c r="J138" i="16" s="1"/>
  <c r="F139" i="16"/>
  <c r="J139" i="16" s="1"/>
  <c r="F140" i="16"/>
  <c r="J140" i="16" s="1"/>
  <c r="F141" i="16"/>
  <c r="J141" i="16" s="1"/>
  <c r="F142" i="16"/>
  <c r="J142" i="16" s="1"/>
  <c r="F143" i="16"/>
  <c r="J143" i="16" s="1"/>
  <c r="F144" i="16"/>
  <c r="J144" i="16" s="1"/>
  <c r="F145" i="16"/>
  <c r="F146" i="16"/>
  <c r="J146" i="16" s="1"/>
  <c r="F147" i="16"/>
  <c r="J147" i="16" s="1"/>
  <c r="F148" i="16"/>
  <c r="J148" i="16" s="1"/>
  <c r="F149" i="16"/>
  <c r="F150" i="16"/>
  <c r="J150" i="16" s="1"/>
  <c r="F151" i="16"/>
  <c r="J151" i="16" s="1"/>
  <c r="F152" i="16"/>
  <c r="J152" i="16" s="1"/>
  <c r="F153" i="16"/>
  <c r="J153" i="16" s="1"/>
  <c r="F154" i="16"/>
  <c r="J154" i="16" s="1"/>
  <c r="F155" i="16"/>
  <c r="J155" i="16" s="1"/>
  <c r="F156" i="16"/>
  <c r="J156" i="16" s="1"/>
  <c r="F157" i="16"/>
  <c r="J157" i="16" s="1"/>
  <c r="F158" i="16"/>
  <c r="J158" i="16" s="1"/>
  <c r="F159" i="16"/>
  <c r="J159" i="16" s="1"/>
  <c r="F160" i="16"/>
  <c r="J160" i="16" s="1"/>
  <c r="F161" i="16"/>
  <c r="J161" i="16" s="1"/>
  <c r="F162" i="16"/>
  <c r="J162" i="16" s="1"/>
  <c r="F163" i="16"/>
  <c r="J163" i="16" s="1"/>
  <c r="F164" i="16"/>
  <c r="J164" i="16" s="1"/>
  <c r="F165" i="16"/>
  <c r="J165" i="16" s="1"/>
  <c r="F166" i="16"/>
  <c r="J166" i="16" s="1"/>
  <c r="F167" i="16"/>
  <c r="J167" i="16" s="1"/>
  <c r="F168" i="16"/>
  <c r="J168" i="16" s="1"/>
  <c r="F169" i="16"/>
  <c r="J169" i="16" s="1"/>
  <c r="F170" i="16"/>
  <c r="J170" i="16" s="1"/>
  <c r="F171" i="16"/>
  <c r="J171" i="16" s="1"/>
  <c r="F172" i="16"/>
  <c r="J172" i="16" s="1"/>
  <c r="F173" i="16"/>
  <c r="J173" i="16" s="1"/>
  <c r="F174" i="16"/>
  <c r="J174" i="16" s="1"/>
  <c r="F175" i="16"/>
  <c r="J175" i="16" s="1"/>
  <c r="F176" i="16"/>
  <c r="F177" i="16"/>
  <c r="J177" i="16" s="1"/>
  <c r="F178" i="16"/>
  <c r="J178" i="16" s="1"/>
  <c r="F179" i="16"/>
  <c r="J179" i="16" s="1"/>
  <c r="F180" i="16"/>
  <c r="F181" i="16"/>
  <c r="F182" i="16"/>
  <c r="J182" i="16" s="1"/>
  <c r="F183" i="16"/>
  <c r="J183" i="16" s="1"/>
  <c r="F184" i="16"/>
  <c r="J184" i="16" s="1"/>
  <c r="F185" i="16"/>
  <c r="F186" i="16"/>
  <c r="J186" i="16" s="1"/>
  <c r="F187" i="16"/>
  <c r="J187" i="16" s="1"/>
  <c r="F188" i="16"/>
  <c r="J188" i="16" s="1"/>
  <c r="F189" i="16"/>
  <c r="J189" i="16" s="1"/>
  <c r="F190" i="16"/>
  <c r="J190" i="16" s="1"/>
  <c r="F191" i="16"/>
  <c r="J191" i="16" s="1"/>
  <c r="F192" i="16"/>
  <c r="J192" i="16" s="1"/>
  <c r="F193" i="16"/>
  <c r="J193" i="16" s="1"/>
  <c r="F194" i="16"/>
  <c r="J194" i="16" s="1"/>
  <c r="F195" i="16"/>
  <c r="J195" i="16" s="1"/>
  <c r="F196" i="16"/>
  <c r="J196" i="16" s="1"/>
  <c r="F197" i="16"/>
  <c r="J197" i="16" s="1"/>
  <c r="F198" i="16"/>
  <c r="J198" i="16" s="1"/>
  <c r="F199" i="16"/>
  <c r="J199" i="16" s="1"/>
  <c r="F200" i="16"/>
  <c r="J200" i="16" s="1"/>
  <c r="F201" i="16"/>
  <c r="J201" i="16" s="1"/>
  <c r="F202" i="16"/>
  <c r="J202" i="16" s="1"/>
  <c r="F203" i="16"/>
  <c r="J203" i="16" s="1"/>
  <c r="F204" i="16"/>
  <c r="J204" i="16" s="1"/>
  <c r="F205" i="16"/>
  <c r="J205" i="16" s="1"/>
  <c r="F206" i="16"/>
  <c r="J206" i="16" s="1"/>
  <c r="F207" i="16"/>
  <c r="J207" i="16" s="1"/>
  <c r="F208" i="16"/>
  <c r="J208" i="16" s="1"/>
  <c r="F209" i="16"/>
  <c r="J209" i="16" s="1"/>
  <c r="F210" i="16"/>
  <c r="J210" i="16" s="1"/>
  <c r="F211" i="16"/>
  <c r="J211" i="16" s="1"/>
  <c r="F212" i="16"/>
  <c r="J212" i="16" s="1"/>
  <c r="F213" i="16"/>
  <c r="J213" i="16" s="1"/>
  <c r="F214" i="16"/>
  <c r="J214" i="16" s="1"/>
  <c r="F215" i="16"/>
  <c r="J215" i="16" s="1"/>
  <c r="F216" i="16"/>
  <c r="J216" i="16" s="1"/>
  <c r="F217" i="16"/>
  <c r="J217" i="16" s="1"/>
  <c r="F218" i="16"/>
  <c r="J218" i="16" s="1"/>
  <c r="F219" i="16"/>
  <c r="J219" i="16" s="1"/>
  <c r="F220" i="16"/>
  <c r="J220" i="16" s="1"/>
  <c r="F221" i="16"/>
  <c r="J221" i="16" s="1"/>
  <c r="F222" i="16"/>
  <c r="J222" i="16" s="1"/>
  <c r="F223" i="16"/>
  <c r="J223" i="16" s="1"/>
  <c r="F224" i="16"/>
  <c r="J224" i="16" s="1"/>
  <c r="F9" i="16"/>
  <c r="J9" i="16" s="1"/>
  <c r="J185" i="16" l="1"/>
  <c r="J181" i="16"/>
  <c r="J149" i="16"/>
  <c r="J145" i="16"/>
  <c r="J13" i="16"/>
  <c r="J180" i="16"/>
  <c r="J176" i="16"/>
  <c r="J87" i="16"/>
  <c r="J90" i="16"/>
  <c r="I5" i="26" l="1" a="1"/>
  <c r="I5" i="26" s="1"/>
  <c r="J5" i="26" a="1"/>
  <c r="J5" i="26" s="1"/>
  <c r="K5" i="26" a="1"/>
  <c r="K5" i="26" s="1"/>
  <c r="L5" i="26" a="1"/>
  <c r="L5" i="26" s="1"/>
  <c r="M5" i="26" a="1"/>
  <c r="M5" i="26" s="1"/>
  <c r="I6" i="26" a="1"/>
  <c r="I6" i="26" s="1"/>
  <c r="J6" i="26" a="1"/>
  <c r="J6" i="26" s="1"/>
  <c r="K6" i="26" a="1"/>
  <c r="K6" i="26" s="1"/>
  <c r="L6" i="26" a="1"/>
  <c r="L6" i="26" s="1"/>
  <c r="M6" i="26" a="1"/>
  <c r="M6" i="26" s="1"/>
  <c r="I7" i="26" a="1"/>
  <c r="I7" i="26" s="1"/>
  <c r="J7" i="26" a="1"/>
  <c r="J7" i="26" s="1"/>
  <c r="K7" i="26" a="1"/>
  <c r="K7" i="26" s="1"/>
  <c r="L7" i="26" a="1"/>
  <c r="L7" i="26" s="1"/>
  <c r="M7" i="26" a="1"/>
  <c r="M7" i="26" s="1"/>
  <c r="I8" i="26" a="1"/>
  <c r="I8" i="26" s="1"/>
  <c r="J8" i="26" a="1"/>
  <c r="J8" i="26" s="1"/>
  <c r="K8" i="26" a="1"/>
  <c r="K8" i="26" s="1"/>
  <c r="L8" i="26" a="1"/>
  <c r="L8" i="26" s="1"/>
  <c r="M8" i="26" a="1"/>
  <c r="M8" i="26" s="1"/>
  <c r="I9" i="26" a="1"/>
  <c r="I9" i="26" s="1"/>
  <c r="J9" i="26" a="1"/>
  <c r="J9" i="26" s="1"/>
  <c r="K9" i="26" a="1"/>
  <c r="K9" i="26" s="1"/>
  <c r="L9" i="26" a="1"/>
  <c r="L9" i="26" s="1"/>
  <c r="M9" i="26" a="1"/>
  <c r="M9" i="26" s="1"/>
  <c r="I10" i="26" a="1"/>
  <c r="I10" i="26" s="1"/>
  <c r="J10" i="26" a="1"/>
  <c r="J10" i="26" s="1"/>
  <c r="K10" i="26" a="1"/>
  <c r="K10" i="26" s="1"/>
  <c r="L10" i="26" a="1"/>
  <c r="L10" i="26" s="1"/>
  <c r="M10" i="26" a="1"/>
  <c r="M10" i="26" s="1"/>
  <c r="I11" i="26" a="1"/>
  <c r="I11" i="26" s="1"/>
  <c r="J11" i="26" a="1"/>
  <c r="J11" i="26" s="1"/>
  <c r="K11" i="26" a="1"/>
  <c r="K11" i="26" s="1"/>
  <c r="L11" i="26" a="1"/>
  <c r="L11" i="26" s="1"/>
  <c r="M11" i="26" a="1"/>
  <c r="M11" i="26" s="1"/>
  <c r="I12" i="26" a="1"/>
  <c r="I12" i="26" s="1"/>
  <c r="J12" i="26" a="1"/>
  <c r="J12" i="26" s="1"/>
  <c r="K12" i="26" a="1"/>
  <c r="K12" i="26" s="1"/>
  <c r="L12" i="26" a="1"/>
  <c r="L12" i="26" s="1"/>
  <c r="M12" i="26" a="1"/>
  <c r="M12" i="26" s="1"/>
  <c r="I13" i="26" a="1"/>
  <c r="I13" i="26" s="1"/>
  <c r="J13" i="26" a="1"/>
  <c r="J13" i="26" s="1"/>
  <c r="K13" i="26" a="1"/>
  <c r="K13" i="26" s="1"/>
  <c r="L13" i="26" a="1"/>
  <c r="L13" i="26" s="1"/>
  <c r="M13" i="26" a="1"/>
  <c r="M13" i="26" s="1"/>
  <c r="I14" i="26" a="1"/>
  <c r="I14" i="26" s="1"/>
  <c r="J14" i="26" a="1"/>
  <c r="J14" i="26" s="1"/>
  <c r="K14" i="26" a="1"/>
  <c r="K14" i="26" s="1"/>
  <c r="L14" i="26" a="1"/>
  <c r="L14" i="26" s="1"/>
  <c r="M14" i="26" a="1"/>
  <c r="M14" i="26" s="1"/>
  <c r="I15" i="26" a="1"/>
  <c r="I15" i="26" s="1"/>
  <c r="J15" i="26" a="1"/>
  <c r="J15" i="26" s="1"/>
  <c r="K15" i="26" a="1"/>
  <c r="K15" i="26" s="1"/>
  <c r="L15" i="26" a="1"/>
  <c r="L15" i="26" s="1"/>
  <c r="M15" i="26" a="1"/>
  <c r="M15" i="26" s="1"/>
  <c r="I16" i="26" a="1"/>
  <c r="I16" i="26" s="1"/>
  <c r="J16" i="26" a="1"/>
  <c r="J16" i="26" s="1"/>
  <c r="K16" i="26" a="1"/>
  <c r="K16" i="26" s="1"/>
  <c r="L16" i="26" a="1"/>
  <c r="L16" i="26" s="1"/>
  <c r="M16" i="26" a="1"/>
  <c r="M16" i="26" s="1"/>
  <c r="I17" i="26" a="1"/>
  <c r="I17" i="26" s="1"/>
  <c r="J17" i="26" a="1"/>
  <c r="J17" i="26" s="1"/>
  <c r="K17" i="26" a="1"/>
  <c r="K17" i="26" s="1"/>
  <c r="L17" i="26" a="1"/>
  <c r="L17" i="26" s="1"/>
  <c r="M17" i="26" a="1"/>
  <c r="M17" i="26" s="1"/>
  <c r="I18" i="26" a="1"/>
  <c r="I18" i="26" s="1"/>
  <c r="J18" i="26" a="1"/>
  <c r="J18" i="26" s="1"/>
  <c r="K18" i="26" a="1"/>
  <c r="K18" i="26" s="1"/>
  <c r="L18" i="26" a="1"/>
  <c r="L18" i="26" s="1"/>
  <c r="M18" i="26" a="1"/>
  <c r="M18" i="26" s="1"/>
  <c r="I19" i="26" a="1"/>
  <c r="I19" i="26" s="1"/>
  <c r="J19" i="26" a="1"/>
  <c r="J19" i="26" s="1"/>
  <c r="K19" i="26" a="1"/>
  <c r="K19" i="26" s="1"/>
  <c r="L19" i="26" a="1"/>
  <c r="L19" i="26" s="1"/>
  <c r="M19" i="26" a="1"/>
  <c r="M19" i="26" s="1"/>
  <c r="I20" i="26" a="1"/>
  <c r="I20" i="26" s="1"/>
  <c r="J20" i="26" a="1"/>
  <c r="J20" i="26" s="1"/>
  <c r="K20" i="26" a="1"/>
  <c r="K20" i="26" s="1"/>
  <c r="L20" i="26" a="1"/>
  <c r="L20" i="26" s="1"/>
  <c r="M20" i="26" a="1"/>
  <c r="M20" i="26" s="1"/>
  <c r="I21" i="26" a="1"/>
  <c r="I21" i="26" s="1"/>
  <c r="J21" i="26" a="1"/>
  <c r="J21" i="26" s="1"/>
  <c r="K21" i="26" a="1"/>
  <c r="K21" i="26" s="1"/>
  <c r="L21" i="26" a="1"/>
  <c r="L21" i="26" s="1"/>
  <c r="M21" i="26" a="1"/>
  <c r="M21" i="26" s="1"/>
  <c r="I22" i="26" a="1"/>
  <c r="I22" i="26" s="1"/>
  <c r="J22" i="26" a="1"/>
  <c r="J22" i="26" s="1"/>
  <c r="K22" i="26" a="1"/>
  <c r="K22" i="26" s="1"/>
  <c r="L22" i="26" a="1"/>
  <c r="L22" i="26" s="1"/>
  <c r="M22" i="26" a="1"/>
  <c r="M22" i="26" s="1"/>
  <c r="I23" i="26" a="1"/>
  <c r="I23" i="26" s="1"/>
  <c r="J23" i="26" a="1"/>
  <c r="J23" i="26" s="1"/>
  <c r="K23" i="26" a="1"/>
  <c r="K23" i="26" s="1"/>
  <c r="L23" i="26" a="1"/>
  <c r="L23" i="26" s="1"/>
  <c r="M23" i="26" a="1"/>
  <c r="M23" i="26" s="1"/>
  <c r="I24" i="26" a="1"/>
  <c r="I24" i="26" s="1"/>
  <c r="J24" i="26" a="1"/>
  <c r="J24" i="26" s="1"/>
  <c r="K24" i="26" a="1"/>
  <c r="K24" i="26" s="1"/>
  <c r="L24" i="26" a="1"/>
  <c r="L24" i="26" s="1"/>
  <c r="M24" i="26" a="1"/>
  <c r="M24" i="26" s="1"/>
  <c r="I25" i="26" a="1"/>
  <c r="I25" i="26" s="1"/>
  <c r="J25" i="26" a="1"/>
  <c r="J25" i="26" s="1"/>
  <c r="K25" i="26" a="1"/>
  <c r="K25" i="26" s="1"/>
  <c r="L25" i="26" a="1"/>
  <c r="L25" i="26" s="1"/>
  <c r="M25" i="26" a="1"/>
  <c r="M25" i="26" s="1"/>
  <c r="I26" i="26" a="1"/>
  <c r="I26" i="26" s="1"/>
  <c r="J26" i="26" a="1"/>
  <c r="J26" i="26" s="1"/>
  <c r="K26" i="26" a="1"/>
  <c r="K26" i="26" s="1"/>
  <c r="L26" i="26" a="1"/>
  <c r="L26" i="26" s="1"/>
  <c r="M26" i="26" a="1"/>
  <c r="M26" i="26" s="1"/>
  <c r="I27" i="26" a="1"/>
  <c r="I27" i="26" s="1"/>
  <c r="J27" i="26" a="1"/>
  <c r="J27" i="26" s="1"/>
  <c r="K27" i="26" a="1"/>
  <c r="K27" i="26" s="1"/>
  <c r="L27" i="26" a="1"/>
  <c r="L27" i="26" s="1"/>
  <c r="M27" i="26" a="1"/>
  <c r="M27" i="26" s="1"/>
  <c r="I28" i="26" a="1"/>
  <c r="I28" i="26" s="1"/>
  <c r="J28" i="26" a="1"/>
  <c r="J28" i="26" s="1"/>
  <c r="K28" i="26" a="1"/>
  <c r="K28" i="26" s="1"/>
  <c r="L28" i="26" a="1"/>
  <c r="L28" i="26" s="1"/>
  <c r="M28" i="26" a="1"/>
  <c r="M28" i="26" s="1"/>
  <c r="I29" i="26" a="1"/>
  <c r="I29" i="26" s="1"/>
  <c r="J29" i="26" a="1"/>
  <c r="J29" i="26" s="1"/>
  <c r="K29" i="26" a="1"/>
  <c r="K29" i="26" s="1"/>
  <c r="L29" i="26" a="1"/>
  <c r="L29" i="26" s="1"/>
  <c r="M29" i="26" a="1"/>
  <c r="M29" i="26" s="1"/>
  <c r="I30" i="26" a="1"/>
  <c r="I30" i="26" s="1"/>
  <c r="J30" i="26" a="1"/>
  <c r="J30" i="26" s="1"/>
  <c r="K30" i="26" a="1"/>
  <c r="K30" i="26" s="1"/>
  <c r="L30" i="26" a="1"/>
  <c r="L30" i="26" s="1"/>
  <c r="M30" i="26" a="1"/>
  <c r="M30" i="26" s="1"/>
  <c r="I31" i="26" a="1"/>
  <c r="I31" i="26" s="1"/>
  <c r="J31" i="26" a="1"/>
  <c r="J31" i="26" s="1"/>
  <c r="K31" i="26" a="1"/>
  <c r="K31" i="26" s="1"/>
  <c r="L31" i="26" a="1"/>
  <c r="L31" i="26" s="1"/>
  <c r="M31" i="26" a="1"/>
  <c r="M31" i="26" s="1"/>
  <c r="I32" i="26" a="1"/>
  <c r="I32" i="26" s="1"/>
  <c r="J32" i="26" a="1"/>
  <c r="J32" i="26" s="1"/>
  <c r="K32" i="26" a="1"/>
  <c r="K32" i="26" s="1"/>
  <c r="L32" i="26" a="1"/>
  <c r="L32" i="26" s="1"/>
  <c r="M32" i="26" a="1"/>
  <c r="M32" i="26" s="1"/>
  <c r="I33" i="26" a="1"/>
  <c r="I33" i="26" s="1"/>
  <c r="J33" i="26" a="1"/>
  <c r="J33" i="26" s="1"/>
  <c r="K33" i="26" a="1"/>
  <c r="K33" i="26" s="1"/>
  <c r="L33" i="26" a="1"/>
  <c r="L33" i="26" s="1"/>
  <c r="M33" i="26" a="1"/>
  <c r="M33" i="26" s="1"/>
  <c r="I34" i="26" a="1"/>
  <c r="I34" i="26" s="1"/>
  <c r="J34" i="26" a="1"/>
  <c r="J34" i="26" s="1"/>
  <c r="K34" i="26" a="1"/>
  <c r="K34" i="26" s="1"/>
  <c r="L34" i="26" a="1"/>
  <c r="L34" i="26" s="1"/>
  <c r="M34" i="26" a="1"/>
  <c r="M34" i="26" s="1"/>
  <c r="I35" i="26" a="1"/>
  <c r="I35" i="26" s="1"/>
  <c r="J35" i="26" a="1"/>
  <c r="J35" i="26" s="1"/>
  <c r="K35" i="26" a="1"/>
  <c r="K35" i="26" s="1"/>
  <c r="L35" i="26" a="1"/>
  <c r="L35" i="26" s="1"/>
  <c r="M35" i="26" a="1"/>
  <c r="M35" i="26" s="1"/>
  <c r="I36" i="26" a="1"/>
  <c r="I36" i="26" s="1"/>
  <c r="J36" i="26" a="1"/>
  <c r="J36" i="26" s="1"/>
  <c r="K36" i="26" a="1"/>
  <c r="K36" i="26" s="1"/>
  <c r="L36" i="26" a="1"/>
  <c r="L36" i="26" s="1"/>
  <c r="M36" i="26" a="1"/>
  <c r="M36" i="26" s="1"/>
  <c r="I37" i="26" a="1"/>
  <c r="I37" i="26" s="1"/>
  <c r="J37" i="26" a="1"/>
  <c r="J37" i="26" s="1"/>
  <c r="K37" i="26" a="1"/>
  <c r="K37" i="26" s="1"/>
  <c r="L37" i="26" a="1"/>
  <c r="L37" i="26" s="1"/>
  <c r="M37" i="26" a="1"/>
  <c r="M37" i="26" s="1"/>
  <c r="I38" i="26" a="1"/>
  <c r="I38" i="26" s="1"/>
  <c r="J38" i="26" a="1"/>
  <c r="J38" i="26" s="1"/>
  <c r="K38" i="26" a="1"/>
  <c r="K38" i="26" s="1"/>
  <c r="L38" i="26" a="1"/>
  <c r="L38" i="26" s="1"/>
  <c r="M38" i="26" a="1"/>
  <c r="M38" i="26" s="1"/>
  <c r="I39" i="26" a="1"/>
  <c r="I39" i="26" s="1"/>
  <c r="J39" i="26" a="1"/>
  <c r="J39" i="26" s="1"/>
  <c r="K39" i="26" a="1"/>
  <c r="K39" i="26" s="1"/>
  <c r="L39" i="26" a="1"/>
  <c r="L39" i="26" s="1"/>
  <c r="M39" i="26" a="1"/>
  <c r="M39" i="26" s="1"/>
  <c r="I40" i="26" a="1"/>
  <c r="I40" i="26" s="1"/>
  <c r="J40" i="26" a="1"/>
  <c r="J40" i="26" s="1"/>
  <c r="K40" i="26" a="1"/>
  <c r="K40" i="26" s="1"/>
  <c r="L40" i="26" a="1"/>
  <c r="L40" i="26" s="1"/>
  <c r="M40" i="26" a="1"/>
  <c r="M40" i="26" s="1"/>
  <c r="I41" i="26" a="1"/>
  <c r="I41" i="26" s="1"/>
  <c r="J41" i="26" a="1"/>
  <c r="J41" i="26" s="1"/>
  <c r="K41" i="26" a="1"/>
  <c r="K41" i="26" s="1"/>
  <c r="L41" i="26" a="1"/>
  <c r="L41" i="26" s="1"/>
  <c r="M41" i="26" a="1"/>
  <c r="M41" i="26" s="1"/>
  <c r="I42" i="26" a="1"/>
  <c r="I42" i="26" s="1"/>
  <c r="J42" i="26" a="1"/>
  <c r="J42" i="26" s="1"/>
  <c r="K42" i="26" a="1"/>
  <c r="K42" i="26" s="1"/>
  <c r="L42" i="26" a="1"/>
  <c r="L42" i="26" s="1"/>
  <c r="M42" i="26" a="1"/>
  <c r="M42" i="26" s="1"/>
  <c r="I43" i="26" a="1"/>
  <c r="I43" i="26" s="1"/>
  <c r="J43" i="26" a="1"/>
  <c r="J43" i="26" s="1"/>
  <c r="K43" i="26" a="1"/>
  <c r="K43" i="26" s="1"/>
  <c r="L43" i="26" a="1"/>
  <c r="L43" i="26" s="1"/>
  <c r="M43" i="26" a="1"/>
  <c r="M43" i="26" s="1"/>
  <c r="I44" i="26" a="1"/>
  <c r="I44" i="26" s="1"/>
  <c r="J44" i="26" a="1"/>
  <c r="J44" i="26" s="1"/>
  <c r="K44" i="26" a="1"/>
  <c r="K44" i="26" s="1"/>
  <c r="L44" i="26" a="1"/>
  <c r="L44" i="26" s="1"/>
  <c r="M44" i="26" a="1"/>
  <c r="M44" i="26" s="1"/>
  <c r="I45" i="26" a="1"/>
  <c r="I45" i="26" s="1"/>
  <c r="J45" i="26" a="1"/>
  <c r="J45" i="26" s="1"/>
  <c r="K45" i="26" a="1"/>
  <c r="K45" i="26" s="1"/>
  <c r="L45" i="26" a="1"/>
  <c r="L45" i="26" s="1"/>
  <c r="M45" i="26" a="1"/>
  <c r="M45" i="26" s="1"/>
  <c r="I46" i="26" a="1"/>
  <c r="I46" i="26" s="1"/>
  <c r="J46" i="26" a="1"/>
  <c r="J46" i="26" s="1"/>
  <c r="K46" i="26" a="1"/>
  <c r="K46" i="26" s="1"/>
  <c r="L46" i="26" a="1"/>
  <c r="L46" i="26" s="1"/>
  <c r="M46" i="26" a="1"/>
  <c r="M46" i="26" s="1"/>
  <c r="I47" i="26" a="1"/>
  <c r="I47" i="26" s="1"/>
  <c r="J47" i="26" a="1"/>
  <c r="J47" i="26" s="1"/>
  <c r="K47" i="26" a="1"/>
  <c r="K47" i="26" s="1"/>
  <c r="L47" i="26" a="1"/>
  <c r="L47" i="26" s="1"/>
  <c r="M47" i="26" a="1"/>
  <c r="M47" i="26" s="1"/>
  <c r="I48" i="26" a="1"/>
  <c r="I48" i="26" s="1"/>
  <c r="J48" i="26" a="1"/>
  <c r="J48" i="26" s="1"/>
  <c r="K48" i="26" a="1"/>
  <c r="K48" i="26" s="1"/>
  <c r="L48" i="26" a="1"/>
  <c r="L48" i="26" s="1"/>
  <c r="M48" i="26" a="1"/>
  <c r="M48" i="26" s="1"/>
  <c r="I49" i="26" a="1"/>
  <c r="I49" i="26" s="1"/>
  <c r="J49" i="26" a="1"/>
  <c r="J49" i="26" s="1"/>
  <c r="K49" i="26" a="1"/>
  <c r="K49" i="26" s="1"/>
  <c r="L49" i="26" a="1"/>
  <c r="L49" i="26" s="1"/>
  <c r="M49" i="26" a="1"/>
  <c r="M49" i="26" s="1"/>
  <c r="I50" i="26" a="1"/>
  <c r="I50" i="26" s="1"/>
  <c r="J50" i="26" a="1"/>
  <c r="J50" i="26" s="1"/>
  <c r="K50" i="26" a="1"/>
  <c r="K50" i="26" s="1"/>
  <c r="L50" i="26" a="1"/>
  <c r="L50" i="26" s="1"/>
  <c r="M50" i="26" a="1"/>
  <c r="M50" i="26" s="1"/>
  <c r="I51" i="26" a="1"/>
  <c r="I51" i="26" s="1"/>
  <c r="J51" i="26" a="1"/>
  <c r="J51" i="26" s="1"/>
  <c r="K51" i="26" a="1"/>
  <c r="K51" i="26" s="1"/>
  <c r="L51" i="26" a="1"/>
  <c r="L51" i="26" s="1"/>
  <c r="M51" i="26" a="1"/>
  <c r="M51" i="26" s="1"/>
  <c r="I52" i="26" a="1"/>
  <c r="I52" i="26" s="1"/>
  <c r="J52" i="26" a="1"/>
  <c r="J52" i="26" s="1"/>
  <c r="K52" i="26" a="1"/>
  <c r="K52" i="26" s="1"/>
  <c r="L52" i="26" a="1"/>
  <c r="L52" i="26" s="1"/>
  <c r="M52" i="26" a="1"/>
  <c r="M52" i="26" s="1"/>
  <c r="I53" i="26" a="1"/>
  <c r="I53" i="26" s="1"/>
  <c r="J53" i="26" a="1"/>
  <c r="J53" i="26" s="1"/>
  <c r="K53" i="26" a="1"/>
  <c r="K53" i="26" s="1"/>
  <c r="L53" i="26" a="1"/>
  <c r="L53" i="26" s="1"/>
  <c r="M53" i="26" a="1"/>
  <c r="M53" i="26" s="1"/>
  <c r="I54" i="26" a="1"/>
  <c r="I54" i="26" s="1"/>
  <c r="J54" i="26" a="1"/>
  <c r="J54" i="26" s="1"/>
  <c r="K54" i="26" a="1"/>
  <c r="K54" i="26" s="1"/>
  <c r="L54" i="26" a="1"/>
  <c r="L54" i="26" s="1"/>
  <c r="M54" i="26" a="1"/>
  <c r="M54" i="26" s="1"/>
  <c r="I55" i="26" a="1"/>
  <c r="I55" i="26" s="1"/>
  <c r="J55" i="26" a="1"/>
  <c r="J55" i="26" s="1"/>
  <c r="K55" i="26" a="1"/>
  <c r="K55" i="26" s="1"/>
  <c r="L55" i="26" a="1"/>
  <c r="L55" i="26" s="1"/>
  <c r="M55" i="26" a="1"/>
  <c r="M55" i="26" s="1"/>
  <c r="I56" i="26" a="1"/>
  <c r="I56" i="26" s="1"/>
  <c r="J56" i="26" a="1"/>
  <c r="J56" i="26" s="1"/>
  <c r="K56" i="26" a="1"/>
  <c r="K56" i="26" s="1"/>
  <c r="L56" i="26" a="1"/>
  <c r="L56" i="26" s="1"/>
  <c r="M56" i="26" a="1"/>
  <c r="M56" i="26" s="1"/>
  <c r="I57" i="26" a="1"/>
  <c r="I57" i="26" s="1"/>
  <c r="J57" i="26" a="1"/>
  <c r="J57" i="26" s="1"/>
  <c r="K57" i="26" a="1"/>
  <c r="K57" i="26" s="1"/>
  <c r="L57" i="26" a="1"/>
  <c r="L57" i="26" s="1"/>
  <c r="M57" i="26" a="1"/>
  <c r="M57" i="26" s="1"/>
  <c r="I58" i="26" a="1"/>
  <c r="I58" i="26" s="1"/>
  <c r="J58" i="26" a="1"/>
  <c r="J58" i="26" s="1"/>
  <c r="K58" i="26" a="1"/>
  <c r="K58" i="26" s="1"/>
  <c r="L58" i="26" a="1"/>
  <c r="L58" i="26" s="1"/>
  <c r="M58" i="26" a="1"/>
  <c r="M58" i="26" s="1"/>
  <c r="I59" i="26" a="1"/>
  <c r="I59" i="26" s="1"/>
  <c r="J59" i="26" a="1"/>
  <c r="J59" i="26" s="1"/>
  <c r="K59" i="26" a="1"/>
  <c r="K59" i="26" s="1"/>
  <c r="L59" i="26" a="1"/>
  <c r="L59" i="26" s="1"/>
  <c r="M59" i="26" a="1"/>
  <c r="M59" i="26" s="1"/>
  <c r="I60" i="26" a="1"/>
  <c r="I60" i="26" s="1"/>
  <c r="J60" i="26" a="1"/>
  <c r="J60" i="26" s="1"/>
  <c r="K60" i="26" a="1"/>
  <c r="K60" i="26" s="1"/>
  <c r="L60" i="26" a="1"/>
  <c r="L60" i="26" s="1"/>
  <c r="M60" i="26" a="1"/>
  <c r="M60" i="26" s="1"/>
  <c r="I61" i="26" a="1"/>
  <c r="I61" i="26" s="1"/>
  <c r="J61" i="26" a="1"/>
  <c r="J61" i="26" s="1"/>
  <c r="K61" i="26" a="1"/>
  <c r="K61" i="26" s="1"/>
  <c r="L61" i="26" a="1"/>
  <c r="L61" i="26" s="1"/>
  <c r="M61" i="26" a="1"/>
  <c r="M61" i="26" s="1"/>
  <c r="I62" i="26" a="1"/>
  <c r="I62" i="26" s="1"/>
  <c r="J62" i="26" a="1"/>
  <c r="J62" i="26" s="1"/>
  <c r="K62" i="26" a="1"/>
  <c r="K62" i="26" s="1"/>
  <c r="L62" i="26" a="1"/>
  <c r="L62" i="26" s="1"/>
  <c r="M62" i="26" a="1"/>
  <c r="M62" i="26" s="1"/>
  <c r="I63" i="26" a="1"/>
  <c r="I63" i="26" s="1"/>
  <c r="J63" i="26" a="1"/>
  <c r="J63" i="26" s="1"/>
  <c r="K63" i="26" a="1"/>
  <c r="K63" i="26" s="1"/>
  <c r="L63" i="26" a="1"/>
  <c r="L63" i="26" s="1"/>
  <c r="M63" i="26" a="1"/>
  <c r="M63" i="26" s="1"/>
  <c r="I64" i="26" a="1"/>
  <c r="I64" i="26" s="1"/>
  <c r="J64" i="26" a="1"/>
  <c r="J64" i="26" s="1"/>
  <c r="K64" i="26" a="1"/>
  <c r="K64" i="26" s="1"/>
  <c r="L64" i="26" a="1"/>
  <c r="L64" i="26" s="1"/>
  <c r="M64" i="26" a="1"/>
  <c r="M64" i="26" s="1"/>
  <c r="I65" i="26" a="1"/>
  <c r="I65" i="26" s="1"/>
  <c r="J65" i="26" a="1"/>
  <c r="J65" i="26" s="1"/>
  <c r="K65" i="26" a="1"/>
  <c r="K65" i="26" s="1"/>
  <c r="L65" i="26" a="1"/>
  <c r="L65" i="26" s="1"/>
  <c r="M65" i="26" a="1"/>
  <c r="M65" i="26" s="1"/>
  <c r="I66" i="26" a="1"/>
  <c r="I66" i="26" s="1"/>
  <c r="J66" i="26" a="1"/>
  <c r="J66" i="26" s="1"/>
  <c r="K66" i="26" a="1"/>
  <c r="K66" i="26" s="1"/>
  <c r="L66" i="26" a="1"/>
  <c r="L66" i="26" s="1"/>
  <c r="M66" i="26" a="1"/>
  <c r="M66" i="26" s="1"/>
  <c r="I67" i="26" a="1"/>
  <c r="I67" i="26" s="1"/>
  <c r="J67" i="26" a="1"/>
  <c r="J67" i="26" s="1"/>
  <c r="K67" i="26" a="1"/>
  <c r="K67" i="26" s="1"/>
  <c r="L67" i="26" a="1"/>
  <c r="L67" i="26" s="1"/>
  <c r="M67" i="26" a="1"/>
  <c r="M67" i="26" s="1"/>
  <c r="I68" i="26" a="1"/>
  <c r="I68" i="26" s="1"/>
  <c r="J68" i="26" a="1"/>
  <c r="J68" i="26" s="1"/>
  <c r="K68" i="26" a="1"/>
  <c r="K68" i="26" s="1"/>
  <c r="L68" i="26" a="1"/>
  <c r="L68" i="26" s="1"/>
  <c r="M68" i="26" a="1"/>
  <c r="M68" i="26" s="1"/>
  <c r="I69" i="26" a="1"/>
  <c r="I69" i="26" s="1"/>
  <c r="J69" i="26" a="1"/>
  <c r="J69" i="26" s="1"/>
  <c r="K69" i="26" a="1"/>
  <c r="K69" i="26" s="1"/>
  <c r="L69" i="26" a="1"/>
  <c r="L69" i="26" s="1"/>
  <c r="M69" i="26" a="1"/>
  <c r="M69" i="26" s="1"/>
  <c r="I70" i="26" a="1"/>
  <c r="I70" i="26" s="1"/>
  <c r="J70" i="26" a="1"/>
  <c r="J70" i="26" s="1"/>
  <c r="K70" i="26" a="1"/>
  <c r="K70" i="26" s="1"/>
  <c r="L70" i="26" a="1"/>
  <c r="L70" i="26" s="1"/>
  <c r="M70" i="26" a="1"/>
  <c r="M70" i="26" s="1"/>
  <c r="I71" i="26" a="1"/>
  <c r="I71" i="26" s="1"/>
  <c r="J71" i="26" a="1"/>
  <c r="J71" i="26" s="1"/>
  <c r="K71" i="26" a="1"/>
  <c r="K71" i="26" s="1"/>
  <c r="L71" i="26" a="1"/>
  <c r="L71" i="26" s="1"/>
  <c r="M71" i="26" a="1"/>
  <c r="M71" i="26" s="1"/>
  <c r="I72" i="26" a="1"/>
  <c r="I72" i="26" s="1"/>
  <c r="J72" i="26" a="1"/>
  <c r="J72" i="26" s="1"/>
  <c r="K72" i="26" a="1"/>
  <c r="K72" i="26" s="1"/>
  <c r="L72" i="26" a="1"/>
  <c r="L72" i="26" s="1"/>
  <c r="M72" i="26" a="1"/>
  <c r="M72" i="26" s="1"/>
  <c r="I73" i="26" a="1"/>
  <c r="I73" i="26" s="1"/>
  <c r="J73" i="26" a="1"/>
  <c r="J73" i="26" s="1"/>
  <c r="K73" i="26" a="1"/>
  <c r="K73" i="26" s="1"/>
  <c r="L73" i="26" a="1"/>
  <c r="L73" i="26" s="1"/>
  <c r="M73" i="26" a="1"/>
  <c r="M73" i="26" s="1"/>
  <c r="I74" i="26" a="1"/>
  <c r="I74" i="26" s="1"/>
  <c r="J74" i="26" a="1"/>
  <c r="J74" i="26" s="1"/>
  <c r="K74" i="26" a="1"/>
  <c r="K74" i="26" s="1"/>
  <c r="L74" i="26" a="1"/>
  <c r="L74" i="26" s="1"/>
  <c r="M74" i="26" a="1"/>
  <c r="M74" i="26" s="1"/>
  <c r="I75" i="26" a="1"/>
  <c r="I75" i="26" s="1"/>
  <c r="J75" i="26" a="1"/>
  <c r="J75" i="26" s="1"/>
  <c r="K75" i="26" a="1"/>
  <c r="K75" i="26" s="1"/>
  <c r="L75" i="26" a="1"/>
  <c r="L75" i="26" s="1"/>
  <c r="M75" i="26" a="1"/>
  <c r="M75" i="26" s="1"/>
  <c r="I76" i="26" a="1"/>
  <c r="I76" i="26" s="1"/>
  <c r="J76" i="26" a="1"/>
  <c r="J76" i="26" s="1"/>
  <c r="K76" i="26" a="1"/>
  <c r="K76" i="26" s="1"/>
  <c r="L76" i="26" a="1"/>
  <c r="L76" i="26" s="1"/>
  <c r="M76" i="26" a="1"/>
  <c r="M76" i="26" s="1"/>
  <c r="I77" i="26" a="1"/>
  <c r="I77" i="26" s="1"/>
  <c r="J77" i="26" a="1"/>
  <c r="J77" i="26" s="1"/>
  <c r="K77" i="26" a="1"/>
  <c r="K77" i="26" s="1"/>
  <c r="L77" i="26" a="1"/>
  <c r="L77" i="26" s="1"/>
  <c r="M77" i="26" a="1"/>
  <c r="M77" i="26" s="1"/>
  <c r="I78" i="26" a="1"/>
  <c r="I78" i="26" s="1"/>
  <c r="J78" i="26" a="1"/>
  <c r="J78" i="26" s="1"/>
  <c r="K78" i="26" a="1"/>
  <c r="K78" i="26" s="1"/>
  <c r="L78" i="26" a="1"/>
  <c r="L78" i="26" s="1"/>
  <c r="M78" i="26" a="1"/>
  <c r="M78" i="26" s="1"/>
  <c r="I79" i="26" a="1"/>
  <c r="I79" i="26" s="1"/>
  <c r="J79" i="26" a="1"/>
  <c r="J79" i="26" s="1"/>
  <c r="K79" i="26" a="1"/>
  <c r="K79" i="26" s="1"/>
  <c r="L79" i="26" a="1"/>
  <c r="L79" i="26" s="1"/>
  <c r="M79" i="26" a="1"/>
  <c r="M79" i="26" s="1"/>
  <c r="I80" i="26" a="1"/>
  <c r="I80" i="26" s="1"/>
  <c r="J80" i="26" a="1"/>
  <c r="J80" i="26" s="1"/>
  <c r="K80" i="26" a="1"/>
  <c r="K80" i="26" s="1"/>
  <c r="L80" i="26" a="1"/>
  <c r="L80" i="26" s="1"/>
  <c r="M80" i="26" a="1"/>
  <c r="M80" i="26" s="1"/>
  <c r="I81" i="26" a="1"/>
  <c r="I81" i="26" s="1"/>
  <c r="J81" i="26" a="1"/>
  <c r="J81" i="26" s="1"/>
  <c r="K81" i="26" a="1"/>
  <c r="K81" i="26" s="1"/>
  <c r="L81" i="26" a="1"/>
  <c r="L81" i="26" s="1"/>
  <c r="M81" i="26" a="1"/>
  <c r="M81" i="26" s="1"/>
  <c r="I82" i="26" a="1"/>
  <c r="I82" i="26" s="1"/>
  <c r="J82" i="26" a="1"/>
  <c r="J82" i="26" s="1"/>
  <c r="K82" i="26" a="1"/>
  <c r="K82" i="26" s="1"/>
  <c r="L82" i="26" a="1"/>
  <c r="L82" i="26" s="1"/>
  <c r="M82" i="26" a="1"/>
  <c r="M82" i="26" s="1"/>
  <c r="I83" i="26" a="1"/>
  <c r="I83" i="26" s="1"/>
  <c r="J83" i="26" a="1"/>
  <c r="J83" i="26" s="1"/>
  <c r="K83" i="26" a="1"/>
  <c r="K83" i="26" s="1"/>
  <c r="L83" i="26" a="1"/>
  <c r="L83" i="26" s="1"/>
  <c r="M83" i="26" a="1"/>
  <c r="M83" i="26" s="1"/>
  <c r="I84" i="26" a="1"/>
  <c r="I84" i="26" s="1"/>
  <c r="J84" i="26" a="1"/>
  <c r="J84" i="26" s="1"/>
  <c r="K84" i="26" a="1"/>
  <c r="K84" i="26" s="1"/>
  <c r="L84" i="26" a="1"/>
  <c r="L84" i="26" s="1"/>
  <c r="M84" i="26" a="1"/>
  <c r="M84" i="26" s="1"/>
  <c r="I85" i="26" a="1"/>
  <c r="I85" i="26" s="1"/>
  <c r="J85" i="26" a="1"/>
  <c r="J85" i="26" s="1"/>
  <c r="K85" i="26" a="1"/>
  <c r="K85" i="26" s="1"/>
  <c r="L85" i="26" a="1"/>
  <c r="L85" i="26" s="1"/>
  <c r="M85" i="26" a="1"/>
  <c r="M85" i="26" s="1"/>
  <c r="I86" i="26" a="1"/>
  <c r="I86" i="26" s="1"/>
  <c r="J86" i="26" a="1"/>
  <c r="J86" i="26" s="1"/>
  <c r="K86" i="26" a="1"/>
  <c r="K86" i="26" s="1"/>
  <c r="L86" i="26" a="1"/>
  <c r="L86" i="26" s="1"/>
  <c r="M86" i="26" a="1"/>
  <c r="M86" i="26" s="1"/>
  <c r="I87" i="26" a="1"/>
  <c r="I87" i="26" s="1"/>
  <c r="J87" i="26" a="1"/>
  <c r="J87" i="26" s="1"/>
  <c r="K87" i="26" a="1"/>
  <c r="K87" i="26" s="1"/>
  <c r="L87" i="26" a="1"/>
  <c r="L87" i="26" s="1"/>
  <c r="M87" i="26" a="1"/>
  <c r="M87" i="26" s="1"/>
  <c r="I88" i="26" a="1"/>
  <c r="I88" i="26" s="1"/>
  <c r="J88" i="26" a="1"/>
  <c r="J88" i="26" s="1"/>
  <c r="K88" i="26" a="1"/>
  <c r="K88" i="26" s="1"/>
  <c r="L88" i="26" a="1"/>
  <c r="L88" i="26" s="1"/>
  <c r="M88" i="26" a="1"/>
  <c r="M88" i="26" s="1"/>
  <c r="I89" i="26" a="1"/>
  <c r="I89" i="26" s="1"/>
  <c r="J89" i="26" a="1"/>
  <c r="J89" i="26" s="1"/>
  <c r="K89" i="26" a="1"/>
  <c r="K89" i="26" s="1"/>
  <c r="L89" i="26" a="1"/>
  <c r="L89" i="26" s="1"/>
  <c r="M89" i="26" a="1"/>
  <c r="M89" i="26" s="1"/>
  <c r="I90" i="26" a="1"/>
  <c r="I90" i="26" s="1"/>
  <c r="J90" i="26" a="1"/>
  <c r="J90" i="26" s="1"/>
  <c r="K90" i="26" a="1"/>
  <c r="K90" i="26" s="1"/>
  <c r="L90" i="26" a="1"/>
  <c r="L90" i="26" s="1"/>
  <c r="M90" i="26" a="1"/>
  <c r="M90" i="26" s="1"/>
  <c r="I91" i="26" a="1"/>
  <c r="I91" i="26" s="1"/>
  <c r="J91" i="26" a="1"/>
  <c r="J91" i="26" s="1"/>
  <c r="K91" i="26" a="1"/>
  <c r="K91" i="26" s="1"/>
  <c r="L91" i="26" a="1"/>
  <c r="L91" i="26" s="1"/>
  <c r="M91" i="26" a="1"/>
  <c r="M91" i="26" s="1"/>
  <c r="I92" i="26" a="1"/>
  <c r="I92" i="26" s="1"/>
  <c r="J92" i="26" a="1"/>
  <c r="J92" i="26" s="1"/>
  <c r="K92" i="26" a="1"/>
  <c r="K92" i="26" s="1"/>
  <c r="L92" i="26" a="1"/>
  <c r="L92" i="26" s="1"/>
  <c r="M92" i="26" a="1"/>
  <c r="M92" i="26" s="1"/>
  <c r="I93" i="26" a="1"/>
  <c r="I93" i="26" s="1"/>
  <c r="J93" i="26" a="1"/>
  <c r="J93" i="26" s="1"/>
  <c r="K93" i="26" a="1"/>
  <c r="K93" i="26" s="1"/>
  <c r="L93" i="26" a="1"/>
  <c r="L93" i="26" s="1"/>
  <c r="M93" i="26" a="1"/>
  <c r="M93" i="26" s="1"/>
  <c r="I94" i="26" a="1"/>
  <c r="I94" i="26" s="1"/>
  <c r="J94" i="26" a="1"/>
  <c r="J94" i="26" s="1"/>
  <c r="K94" i="26" a="1"/>
  <c r="K94" i="26" s="1"/>
  <c r="L94" i="26" a="1"/>
  <c r="L94" i="26" s="1"/>
  <c r="M94" i="26" a="1"/>
  <c r="M94" i="26" s="1"/>
  <c r="I95" i="26" a="1"/>
  <c r="I95" i="26" s="1"/>
  <c r="J95" i="26" a="1"/>
  <c r="J95" i="26" s="1"/>
  <c r="K95" i="26" a="1"/>
  <c r="K95" i="26" s="1"/>
  <c r="L95" i="26" a="1"/>
  <c r="L95" i="26" s="1"/>
  <c r="M95" i="26" a="1"/>
  <c r="M95" i="26" s="1"/>
  <c r="I96" i="26" a="1"/>
  <c r="I96" i="26" s="1"/>
  <c r="J96" i="26" a="1"/>
  <c r="J96" i="26" s="1"/>
  <c r="K96" i="26" a="1"/>
  <c r="K96" i="26" s="1"/>
  <c r="L96" i="26" a="1"/>
  <c r="L96" i="26" s="1"/>
  <c r="M96" i="26" a="1"/>
  <c r="M96" i="26" s="1"/>
  <c r="I97" i="26" a="1"/>
  <c r="I97" i="26" s="1"/>
  <c r="J97" i="26" a="1"/>
  <c r="J97" i="26" s="1"/>
  <c r="K97" i="26" a="1"/>
  <c r="K97" i="26" s="1"/>
  <c r="L97" i="26" a="1"/>
  <c r="L97" i="26" s="1"/>
  <c r="M97" i="26" a="1"/>
  <c r="M97" i="26" s="1"/>
  <c r="I98" i="26" a="1"/>
  <c r="I98" i="26" s="1"/>
  <c r="J98" i="26" a="1"/>
  <c r="J98" i="26" s="1"/>
  <c r="K98" i="26" a="1"/>
  <c r="K98" i="26" s="1"/>
  <c r="L98" i="26" a="1"/>
  <c r="L98" i="26" s="1"/>
  <c r="M98" i="26" a="1"/>
  <c r="M98" i="26" s="1"/>
  <c r="J99" i="26" a="1"/>
  <c r="J99" i="26" s="1"/>
  <c r="K99" i="26" a="1"/>
  <c r="K99" i="26" s="1"/>
  <c r="L99" i="26" a="1"/>
  <c r="L99" i="26" s="1"/>
  <c r="M99" i="26" a="1"/>
  <c r="M99" i="26" s="1"/>
  <c r="I100" i="26" a="1"/>
  <c r="I100" i="26" s="1"/>
  <c r="J100" i="26" a="1"/>
  <c r="J100" i="26" s="1"/>
  <c r="K100" i="26" a="1"/>
  <c r="K100" i="26" s="1"/>
  <c r="L100" i="26" a="1"/>
  <c r="L100" i="26" s="1"/>
  <c r="M100" i="26" a="1"/>
  <c r="M100" i="26" s="1"/>
  <c r="I101" i="26" a="1"/>
  <c r="I101" i="26" s="1"/>
  <c r="J101" i="26" a="1"/>
  <c r="J101" i="26" s="1"/>
  <c r="K101" i="26" a="1"/>
  <c r="K101" i="26" s="1"/>
  <c r="L101" i="26" a="1"/>
  <c r="L101" i="26" s="1"/>
  <c r="M101" i="26" a="1"/>
  <c r="M101" i="26" s="1"/>
  <c r="I102" i="26" a="1"/>
  <c r="I102" i="26" s="1"/>
  <c r="J102" i="26" a="1"/>
  <c r="J102" i="26" s="1"/>
  <c r="K102" i="26" a="1"/>
  <c r="K102" i="26" s="1"/>
  <c r="L102" i="26" a="1"/>
  <c r="L102" i="26" s="1"/>
  <c r="M102" i="26" a="1"/>
  <c r="M102" i="26" s="1"/>
  <c r="I103" i="26" a="1"/>
  <c r="I103" i="26" s="1"/>
  <c r="J103" i="26" a="1"/>
  <c r="J103" i="26" s="1"/>
  <c r="K103" i="26" a="1"/>
  <c r="K103" i="26" s="1"/>
  <c r="L103" i="26" a="1"/>
  <c r="L103" i="26" s="1"/>
  <c r="M103" i="26" a="1"/>
  <c r="M103" i="26" s="1"/>
  <c r="I104" i="26" a="1"/>
  <c r="I104" i="26" s="1"/>
  <c r="J104" i="26" a="1"/>
  <c r="J104" i="26" s="1"/>
  <c r="K104" i="26" a="1"/>
  <c r="K104" i="26" s="1"/>
  <c r="L104" i="26" a="1"/>
  <c r="L104" i="26" s="1"/>
  <c r="M104" i="26" a="1"/>
  <c r="M104" i="26" s="1"/>
  <c r="I105" i="26" a="1"/>
  <c r="I105" i="26" s="1"/>
  <c r="J105" i="26" a="1"/>
  <c r="J105" i="26" s="1"/>
  <c r="K105" i="26" a="1"/>
  <c r="K105" i="26" s="1"/>
  <c r="L105" i="26" a="1"/>
  <c r="L105" i="26" s="1"/>
  <c r="M105" i="26" a="1"/>
  <c r="M105" i="26" s="1"/>
  <c r="I106" i="26" a="1"/>
  <c r="I106" i="26" s="1"/>
  <c r="J106" i="26" a="1"/>
  <c r="J106" i="26" s="1"/>
  <c r="K106" i="26" a="1"/>
  <c r="K106" i="26" s="1"/>
  <c r="L106" i="26" a="1"/>
  <c r="L106" i="26" s="1"/>
  <c r="M106" i="26" a="1"/>
  <c r="M106" i="26" s="1"/>
  <c r="I107" i="26" a="1"/>
  <c r="I107" i="26" s="1"/>
  <c r="J107" i="26" a="1"/>
  <c r="J107" i="26" s="1"/>
  <c r="K107" i="26" a="1"/>
  <c r="K107" i="26" s="1"/>
  <c r="L107" i="26" a="1"/>
  <c r="L107" i="26" s="1"/>
  <c r="M107" i="26" a="1"/>
  <c r="M107" i="26" s="1"/>
  <c r="I108" i="26" a="1"/>
  <c r="I108" i="26" s="1"/>
  <c r="J108" i="26" a="1"/>
  <c r="J108" i="26" s="1"/>
  <c r="K108" i="26" a="1"/>
  <c r="K108" i="26" s="1"/>
  <c r="L108" i="26" a="1"/>
  <c r="L108" i="26" s="1"/>
  <c r="M108" i="26" a="1"/>
  <c r="M108" i="26" s="1"/>
  <c r="I109" i="26" a="1"/>
  <c r="I109" i="26" s="1"/>
  <c r="J109" i="26" a="1"/>
  <c r="J109" i="26" s="1"/>
  <c r="K109" i="26" a="1"/>
  <c r="K109" i="26" s="1"/>
  <c r="L109" i="26" a="1"/>
  <c r="L109" i="26" s="1"/>
  <c r="M109" i="26" a="1"/>
  <c r="M109" i="26" s="1"/>
  <c r="I110" i="26" a="1"/>
  <c r="I110" i="26" s="1"/>
  <c r="J110" i="26" a="1"/>
  <c r="J110" i="26" s="1"/>
  <c r="K110" i="26" a="1"/>
  <c r="K110" i="26" s="1"/>
  <c r="L110" i="26" a="1"/>
  <c r="L110" i="26" s="1"/>
  <c r="M110" i="26" a="1"/>
  <c r="M110" i="26" s="1"/>
  <c r="I111" i="26" a="1"/>
  <c r="I111" i="26" s="1"/>
  <c r="J111" i="26" a="1"/>
  <c r="J111" i="26" s="1"/>
  <c r="K111" i="26" a="1"/>
  <c r="K111" i="26" s="1"/>
  <c r="L111" i="26" a="1"/>
  <c r="L111" i="26" s="1"/>
  <c r="M111" i="26" a="1"/>
  <c r="M111" i="26" s="1"/>
  <c r="I112" i="26" a="1"/>
  <c r="I112" i="26" s="1"/>
  <c r="J112" i="26" a="1"/>
  <c r="J112" i="26" s="1"/>
  <c r="K112" i="26" a="1"/>
  <c r="K112" i="26" s="1"/>
  <c r="L112" i="26" a="1"/>
  <c r="L112" i="26" s="1"/>
  <c r="M112" i="26" a="1"/>
  <c r="M112" i="26" s="1"/>
  <c r="I113" i="26" a="1"/>
  <c r="I113" i="26" s="1"/>
  <c r="J113" i="26" a="1"/>
  <c r="J113" i="26" s="1"/>
  <c r="K113" i="26" a="1"/>
  <c r="K113" i="26" s="1"/>
  <c r="L113" i="26" a="1"/>
  <c r="L113" i="26" s="1"/>
  <c r="M113" i="26" a="1"/>
  <c r="M113" i="26" s="1"/>
  <c r="I114" i="26" a="1"/>
  <c r="I114" i="26" s="1"/>
  <c r="J114" i="26" a="1"/>
  <c r="J114" i="26" s="1"/>
  <c r="K114" i="26" a="1"/>
  <c r="K114" i="26" s="1"/>
  <c r="L114" i="26" a="1"/>
  <c r="L114" i="26" s="1"/>
  <c r="M114" i="26" a="1"/>
  <c r="M114" i="26" s="1"/>
  <c r="I115" i="26" a="1"/>
  <c r="I115" i="26" s="1"/>
  <c r="J115" i="26" a="1"/>
  <c r="J115" i="26" s="1"/>
  <c r="K115" i="26" a="1"/>
  <c r="K115" i="26" s="1"/>
  <c r="L115" i="26" a="1"/>
  <c r="L115" i="26" s="1"/>
  <c r="M115" i="26" a="1"/>
  <c r="M115" i="26" s="1"/>
  <c r="I116" i="26" a="1"/>
  <c r="I116" i="26" s="1"/>
  <c r="J116" i="26" a="1"/>
  <c r="J116" i="26" s="1"/>
  <c r="K116" i="26" a="1"/>
  <c r="K116" i="26" s="1"/>
  <c r="L116" i="26" a="1"/>
  <c r="L116" i="26" s="1"/>
  <c r="M116" i="26" a="1"/>
  <c r="M116" i="26" s="1"/>
  <c r="I117" i="26" a="1"/>
  <c r="I117" i="26" s="1"/>
  <c r="J117" i="26" a="1"/>
  <c r="J117" i="26" s="1"/>
  <c r="K117" i="26" a="1"/>
  <c r="K117" i="26" s="1"/>
  <c r="L117" i="26" a="1"/>
  <c r="L117" i="26" s="1"/>
  <c r="M117" i="26" a="1"/>
  <c r="M117" i="26" s="1"/>
  <c r="I118" i="26" a="1"/>
  <c r="I118" i="26" s="1"/>
  <c r="J118" i="26" a="1"/>
  <c r="J118" i="26" s="1"/>
  <c r="K118" i="26" a="1"/>
  <c r="K118" i="26" s="1"/>
  <c r="L118" i="26" a="1"/>
  <c r="L118" i="26" s="1"/>
  <c r="M118" i="26" a="1"/>
  <c r="M118" i="26" s="1"/>
  <c r="I119" i="26" a="1"/>
  <c r="I119" i="26" s="1"/>
  <c r="J119" i="26" a="1"/>
  <c r="J119" i="26" s="1"/>
  <c r="K119" i="26" a="1"/>
  <c r="K119" i="26" s="1"/>
  <c r="L119" i="26" a="1"/>
  <c r="L119" i="26" s="1"/>
  <c r="M119" i="26" a="1"/>
  <c r="M119" i="26" s="1"/>
  <c r="I120" i="26" a="1"/>
  <c r="I120" i="26" s="1"/>
  <c r="J120" i="26" a="1"/>
  <c r="J120" i="26" s="1"/>
  <c r="K120" i="26" a="1"/>
  <c r="K120" i="26" s="1"/>
  <c r="L120" i="26" a="1"/>
  <c r="L120" i="26" s="1"/>
  <c r="M120" i="26" a="1"/>
  <c r="M120" i="26" s="1"/>
  <c r="I121" i="26" a="1"/>
  <c r="I121" i="26" s="1"/>
  <c r="J121" i="26" a="1"/>
  <c r="J121" i="26" s="1"/>
  <c r="K121" i="26" a="1"/>
  <c r="K121" i="26" s="1"/>
  <c r="L121" i="26" a="1"/>
  <c r="L121" i="26" s="1"/>
  <c r="M121" i="26" a="1"/>
  <c r="M121" i="26" s="1"/>
  <c r="I122" i="26" a="1"/>
  <c r="I122" i="26" s="1"/>
  <c r="J122" i="26" a="1"/>
  <c r="J122" i="26" s="1"/>
  <c r="K122" i="26" a="1"/>
  <c r="K122" i="26" s="1"/>
  <c r="L122" i="26" a="1"/>
  <c r="L122" i="26" s="1"/>
  <c r="M122" i="26" a="1"/>
  <c r="M122" i="26" s="1"/>
  <c r="I123" i="26" a="1"/>
  <c r="I123" i="26" s="1"/>
  <c r="J123" i="26" a="1"/>
  <c r="J123" i="26" s="1"/>
  <c r="K123" i="26" a="1"/>
  <c r="K123" i="26" s="1"/>
  <c r="L123" i="26" a="1"/>
  <c r="L123" i="26" s="1"/>
  <c r="M123" i="26" a="1"/>
  <c r="M123" i="26" s="1"/>
  <c r="I124" i="26" a="1"/>
  <c r="I124" i="26" s="1"/>
  <c r="J124" i="26" a="1"/>
  <c r="J124" i="26" s="1"/>
  <c r="K124" i="26" a="1"/>
  <c r="K124" i="26" s="1"/>
  <c r="L124" i="26" a="1"/>
  <c r="L124" i="26" s="1"/>
  <c r="M124" i="26" a="1"/>
  <c r="M124" i="26" s="1"/>
  <c r="I125" i="26" a="1"/>
  <c r="I125" i="26" s="1"/>
  <c r="J125" i="26" a="1"/>
  <c r="J125" i="26" s="1"/>
  <c r="K125" i="26" a="1"/>
  <c r="K125" i="26" s="1"/>
  <c r="L125" i="26" a="1"/>
  <c r="L125" i="26" s="1"/>
  <c r="M125" i="26" a="1"/>
  <c r="M125" i="26" s="1"/>
  <c r="I126" i="26" a="1"/>
  <c r="I126" i="26" s="1"/>
  <c r="J126" i="26" a="1"/>
  <c r="J126" i="26" s="1"/>
  <c r="K126" i="26" a="1"/>
  <c r="K126" i="26" s="1"/>
  <c r="L126" i="26" a="1"/>
  <c r="L126" i="26" s="1"/>
  <c r="M126" i="26" a="1"/>
  <c r="M126" i="26" s="1"/>
  <c r="I127" i="26" a="1"/>
  <c r="I127" i="26" s="1"/>
  <c r="J127" i="26" a="1"/>
  <c r="J127" i="26" s="1"/>
  <c r="K127" i="26" a="1"/>
  <c r="K127" i="26" s="1"/>
  <c r="L127" i="26" a="1"/>
  <c r="L127" i="26" s="1"/>
  <c r="M127" i="26" a="1"/>
  <c r="M127" i="26" s="1"/>
  <c r="I128" i="26" a="1"/>
  <c r="I128" i="26" s="1"/>
  <c r="J128" i="26" a="1"/>
  <c r="J128" i="26" s="1"/>
  <c r="K128" i="26" a="1"/>
  <c r="K128" i="26" s="1"/>
  <c r="L128" i="26" a="1"/>
  <c r="L128" i="26" s="1"/>
  <c r="M128" i="26" a="1"/>
  <c r="M128" i="26" s="1"/>
  <c r="I129" i="26" a="1"/>
  <c r="I129" i="26" s="1"/>
  <c r="J129" i="26" a="1"/>
  <c r="J129" i="26" s="1"/>
  <c r="K129" i="26" a="1"/>
  <c r="K129" i="26" s="1"/>
  <c r="L129" i="26" a="1"/>
  <c r="L129" i="26" s="1"/>
  <c r="M129" i="26" a="1"/>
  <c r="M129" i="26" s="1"/>
  <c r="I130" i="26" a="1"/>
  <c r="I130" i="26" s="1"/>
  <c r="J130" i="26" a="1"/>
  <c r="J130" i="26" s="1"/>
  <c r="K130" i="26" a="1"/>
  <c r="K130" i="26" s="1"/>
  <c r="L130" i="26" a="1"/>
  <c r="L130" i="26" s="1"/>
  <c r="M130" i="26" a="1"/>
  <c r="M130" i="26" s="1"/>
  <c r="I131" i="26" a="1"/>
  <c r="I131" i="26" s="1"/>
  <c r="J131" i="26" a="1"/>
  <c r="J131" i="26" s="1"/>
  <c r="K131" i="26" a="1"/>
  <c r="K131" i="26" s="1"/>
  <c r="L131" i="26" a="1"/>
  <c r="L131" i="26" s="1"/>
  <c r="M131" i="26" a="1"/>
  <c r="M131" i="26" s="1"/>
  <c r="I132" i="26" a="1"/>
  <c r="I132" i="26" s="1"/>
  <c r="J132" i="26" a="1"/>
  <c r="J132" i="26" s="1"/>
  <c r="K132" i="26" a="1"/>
  <c r="K132" i="26" s="1"/>
  <c r="L132" i="26" a="1"/>
  <c r="L132" i="26" s="1"/>
  <c r="M132" i="26" a="1"/>
  <c r="M132" i="26" s="1"/>
  <c r="I133" i="26" a="1"/>
  <c r="I133" i="26" s="1"/>
  <c r="J133" i="26" a="1"/>
  <c r="J133" i="26" s="1"/>
  <c r="K133" i="26" a="1"/>
  <c r="K133" i="26" s="1"/>
  <c r="L133" i="26" a="1"/>
  <c r="L133" i="26" s="1"/>
  <c r="M133" i="26" a="1"/>
  <c r="M133" i="26" s="1"/>
  <c r="I134" i="26" a="1"/>
  <c r="I134" i="26" s="1"/>
  <c r="J134" i="26" a="1"/>
  <c r="J134" i="26" s="1"/>
  <c r="K134" i="26" a="1"/>
  <c r="K134" i="26" s="1"/>
  <c r="L134" i="26" a="1"/>
  <c r="L134" i="26" s="1"/>
  <c r="M134" i="26" a="1"/>
  <c r="M134" i="26" s="1"/>
  <c r="I135" i="26" a="1"/>
  <c r="I135" i="26" s="1"/>
  <c r="J135" i="26" a="1"/>
  <c r="J135" i="26" s="1"/>
  <c r="K135" i="26" a="1"/>
  <c r="K135" i="26" s="1"/>
  <c r="L135" i="26" a="1"/>
  <c r="L135" i="26" s="1"/>
  <c r="M135" i="26" a="1"/>
  <c r="M135" i="26" s="1"/>
  <c r="I136" i="26" a="1"/>
  <c r="I136" i="26" s="1"/>
  <c r="J136" i="26" a="1"/>
  <c r="J136" i="26" s="1"/>
  <c r="K136" i="26" a="1"/>
  <c r="K136" i="26" s="1"/>
  <c r="L136" i="26" a="1"/>
  <c r="L136" i="26" s="1"/>
  <c r="M136" i="26" a="1"/>
  <c r="M136" i="26" s="1"/>
  <c r="I137" i="26" a="1"/>
  <c r="I137" i="26" s="1"/>
  <c r="J137" i="26" a="1"/>
  <c r="J137" i="26" s="1"/>
  <c r="K137" i="26" a="1"/>
  <c r="K137" i="26" s="1"/>
  <c r="L137" i="26" a="1"/>
  <c r="L137" i="26" s="1"/>
  <c r="M137" i="26" a="1"/>
  <c r="M137" i="26" s="1"/>
  <c r="I138" i="26" a="1"/>
  <c r="I138" i="26" s="1"/>
  <c r="J138" i="26" a="1"/>
  <c r="J138" i="26" s="1"/>
  <c r="K138" i="26" a="1"/>
  <c r="K138" i="26" s="1"/>
  <c r="L138" i="26" a="1"/>
  <c r="L138" i="26" s="1"/>
  <c r="M138" i="26" a="1"/>
  <c r="M138" i="26" s="1"/>
  <c r="I139" i="26" a="1"/>
  <c r="I139" i="26" s="1"/>
  <c r="J139" i="26" a="1"/>
  <c r="J139" i="26" s="1"/>
  <c r="K139" i="26" a="1"/>
  <c r="K139" i="26" s="1"/>
  <c r="L139" i="26" a="1"/>
  <c r="L139" i="26" s="1"/>
  <c r="M139" i="26" a="1"/>
  <c r="M139" i="26" s="1"/>
  <c r="I140" i="26" a="1"/>
  <c r="I140" i="26" s="1"/>
  <c r="J140" i="26" a="1"/>
  <c r="J140" i="26" s="1"/>
  <c r="K140" i="26" a="1"/>
  <c r="K140" i="26" s="1"/>
  <c r="L140" i="26" a="1"/>
  <c r="L140" i="26" s="1"/>
  <c r="M140" i="26" a="1"/>
  <c r="M140" i="26" s="1"/>
  <c r="I141" i="26" a="1"/>
  <c r="I141" i="26" s="1"/>
  <c r="J141" i="26" a="1"/>
  <c r="J141" i="26" s="1"/>
  <c r="K141" i="26" a="1"/>
  <c r="K141" i="26" s="1"/>
  <c r="L141" i="26" a="1"/>
  <c r="L141" i="26" s="1"/>
  <c r="M141" i="26" a="1"/>
  <c r="M141" i="26" s="1"/>
  <c r="I142" i="26" a="1"/>
  <c r="I142" i="26" s="1"/>
  <c r="J142" i="26" a="1"/>
  <c r="J142" i="26" s="1"/>
  <c r="K142" i="26" a="1"/>
  <c r="K142" i="26" s="1"/>
  <c r="L142" i="26" a="1"/>
  <c r="L142" i="26" s="1"/>
  <c r="M142" i="26" a="1"/>
  <c r="M142" i="26" s="1"/>
  <c r="I143" i="26" a="1"/>
  <c r="I143" i="26" s="1"/>
  <c r="J143" i="26" a="1"/>
  <c r="J143" i="26" s="1"/>
  <c r="K143" i="26" a="1"/>
  <c r="K143" i="26" s="1"/>
  <c r="L143" i="26" a="1"/>
  <c r="L143" i="26" s="1"/>
  <c r="M143" i="26" a="1"/>
  <c r="M143" i="26" s="1"/>
  <c r="I144" i="26" a="1"/>
  <c r="I144" i="26" s="1"/>
  <c r="J144" i="26" a="1"/>
  <c r="J144" i="26" s="1"/>
  <c r="K144" i="26" a="1"/>
  <c r="K144" i="26" s="1"/>
  <c r="L144" i="26" a="1"/>
  <c r="L144" i="26" s="1"/>
  <c r="M144" i="26" a="1"/>
  <c r="M144" i="26" s="1"/>
  <c r="I145" i="26" a="1"/>
  <c r="I145" i="26" s="1"/>
  <c r="J145" i="26" a="1"/>
  <c r="J145" i="26" s="1"/>
  <c r="K145" i="26" a="1"/>
  <c r="K145" i="26" s="1"/>
  <c r="L145" i="26" a="1"/>
  <c r="L145" i="26" s="1"/>
  <c r="M145" i="26" a="1"/>
  <c r="M145" i="26" s="1"/>
  <c r="I146" i="26" a="1"/>
  <c r="I146" i="26" s="1"/>
  <c r="J146" i="26" a="1"/>
  <c r="J146" i="26" s="1"/>
  <c r="K146" i="26" a="1"/>
  <c r="K146" i="26" s="1"/>
  <c r="L146" i="26" a="1"/>
  <c r="L146" i="26" s="1"/>
  <c r="M146" i="26" a="1"/>
  <c r="M146" i="26" s="1"/>
  <c r="I147" i="26" a="1"/>
  <c r="I147" i="26" s="1"/>
  <c r="J147" i="26" a="1"/>
  <c r="J147" i="26" s="1"/>
  <c r="K147" i="26" a="1"/>
  <c r="K147" i="26" s="1"/>
  <c r="L147" i="26" a="1"/>
  <c r="L147" i="26" s="1"/>
  <c r="M147" i="26" a="1"/>
  <c r="M147" i="26" s="1"/>
  <c r="I148" i="26" a="1"/>
  <c r="I148" i="26" s="1"/>
  <c r="J148" i="26" a="1"/>
  <c r="J148" i="26" s="1"/>
  <c r="K148" i="26" a="1"/>
  <c r="K148" i="26" s="1"/>
  <c r="L148" i="26" a="1"/>
  <c r="L148" i="26" s="1"/>
  <c r="M148" i="26" a="1"/>
  <c r="M148" i="26" s="1"/>
  <c r="I149" i="26" a="1"/>
  <c r="I149" i="26" s="1"/>
  <c r="J149" i="26" a="1"/>
  <c r="J149" i="26" s="1"/>
  <c r="K149" i="26" a="1"/>
  <c r="K149" i="26" s="1"/>
  <c r="L149" i="26" a="1"/>
  <c r="L149" i="26" s="1"/>
  <c r="M149" i="26" a="1"/>
  <c r="M149" i="26" s="1"/>
  <c r="I150" i="26" a="1"/>
  <c r="I150" i="26" s="1"/>
  <c r="J150" i="26" a="1"/>
  <c r="J150" i="26" s="1"/>
  <c r="K150" i="26" a="1"/>
  <c r="K150" i="26" s="1"/>
  <c r="L150" i="26" a="1"/>
  <c r="L150" i="26" s="1"/>
  <c r="M150" i="26" a="1"/>
  <c r="M150" i="26" s="1"/>
  <c r="I151" i="26" a="1"/>
  <c r="I151" i="26" s="1"/>
  <c r="J151" i="26" a="1"/>
  <c r="J151" i="26" s="1"/>
  <c r="K151" i="26" a="1"/>
  <c r="K151" i="26" s="1"/>
  <c r="L151" i="26" a="1"/>
  <c r="L151" i="26" s="1"/>
  <c r="M151" i="26" a="1"/>
  <c r="M151" i="26" s="1"/>
  <c r="I152" i="26" a="1"/>
  <c r="I152" i="26" s="1"/>
  <c r="J152" i="26" a="1"/>
  <c r="J152" i="26" s="1"/>
  <c r="K152" i="26" a="1"/>
  <c r="K152" i="26" s="1"/>
  <c r="L152" i="26" a="1"/>
  <c r="L152" i="26" s="1"/>
  <c r="M152" i="26" a="1"/>
  <c r="M152" i="26" s="1"/>
  <c r="I153" i="26" a="1"/>
  <c r="I153" i="26" s="1"/>
  <c r="J153" i="26" a="1"/>
  <c r="J153" i="26" s="1"/>
  <c r="K153" i="26" a="1"/>
  <c r="K153" i="26" s="1"/>
  <c r="L153" i="26" a="1"/>
  <c r="L153" i="26" s="1"/>
  <c r="M153" i="26" a="1"/>
  <c r="M153" i="26" s="1"/>
  <c r="I154" i="26" a="1"/>
  <c r="I154" i="26" s="1"/>
  <c r="J154" i="26" a="1"/>
  <c r="J154" i="26" s="1"/>
  <c r="K154" i="26" a="1"/>
  <c r="K154" i="26" s="1"/>
  <c r="L154" i="26" a="1"/>
  <c r="L154" i="26" s="1"/>
  <c r="M154" i="26" a="1"/>
  <c r="M154" i="26" s="1"/>
  <c r="I155" i="26" a="1"/>
  <c r="I155" i="26" s="1"/>
  <c r="J155" i="26" a="1"/>
  <c r="J155" i="26" s="1"/>
  <c r="K155" i="26" a="1"/>
  <c r="K155" i="26" s="1"/>
  <c r="L155" i="26" a="1"/>
  <c r="L155" i="26" s="1"/>
  <c r="M155" i="26" a="1"/>
  <c r="M155" i="26" s="1"/>
  <c r="I156" i="26" a="1"/>
  <c r="I156" i="26" s="1"/>
  <c r="J156" i="26" a="1"/>
  <c r="J156" i="26" s="1"/>
  <c r="K156" i="26" a="1"/>
  <c r="K156" i="26" s="1"/>
  <c r="L156" i="26" a="1"/>
  <c r="L156" i="26" s="1"/>
  <c r="M156" i="26" a="1"/>
  <c r="M156" i="26" s="1"/>
  <c r="I157" i="26" a="1"/>
  <c r="I157" i="26" s="1"/>
  <c r="J157" i="26" a="1"/>
  <c r="J157" i="26" s="1"/>
  <c r="K157" i="26" a="1"/>
  <c r="K157" i="26" s="1"/>
  <c r="L157" i="26" a="1"/>
  <c r="L157" i="26" s="1"/>
  <c r="M157" i="26" a="1"/>
  <c r="M157" i="26" s="1"/>
  <c r="I158" i="26" a="1"/>
  <c r="I158" i="26" s="1"/>
  <c r="J158" i="26" a="1"/>
  <c r="J158" i="26" s="1"/>
  <c r="K158" i="26" a="1"/>
  <c r="K158" i="26" s="1"/>
  <c r="L158" i="26" a="1"/>
  <c r="L158" i="26" s="1"/>
  <c r="M158" i="26" a="1"/>
  <c r="M158" i="26" s="1"/>
  <c r="I159" i="26" a="1"/>
  <c r="I159" i="26" s="1"/>
  <c r="J159" i="26" a="1"/>
  <c r="J159" i="26" s="1"/>
  <c r="K159" i="26" a="1"/>
  <c r="K159" i="26" s="1"/>
  <c r="L159" i="26" a="1"/>
  <c r="L159" i="26" s="1"/>
  <c r="M159" i="26" a="1"/>
  <c r="M159" i="26" s="1"/>
  <c r="I160" i="26" a="1"/>
  <c r="I160" i="26" s="1"/>
  <c r="J160" i="26" a="1"/>
  <c r="J160" i="26" s="1"/>
  <c r="K160" i="26" a="1"/>
  <c r="K160" i="26" s="1"/>
  <c r="L160" i="26" a="1"/>
  <c r="L160" i="26" s="1"/>
  <c r="M160" i="26" a="1"/>
  <c r="M160" i="26" s="1"/>
  <c r="I161" i="26" a="1"/>
  <c r="I161" i="26" s="1"/>
  <c r="J161" i="26" a="1"/>
  <c r="J161" i="26" s="1"/>
  <c r="K161" i="26" a="1"/>
  <c r="K161" i="26" s="1"/>
  <c r="L161" i="26" a="1"/>
  <c r="L161" i="26" s="1"/>
  <c r="M161" i="26" a="1"/>
  <c r="M161" i="26" s="1"/>
  <c r="I162" i="26" a="1"/>
  <c r="I162" i="26" s="1"/>
  <c r="J162" i="26" a="1"/>
  <c r="J162" i="26" s="1"/>
  <c r="K162" i="26" a="1"/>
  <c r="K162" i="26" s="1"/>
  <c r="L162" i="26" a="1"/>
  <c r="L162" i="26" s="1"/>
  <c r="M162" i="26" a="1"/>
  <c r="M162" i="26" s="1"/>
  <c r="I163" i="26" a="1"/>
  <c r="I163" i="26" s="1"/>
  <c r="J163" i="26" a="1"/>
  <c r="J163" i="26" s="1"/>
  <c r="K163" i="26" a="1"/>
  <c r="K163" i="26" s="1"/>
  <c r="L163" i="26" a="1"/>
  <c r="L163" i="26" s="1"/>
  <c r="M163" i="26" a="1"/>
  <c r="M163" i="26" s="1"/>
  <c r="I164" i="26" a="1"/>
  <c r="I164" i="26" s="1"/>
  <c r="J164" i="26" a="1"/>
  <c r="J164" i="26" s="1"/>
  <c r="K164" i="26" a="1"/>
  <c r="K164" i="26" s="1"/>
  <c r="L164" i="26" a="1"/>
  <c r="L164" i="26" s="1"/>
  <c r="M164" i="26" a="1"/>
  <c r="M164" i="26" s="1"/>
  <c r="I165" i="26" a="1"/>
  <c r="I165" i="26" s="1"/>
  <c r="J165" i="26" a="1"/>
  <c r="J165" i="26" s="1"/>
  <c r="K165" i="26" a="1"/>
  <c r="K165" i="26" s="1"/>
  <c r="L165" i="26" a="1"/>
  <c r="L165" i="26" s="1"/>
  <c r="M165" i="26" a="1"/>
  <c r="M165" i="26" s="1"/>
  <c r="I166" i="26" a="1"/>
  <c r="I166" i="26" s="1"/>
  <c r="J166" i="26" a="1"/>
  <c r="J166" i="26" s="1"/>
  <c r="K166" i="26" a="1"/>
  <c r="K166" i="26" s="1"/>
  <c r="L166" i="26" a="1"/>
  <c r="L166" i="26" s="1"/>
  <c r="M166" i="26" a="1"/>
  <c r="M166" i="26" s="1"/>
  <c r="I167" i="26" a="1"/>
  <c r="I167" i="26" s="1"/>
  <c r="J167" i="26" a="1"/>
  <c r="J167" i="26" s="1"/>
  <c r="K167" i="26" a="1"/>
  <c r="K167" i="26" s="1"/>
  <c r="L167" i="26" a="1"/>
  <c r="L167" i="26" s="1"/>
  <c r="M167" i="26" a="1"/>
  <c r="M167" i="26" s="1"/>
  <c r="I168" i="26" a="1"/>
  <c r="I168" i="26" s="1"/>
  <c r="J168" i="26" a="1"/>
  <c r="J168" i="26" s="1"/>
  <c r="K168" i="26" a="1"/>
  <c r="K168" i="26" s="1"/>
  <c r="L168" i="26" a="1"/>
  <c r="L168" i="26" s="1"/>
  <c r="M168" i="26" a="1"/>
  <c r="M168" i="26" s="1"/>
  <c r="I169" i="26" a="1"/>
  <c r="I169" i="26" s="1"/>
  <c r="J169" i="26" a="1"/>
  <c r="J169" i="26" s="1"/>
  <c r="K169" i="26" a="1"/>
  <c r="K169" i="26" s="1"/>
  <c r="L169" i="26" a="1"/>
  <c r="L169" i="26" s="1"/>
  <c r="M169" i="26" a="1"/>
  <c r="M169" i="26" s="1"/>
  <c r="I170" i="26" a="1"/>
  <c r="I170" i="26" s="1"/>
  <c r="J170" i="26" a="1"/>
  <c r="J170" i="26" s="1"/>
  <c r="K170" i="26" a="1"/>
  <c r="K170" i="26" s="1"/>
  <c r="L170" i="26" a="1"/>
  <c r="L170" i="26" s="1"/>
  <c r="M170" i="26" a="1"/>
  <c r="M170" i="26" s="1"/>
  <c r="I171" i="26" a="1"/>
  <c r="I171" i="26" s="1"/>
  <c r="J171" i="26" a="1"/>
  <c r="J171" i="26" s="1"/>
  <c r="K171" i="26" a="1"/>
  <c r="K171" i="26" s="1"/>
  <c r="L171" i="26" a="1"/>
  <c r="L171" i="26" s="1"/>
  <c r="M171" i="26" a="1"/>
  <c r="M171" i="26" s="1"/>
  <c r="I172" i="26" a="1"/>
  <c r="I172" i="26" s="1"/>
  <c r="J172" i="26" a="1"/>
  <c r="J172" i="26" s="1"/>
  <c r="K172" i="26" a="1"/>
  <c r="K172" i="26" s="1"/>
  <c r="L172" i="26" a="1"/>
  <c r="L172" i="26" s="1"/>
  <c r="M172" i="26" a="1"/>
  <c r="M172" i="26" s="1"/>
  <c r="I173" i="26" a="1"/>
  <c r="I173" i="26" s="1"/>
  <c r="J173" i="26" a="1"/>
  <c r="J173" i="26" s="1"/>
  <c r="K173" i="26" a="1"/>
  <c r="K173" i="26" s="1"/>
  <c r="L173" i="26" a="1"/>
  <c r="L173" i="26" s="1"/>
  <c r="M173" i="26" a="1"/>
  <c r="M173" i="26" s="1"/>
  <c r="I174" i="26" a="1"/>
  <c r="I174" i="26" s="1"/>
  <c r="J174" i="26" a="1"/>
  <c r="J174" i="26" s="1"/>
  <c r="K174" i="26" a="1"/>
  <c r="K174" i="26" s="1"/>
  <c r="L174" i="26" a="1"/>
  <c r="L174" i="26" s="1"/>
  <c r="M174" i="26" a="1"/>
  <c r="M174" i="26" s="1"/>
  <c r="I175" i="26" a="1"/>
  <c r="I175" i="26" s="1"/>
  <c r="J175" i="26" a="1"/>
  <c r="J175" i="26" s="1"/>
  <c r="K175" i="26" a="1"/>
  <c r="K175" i="26" s="1"/>
  <c r="L175" i="26" a="1"/>
  <c r="L175" i="26" s="1"/>
  <c r="M175" i="26" a="1"/>
  <c r="M175" i="26" s="1"/>
  <c r="I176" i="26" a="1"/>
  <c r="I176" i="26" s="1"/>
  <c r="J176" i="26" a="1"/>
  <c r="J176" i="26" s="1"/>
  <c r="K176" i="26" a="1"/>
  <c r="K176" i="26" s="1"/>
  <c r="L176" i="26" a="1"/>
  <c r="L176" i="26" s="1"/>
  <c r="M176" i="26" a="1"/>
  <c r="M176" i="26" s="1"/>
  <c r="I177" i="26" a="1"/>
  <c r="I177" i="26" s="1"/>
  <c r="J177" i="26" a="1"/>
  <c r="J177" i="26" s="1"/>
  <c r="K177" i="26" a="1"/>
  <c r="K177" i="26" s="1"/>
  <c r="L177" i="26" a="1"/>
  <c r="L177" i="26" s="1"/>
  <c r="M177" i="26" a="1"/>
  <c r="M177" i="26" s="1"/>
  <c r="I178" i="26" a="1"/>
  <c r="I178" i="26" s="1"/>
  <c r="J178" i="26" a="1"/>
  <c r="J178" i="26" s="1"/>
  <c r="K178" i="26" a="1"/>
  <c r="K178" i="26" s="1"/>
  <c r="L178" i="26" a="1"/>
  <c r="L178" i="26" s="1"/>
  <c r="M178" i="26" a="1"/>
  <c r="M178" i="26" s="1"/>
  <c r="I179" i="26" a="1"/>
  <c r="I179" i="26" s="1"/>
  <c r="J179" i="26" a="1"/>
  <c r="J179" i="26" s="1"/>
  <c r="K179" i="26" a="1"/>
  <c r="K179" i="26" s="1"/>
  <c r="L179" i="26" a="1"/>
  <c r="L179" i="26" s="1"/>
  <c r="M179" i="26" a="1"/>
  <c r="M179" i="26" s="1"/>
  <c r="I180" i="26" a="1"/>
  <c r="I180" i="26" s="1"/>
  <c r="J180" i="26" a="1"/>
  <c r="J180" i="26" s="1"/>
  <c r="K180" i="26" a="1"/>
  <c r="K180" i="26" s="1"/>
  <c r="L180" i="26" a="1"/>
  <c r="L180" i="26" s="1"/>
  <c r="M180" i="26" a="1"/>
  <c r="M180" i="26" s="1"/>
  <c r="I181" i="26" a="1"/>
  <c r="I181" i="26" s="1"/>
  <c r="J181" i="26" a="1"/>
  <c r="J181" i="26" s="1"/>
  <c r="K181" i="26" a="1"/>
  <c r="K181" i="26" s="1"/>
  <c r="L181" i="26" a="1"/>
  <c r="L181" i="26" s="1"/>
  <c r="M181" i="26" a="1"/>
  <c r="M181" i="26" s="1"/>
  <c r="I182" i="26" a="1"/>
  <c r="I182" i="26" s="1"/>
  <c r="J182" i="26" a="1"/>
  <c r="J182" i="26" s="1"/>
  <c r="K182" i="26" a="1"/>
  <c r="K182" i="26" s="1"/>
  <c r="L182" i="26" a="1"/>
  <c r="L182" i="26" s="1"/>
  <c r="M182" i="26" a="1"/>
  <c r="M182" i="26" s="1"/>
  <c r="I183" i="26" a="1"/>
  <c r="I183" i="26" s="1"/>
  <c r="J183" i="26" a="1"/>
  <c r="J183" i="26" s="1"/>
  <c r="K183" i="26" a="1"/>
  <c r="K183" i="26" s="1"/>
  <c r="L183" i="26" a="1"/>
  <c r="L183" i="26" s="1"/>
  <c r="M183" i="26" a="1"/>
  <c r="M183" i="26" s="1"/>
  <c r="I184" i="26" a="1"/>
  <c r="I184" i="26" s="1"/>
  <c r="J184" i="26" a="1"/>
  <c r="J184" i="26" s="1"/>
  <c r="K184" i="26" a="1"/>
  <c r="K184" i="26" s="1"/>
  <c r="L184" i="26" a="1"/>
  <c r="L184" i="26" s="1"/>
  <c r="M184" i="26" a="1"/>
  <c r="M184" i="26" s="1"/>
  <c r="I185" i="26" a="1"/>
  <c r="I185" i="26" s="1"/>
  <c r="J185" i="26" a="1"/>
  <c r="J185" i="26" s="1"/>
  <c r="K185" i="26" a="1"/>
  <c r="K185" i="26" s="1"/>
  <c r="L185" i="26" a="1"/>
  <c r="L185" i="26" s="1"/>
  <c r="M185" i="26" a="1"/>
  <c r="M185" i="26" s="1"/>
  <c r="I186" i="26" a="1"/>
  <c r="I186" i="26" s="1"/>
  <c r="J186" i="26" a="1"/>
  <c r="J186" i="26" s="1"/>
  <c r="K186" i="26" a="1"/>
  <c r="K186" i="26" s="1"/>
  <c r="L186" i="26" a="1"/>
  <c r="L186" i="26" s="1"/>
  <c r="M186" i="26" a="1"/>
  <c r="M186" i="26" s="1"/>
  <c r="I187" i="26" a="1"/>
  <c r="I187" i="26" s="1"/>
  <c r="J187" i="26" a="1"/>
  <c r="J187" i="26" s="1"/>
  <c r="K187" i="26" a="1"/>
  <c r="K187" i="26" s="1"/>
  <c r="L187" i="26" a="1"/>
  <c r="L187" i="26" s="1"/>
  <c r="M187" i="26" a="1"/>
  <c r="M187" i="26" s="1"/>
  <c r="K4" i="26" a="1"/>
  <c r="K4" i="26" s="1"/>
  <c r="L4" i="26" a="1"/>
  <c r="L4" i="26" s="1"/>
  <c r="M4" i="26" a="1"/>
  <c r="M4" i="26" s="1"/>
  <c r="J4" i="26" a="1"/>
  <c r="J4" i="26" s="1"/>
  <c r="I4" i="26" a="1"/>
  <c r="I4" i="26" s="1"/>
  <c r="M8" i="38" a="1"/>
  <c r="M8" i="38" s="1"/>
  <c r="N8" i="38" a="1"/>
  <c r="N8" i="38" s="1"/>
  <c r="O8" i="38" a="1"/>
  <c r="O8" i="38" s="1"/>
  <c r="P8" i="38" a="1"/>
  <c r="P8" i="38" s="1"/>
  <c r="Q8" i="38" a="1"/>
  <c r="Q8" i="38" s="1"/>
  <c r="M9" i="38" a="1"/>
  <c r="M9" i="38" s="1"/>
  <c r="N9" i="38" a="1"/>
  <c r="N9" i="38" s="1"/>
  <c r="O9" i="38" a="1"/>
  <c r="O9" i="38" s="1"/>
  <c r="P9" i="38" a="1"/>
  <c r="P9" i="38" s="1"/>
  <c r="Q9" i="38" a="1"/>
  <c r="Q9" i="38" s="1"/>
  <c r="M10" i="38" a="1"/>
  <c r="M10" i="38" s="1"/>
  <c r="N10" i="38" a="1"/>
  <c r="N10" i="38" s="1"/>
  <c r="O10" i="38" a="1"/>
  <c r="O10" i="38" s="1"/>
  <c r="P10" i="38" a="1"/>
  <c r="P10" i="38" s="1"/>
  <c r="Q10" i="38" a="1"/>
  <c r="Q10" i="38" s="1"/>
  <c r="M11" i="38" a="1"/>
  <c r="M11" i="38" s="1"/>
  <c r="N11" i="38" a="1"/>
  <c r="N11" i="38" s="1"/>
  <c r="O11" i="38" a="1"/>
  <c r="O11" i="38" s="1"/>
  <c r="P11" i="38" a="1"/>
  <c r="P11" i="38" s="1"/>
  <c r="Q11" i="38" a="1"/>
  <c r="Q11" i="38" s="1"/>
  <c r="M12" i="38" a="1"/>
  <c r="M12" i="38" s="1"/>
  <c r="N12" i="38" a="1"/>
  <c r="N12" i="38" s="1"/>
  <c r="O12" i="38" a="1"/>
  <c r="O12" i="38" s="1"/>
  <c r="P12" i="38" a="1"/>
  <c r="P12" i="38" s="1"/>
  <c r="Q12" i="38" a="1"/>
  <c r="Q12" i="38" s="1"/>
  <c r="M13" i="38" a="1"/>
  <c r="M13" i="38" s="1"/>
  <c r="N13" i="38" a="1"/>
  <c r="N13" i="38" s="1"/>
  <c r="O13" i="38" a="1"/>
  <c r="O13" i="38" s="1"/>
  <c r="P13" i="38" a="1"/>
  <c r="P13" i="38" s="1"/>
  <c r="Q13" i="38" a="1"/>
  <c r="Q13" i="38" s="1"/>
  <c r="M14" i="38" a="1"/>
  <c r="M14" i="38" s="1"/>
  <c r="N14" i="38" a="1"/>
  <c r="N14" i="38" s="1"/>
  <c r="O14" i="38" a="1"/>
  <c r="O14" i="38" s="1"/>
  <c r="P14" i="38" a="1"/>
  <c r="P14" i="38" s="1"/>
  <c r="Q14" i="38" a="1"/>
  <c r="Q14" i="38" s="1"/>
  <c r="M15" i="38" a="1"/>
  <c r="M15" i="38" s="1"/>
  <c r="N15" i="38" a="1"/>
  <c r="N15" i="38" s="1"/>
  <c r="O15" i="38" a="1"/>
  <c r="O15" i="38" s="1"/>
  <c r="P15" i="38" a="1"/>
  <c r="P15" i="38" s="1"/>
  <c r="Q15" i="38" a="1"/>
  <c r="Q15" i="38" s="1"/>
  <c r="M16" i="38" a="1"/>
  <c r="M16" i="38" s="1"/>
  <c r="N16" i="38" a="1"/>
  <c r="N16" i="38" s="1"/>
  <c r="O16" i="38" a="1"/>
  <c r="O16" i="38" s="1"/>
  <c r="P16" i="38" a="1"/>
  <c r="P16" i="38" s="1"/>
  <c r="Q16" i="38" a="1"/>
  <c r="Q16" i="38" s="1"/>
  <c r="M17" i="38" a="1"/>
  <c r="M17" i="38" s="1"/>
  <c r="N17" i="38" a="1"/>
  <c r="N17" i="38" s="1"/>
  <c r="O17" i="38" a="1"/>
  <c r="O17" i="38" s="1"/>
  <c r="P17" i="38" a="1"/>
  <c r="P17" i="38" s="1"/>
  <c r="Q17" i="38" a="1"/>
  <c r="Q17" i="38" s="1"/>
  <c r="M18" i="38" a="1"/>
  <c r="M18" i="38" s="1"/>
  <c r="N18" i="38" a="1"/>
  <c r="N18" i="38" s="1"/>
  <c r="O18" i="38" a="1"/>
  <c r="O18" i="38" s="1"/>
  <c r="P18" i="38" a="1"/>
  <c r="P18" i="38" s="1"/>
  <c r="Q18" i="38" a="1"/>
  <c r="Q18" i="38" s="1"/>
  <c r="M19" i="38" a="1"/>
  <c r="M19" i="38" s="1"/>
  <c r="N19" i="38" a="1"/>
  <c r="N19" i="38" s="1"/>
  <c r="O19" i="38" a="1"/>
  <c r="O19" i="38" s="1"/>
  <c r="P19" i="38" a="1"/>
  <c r="P19" i="38" s="1"/>
  <c r="Q19" i="38" a="1"/>
  <c r="Q19" i="38" s="1"/>
  <c r="M20" i="38" a="1"/>
  <c r="M20" i="38" s="1"/>
  <c r="N20" i="38" a="1"/>
  <c r="N20" i="38" s="1"/>
  <c r="O20" i="38" a="1"/>
  <c r="O20" i="38" s="1"/>
  <c r="P20" i="38" a="1"/>
  <c r="P20" i="38" s="1"/>
  <c r="Q20" i="38" a="1"/>
  <c r="Q20" i="38" s="1"/>
  <c r="M21" i="38" a="1"/>
  <c r="M21" i="38" s="1"/>
  <c r="N21" i="38" a="1"/>
  <c r="N21" i="38" s="1"/>
  <c r="O21" i="38" a="1"/>
  <c r="O21" i="38" s="1"/>
  <c r="P21" i="38" a="1"/>
  <c r="P21" i="38" s="1"/>
  <c r="Q21" i="38" a="1"/>
  <c r="Q21" i="38" s="1"/>
  <c r="M22" i="38" a="1"/>
  <c r="M22" i="38" s="1"/>
  <c r="N22" i="38" a="1"/>
  <c r="N22" i="38" s="1"/>
  <c r="O22" i="38" a="1"/>
  <c r="O22" i="38" s="1"/>
  <c r="P22" i="38" a="1"/>
  <c r="P22" i="38" s="1"/>
  <c r="Q22" i="38" a="1"/>
  <c r="Q22" i="38" s="1"/>
  <c r="M23" i="38" a="1"/>
  <c r="M23" i="38" s="1"/>
  <c r="N23" i="38" a="1"/>
  <c r="N23" i="38" s="1"/>
  <c r="O23" i="38" a="1"/>
  <c r="O23" i="38" s="1"/>
  <c r="P23" i="38" a="1"/>
  <c r="P23" i="38" s="1"/>
  <c r="Q23" i="38" a="1"/>
  <c r="Q23" i="38" s="1"/>
  <c r="M24" i="38" a="1"/>
  <c r="M24" i="38" s="1"/>
  <c r="N24" i="38" a="1"/>
  <c r="N24" i="38" s="1"/>
  <c r="O24" i="38" a="1"/>
  <c r="O24" i="38" s="1"/>
  <c r="P24" i="38" a="1"/>
  <c r="P24" i="38" s="1"/>
  <c r="Q24" i="38" a="1"/>
  <c r="Q24" i="38" s="1"/>
  <c r="M25" i="38" a="1"/>
  <c r="M25" i="38" s="1"/>
  <c r="N25" i="38" a="1"/>
  <c r="N25" i="38" s="1"/>
  <c r="O25" i="38" a="1"/>
  <c r="O25" i="38" s="1"/>
  <c r="P25" i="38" a="1"/>
  <c r="P25" i="38" s="1"/>
  <c r="Q25" i="38" a="1"/>
  <c r="Q25" i="38" s="1"/>
  <c r="M26" i="38" a="1"/>
  <c r="M26" i="38" s="1"/>
  <c r="N26" i="38" a="1"/>
  <c r="N26" i="38" s="1"/>
  <c r="O26" i="38" a="1"/>
  <c r="O26" i="38" s="1"/>
  <c r="P26" i="38" a="1"/>
  <c r="P26" i="38" s="1"/>
  <c r="Q26" i="38" a="1"/>
  <c r="Q26" i="38" s="1"/>
  <c r="M27" i="38" a="1"/>
  <c r="M27" i="38" s="1"/>
  <c r="N27" i="38" a="1"/>
  <c r="N27" i="38" s="1"/>
  <c r="O27" i="38" a="1"/>
  <c r="O27" i="38" s="1"/>
  <c r="P27" i="38" a="1"/>
  <c r="P27" i="38" s="1"/>
  <c r="Q27" i="38" a="1"/>
  <c r="Q27" i="38" s="1"/>
  <c r="M28" i="38" a="1"/>
  <c r="M28" i="38" s="1"/>
  <c r="N28" i="38" a="1"/>
  <c r="N28" i="38" s="1"/>
  <c r="O28" i="38" a="1"/>
  <c r="O28" i="38" s="1"/>
  <c r="P28" i="38" a="1"/>
  <c r="P28" i="38" s="1"/>
  <c r="Q28" i="38" a="1"/>
  <c r="Q28" i="38" s="1"/>
  <c r="M29" i="38" a="1"/>
  <c r="M29" i="38" s="1"/>
  <c r="N29" i="38" a="1"/>
  <c r="N29" i="38" s="1"/>
  <c r="O29" i="38" a="1"/>
  <c r="O29" i="38" s="1"/>
  <c r="P29" i="38" a="1"/>
  <c r="P29" i="38" s="1"/>
  <c r="Q29" i="38" a="1"/>
  <c r="Q29" i="38" s="1"/>
  <c r="M30" i="38" a="1"/>
  <c r="M30" i="38" s="1"/>
  <c r="N30" i="38" a="1"/>
  <c r="N30" i="38" s="1"/>
  <c r="O30" i="38" a="1"/>
  <c r="O30" i="38" s="1"/>
  <c r="P30" i="38" a="1"/>
  <c r="P30" i="38" s="1"/>
  <c r="Q30" i="38" a="1"/>
  <c r="Q30" i="38" s="1"/>
  <c r="M31" i="38" a="1"/>
  <c r="M31" i="38" s="1"/>
  <c r="N31" i="38" a="1"/>
  <c r="N31" i="38" s="1"/>
  <c r="O31" i="38" a="1"/>
  <c r="O31" i="38" s="1"/>
  <c r="P31" i="38" a="1"/>
  <c r="P31" i="38" s="1"/>
  <c r="Q31" i="38" a="1"/>
  <c r="Q31" i="38" s="1"/>
  <c r="M32" i="38" a="1"/>
  <c r="M32" i="38" s="1"/>
  <c r="N32" i="38" a="1"/>
  <c r="N32" i="38" s="1"/>
  <c r="O32" i="38" a="1"/>
  <c r="O32" i="38" s="1"/>
  <c r="P32" i="38" a="1"/>
  <c r="P32" i="38" s="1"/>
  <c r="Q32" i="38" a="1"/>
  <c r="Q32" i="38" s="1"/>
  <c r="M33" i="38" a="1"/>
  <c r="M33" i="38" s="1"/>
  <c r="N33" i="38" a="1"/>
  <c r="N33" i="38" s="1"/>
  <c r="O33" i="38" a="1"/>
  <c r="O33" i="38" s="1"/>
  <c r="P33" i="38" a="1"/>
  <c r="P33" i="38" s="1"/>
  <c r="Q33" i="38" a="1"/>
  <c r="Q33" i="38" s="1"/>
  <c r="M34" i="38" a="1"/>
  <c r="M34" i="38" s="1"/>
  <c r="N34" i="38" a="1"/>
  <c r="N34" i="38" s="1"/>
  <c r="O34" i="38" a="1"/>
  <c r="O34" i="38" s="1"/>
  <c r="P34" i="38" a="1"/>
  <c r="P34" i="38" s="1"/>
  <c r="Q34" i="38" a="1"/>
  <c r="Q34" i="38" s="1"/>
  <c r="M35" i="38" a="1"/>
  <c r="M35" i="38" s="1"/>
  <c r="N35" i="38" a="1"/>
  <c r="N35" i="38" s="1"/>
  <c r="O35" i="38" a="1"/>
  <c r="O35" i="38" s="1"/>
  <c r="P35" i="38" a="1"/>
  <c r="P35" i="38" s="1"/>
  <c r="Q35" i="38" a="1"/>
  <c r="Q35" i="38" s="1"/>
  <c r="M36" i="38" a="1"/>
  <c r="M36" i="38" s="1"/>
  <c r="N36" i="38" a="1"/>
  <c r="N36" i="38" s="1"/>
  <c r="O36" i="38" a="1"/>
  <c r="O36" i="38" s="1"/>
  <c r="P36" i="38" a="1"/>
  <c r="P36" i="38" s="1"/>
  <c r="Q36" i="38" a="1"/>
  <c r="Q36" i="38" s="1"/>
  <c r="M37" i="38" a="1"/>
  <c r="M37" i="38" s="1"/>
  <c r="N37" i="38" a="1"/>
  <c r="N37" i="38" s="1"/>
  <c r="O37" i="38" a="1"/>
  <c r="O37" i="38" s="1"/>
  <c r="P37" i="38" a="1"/>
  <c r="P37" i="38" s="1"/>
  <c r="Q37" i="38" a="1"/>
  <c r="Q37" i="38" s="1"/>
  <c r="M38" i="38" a="1"/>
  <c r="M38" i="38" s="1"/>
  <c r="N38" i="38" a="1"/>
  <c r="N38" i="38" s="1"/>
  <c r="O38" i="38" a="1"/>
  <c r="O38" i="38" s="1"/>
  <c r="P38" i="38" a="1"/>
  <c r="P38" i="38" s="1"/>
  <c r="Q38" i="38" a="1"/>
  <c r="Q38" i="38" s="1"/>
  <c r="M39" i="38" a="1"/>
  <c r="M39" i="38" s="1"/>
  <c r="N39" i="38" a="1"/>
  <c r="N39" i="38" s="1"/>
  <c r="O39" i="38" a="1"/>
  <c r="O39" i="38" s="1"/>
  <c r="P39" i="38" a="1"/>
  <c r="P39" i="38" s="1"/>
  <c r="Q39" i="38" a="1"/>
  <c r="Q39" i="38" s="1"/>
  <c r="M40" i="38" a="1"/>
  <c r="M40" i="38" s="1"/>
  <c r="N40" i="38" a="1"/>
  <c r="N40" i="38" s="1"/>
  <c r="O40" i="38" a="1"/>
  <c r="O40" i="38" s="1"/>
  <c r="P40" i="38" a="1"/>
  <c r="P40" i="38" s="1"/>
  <c r="Q40" i="38" a="1"/>
  <c r="Q40" i="38" s="1"/>
  <c r="M41" i="38" a="1"/>
  <c r="M41" i="38" s="1"/>
  <c r="N41" i="38" a="1"/>
  <c r="N41" i="38" s="1"/>
  <c r="O41" i="38" a="1"/>
  <c r="O41" i="38" s="1"/>
  <c r="P41" i="38" a="1"/>
  <c r="P41" i="38" s="1"/>
  <c r="Q41" i="38" a="1"/>
  <c r="Q41" i="38" s="1"/>
  <c r="M42" i="38" a="1"/>
  <c r="M42" i="38" s="1"/>
  <c r="N42" i="38" a="1"/>
  <c r="N42" i="38" s="1"/>
  <c r="O42" i="38" a="1"/>
  <c r="O42" i="38" s="1"/>
  <c r="P42" i="38" a="1"/>
  <c r="P42" i="38" s="1"/>
  <c r="Q42" i="38" a="1"/>
  <c r="Q42" i="38" s="1"/>
  <c r="M43" i="38" a="1"/>
  <c r="M43" i="38" s="1"/>
  <c r="N43" i="38" a="1"/>
  <c r="N43" i="38" s="1"/>
  <c r="O43" i="38" a="1"/>
  <c r="O43" i="38" s="1"/>
  <c r="P43" i="38" a="1"/>
  <c r="P43" i="38" s="1"/>
  <c r="Q43" i="38" a="1"/>
  <c r="Q43" i="38" s="1"/>
  <c r="M44" i="38" a="1"/>
  <c r="M44" i="38" s="1"/>
  <c r="N44" i="38" a="1"/>
  <c r="N44" i="38" s="1"/>
  <c r="O44" i="38" a="1"/>
  <c r="O44" i="38" s="1"/>
  <c r="P44" i="38" a="1"/>
  <c r="P44" i="38" s="1"/>
  <c r="Q44" i="38" a="1"/>
  <c r="Q44" i="38" s="1"/>
  <c r="M45" i="38" a="1"/>
  <c r="M45" i="38" s="1"/>
  <c r="N45" i="38" a="1"/>
  <c r="N45" i="38" s="1"/>
  <c r="O45" i="38" a="1"/>
  <c r="O45" i="38" s="1"/>
  <c r="P45" i="38" a="1"/>
  <c r="P45" i="38" s="1"/>
  <c r="Q45" i="38" a="1"/>
  <c r="Q45" i="38" s="1"/>
  <c r="M46" i="38" a="1"/>
  <c r="M46" i="38" s="1"/>
  <c r="N46" i="38" a="1"/>
  <c r="N46" i="38" s="1"/>
  <c r="O46" i="38" a="1"/>
  <c r="O46" i="38" s="1"/>
  <c r="P46" i="38" a="1"/>
  <c r="P46" i="38" s="1"/>
  <c r="Q46" i="38" a="1"/>
  <c r="Q46" i="38" s="1"/>
  <c r="M47" i="38" a="1"/>
  <c r="M47" i="38" s="1"/>
  <c r="N47" i="38" a="1"/>
  <c r="N47" i="38" s="1"/>
  <c r="O47" i="38" a="1"/>
  <c r="O47" i="38" s="1"/>
  <c r="P47" i="38" a="1"/>
  <c r="P47" i="38" s="1"/>
  <c r="Q47" i="38" a="1"/>
  <c r="Q47" i="38" s="1"/>
  <c r="M48" i="38" a="1"/>
  <c r="M48" i="38" s="1"/>
  <c r="N48" i="38" a="1"/>
  <c r="N48" i="38" s="1"/>
  <c r="O48" i="38" a="1"/>
  <c r="O48" i="38" s="1"/>
  <c r="P48" i="38" a="1"/>
  <c r="P48" i="38" s="1"/>
  <c r="Q48" i="38" a="1"/>
  <c r="Q48" i="38" s="1"/>
  <c r="M49" i="38" a="1"/>
  <c r="M49" i="38" s="1"/>
  <c r="N49" i="38" a="1"/>
  <c r="N49" i="38" s="1"/>
  <c r="O49" i="38" a="1"/>
  <c r="O49" i="38" s="1"/>
  <c r="P49" i="38" a="1"/>
  <c r="P49" i="38" s="1"/>
  <c r="Q49" i="38" a="1"/>
  <c r="Q49" i="38" s="1"/>
  <c r="M50" i="38" a="1"/>
  <c r="M50" i="38" s="1"/>
  <c r="N50" i="38" a="1"/>
  <c r="N50" i="38" s="1"/>
  <c r="O50" i="38" a="1"/>
  <c r="O50" i="38" s="1"/>
  <c r="P50" i="38" a="1"/>
  <c r="P50" i="38" s="1"/>
  <c r="Q50" i="38" a="1"/>
  <c r="Q50" i="38" s="1"/>
  <c r="M51" i="38" a="1"/>
  <c r="M51" i="38" s="1"/>
  <c r="N51" i="38" a="1"/>
  <c r="N51" i="38" s="1"/>
  <c r="O51" i="38" a="1"/>
  <c r="O51" i="38" s="1"/>
  <c r="P51" i="38" a="1"/>
  <c r="P51" i="38" s="1"/>
  <c r="Q51" i="38" a="1"/>
  <c r="Q51" i="38" s="1"/>
  <c r="M52" i="38" a="1"/>
  <c r="M52" i="38" s="1"/>
  <c r="N52" i="38" a="1"/>
  <c r="N52" i="38" s="1"/>
  <c r="O52" i="38" a="1"/>
  <c r="O52" i="38" s="1"/>
  <c r="P52" i="38" a="1"/>
  <c r="P52" i="38" s="1"/>
  <c r="Q52" i="38" a="1"/>
  <c r="Q52" i="38" s="1"/>
  <c r="M53" i="38" a="1"/>
  <c r="M53" i="38" s="1"/>
  <c r="N53" i="38" a="1"/>
  <c r="N53" i="38" s="1"/>
  <c r="O53" i="38" a="1"/>
  <c r="O53" i="38" s="1"/>
  <c r="P53" i="38" a="1"/>
  <c r="P53" i="38" s="1"/>
  <c r="Q53" i="38" a="1"/>
  <c r="Q53" i="38" s="1"/>
  <c r="M54" i="38" a="1"/>
  <c r="M54" i="38" s="1"/>
  <c r="N54" i="38" a="1"/>
  <c r="N54" i="38" s="1"/>
  <c r="O54" i="38" a="1"/>
  <c r="O54" i="38" s="1"/>
  <c r="P54" i="38" a="1"/>
  <c r="P54" i="38" s="1"/>
  <c r="Q54" i="38" a="1"/>
  <c r="Q54" i="38" s="1"/>
  <c r="M55" i="38" a="1"/>
  <c r="M55" i="38" s="1"/>
  <c r="N55" i="38" a="1"/>
  <c r="N55" i="38" s="1"/>
  <c r="O55" i="38" a="1"/>
  <c r="O55" i="38" s="1"/>
  <c r="P55" i="38" a="1"/>
  <c r="P55" i="38" s="1"/>
  <c r="Q55" i="38" a="1"/>
  <c r="Q55" i="38" s="1"/>
  <c r="M56" i="38" a="1"/>
  <c r="M56" i="38" s="1"/>
  <c r="N56" i="38" a="1"/>
  <c r="N56" i="38" s="1"/>
  <c r="O56" i="38" a="1"/>
  <c r="O56" i="38" s="1"/>
  <c r="P56" i="38" a="1"/>
  <c r="P56" i="38" s="1"/>
  <c r="Q56" i="38" a="1"/>
  <c r="Q56" i="38" s="1"/>
  <c r="M57" i="38" a="1"/>
  <c r="M57" i="38" s="1"/>
  <c r="N57" i="38" a="1"/>
  <c r="N57" i="38" s="1"/>
  <c r="O57" i="38" a="1"/>
  <c r="O57" i="38" s="1"/>
  <c r="P57" i="38" a="1"/>
  <c r="P57" i="38" s="1"/>
  <c r="Q57" i="38" a="1"/>
  <c r="Q57" i="38" s="1"/>
  <c r="M58" i="38" a="1"/>
  <c r="M58" i="38" s="1"/>
  <c r="N58" i="38" a="1"/>
  <c r="N58" i="38" s="1"/>
  <c r="O58" i="38" a="1"/>
  <c r="O58" i="38" s="1"/>
  <c r="P58" i="38" a="1"/>
  <c r="P58" i="38" s="1"/>
  <c r="Q58" i="38" a="1"/>
  <c r="Q58" i="38" s="1"/>
  <c r="M59" i="38" a="1"/>
  <c r="M59" i="38" s="1"/>
  <c r="N59" i="38" a="1"/>
  <c r="N59" i="38" s="1"/>
  <c r="O59" i="38" a="1"/>
  <c r="O59" i="38" s="1"/>
  <c r="P59" i="38" a="1"/>
  <c r="P59" i="38" s="1"/>
  <c r="Q59" i="38" a="1"/>
  <c r="Q59" i="38" s="1"/>
  <c r="M60" i="38" a="1"/>
  <c r="M60" i="38" s="1"/>
  <c r="N60" i="38" a="1"/>
  <c r="N60" i="38" s="1"/>
  <c r="O60" i="38" a="1"/>
  <c r="O60" i="38" s="1"/>
  <c r="P60" i="38" a="1"/>
  <c r="P60" i="38" s="1"/>
  <c r="Q60" i="38" a="1"/>
  <c r="Q60" i="38" s="1"/>
  <c r="M61" i="38" a="1"/>
  <c r="M61" i="38" s="1"/>
  <c r="N61" i="38" a="1"/>
  <c r="N61" i="38" s="1"/>
  <c r="O61" i="38" a="1"/>
  <c r="O61" i="38" s="1"/>
  <c r="P61" i="38" a="1"/>
  <c r="P61" i="38" s="1"/>
  <c r="Q61" i="38" a="1"/>
  <c r="Q61" i="38" s="1"/>
  <c r="M62" i="38" a="1"/>
  <c r="M62" i="38" s="1"/>
  <c r="N62" i="38" a="1"/>
  <c r="N62" i="38" s="1"/>
  <c r="O62" i="38" a="1"/>
  <c r="O62" i="38" s="1"/>
  <c r="P62" i="38" a="1"/>
  <c r="P62" i="38" s="1"/>
  <c r="Q62" i="38" a="1"/>
  <c r="Q62" i="38" s="1"/>
  <c r="M63" i="38" a="1"/>
  <c r="M63" i="38" s="1"/>
  <c r="N63" i="38" a="1"/>
  <c r="N63" i="38" s="1"/>
  <c r="O63" i="38" a="1"/>
  <c r="O63" i="38" s="1"/>
  <c r="P63" i="38" a="1"/>
  <c r="P63" i="38" s="1"/>
  <c r="Q63" i="38" a="1"/>
  <c r="Q63" i="38" s="1"/>
  <c r="M64" i="38" a="1"/>
  <c r="M64" i="38" s="1"/>
  <c r="N64" i="38" a="1"/>
  <c r="N64" i="38" s="1"/>
  <c r="O64" i="38" a="1"/>
  <c r="O64" i="38" s="1"/>
  <c r="P64" i="38" a="1"/>
  <c r="P64" i="38" s="1"/>
  <c r="Q64" i="38" a="1"/>
  <c r="Q64" i="38" s="1"/>
  <c r="M65" i="38" a="1"/>
  <c r="M65" i="38" s="1"/>
  <c r="N65" i="38" a="1"/>
  <c r="N65" i="38" s="1"/>
  <c r="O65" i="38" a="1"/>
  <c r="O65" i="38" s="1"/>
  <c r="P65" i="38" a="1"/>
  <c r="P65" i="38" s="1"/>
  <c r="Q65" i="38" a="1"/>
  <c r="Q65" i="38" s="1"/>
  <c r="M66" i="38" a="1"/>
  <c r="M66" i="38" s="1"/>
  <c r="N66" i="38" a="1"/>
  <c r="N66" i="38" s="1"/>
  <c r="O66" i="38" a="1"/>
  <c r="O66" i="38" s="1"/>
  <c r="P66" i="38" a="1"/>
  <c r="P66" i="38" s="1"/>
  <c r="Q66" i="38" a="1"/>
  <c r="Q66" i="38" s="1"/>
  <c r="M67" i="38" a="1"/>
  <c r="M67" i="38" s="1"/>
  <c r="N67" i="38" a="1"/>
  <c r="N67" i="38" s="1"/>
  <c r="O67" i="38" a="1"/>
  <c r="O67" i="38" s="1"/>
  <c r="P67" i="38" a="1"/>
  <c r="P67" i="38" s="1"/>
  <c r="Q67" i="38" a="1"/>
  <c r="Q67" i="38" s="1"/>
  <c r="M68" i="38" a="1"/>
  <c r="M68" i="38" s="1"/>
  <c r="N68" i="38" a="1"/>
  <c r="N68" i="38" s="1"/>
  <c r="O68" i="38" a="1"/>
  <c r="O68" i="38" s="1"/>
  <c r="P68" i="38" a="1"/>
  <c r="P68" i="38" s="1"/>
  <c r="Q68" i="38" a="1"/>
  <c r="Q68" i="38" s="1"/>
  <c r="M69" i="38" a="1"/>
  <c r="M69" i="38" s="1"/>
  <c r="N69" i="38" a="1"/>
  <c r="N69" i="38" s="1"/>
  <c r="O69" i="38" a="1"/>
  <c r="O69" i="38" s="1"/>
  <c r="P69" i="38" a="1"/>
  <c r="P69" i="38" s="1"/>
  <c r="Q69" i="38" a="1"/>
  <c r="Q69" i="38" s="1"/>
  <c r="M70" i="38" a="1"/>
  <c r="M70" i="38" s="1"/>
  <c r="N70" i="38" a="1"/>
  <c r="N70" i="38" s="1"/>
  <c r="O70" i="38" a="1"/>
  <c r="O70" i="38" s="1"/>
  <c r="P70" i="38" a="1"/>
  <c r="P70" i="38" s="1"/>
  <c r="Q70" i="38" a="1"/>
  <c r="Q70" i="38" s="1"/>
  <c r="M71" i="38" a="1"/>
  <c r="M71" i="38" s="1"/>
  <c r="N71" i="38" a="1"/>
  <c r="N71" i="38" s="1"/>
  <c r="O71" i="38" a="1"/>
  <c r="O71" i="38" s="1"/>
  <c r="P71" i="38" a="1"/>
  <c r="P71" i="38" s="1"/>
  <c r="Q71" i="38" a="1"/>
  <c r="Q71" i="38" s="1"/>
  <c r="M72" i="38" a="1"/>
  <c r="M72" i="38" s="1"/>
  <c r="N72" i="38" a="1"/>
  <c r="N72" i="38" s="1"/>
  <c r="O72" i="38" a="1"/>
  <c r="O72" i="38" s="1"/>
  <c r="P72" i="38" a="1"/>
  <c r="P72" i="38" s="1"/>
  <c r="Q72" i="38" a="1"/>
  <c r="Q72" i="38" s="1"/>
  <c r="M73" i="38" a="1"/>
  <c r="M73" i="38" s="1"/>
  <c r="N73" i="38" a="1"/>
  <c r="N73" i="38" s="1"/>
  <c r="O73" i="38" a="1"/>
  <c r="O73" i="38" s="1"/>
  <c r="P73" i="38" a="1"/>
  <c r="P73" i="38" s="1"/>
  <c r="Q73" i="38" a="1"/>
  <c r="Q73" i="38" s="1"/>
  <c r="M74" i="38" a="1"/>
  <c r="M74" i="38" s="1"/>
  <c r="N74" i="38" a="1"/>
  <c r="N74" i="38" s="1"/>
  <c r="O74" i="38" a="1"/>
  <c r="O74" i="38" s="1"/>
  <c r="P74" i="38" a="1"/>
  <c r="P74" i="38" s="1"/>
  <c r="Q74" i="38" a="1"/>
  <c r="Q74" i="38" s="1"/>
  <c r="M75" i="38" a="1"/>
  <c r="M75" i="38" s="1"/>
  <c r="N75" i="38" a="1"/>
  <c r="N75" i="38" s="1"/>
  <c r="O75" i="38" a="1"/>
  <c r="O75" i="38" s="1"/>
  <c r="P75" i="38" a="1"/>
  <c r="P75" i="38" s="1"/>
  <c r="Q75" i="38" a="1"/>
  <c r="Q75" i="38" s="1"/>
  <c r="M76" i="38" a="1"/>
  <c r="M76" i="38" s="1"/>
  <c r="N76" i="38" a="1"/>
  <c r="N76" i="38" s="1"/>
  <c r="O76" i="38" a="1"/>
  <c r="O76" i="38" s="1"/>
  <c r="P76" i="38" a="1"/>
  <c r="P76" i="38" s="1"/>
  <c r="Q76" i="38" a="1"/>
  <c r="Q76" i="38" s="1"/>
  <c r="M77" i="38" a="1"/>
  <c r="M77" i="38" s="1"/>
  <c r="N77" i="38" a="1"/>
  <c r="N77" i="38" s="1"/>
  <c r="O77" i="38" a="1"/>
  <c r="O77" i="38" s="1"/>
  <c r="P77" i="38" a="1"/>
  <c r="P77" i="38" s="1"/>
  <c r="Q77" i="38" a="1"/>
  <c r="Q77" i="38" s="1"/>
  <c r="M78" i="38" a="1"/>
  <c r="M78" i="38" s="1"/>
  <c r="N78" i="38" a="1"/>
  <c r="N78" i="38" s="1"/>
  <c r="O78" i="38" a="1"/>
  <c r="O78" i="38" s="1"/>
  <c r="P78" i="38" a="1"/>
  <c r="P78" i="38" s="1"/>
  <c r="Q78" i="38" a="1"/>
  <c r="Q78" i="38" s="1"/>
  <c r="M79" i="38" a="1"/>
  <c r="M79" i="38" s="1"/>
  <c r="N79" i="38" a="1"/>
  <c r="N79" i="38" s="1"/>
  <c r="O79" i="38" a="1"/>
  <c r="O79" i="38" s="1"/>
  <c r="P79" i="38" a="1"/>
  <c r="P79" i="38" s="1"/>
  <c r="Q79" i="38" a="1"/>
  <c r="Q79" i="38" s="1"/>
  <c r="M80" i="38" a="1"/>
  <c r="M80" i="38" s="1"/>
  <c r="N80" i="38" a="1"/>
  <c r="N80" i="38" s="1"/>
  <c r="O80" i="38" a="1"/>
  <c r="O80" i="38" s="1"/>
  <c r="P80" i="38" a="1"/>
  <c r="P80" i="38" s="1"/>
  <c r="Q80" i="38" a="1"/>
  <c r="Q80" i="38" s="1"/>
  <c r="M81" i="38" a="1"/>
  <c r="M81" i="38" s="1"/>
  <c r="N81" i="38" a="1"/>
  <c r="N81" i="38" s="1"/>
  <c r="O81" i="38" a="1"/>
  <c r="O81" i="38" s="1"/>
  <c r="P81" i="38" a="1"/>
  <c r="P81" i="38" s="1"/>
  <c r="Q81" i="38" a="1"/>
  <c r="Q81" i="38" s="1"/>
  <c r="M82" i="38" a="1"/>
  <c r="M82" i="38" s="1"/>
  <c r="N82" i="38" a="1"/>
  <c r="N82" i="38" s="1"/>
  <c r="O82" i="38" a="1"/>
  <c r="O82" i="38" s="1"/>
  <c r="P82" i="38" a="1"/>
  <c r="P82" i="38" s="1"/>
  <c r="Q82" i="38" a="1"/>
  <c r="Q82" i="38" s="1"/>
  <c r="M83" i="38" a="1"/>
  <c r="M83" i="38" s="1"/>
  <c r="N83" i="38" a="1"/>
  <c r="N83" i="38" s="1"/>
  <c r="O83" i="38" a="1"/>
  <c r="O83" i="38" s="1"/>
  <c r="P83" i="38" a="1"/>
  <c r="P83" i="38" s="1"/>
  <c r="Q83" i="38" a="1"/>
  <c r="Q83" i="38" s="1"/>
  <c r="M84" i="38" a="1"/>
  <c r="M84" i="38" s="1"/>
  <c r="N84" i="38" a="1"/>
  <c r="N84" i="38" s="1"/>
  <c r="O84" i="38" a="1"/>
  <c r="O84" i="38" s="1"/>
  <c r="P84" i="38" a="1"/>
  <c r="P84" i="38" s="1"/>
  <c r="Q84" i="38" a="1"/>
  <c r="Q84" i="38" s="1"/>
  <c r="M85" i="38" a="1"/>
  <c r="M85" i="38" s="1"/>
  <c r="N85" i="38" a="1"/>
  <c r="N85" i="38" s="1"/>
  <c r="O85" i="38" a="1"/>
  <c r="O85" i="38" s="1"/>
  <c r="P85" i="38" a="1"/>
  <c r="P85" i="38" s="1"/>
  <c r="Q85" i="38" a="1"/>
  <c r="Q85" i="38" s="1"/>
  <c r="M86" i="38" a="1"/>
  <c r="M86" i="38" s="1"/>
  <c r="N86" i="38" a="1"/>
  <c r="N86" i="38" s="1"/>
  <c r="O86" i="38" a="1"/>
  <c r="O86" i="38" s="1"/>
  <c r="P86" i="38" a="1"/>
  <c r="P86" i="38" s="1"/>
  <c r="Q86" i="38" a="1"/>
  <c r="Q86" i="38" s="1"/>
  <c r="M87" i="38" a="1"/>
  <c r="M87" i="38" s="1"/>
  <c r="N87" i="38" a="1"/>
  <c r="N87" i="38" s="1"/>
  <c r="O87" i="38" a="1"/>
  <c r="O87" i="38" s="1"/>
  <c r="P87" i="38" a="1"/>
  <c r="P87" i="38" s="1"/>
  <c r="Q87" i="38" a="1"/>
  <c r="Q87" i="38" s="1"/>
  <c r="M88" i="38" a="1"/>
  <c r="M88" i="38" s="1"/>
  <c r="N88" i="38" a="1"/>
  <c r="N88" i="38" s="1"/>
  <c r="O88" i="38" a="1"/>
  <c r="O88" i="38" s="1"/>
  <c r="P88" i="38" a="1"/>
  <c r="P88" i="38" s="1"/>
  <c r="Q88" i="38" a="1"/>
  <c r="Q88" i="38" s="1"/>
  <c r="M89" i="38" a="1"/>
  <c r="M89" i="38" s="1"/>
  <c r="N89" i="38" a="1"/>
  <c r="N89" i="38" s="1"/>
  <c r="O89" i="38" a="1"/>
  <c r="O89" i="38" s="1"/>
  <c r="P89" i="38" a="1"/>
  <c r="P89" i="38" s="1"/>
  <c r="Q89" i="38" a="1"/>
  <c r="Q89" i="38" s="1"/>
  <c r="M90" i="38" a="1"/>
  <c r="M90" i="38" s="1"/>
  <c r="N90" i="38" a="1"/>
  <c r="N90" i="38" s="1"/>
  <c r="O90" i="38" a="1"/>
  <c r="O90" i="38" s="1"/>
  <c r="P90" i="38" a="1"/>
  <c r="P90" i="38" s="1"/>
  <c r="Q90" i="38" a="1"/>
  <c r="Q90" i="38" s="1"/>
  <c r="M91" i="38" a="1"/>
  <c r="M91" i="38" s="1"/>
  <c r="N91" i="38" a="1"/>
  <c r="N91" i="38" s="1"/>
  <c r="O91" i="38" a="1"/>
  <c r="O91" i="38" s="1"/>
  <c r="P91" i="38" a="1"/>
  <c r="P91" i="38" s="1"/>
  <c r="Q91" i="38" a="1"/>
  <c r="Q91" i="38" s="1"/>
  <c r="M92" i="38" a="1"/>
  <c r="M92" i="38" s="1"/>
  <c r="N92" i="38" a="1"/>
  <c r="N92" i="38" s="1"/>
  <c r="O92" i="38" a="1"/>
  <c r="O92" i="38" s="1"/>
  <c r="P92" i="38" a="1"/>
  <c r="P92" i="38" s="1"/>
  <c r="Q92" i="38" a="1"/>
  <c r="Q92" i="38" s="1"/>
  <c r="M93" i="38" a="1"/>
  <c r="M93" i="38" s="1"/>
  <c r="N93" i="38" a="1"/>
  <c r="N93" i="38" s="1"/>
  <c r="O93" i="38" a="1"/>
  <c r="O93" i="38" s="1"/>
  <c r="P93" i="38" a="1"/>
  <c r="P93" i="38" s="1"/>
  <c r="Q93" i="38" a="1"/>
  <c r="Q93" i="38" s="1"/>
  <c r="M94" i="38" a="1"/>
  <c r="M94" i="38" s="1"/>
  <c r="N94" i="38" a="1"/>
  <c r="N94" i="38" s="1"/>
  <c r="O94" i="38" a="1"/>
  <c r="O94" i="38" s="1"/>
  <c r="P94" i="38" a="1"/>
  <c r="P94" i="38" s="1"/>
  <c r="Q94" i="38" a="1"/>
  <c r="Q94" i="38" s="1"/>
  <c r="M95" i="38" a="1"/>
  <c r="M95" i="38" s="1"/>
  <c r="N95" i="38" a="1"/>
  <c r="N95" i="38" s="1"/>
  <c r="O95" i="38" a="1"/>
  <c r="O95" i="38" s="1"/>
  <c r="P95" i="38" a="1"/>
  <c r="P95" i="38" s="1"/>
  <c r="Q95" i="38" a="1"/>
  <c r="Q95" i="38" s="1"/>
  <c r="M96" i="38" a="1"/>
  <c r="M96" i="38" s="1"/>
  <c r="N96" i="38" a="1"/>
  <c r="N96" i="38" s="1"/>
  <c r="O96" i="38" a="1"/>
  <c r="O96" i="38" s="1"/>
  <c r="P96" i="38" a="1"/>
  <c r="P96" i="38" s="1"/>
  <c r="Q96" i="38" a="1"/>
  <c r="Q96" i="38" s="1"/>
  <c r="M97" i="38" a="1"/>
  <c r="M97" i="38" s="1"/>
  <c r="N97" i="38" a="1"/>
  <c r="N97" i="38" s="1"/>
  <c r="O97" i="38" a="1"/>
  <c r="O97" i="38" s="1"/>
  <c r="P97" i="38" a="1"/>
  <c r="P97" i="38" s="1"/>
  <c r="Q97" i="38" a="1"/>
  <c r="Q97" i="38" s="1"/>
  <c r="M98" i="38" a="1"/>
  <c r="M98" i="38" s="1"/>
  <c r="N98" i="38" a="1"/>
  <c r="N98" i="38" s="1"/>
  <c r="O98" i="38" a="1"/>
  <c r="O98" i="38" s="1"/>
  <c r="P98" i="38" a="1"/>
  <c r="P98" i="38" s="1"/>
  <c r="Q98" i="38" a="1"/>
  <c r="Q98" i="38" s="1"/>
  <c r="M99" i="38" a="1"/>
  <c r="M99" i="38" s="1"/>
  <c r="N99" i="38" a="1"/>
  <c r="N99" i="38" s="1"/>
  <c r="O99" i="38" a="1"/>
  <c r="O99" i="38" s="1"/>
  <c r="P99" i="38" a="1"/>
  <c r="P99" i="38" s="1"/>
  <c r="Q99" i="38" a="1"/>
  <c r="Q99" i="38" s="1"/>
  <c r="M100" i="38" a="1"/>
  <c r="M100" i="38" s="1"/>
  <c r="N100" i="38" a="1"/>
  <c r="N100" i="38" s="1"/>
  <c r="O100" i="38" a="1"/>
  <c r="O100" i="38" s="1"/>
  <c r="P100" i="38" a="1"/>
  <c r="P100" i="38" s="1"/>
  <c r="Q100" i="38" a="1"/>
  <c r="Q100" i="38" s="1"/>
  <c r="M101" i="38" a="1"/>
  <c r="M101" i="38" s="1"/>
  <c r="N101" i="38" a="1"/>
  <c r="N101" i="38" s="1"/>
  <c r="O101" i="38" a="1"/>
  <c r="O101" i="38" s="1"/>
  <c r="P101" i="38" a="1"/>
  <c r="P101" i="38" s="1"/>
  <c r="Q101" i="38" a="1"/>
  <c r="Q101" i="38" s="1"/>
  <c r="N102" i="38" a="1"/>
  <c r="N102" i="38" s="1"/>
  <c r="O102" i="38" a="1"/>
  <c r="O102" i="38" s="1"/>
  <c r="P102" i="38" a="1"/>
  <c r="P102" i="38" s="1"/>
  <c r="Q102" i="38" a="1"/>
  <c r="Q102" i="38" s="1"/>
  <c r="M103" i="38" a="1"/>
  <c r="M103" i="38" s="1"/>
  <c r="N103" i="38" a="1"/>
  <c r="N103" i="38" s="1"/>
  <c r="O103" i="38" a="1"/>
  <c r="O103" i="38" s="1"/>
  <c r="P103" i="38" a="1"/>
  <c r="P103" i="38" s="1"/>
  <c r="Q103" i="38" a="1"/>
  <c r="Q103" i="38" s="1"/>
  <c r="M104" i="38" a="1"/>
  <c r="M104" i="38" s="1"/>
  <c r="N104" i="38" a="1"/>
  <c r="N104" i="38" s="1"/>
  <c r="O104" i="38" a="1"/>
  <c r="O104" i="38" s="1"/>
  <c r="P104" i="38" a="1"/>
  <c r="P104" i="38" s="1"/>
  <c r="Q104" i="38" a="1"/>
  <c r="Q104" i="38" s="1"/>
  <c r="M105" i="38" a="1"/>
  <c r="M105" i="38" s="1"/>
  <c r="N105" i="38" a="1"/>
  <c r="N105" i="38" s="1"/>
  <c r="O105" i="38" a="1"/>
  <c r="O105" i="38" s="1"/>
  <c r="P105" i="38" a="1"/>
  <c r="P105" i="38" s="1"/>
  <c r="Q105" i="38" a="1"/>
  <c r="Q105" i="38" s="1"/>
  <c r="M106" i="38" a="1"/>
  <c r="M106" i="38" s="1"/>
  <c r="N106" i="38" a="1"/>
  <c r="N106" i="38" s="1"/>
  <c r="O106" i="38" a="1"/>
  <c r="O106" i="38" s="1"/>
  <c r="P106" i="38" a="1"/>
  <c r="P106" i="38" s="1"/>
  <c r="Q106" i="38" a="1"/>
  <c r="Q106" i="38" s="1"/>
  <c r="M107" i="38" a="1"/>
  <c r="M107" i="38" s="1"/>
  <c r="N107" i="38" a="1"/>
  <c r="N107" i="38" s="1"/>
  <c r="O107" i="38" a="1"/>
  <c r="O107" i="38" s="1"/>
  <c r="P107" i="38" a="1"/>
  <c r="P107" i="38" s="1"/>
  <c r="Q107" i="38" a="1"/>
  <c r="Q107" i="38" s="1"/>
  <c r="M108" i="38" a="1"/>
  <c r="M108" i="38" s="1"/>
  <c r="N108" i="38" a="1"/>
  <c r="N108" i="38" s="1"/>
  <c r="O108" i="38" a="1"/>
  <c r="O108" i="38" s="1"/>
  <c r="P108" i="38" a="1"/>
  <c r="P108" i="38" s="1"/>
  <c r="Q108" i="38" a="1"/>
  <c r="Q108" i="38" s="1"/>
  <c r="M109" i="38" a="1"/>
  <c r="M109" i="38" s="1"/>
  <c r="N109" i="38" a="1"/>
  <c r="N109" i="38" s="1"/>
  <c r="O109" i="38" a="1"/>
  <c r="O109" i="38" s="1"/>
  <c r="P109" i="38" a="1"/>
  <c r="P109" i="38" s="1"/>
  <c r="Q109" i="38" a="1"/>
  <c r="Q109" i="38" s="1"/>
  <c r="M110" i="38" a="1"/>
  <c r="M110" i="38" s="1"/>
  <c r="N110" i="38" a="1"/>
  <c r="N110" i="38" s="1"/>
  <c r="O110" i="38" a="1"/>
  <c r="O110" i="38" s="1"/>
  <c r="P110" i="38" a="1"/>
  <c r="P110" i="38" s="1"/>
  <c r="Q110" i="38" a="1"/>
  <c r="Q110" i="38" s="1"/>
  <c r="M111" i="38" a="1"/>
  <c r="M111" i="38" s="1"/>
  <c r="N111" i="38" a="1"/>
  <c r="N111" i="38" s="1"/>
  <c r="O111" i="38" a="1"/>
  <c r="O111" i="38" s="1"/>
  <c r="P111" i="38" a="1"/>
  <c r="P111" i="38" s="1"/>
  <c r="Q111" i="38" a="1"/>
  <c r="Q111" i="38" s="1"/>
  <c r="M112" i="38" a="1"/>
  <c r="M112" i="38" s="1"/>
  <c r="N112" i="38" a="1"/>
  <c r="N112" i="38" s="1"/>
  <c r="O112" i="38" a="1"/>
  <c r="O112" i="38" s="1"/>
  <c r="P112" i="38" a="1"/>
  <c r="P112" i="38" s="1"/>
  <c r="Q112" i="38" a="1"/>
  <c r="Q112" i="38" s="1"/>
  <c r="M113" i="38" a="1"/>
  <c r="M113" i="38" s="1"/>
  <c r="N113" i="38" a="1"/>
  <c r="N113" i="38" s="1"/>
  <c r="O113" i="38" a="1"/>
  <c r="O113" i="38" s="1"/>
  <c r="P113" i="38" a="1"/>
  <c r="P113" i="38" s="1"/>
  <c r="Q113" i="38" a="1"/>
  <c r="Q113" i="38" s="1"/>
  <c r="M114" i="38" a="1"/>
  <c r="M114" i="38" s="1"/>
  <c r="N114" i="38" a="1"/>
  <c r="N114" i="38" s="1"/>
  <c r="O114" i="38" a="1"/>
  <c r="O114" i="38" s="1"/>
  <c r="P114" i="38" a="1"/>
  <c r="P114" i="38" s="1"/>
  <c r="Q114" i="38" a="1"/>
  <c r="Q114" i="38" s="1"/>
  <c r="M115" i="38" a="1"/>
  <c r="M115" i="38" s="1"/>
  <c r="N115" i="38" a="1"/>
  <c r="N115" i="38" s="1"/>
  <c r="O115" i="38" a="1"/>
  <c r="O115" i="38" s="1"/>
  <c r="P115" i="38" a="1"/>
  <c r="P115" i="38" s="1"/>
  <c r="Q115" i="38" a="1"/>
  <c r="Q115" i="38" s="1"/>
  <c r="M116" i="38" a="1"/>
  <c r="M116" i="38" s="1"/>
  <c r="N116" i="38" a="1"/>
  <c r="N116" i="38" s="1"/>
  <c r="O116" i="38" a="1"/>
  <c r="O116" i="38" s="1"/>
  <c r="P116" i="38" a="1"/>
  <c r="P116" i="38" s="1"/>
  <c r="Q116" i="38" a="1"/>
  <c r="Q116" i="38" s="1"/>
  <c r="M117" i="38" a="1"/>
  <c r="M117" i="38" s="1"/>
  <c r="N117" i="38" a="1"/>
  <c r="N117" i="38" s="1"/>
  <c r="O117" i="38" a="1"/>
  <c r="O117" i="38" s="1"/>
  <c r="P117" i="38" a="1"/>
  <c r="P117" i="38" s="1"/>
  <c r="Q117" i="38" a="1"/>
  <c r="Q117" i="38" s="1"/>
  <c r="M118" i="38" a="1"/>
  <c r="M118" i="38" s="1"/>
  <c r="N118" i="38" a="1"/>
  <c r="N118" i="38" s="1"/>
  <c r="O118" i="38" a="1"/>
  <c r="O118" i="38" s="1"/>
  <c r="P118" i="38" a="1"/>
  <c r="P118" i="38" s="1"/>
  <c r="Q118" i="38" a="1"/>
  <c r="Q118" i="38" s="1"/>
  <c r="M119" i="38" a="1"/>
  <c r="M119" i="38" s="1"/>
  <c r="N119" i="38" a="1"/>
  <c r="N119" i="38" s="1"/>
  <c r="O119" i="38" a="1"/>
  <c r="O119" i="38" s="1"/>
  <c r="P119" i="38" a="1"/>
  <c r="P119" i="38" s="1"/>
  <c r="Q119" i="38" a="1"/>
  <c r="Q119" i="38" s="1"/>
  <c r="M120" i="38" a="1"/>
  <c r="M120" i="38" s="1"/>
  <c r="N120" i="38" a="1"/>
  <c r="N120" i="38" s="1"/>
  <c r="O120" i="38" a="1"/>
  <c r="O120" i="38" s="1"/>
  <c r="P120" i="38" a="1"/>
  <c r="P120" i="38" s="1"/>
  <c r="Q120" i="38" a="1"/>
  <c r="Q120" i="38" s="1"/>
  <c r="M121" i="38" a="1"/>
  <c r="M121" i="38" s="1"/>
  <c r="N121" i="38" a="1"/>
  <c r="N121" i="38" s="1"/>
  <c r="O121" i="38" a="1"/>
  <c r="O121" i="38" s="1"/>
  <c r="P121" i="38" a="1"/>
  <c r="P121" i="38" s="1"/>
  <c r="Q121" i="38" a="1"/>
  <c r="Q121" i="38" s="1"/>
  <c r="M122" i="38" a="1"/>
  <c r="M122" i="38" s="1"/>
  <c r="N122" i="38" a="1"/>
  <c r="N122" i="38" s="1"/>
  <c r="O122" i="38" a="1"/>
  <c r="O122" i="38" s="1"/>
  <c r="P122" i="38" a="1"/>
  <c r="P122" i="38" s="1"/>
  <c r="Q122" i="38" a="1"/>
  <c r="Q122" i="38" s="1"/>
  <c r="M123" i="38" a="1"/>
  <c r="M123" i="38" s="1"/>
  <c r="N123" i="38" a="1"/>
  <c r="N123" i="38" s="1"/>
  <c r="O123" i="38" a="1"/>
  <c r="O123" i="38" s="1"/>
  <c r="P123" i="38" a="1"/>
  <c r="P123" i="38" s="1"/>
  <c r="Q123" i="38" a="1"/>
  <c r="Q123" i="38" s="1"/>
  <c r="M124" i="38" a="1"/>
  <c r="M124" i="38" s="1"/>
  <c r="N124" i="38" a="1"/>
  <c r="N124" i="38" s="1"/>
  <c r="O124" i="38" a="1"/>
  <c r="O124" i="38" s="1"/>
  <c r="P124" i="38" a="1"/>
  <c r="P124" i="38" s="1"/>
  <c r="Q124" i="38" a="1"/>
  <c r="Q124" i="38" s="1"/>
  <c r="M125" i="38" a="1"/>
  <c r="M125" i="38" s="1"/>
  <c r="N125" i="38" a="1"/>
  <c r="N125" i="38" s="1"/>
  <c r="O125" i="38" a="1"/>
  <c r="O125" i="38" s="1"/>
  <c r="P125" i="38" a="1"/>
  <c r="P125" i="38" s="1"/>
  <c r="Q125" i="38" a="1"/>
  <c r="Q125" i="38" s="1"/>
  <c r="M126" i="38" a="1"/>
  <c r="M126" i="38" s="1"/>
  <c r="N126" i="38" a="1"/>
  <c r="N126" i="38" s="1"/>
  <c r="O126" i="38" a="1"/>
  <c r="O126" i="38" s="1"/>
  <c r="P126" i="38" a="1"/>
  <c r="P126" i="38" s="1"/>
  <c r="Q126" i="38" a="1"/>
  <c r="Q126" i="38" s="1"/>
  <c r="M127" i="38" a="1"/>
  <c r="M127" i="38" s="1"/>
  <c r="N127" i="38" a="1"/>
  <c r="N127" i="38" s="1"/>
  <c r="O127" i="38" a="1"/>
  <c r="O127" i="38" s="1"/>
  <c r="P127" i="38" a="1"/>
  <c r="P127" i="38" s="1"/>
  <c r="Q127" i="38" a="1"/>
  <c r="Q127" i="38" s="1"/>
  <c r="M128" i="38" a="1"/>
  <c r="M128" i="38" s="1"/>
  <c r="N128" i="38" a="1"/>
  <c r="N128" i="38" s="1"/>
  <c r="O128" i="38" a="1"/>
  <c r="O128" i="38" s="1"/>
  <c r="P128" i="38" a="1"/>
  <c r="P128" i="38" s="1"/>
  <c r="Q128" i="38" a="1"/>
  <c r="Q128" i="38" s="1"/>
  <c r="M129" i="38" a="1"/>
  <c r="M129" i="38" s="1"/>
  <c r="N129" i="38" a="1"/>
  <c r="N129" i="38" s="1"/>
  <c r="O129" i="38" a="1"/>
  <c r="O129" i="38" s="1"/>
  <c r="P129" i="38" a="1"/>
  <c r="P129" i="38" s="1"/>
  <c r="Q129" i="38" a="1"/>
  <c r="Q129" i="38" s="1"/>
  <c r="M130" i="38" a="1"/>
  <c r="M130" i="38" s="1"/>
  <c r="N130" i="38" a="1"/>
  <c r="N130" i="38" s="1"/>
  <c r="O130" i="38" a="1"/>
  <c r="O130" i="38" s="1"/>
  <c r="P130" i="38" a="1"/>
  <c r="P130" i="38" s="1"/>
  <c r="Q130" i="38" a="1"/>
  <c r="Q130" i="38" s="1"/>
  <c r="M131" i="38" a="1"/>
  <c r="M131" i="38" s="1"/>
  <c r="N131" i="38" a="1"/>
  <c r="N131" i="38" s="1"/>
  <c r="O131" i="38" a="1"/>
  <c r="O131" i="38" s="1"/>
  <c r="P131" i="38" a="1"/>
  <c r="P131" i="38" s="1"/>
  <c r="Q131" i="38" a="1"/>
  <c r="Q131" i="38" s="1"/>
  <c r="M132" i="38" a="1"/>
  <c r="M132" i="38" s="1"/>
  <c r="N132" i="38" a="1"/>
  <c r="N132" i="38" s="1"/>
  <c r="O132" i="38" a="1"/>
  <c r="O132" i="38" s="1"/>
  <c r="P132" i="38" a="1"/>
  <c r="P132" i="38" s="1"/>
  <c r="Q132" i="38" a="1"/>
  <c r="Q132" i="38" s="1"/>
  <c r="M133" i="38" a="1"/>
  <c r="M133" i="38" s="1"/>
  <c r="N133" i="38" a="1"/>
  <c r="N133" i="38" s="1"/>
  <c r="O133" i="38" a="1"/>
  <c r="O133" i="38" s="1"/>
  <c r="P133" i="38" a="1"/>
  <c r="P133" i="38" s="1"/>
  <c r="Q133" i="38" a="1"/>
  <c r="Q133" i="38" s="1"/>
  <c r="M134" i="38" a="1"/>
  <c r="M134" i="38" s="1"/>
  <c r="N134" i="38" a="1"/>
  <c r="N134" i="38" s="1"/>
  <c r="O134" i="38" a="1"/>
  <c r="O134" i="38" s="1"/>
  <c r="P134" i="38" a="1"/>
  <c r="P134" i="38" s="1"/>
  <c r="Q134" i="38" a="1"/>
  <c r="Q134" i="38" s="1"/>
  <c r="M135" i="38" a="1"/>
  <c r="M135" i="38" s="1"/>
  <c r="N135" i="38" a="1"/>
  <c r="N135" i="38" s="1"/>
  <c r="O135" i="38" a="1"/>
  <c r="O135" i="38" s="1"/>
  <c r="P135" i="38" a="1"/>
  <c r="P135" i="38" s="1"/>
  <c r="Q135" i="38" a="1"/>
  <c r="Q135" i="38" s="1"/>
  <c r="M136" i="38" a="1"/>
  <c r="M136" i="38" s="1"/>
  <c r="N136" i="38" a="1"/>
  <c r="N136" i="38" s="1"/>
  <c r="O136" i="38" a="1"/>
  <c r="O136" i="38" s="1"/>
  <c r="P136" i="38" a="1"/>
  <c r="P136" i="38" s="1"/>
  <c r="Q136" i="38" a="1"/>
  <c r="Q136" i="38" s="1"/>
  <c r="M137" i="38" a="1"/>
  <c r="M137" i="38" s="1"/>
  <c r="N137" i="38" a="1"/>
  <c r="N137" i="38" s="1"/>
  <c r="O137" i="38" a="1"/>
  <c r="O137" i="38" s="1"/>
  <c r="P137" i="38" a="1"/>
  <c r="P137" i="38" s="1"/>
  <c r="Q137" i="38" a="1"/>
  <c r="Q137" i="38" s="1"/>
  <c r="M138" i="38" a="1"/>
  <c r="M138" i="38" s="1"/>
  <c r="N138" i="38" a="1"/>
  <c r="N138" i="38" s="1"/>
  <c r="O138" i="38" a="1"/>
  <c r="O138" i="38" s="1"/>
  <c r="P138" i="38" a="1"/>
  <c r="P138" i="38" s="1"/>
  <c r="Q138" i="38" a="1"/>
  <c r="Q138" i="38" s="1"/>
  <c r="M139" i="38" a="1"/>
  <c r="M139" i="38" s="1"/>
  <c r="N139" i="38" a="1"/>
  <c r="N139" i="38" s="1"/>
  <c r="O139" i="38" a="1"/>
  <c r="O139" i="38" s="1"/>
  <c r="P139" i="38" a="1"/>
  <c r="P139" i="38" s="1"/>
  <c r="Q139" i="38" a="1"/>
  <c r="Q139" i="38" s="1"/>
  <c r="M140" i="38" a="1"/>
  <c r="M140" i="38" s="1"/>
  <c r="N140" i="38" a="1"/>
  <c r="N140" i="38" s="1"/>
  <c r="O140" i="38" a="1"/>
  <c r="O140" i="38" s="1"/>
  <c r="P140" i="38" a="1"/>
  <c r="P140" i="38" s="1"/>
  <c r="Q140" i="38" a="1"/>
  <c r="Q140" i="38" s="1"/>
  <c r="M141" i="38" a="1"/>
  <c r="M141" i="38" s="1"/>
  <c r="N141" i="38" a="1"/>
  <c r="N141" i="38" s="1"/>
  <c r="O141" i="38" a="1"/>
  <c r="O141" i="38" s="1"/>
  <c r="P141" i="38" a="1"/>
  <c r="P141" i="38" s="1"/>
  <c r="Q141" i="38" a="1"/>
  <c r="Q141" i="38" s="1"/>
  <c r="M142" i="38" a="1"/>
  <c r="M142" i="38" s="1"/>
  <c r="N142" i="38" a="1"/>
  <c r="N142" i="38" s="1"/>
  <c r="O142" i="38" a="1"/>
  <c r="O142" i="38" s="1"/>
  <c r="P142" i="38" a="1"/>
  <c r="P142" i="38" s="1"/>
  <c r="Q142" i="38" a="1"/>
  <c r="Q142" i="38" s="1"/>
  <c r="M143" i="38" a="1"/>
  <c r="M143" i="38" s="1"/>
  <c r="N143" i="38" a="1"/>
  <c r="N143" i="38" s="1"/>
  <c r="O143" i="38" a="1"/>
  <c r="O143" i="38" s="1"/>
  <c r="P143" i="38" a="1"/>
  <c r="P143" i="38" s="1"/>
  <c r="Q143" i="38" a="1"/>
  <c r="Q143" i="38" s="1"/>
  <c r="M144" i="38" a="1"/>
  <c r="M144" i="38" s="1"/>
  <c r="N144" i="38" a="1"/>
  <c r="N144" i="38" s="1"/>
  <c r="O144" i="38" a="1"/>
  <c r="O144" i="38" s="1"/>
  <c r="P144" i="38" a="1"/>
  <c r="P144" i="38" s="1"/>
  <c r="Q144" i="38" a="1"/>
  <c r="Q144" i="38" s="1"/>
  <c r="M145" i="38" a="1"/>
  <c r="M145" i="38" s="1"/>
  <c r="N145" i="38" a="1"/>
  <c r="N145" i="38" s="1"/>
  <c r="O145" i="38" a="1"/>
  <c r="O145" i="38" s="1"/>
  <c r="P145" i="38" a="1"/>
  <c r="P145" i="38" s="1"/>
  <c r="Q145" i="38" a="1"/>
  <c r="Q145" i="38" s="1"/>
  <c r="M146" i="38" a="1"/>
  <c r="M146" i="38" s="1"/>
  <c r="N146" i="38" a="1"/>
  <c r="N146" i="38" s="1"/>
  <c r="O146" i="38" a="1"/>
  <c r="O146" i="38" s="1"/>
  <c r="P146" i="38" a="1"/>
  <c r="P146" i="38" s="1"/>
  <c r="Q146" i="38" a="1"/>
  <c r="Q146" i="38" s="1"/>
  <c r="M147" i="38" a="1"/>
  <c r="M147" i="38" s="1"/>
  <c r="N147" i="38" a="1"/>
  <c r="N147" i="38" s="1"/>
  <c r="O147" i="38" a="1"/>
  <c r="O147" i="38" s="1"/>
  <c r="P147" i="38" a="1"/>
  <c r="P147" i="38" s="1"/>
  <c r="Q147" i="38" a="1"/>
  <c r="Q147" i="38" s="1"/>
  <c r="M148" i="38" a="1"/>
  <c r="M148" i="38" s="1"/>
  <c r="N148" i="38" a="1"/>
  <c r="N148" i="38" s="1"/>
  <c r="O148" i="38" a="1"/>
  <c r="O148" i="38" s="1"/>
  <c r="P148" i="38" a="1"/>
  <c r="P148" i="38" s="1"/>
  <c r="Q148" i="38" a="1"/>
  <c r="Q148" i="38" s="1"/>
  <c r="M149" i="38" a="1"/>
  <c r="M149" i="38" s="1"/>
  <c r="N149" i="38" a="1"/>
  <c r="N149" i="38" s="1"/>
  <c r="O149" i="38" a="1"/>
  <c r="O149" i="38" s="1"/>
  <c r="P149" i="38" a="1"/>
  <c r="P149" i="38" s="1"/>
  <c r="Q149" i="38" a="1"/>
  <c r="Q149" i="38" s="1"/>
  <c r="M150" i="38" a="1"/>
  <c r="M150" i="38" s="1"/>
  <c r="N150" i="38" a="1"/>
  <c r="N150" i="38" s="1"/>
  <c r="O150" i="38" a="1"/>
  <c r="O150" i="38" s="1"/>
  <c r="P150" i="38" a="1"/>
  <c r="P150" i="38" s="1"/>
  <c r="Q150" i="38" a="1"/>
  <c r="Q150" i="38" s="1"/>
  <c r="M151" i="38" a="1"/>
  <c r="M151" i="38" s="1"/>
  <c r="N151" i="38" a="1"/>
  <c r="N151" i="38" s="1"/>
  <c r="O151" i="38" a="1"/>
  <c r="O151" i="38" s="1"/>
  <c r="P151" i="38" a="1"/>
  <c r="P151" i="38" s="1"/>
  <c r="Q151" i="38" a="1"/>
  <c r="Q151" i="38" s="1"/>
  <c r="M152" i="38" a="1"/>
  <c r="M152" i="38" s="1"/>
  <c r="N152" i="38" a="1"/>
  <c r="N152" i="38" s="1"/>
  <c r="O152" i="38" a="1"/>
  <c r="O152" i="38" s="1"/>
  <c r="P152" i="38" a="1"/>
  <c r="P152" i="38" s="1"/>
  <c r="Q152" i="38" a="1"/>
  <c r="Q152" i="38" s="1"/>
  <c r="M153" i="38" a="1"/>
  <c r="M153" i="38" s="1"/>
  <c r="N153" i="38" a="1"/>
  <c r="N153" i="38" s="1"/>
  <c r="O153" i="38" a="1"/>
  <c r="O153" i="38" s="1"/>
  <c r="P153" i="38" a="1"/>
  <c r="P153" i="38" s="1"/>
  <c r="Q153" i="38" a="1"/>
  <c r="Q153" i="38" s="1"/>
  <c r="M154" i="38" a="1"/>
  <c r="M154" i="38" s="1"/>
  <c r="N154" i="38" a="1"/>
  <c r="N154" i="38" s="1"/>
  <c r="O154" i="38" a="1"/>
  <c r="O154" i="38" s="1"/>
  <c r="P154" i="38" a="1"/>
  <c r="P154" i="38" s="1"/>
  <c r="Q154" i="38" a="1"/>
  <c r="Q154" i="38" s="1"/>
  <c r="M155" i="38" a="1"/>
  <c r="M155" i="38" s="1"/>
  <c r="N155" i="38" a="1"/>
  <c r="N155" i="38" s="1"/>
  <c r="O155" i="38" a="1"/>
  <c r="O155" i="38" s="1"/>
  <c r="P155" i="38" a="1"/>
  <c r="P155" i="38" s="1"/>
  <c r="Q155" i="38" a="1"/>
  <c r="Q155" i="38" s="1"/>
  <c r="M156" i="38" a="1"/>
  <c r="M156" i="38" s="1"/>
  <c r="N156" i="38" a="1"/>
  <c r="N156" i="38" s="1"/>
  <c r="O156" i="38" a="1"/>
  <c r="O156" i="38" s="1"/>
  <c r="P156" i="38" a="1"/>
  <c r="P156" i="38" s="1"/>
  <c r="Q156" i="38" a="1"/>
  <c r="Q156" i="38" s="1"/>
  <c r="M157" i="38" a="1"/>
  <c r="M157" i="38" s="1"/>
  <c r="N157" i="38" a="1"/>
  <c r="N157" i="38" s="1"/>
  <c r="O157" i="38" a="1"/>
  <c r="O157" i="38" s="1"/>
  <c r="P157" i="38" a="1"/>
  <c r="P157" i="38" s="1"/>
  <c r="Q157" i="38" a="1"/>
  <c r="Q157" i="38" s="1"/>
  <c r="M158" i="38" a="1"/>
  <c r="M158" i="38" s="1"/>
  <c r="N158" i="38" a="1"/>
  <c r="N158" i="38" s="1"/>
  <c r="O158" i="38" a="1"/>
  <c r="O158" i="38" s="1"/>
  <c r="P158" i="38" a="1"/>
  <c r="P158" i="38" s="1"/>
  <c r="Q158" i="38" a="1"/>
  <c r="Q158" i="38" s="1"/>
  <c r="M159" i="38" a="1"/>
  <c r="M159" i="38" s="1"/>
  <c r="N159" i="38" a="1"/>
  <c r="N159" i="38" s="1"/>
  <c r="O159" i="38" a="1"/>
  <c r="O159" i="38" s="1"/>
  <c r="P159" i="38" a="1"/>
  <c r="P159" i="38" s="1"/>
  <c r="Q159" i="38" a="1"/>
  <c r="Q159" i="38" s="1"/>
  <c r="M160" i="38" a="1"/>
  <c r="M160" i="38" s="1"/>
  <c r="N160" i="38" a="1"/>
  <c r="N160" i="38" s="1"/>
  <c r="O160" i="38" a="1"/>
  <c r="O160" i="38" s="1"/>
  <c r="P160" i="38" a="1"/>
  <c r="P160" i="38" s="1"/>
  <c r="Q160" i="38" a="1"/>
  <c r="Q160" i="38" s="1"/>
  <c r="M161" i="38" a="1"/>
  <c r="M161" i="38" s="1"/>
  <c r="N161" i="38" a="1"/>
  <c r="N161" i="38" s="1"/>
  <c r="O161" i="38" a="1"/>
  <c r="O161" i="38" s="1"/>
  <c r="P161" i="38" a="1"/>
  <c r="P161" i="38" s="1"/>
  <c r="Q161" i="38" a="1"/>
  <c r="Q161" i="38" s="1"/>
  <c r="M162" i="38" a="1"/>
  <c r="M162" i="38" s="1"/>
  <c r="N162" i="38" a="1"/>
  <c r="N162" i="38" s="1"/>
  <c r="O162" i="38" a="1"/>
  <c r="O162" i="38" s="1"/>
  <c r="P162" i="38" a="1"/>
  <c r="P162" i="38" s="1"/>
  <c r="Q162" i="38" a="1"/>
  <c r="Q162" i="38" s="1"/>
  <c r="M163" i="38" a="1"/>
  <c r="M163" i="38" s="1"/>
  <c r="N163" i="38" a="1"/>
  <c r="N163" i="38" s="1"/>
  <c r="O163" i="38" a="1"/>
  <c r="O163" i="38" s="1"/>
  <c r="P163" i="38" a="1"/>
  <c r="P163" i="38" s="1"/>
  <c r="Q163" i="38" a="1"/>
  <c r="Q163" i="38" s="1"/>
  <c r="M164" i="38" a="1"/>
  <c r="M164" i="38" s="1"/>
  <c r="N164" i="38" a="1"/>
  <c r="N164" i="38" s="1"/>
  <c r="O164" i="38" a="1"/>
  <c r="O164" i="38" s="1"/>
  <c r="P164" i="38" a="1"/>
  <c r="P164" i="38" s="1"/>
  <c r="Q164" i="38" a="1"/>
  <c r="Q164" i="38" s="1"/>
  <c r="M165" i="38" a="1"/>
  <c r="M165" i="38" s="1"/>
  <c r="N165" i="38" a="1"/>
  <c r="N165" i="38" s="1"/>
  <c r="O165" i="38" a="1"/>
  <c r="O165" i="38" s="1"/>
  <c r="P165" i="38" a="1"/>
  <c r="P165" i="38" s="1"/>
  <c r="Q165" i="38" a="1"/>
  <c r="Q165" i="38" s="1"/>
  <c r="M166" i="38" a="1"/>
  <c r="M166" i="38" s="1"/>
  <c r="N166" i="38" a="1"/>
  <c r="N166" i="38" s="1"/>
  <c r="O166" i="38" a="1"/>
  <c r="O166" i="38" s="1"/>
  <c r="P166" i="38" a="1"/>
  <c r="P166" i="38" s="1"/>
  <c r="Q166" i="38" a="1"/>
  <c r="Q166" i="38" s="1"/>
  <c r="M167" i="38" a="1"/>
  <c r="M167" i="38" s="1"/>
  <c r="N167" i="38" a="1"/>
  <c r="N167" i="38" s="1"/>
  <c r="O167" i="38" a="1"/>
  <c r="O167" i="38" s="1"/>
  <c r="P167" i="38" a="1"/>
  <c r="P167" i="38" s="1"/>
  <c r="Q167" i="38" a="1"/>
  <c r="Q167" i="38" s="1"/>
  <c r="M168" i="38" a="1"/>
  <c r="M168" i="38" s="1"/>
  <c r="N168" i="38" a="1"/>
  <c r="N168" i="38" s="1"/>
  <c r="O168" i="38" a="1"/>
  <c r="O168" i="38" s="1"/>
  <c r="P168" i="38" a="1"/>
  <c r="P168" i="38" s="1"/>
  <c r="Q168" i="38" a="1"/>
  <c r="Q168" i="38" s="1"/>
  <c r="M169" i="38" a="1"/>
  <c r="M169" i="38" s="1"/>
  <c r="N169" i="38" a="1"/>
  <c r="N169" i="38" s="1"/>
  <c r="O169" i="38" a="1"/>
  <c r="O169" i="38" s="1"/>
  <c r="P169" i="38" a="1"/>
  <c r="P169" i="38" s="1"/>
  <c r="Q169" i="38" a="1"/>
  <c r="Q169" i="38" s="1"/>
  <c r="M170" i="38" a="1"/>
  <c r="M170" i="38" s="1"/>
  <c r="N170" i="38" a="1"/>
  <c r="N170" i="38" s="1"/>
  <c r="O170" i="38" a="1"/>
  <c r="O170" i="38" s="1"/>
  <c r="P170" i="38" a="1"/>
  <c r="P170" i="38" s="1"/>
  <c r="Q170" i="38" a="1"/>
  <c r="Q170" i="38" s="1"/>
  <c r="M171" i="38" a="1"/>
  <c r="M171" i="38" s="1"/>
  <c r="N171" i="38" a="1"/>
  <c r="N171" i="38" s="1"/>
  <c r="O171" i="38" a="1"/>
  <c r="O171" i="38" s="1"/>
  <c r="P171" i="38" a="1"/>
  <c r="P171" i="38" s="1"/>
  <c r="Q171" i="38" a="1"/>
  <c r="Q171" i="38" s="1"/>
  <c r="M172" i="38" a="1"/>
  <c r="M172" i="38" s="1"/>
  <c r="N172" i="38" a="1"/>
  <c r="N172" i="38" s="1"/>
  <c r="O172" i="38" a="1"/>
  <c r="O172" i="38" s="1"/>
  <c r="P172" i="38" a="1"/>
  <c r="P172" i="38" s="1"/>
  <c r="Q172" i="38" a="1"/>
  <c r="Q172" i="38" s="1"/>
  <c r="M173" i="38" a="1"/>
  <c r="M173" i="38" s="1"/>
  <c r="N173" i="38" a="1"/>
  <c r="N173" i="38" s="1"/>
  <c r="O173" i="38" a="1"/>
  <c r="O173" i="38" s="1"/>
  <c r="P173" i="38" a="1"/>
  <c r="P173" i="38" s="1"/>
  <c r="Q173" i="38" a="1"/>
  <c r="Q173" i="38" s="1"/>
  <c r="M174" i="38" a="1"/>
  <c r="M174" i="38" s="1"/>
  <c r="N174" i="38" a="1"/>
  <c r="N174" i="38" s="1"/>
  <c r="O174" i="38" a="1"/>
  <c r="O174" i="38" s="1"/>
  <c r="P174" i="38" a="1"/>
  <c r="P174" i="38" s="1"/>
  <c r="Q174" i="38" a="1"/>
  <c r="Q174" i="38" s="1"/>
  <c r="M175" i="38" a="1"/>
  <c r="M175" i="38" s="1"/>
  <c r="N175" i="38" a="1"/>
  <c r="N175" i="38" s="1"/>
  <c r="O175" i="38" a="1"/>
  <c r="O175" i="38" s="1"/>
  <c r="P175" i="38" a="1"/>
  <c r="P175" i="38" s="1"/>
  <c r="Q175" i="38" a="1"/>
  <c r="Q175" i="38" s="1"/>
  <c r="M176" i="38" a="1"/>
  <c r="M176" i="38" s="1"/>
  <c r="N176" i="38" a="1"/>
  <c r="N176" i="38" s="1"/>
  <c r="O176" i="38" a="1"/>
  <c r="O176" i="38" s="1"/>
  <c r="P176" i="38" a="1"/>
  <c r="P176" i="38" s="1"/>
  <c r="Q176" i="38" a="1"/>
  <c r="Q176" i="38" s="1"/>
  <c r="M177" i="38" a="1"/>
  <c r="M177" i="38" s="1"/>
  <c r="N177" i="38" a="1"/>
  <c r="N177" i="38" s="1"/>
  <c r="O177" i="38" a="1"/>
  <c r="O177" i="38" s="1"/>
  <c r="P177" i="38" a="1"/>
  <c r="P177" i="38" s="1"/>
  <c r="Q177" i="38" a="1"/>
  <c r="Q177" i="38" s="1"/>
  <c r="M178" i="38" a="1"/>
  <c r="M178" i="38" s="1"/>
  <c r="N178" i="38" a="1"/>
  <c r="N178" i="38" s="1"/>
  <c r="O178" i="38" a="1"/>
  <c r="O178" i="38" s="1"/>
  <c r="P178" i="38" a="1"/>
  <c r="P178" i="38" s="1"/>
  <c r="Q178" i="38" a="1"/>
  <c r="Q178" i="38" s="1"/>
  <c r="M179" i="38" a="1"/>
  <c r="M179" i="38" s="1"/>
  <c r="N179" i="38" a="1"/>
  <c r="N179" i="38" s="1"/>
  <c r="O179" i="38" a="1"/>
  <c r="O179" i="38" s="1"/>
  <c r="P179" i="38" a="1"/>
  <c r="P179" i="38" s="1"/>
  <c r="Q179" i="38" a="1"/>
  <c r="Q179" i="38" s="1"/>
  <c r="M180" i="38" a="1"/>
  <c r="M180" i="38" s="1"/>
  <c r="N180" i="38" a="1"/>
  <c r="N180" i="38" s="1"/>
  <c r="O180" i="38" a="1"/>
  <c r="O180" i="38" s="1"/>
  <c r="P180" i="38" a="1"/>
  <c r="P180" i="38" s="1"/>
  <c r="Q180" i="38" a="1"/>
  <c r="Q180" i="38" s="1"/>
  <c r="M181" i="38" a="1"/>
  <c r="M181" i="38" s="1"/>
  <c r="N181" i="38" a="1"/>
  <c r="N181" i="38" s="1"/>
  <c r="O181" i="38" a="1"/>
  <c r="O181" i="38" s="1"/>
  <c r="P181" i="38" a="1"/>
  <c r="P181" i="38" s="1"/>
  <c r="Q181" i="38" a="1"/>
  <c r="Q181" i="38" s="1"/>
  <c r="M182" i="38" a="1"/>
  <c r="M182" i="38" s="1"/>
  <c r="N182" i="38" a="1"/>
  <c r="N182" i="38" s="1"/>
  <c r="O182" i="38" a="1"/>
  <c r="O182" i="38" s="1"/>
  <c r="P182" i="38" a="1"/>
  <c r="P182" i="38" s="1"/>
  <c r="Q182" i="38" a="1"/>
  <c r="Q182" i="38" s="1"/>
  <c r="M183" i="38" a="1"/>
  <c r="M183" i="38" s="1"/>
  <c r="N183" i="38" a="1"/>
  <c r="N183" i="38" s="1"/>
  <c r="O183" i="38" a="1"/>
  <c r="O183" i="38" s="1"/>
  <c r="P183" i="38" a="1"/>
  <c r="P183" i="38" s="1"/>
  <c r="Q183" i="38" a="1"/>
  <c r="Q183" i="38" s="1"/>
  <c r="M184" i="38" a="1"/>
  <c r="M184" i="38" s="1"/>
  <c r="N184" i="38" a="1"/>
  <c r="N184" i="38" s="1"/>
  <c r="O184" i="38" a="1"/>
  <c r="O184" i="38" s="1"/>
  <c r="P184" i="38" a="1"/>
  <c r="P184" i="38" s="1"/>
  <c r="Q184" i="38" a="1"/>
  <c r="Q184" i="38" s="1"/>
  <c r="M185" i="38" a="1"/>
  <c r="M185" i="38" s="1"/>
  <c r="N185" i="38" a="1"/>
  <c r="N185" i="38" s="1"/>
  <c r="O185" i="38" a="1"/>
  <c r="O185" i="38" s="1"/>
  <c r="P185" i="38" a="1"/>
  <c r="P185" i="38" s="1"/>
  <c r="Q185" i="38" a="1"/>
  <c r="Q185" i="38" s="1"/>
  <c r="M186" i="38" a="1"/>
  <c r="M186" i="38" s="1"/>
  <c r="N186" i="38" a="1"/>
  <c r="N186" i="38" s="1"/>
  <c r="O186" i="38" a="1"/>
  <c r="O186" i="38" s="1"/>
  <c r="P186" i="38" a="1"/>
  <c r="P186" i="38" s="1"/>
  <c r="Q186" i="38" a="1"/>
  <c r="Q186" i="38" s="1"/>
  <c r="M187" i="38" a="1"/>
  <c r="M187" i="38" s="1"/>
  <c r="N187" i="38" a="1"/>
  <c r="N187" i="38" s="1"/>
  <c r="O187" i="38" a="1"/>
  <c r="O187" i="38" s="1"/>
  <c r="P187" i="38" a="1"/>
  <c r="P187" i="38" s="1"/>
  <c r="Q187" i="38" a="1"/>
  <c r="Q187" i="38" s="1"/>
  <c r="M188" i="38" a="1"/>
  <c r="M188" i="38" s="1"/>
  <c r="N188" i="38" a="1"/>
  <c r="N188" i="38" s="1"/>
  <c r="O188" i="38" a="1"/>
  <c r="O188" i="38" s="1"/>
  <c r="P188" i="38" a="1"/>
  <c r="P188" i="38" s="1"/>
  <c r="Q188" i="38" a="1"/>
  <c r="Q188" i="38" s="1"/>
  <c r="M189" i="38" a="1"/>
  <c r="M189" i="38" s="1"/>
  <c r="N189" i="38" a="1"/>
  <c r="N189" i="38" s="1"/>
  <c r="O189" i="38" a="1"/>
  <c r="O189" i="38" s="1"/>
  <c r="P189" i="38" a="1"/>
  <c r="P189" i="38" s="1"/>
  <c r="Q189" i="38" a="1"/>
  <c r="Q189" i="38" s="1"/>
  <c r="M190" i="38" a="1"/>
  <c r="M190" i="38" s="1"/>
  <c r="N190" i="38" a="1"/>
  <c r="N190" i="38" s="1"/>
  <c r="O190" i="38" a="1"/>
  <c r="O190" i="38" s="1"/>
  <c r="P190" i="38" a="1"/>
  <c r="P190" i="38" s="1"/>
  <c r="Q190" i="38" a="1"/>
  <c r="Q190" i="38" s="1"/>
  <c r="O7" i="38" a="1"/>
  <c r="O7" i="38" s="1"/>
  <c r="P7" i="38" a="1"/>
  <c r="P7" i="38" s="1"/>
  <c r="Q7" i="38" a="1"/>
  <c r="Q7" i="38" s="1"/>
  <c r="N7" i="38" a="1"/>
  <c r="N7" i="38" s="1"/>
  <c r="M7" i="38" a="1"/>
  <c r="M7" i="38" s="1"/>
  <c r="T9" i="7" a="1"/>
  <c r="T9" i="7" s="1"/>
  <c r="U9" i="7" a="1"/>
  <c r="U9" i="7" s="1"/>
  <c r="V9" i="7" a="1"/>
  <c r="V9" i="7" s="1"/>
  <c r="W9" i="7" a="1"/>
  <c r="W9" i="7" s="1"/>
  <c r="X9" i="7" a="1"/>
  <c r="X9" i="7" s="1"/>
  <c r="T10" i="7" a="1"/>
  <c r="T10" i="7" s="1"/>
  <c r="U10" i="7" a="1"/>
  <c r="U10" i="7" s="1"/>
  <c r="V10" i="7" a="1"/>
  <c r="V10" i="7" s="1"/>
  <c r="W10" i="7" a="1"/>
  <c r="W10" i="7" s="1"/>
  <c r="X10" i="7" a="1"/>
  <c r="X10" i="7" s="1"/>
  <c r="T11" i="7" a="1"/>
  <c r="T11" i="7" s="1"/>
  <c r="U11" i="7" a="1"/>
  <c r="U11" i="7" s="1"/>
  <c r="V11" i="7" a="1"/>
  <c r="V11" i="7" s="1"/>
  <c r="W11" i="7" a="1"/>
  <c r="W11" i="7" s="1"/>
  <c r="X11" i="7" a="1"/>
  <c r="X11" i="7" s="1"/>
  <c r="T12" i="7" a="1"/>
  <c r="T12" i="7" s="1"/>
  <c r="U12" i="7" a="1"/>
  <c r="U12" i="7" s="1"/>
  <c r="V12" i="7" a="1"/>
  <c r="V12" i="7" s="1"/>
  <c r="W12" i="7" a="1"/>
  <c r="W12" i="7" s="1"/>
  <c r="X12" i="7" a="1"/>
  <c r="X12" i="7" s="1"/>
  <c r="T13" i="7" a="1"/>
  <c r="T13" i="7" s="1"/>
  <c r="U13" i="7" a="1"/>
  <c r="U13" i="7" s="1"/>
  <c r="V13" i="7" a="1"/>
  <c r="V13" i="7" s="1"/>
  <c r="W13" i="7" a="1"/>
  <c r="W13" i="7" s="1"/>
  <c r="X13" i="7" a="1"/>
  <c r="X13" i="7" s="1"/>
  <c r="T14" i="7" a="1"/>
  <c r="T14" i="7" s="1"/>
  <c r="U14" i="7" a="1"/>
  <c r="U14" i="7" s="1"/>
  <c r="V14" i="7" a="1"/>
  <c r="V14" i="7" s="1"/>
  <c r="W14" i="7" a="1"/>
  <c r="W14" i="7" s="1"/>
  <c r="X14" i="7" a="1"/>
  <c r="X14" i="7" s="1"/>
  <c r="T15" i="7" a="1"/>
  <c r="T15" i="7" s="1"/>
  <c r="U15" i="7" a="1"/>
  <c r="U15" i="7" s="1"/>
  <c r="V15" i="7" a="1"/>
  <c r="V15" i="7" s="1"/>
  <c r="W15" i="7" a="1"/>
  <c r="W15" i="7" s="1"/>
  <c r="X15" i="7" a="1"/>
  <c r="X15" i="7" s="1"/>
  <c r="T16" i="7" a="1"/>
  <c r="T16" i="7" s="1"/>
  <c r="U16" i="7" a="1"/>
  <c r="U16" i="7" s="1"/>
  <c r="V16" i="7" a="1"/>
  <c r="V16" i="7" s="1"/>
  <c r="W16" i="7" a="1"/>
  <c r="W16" i="7" s="1"/>
  <c r="X16" i="7" a="1"/>
  <c r="X16" i="7" s="1"/>
  <c r="T17" i="7" a="1"/>
  <c r="T17" i="7" s="1"/>
  <c r="U17" i="7" a="1"/>
  <c r="U17" i="7" s="1"/>
  <c r="V17" i="7" a="1"/>
  <c r="V17" i="7" s="1"/>
  <c r="W17" i="7" a="1"/>
  <c r="W17" i="7" s="1"/>
  <c r="X17" i="7" a="1"/>
  <c r="X17" i="7" s="1"/>
  <c r="T18" i="7" a="1"/>
  <c r="T18" i="7" s="1"/>
  <c r="U18" i="7" a="1"/>
  <c r="U18" i="7" s="1"/>
  <c r="V18" i="7" a="1"/>
  <c r="V18" i="7" s="1"/>
  <c r="W18" i="7" a="1"/>
  <c r="W18" i="7" s="1"/>
  <c r="X18" i="7" a="1"/>
  <c r="X18" i="7" s="1"/>
  <c r="T19" i="7" a="1"/>
  <c r="T19" i="7" s="1"/>
  <c r="U19" i="7" a="1"/>
  <c r="U19" i="7" s="1"/>
  <c r="V19" i="7" a="1"/>
  <c r="V19" i="7" s="1"/>
  <c r="W19" i="7" a="1"/>
  <c r="W19" i="7" s="1"/>
  <c r="X19" i="7" a="1"/>
  <c r="X19" i="7" s="1"/>
  <c r="T21" i="7" a="1"/>
  <c r="T21" i="7" s="1"/>
  <c r="U21" i="7" a="1"/>
  <c r="U21" i="7" s="1"/>
  <c r="V21" i="7" a="1"/>
  <c r="V21" i="7" s="1"/>
  <c r="W21" i="7" a="1"/>
  <c r="W21" i="7" s="1"/>
  <c r="X21" i="7" a="1"/>
  <c r="X21" i="7" s="1"/>
  <c r="T22" i="7" a="1"/>
  <c r="T22" i="7" s="1"/>
  <c r="U22" i="7" a="1"/>
  <c r="U22" i="7" s="1"/>
  <c r="V22" i="7" a="1"/>
  <c r="V22" i="7" s="1"/>
  <c r="W22" i="7" a="1"/>
  <c r="W22" i="7" s="1"/>
  <c r="X22" i="7" a="1"/>
  <c r="X22" i="7" s="1"/>
  <c r="T23" i="7" a="1"/>
  <c r="T23" i="7" s="1"/>
  <c r="U23" i="7" a="1"/>
  <c r="U23" i="7" s="1"/>
  <c r="V23" i="7" a="1"/>
  <c r="V23" i="7" s="1"/>
  <c r="W23" i="7" a="1"/>
  <c r="W23" i="7" s="1"/>
  <c r="X23" i="7" a="1"/>
  <c r="X23" i="7" s="1"/>
  <c r="T24" i="7" a="1"/>
  <c r="T24" i="7" s="1"/>
  <c r="U24" i="7" a="1"/>
  <c r="U24" i="7" s="1"/>
  <c r="V24" i="7" a="1"/>
  <c r="V24" i="7" s="1"/>
  <c r="W24" i="7" a="1"/>
  <c r="W24" i="7" s="1"/>
  <c r="X24" i="7" a="1"/>
  <c r="X24" i="7" s="1"/>
  <c r="T25" i="7" a="1"/>
  <c r="T25" i="7" s="1"/>
  <c r="U25" i="7" a="1"/>
  <c r="U25" i="7" s="1"/>
  <c r="V25" i="7" a="1"/>
  <c r="V25" i="7" s="1"/>
  <c r="W25" i="7" a="1"/>
  <c r="W25" i="7" s="1"/>
  <c r="X25" i="7" a="1"/>
  <c r="X25" i="7" s="1"/>
  <c r="T26" i="7" a="1"/>
  <c r="T26" i="7" s="1"/>
  <c r="U26" i="7" a="1"/>
  <c r="U26" i="7" s="1"/>
  <c r="V26" i="7" a="1"/>
  <c r="V26" i="7" s="1"/>
  <c r="W26" i="7" a="1"/>
  <c r="W26" i="7" s="1"/>
  <c r="X26" i="7" a="1"/>
  <c r="X26" i="7" s="1"/>
  <c r="T27" i="7" a="1"/>
  <c r="T27" i="7" s="1"/>
  <c r="U27" i="7" a="1"/>
  <c r="U27" i="7" s="1"/>
  <c r="V27" i="7" a="1"/>
  <c r="V27" i="7" s="1"/>
  <c r="W27" i="7" a="1"/>
  <c r="W27" i="7" s="1"/>
  <c r="X27" i="7" a="1"/>
  <c r="X27" i="7" s="1"/>
  <c r="T28" i="7" a="1"/>
  <c r="T28" i="7" s="1"/>
  <c r="U28" i="7" a="1"/>
  <c r="U28" i="7" s="1"/>
  <c r="V28" i="7" a="1"/>
  <c r="V28" i="7" s="1"/>
  <c r="W28" i="7" a="1"/>
  <c r="W28" i="7" s="1"/>
  <c r="X28" i="7" a="1"/>
  <c r="X28" i="7" s="1"/>
  <c r="T29" i="7" a="1"/>
  <c r="T29" i="7" s="1"/>
  <c r="U29" i="7" a="1"/>
  <c r="U29" i="7" s="1"/>
  <c r="V29" i="7" a="1"/>
  <c r="V29" i="7" s="1"/>
  <c r="W29" i="7" a="1"/>
  <c r="W29" i="7" s="1"/>
  <c r="X29" i="7" a="1"/>
  <c r="X29" i="7" s="1"/>
  <c r="T30" i="7" a="1"/>
  <c r="T30" i="7" s="1"/>
  <c r="U30" i="7" a="1"/>
  <c r="U30" i="7" s="1"/>
  <c r="V30" i="7" a="1"/>
  <c r="V30" i="7" s="1"/>
  <c r="W30" i="7" a="1"/>
  <c r="W30" i="7" s="1"/>
  <c r="X30" i="7" a="1"/>
  <c r="X30" i="7" s="1"/>
  <c r="T31" i="7" a="1"/>
  <c r="T31" i="7" s="1"/>
  <c r="U31" i="7" a="1"/>
  <c r="U31" i="7" s="1"/>
  <c r="V31" i="7" a="1"/>
  <c r="V31" i="7" s="1"/>
  <c r="W31" i="7" a="1"/>
  <c r="W31" i="7" s="1"/>
  <c r="X31" i="7" a="1"/>
  <c r="X31" i="7" s="1"/>
  <c r="T32" i="7" a="1"/>
  <c r="T32" i="7" s="1"/>
  <c r="U32" i="7" a="1"/>
  <c r="U32" i="7" s="1"/>
  <c r="V32" i="7" a="1"/>
  <c r="V32" i="7" s="1"/>
  <c r="W32" i="7" a="1"/>
  <c r="W32" i="7" s="1"/>
  <c r="X32" i="7" a="1"/>
  <c r="X32" i="7" s="1"/>
  <c r="T33" i="7" a="1"/>
  <c r="T33" i="7" s="1"/>
  <c r="U33" i="7" a="1"/>
  <c r="U33" i="7" s="1"/>
  <c r="V33" i="7" a="1"/>
  <c r="V33" i="7" s="1"/>
  <c r="W33" i="7" a="1"/>
  <c r="W33" i="7" s="1"/>
  <c r="X33" i="7" a="1"/>
  <c r="X33" i="7" s="1"/>
  <c r="T34" i="7" a="1"/>
  <c r="T34" i="7" s="1"/>
  <c r="U34" i="7" a="1"/>
  <c r="U34" i="7" s="1"/>
  <c r="V34" i="7" a="1"/>
  <c r="V34" i="7" s="1"/>
  <c r="W34" i="7" a="1"/>
  <c r="W34" i="7" s="1"/>
  <c r="X34" i="7" a="1"/>
  <c r="X34" i="7" s="1"/>
  <c r="T35" i="7" a="1"/>
  <c r="T35" i="7" s="1"/>
  <c r="U35" i="7" a="1"/>
  <c r="U35" i="7" s="1"/>
  <c r="V35" i="7" a="1"/>
  <c r="V35" i="7" s="1"/>
  <c r="W35" i="7" a="1"/>
  <c r="W35" i="7" s="1"/>
  <c r="X35" i="7" a="1"/>
  <c r="X35" i="7" s="1"/>
  <c r="T36" i="7" a="1"/>
  <c r="T36" i="7" s="1"/>
  <c r="U36" i="7" a="1"/>
  <c r="U36" i="7" s="1"/>
  <c r="V36" i="7" a="1"/>
  <c r="V36" i="7" s="1"/>
  <c r="W36" i="7" a="1"/>
  <c r="W36" i="7" s="1"/>
  <c r="X36" i="7" a="1"/>
  <c r="X36" i="7" s="1"/>
  <c r="T37" i="7" a="1"/>
  <c r="T37" i="7" s="1"/>
  <c r="U37" i="7" a="1"/>
  <c r="U37" i="7" s="1"/>
  <c r="V37" i="7" a="1"/>
  <c r="V37" i="7" s="1"/>
  <c r="W37" i="7" a="1"/>
  <c r="W37" i="7" s="1"/>
  <c r="X37" i="7" a="1"/>
  <c r="X37" i="7" s="1"/>
  <c r="T38" i="7" a="1"/>
  <c r="T38" i="7" s="1"/>
  <c r="U38" i="7" a="1"/>
  <c r="U38" i="7" s="1"/>
  <c r="V38" i="7" a="1"/>
  <c r="V38" i="7" s="1"/>
  <c r="W38" i="7" a="1"/>
  <c r="W38" i="7" s="1"/>
  <c r="X38" i="7" a="1"/>
  <c r="X38" i="7" s="1"/>
  <c r="T39" i="7" a="1"/>
  <c r="T39" i="7" s="1"/>
  <c r="U39" i="7" a="1"/>
  <c r="U39" i="7" s="1"/>
  <c r="V39" i="7" a="1"/>
  <c r="V39" i="7" s="1"/>
  <c r="W39" i="7" a="1"/>
  <c r="W39" i="7" s="1"/>
  <c r="X39" i="7" a="1"/>
  <c r="X39" i="7" s="1"/>
  <c r="T40" i="7" a="1"/>
  <c r="T40" i="7" s="1"/>
  <c r="U40" i="7" a="1"/>
  <c r="U40" i="7" s="1"/>
  <c r="V40" i="7" a="1"/>
  <c r="V40" i="7" s="1"/>
  <c r="W40" i="7" a="1"/>
  <c r="W40" i="7" s="1"/>
  <c r="X40" i="7" a="1"/>
  <c r="X40" i="7" s="1"/>
  <c r="T41" i="7" a="1"/>
  <c r="T41" i="7" s="1"/>
  <c r="U41" i="7" a="1"/>
  <c r="U41" i="7" s="1"/>
  <c r="V41" i="7" a="1"/>
  <c r="V41" i="7" s="1"/>
  <c r="W41" i="7" a="1"/>
  <c r="W41" i="7" s="1"/>
  <c r="X41" i="7" a="1"/>
  <c r="X41" i="7" s="1"/>
  <c r="T42" i="7" a="1"/>
  <c r="T42" i="7" s="1"/>
  <c r="U42" i="7" a="1"/>
  <c r="U42" i="7" s="1"/>
  <c r="V42" i="7" a="1"/>
  <c r="V42" i="7" s="1"/>
  <c r="W42" i="7" a="1"/>
  <c r="W42" i="7" s="1"/>
  <c r="X42" i="7" a="1"/>
  <c r="X42" i="7" s="1"/>
  <c r="T43" i="7" a="1"/>
  <c r="T43" i="7" s="1"/>
  <c r="U43" i="7" a="1"/>
  <c r="U43" i="7" s="1"/>
  <c r="V43" i="7" a="1"/>
  <c r="V43" i="7" s="1"/>
  <c r="W43" i="7" a="1"/>
  <c r="W43" i="7" s="1"/>
  <c r="X43" i="7" a="1"/>
  <c r="X43" i="7" s="1"/>
  <c r="T44" i="7" a="1"/>
  <c r="T44" i="7" s="1"/>
  <c r="U44" i="7" a="1"/>
  <c r="U44" i="7" s="1"/>
  <c r="V44" i="7" a="1"/>
  <c r="V44" i="7" s="1"/>
  <c r="W44" i="7" a="1"/>
  <c r="W44" i="7" s="1"/>
  <c r="X44" i="7" a="1"/>
  <c r="X44" i="7" s="1"/>
  <c r="T45" i="7" a="1"/>
  <c r="T45" i="7" s="1"/>
  <c r="U45" i="7" a="1"/>
  <c r="U45" i="7" s="1"/>
  <c r="V45" i="7" a="1"/>
  <c r="V45" i="7" s="1"/>
  <c r="W45" i="7" a="1"/>
  <c r="W45" i="7" s="1"/>
  <c r="X45" i="7" a="1"/>
  <c r="X45" i="7" s="1"/>
  <c r="T46" i="7" a="1"/>
  <c r="T46" i="7" s="1"/>
  <c r="U46" i="7" a="1"/>
  <c r="U46" i="7" s="1"/>
  <c r="V46" i="7" a="1"/>
  <c r="V46" i="7" s="1"/>
  <c r="W46" i="7" a="1"/>
  <c r="W46" i="7" s="1"/>
  <c r="X46" i="7" a="1"/>
  <c r="X46" i="7" s="1"/>
  <c r="T47" i="7" a="1"/>
  <c r="T47" i="7" s="1"/>
  <c r="U47" i="7" a="1"/>
  <c r="U47" i="7" s="1"/>
  <c r="V47" i="7" a="1"/>
  <c r="V47" i="7" s="1"/>
  <c r="W47" i="7" a="1"/>
  <c r="W47" i="7" s="1"/>
  <c r="X47" i="7" a="1"/>
  <c r="X47" i="7" s="1"/>
  <c r="T48" i="7" a="1"/>
  <c r="T48" i="7" s="1"/>
  <c r="U48" i="7" a="1"/>
  <c r="U48" i="7" s="1"/>
  <c r="V48" i="7" a="1"/>
  <c r="V48" i="7" s="1"/>
  <c r="W48" i="7" a="1"/>
  <c r="W48" i="7" s="1"/>
  <c r="X48" i="7" a="1"/>
  <c r="X48" i="7" s="1"/>
  <c r="T49" i="7" a="1"/>
  <c r="T49" i="7" s="1"/>
  <c r="U49" i="7" a="1"/>
  <c r="U49" i="7" s="1"/>
  <c r="V49" i="7" a="1"/>
  <c r="V49" i="7" s="1"/>
  <c r="W49" i="7" a="1"/>
  <c r="W49" i="7" s="1"/>
  <c r="X49" i="7" a="1"/>
  <c r="X49" i="7" s="1"/>
  <c r="T50" i="7" a="1"/>
  <c r="T50" i="7" s="1"/>
  <c r="U50" i="7" a="1"/>
  <c r="U50" i="7" s="1"/>
  <c r="V50" i="7" a="1"/>
  <c r="V50" i="7" s="1"/>
  <c r="W50" i="7" a="1"/>
  <c r="W50" i="7" s="1"/>
  <c r="X50" i="7" a="1"/>
  <c r="X50" i="7" s="1"/>
  <c r="T51" i="7" a="1"/>
  <c r="T51" i="7" s="1"/>
  <c r="U51" i="7" a="1"/>
  <c r="U51" i="7" s="1"/>
  <c r="V51" i="7" a="1"/>
  <c r="V51" i="7" s="1"/>
  <c r="W51" i="7" a="1"/>
  <c r="W51" i="7" s="1"/>
  <c r="X51" i="7" a="1"/>
  <c r="X51" i="7" s="1"/>
  <c r="T52" i="7" a="1"/>
  <c r="T52" i="7" s="1"/>
  <c r="U52" i="7" a="1"/>
  <c r="U52" i="7" s="1"/>
  <c r="V52" i="7" a="1"/>
  <c r="V52" i="7" s="1"/>
  <c r="W52" i="7" a="1"/>
  <c r="W52" i="7" s="1"/>
  <c r="X52" i="7" a="1"/>
  <c r="X52" i="7" s="1"/>
  <c r="T53" i="7" a="1"/>
  <c r="T53" i="7" s="1"/>
  <c r="U53" i="7" a="1"/>
  <c r="U53" i="7" s="1"/>
  <c r="V53" i="7" a="1"/>
  <c r="V53" i="7" s="1"/>
  <c r="W53" i="7" a="1"/>
  <c r="W53" i="7" s="1"/>
  <c r="X53" i="7" a="1"/>
  <c r="X53" i="7" s="1"/>
  <c r="T54" i="7" a="1"/>
  <c r="T54" i="7" s="1"/>
  <c r="U54" i="7" a="1"/>
  <c r="U54" i="7" s="1"/>
  <c r="V54" i="7" a="1"/>
  <c r="V54" i="7" s="1"/>
  <c r="W54" i="7" a="1"/>
  <c r="W54" i="7" s="1"/>
  <c r="X54" i="7" a="1"/>
  <c r="X54" i="7" s="1"/>
  <c r="T55" i="7" a="1"/>
  <c r="T55" i="7" s="1"/>
  <c r="U55" i="7" a="1"/>
  <c r="U55" i="7" s="1"/>
  <c r="V55" i="7" a="1"/>
  <c r="V55" i="7" s="1"/>
  <c r="W55" i="7" a="1"/>
  <c r="W55" i="7" s="1"/>
  <c r="X55" i="7" a="1"/>
  <c r="X55" i="7" s="1"/>
  <c r="T56" i="7" a="1"/>
  <c r="T56" i="7" s="1"/>
  <c r="U56" i="7" a="1"/>
  <c r="U56" i="7" s="1"/>
  <c r="V56" i="7" a="1"/>
  <c r="V56" i="7" s="1"/>
  <c r="W56" i="7" a="1"/>
  <c r="W56" i="7" s="1"/>
  <c r="X56" i="7" a="1"/>
  <c r="X56" i="7" s="1"/>
  <c r="T57" i="7" a="1"/>
  <c r="T57" i="7" s="1"/>
  <c r="U57" i="7" a="1"/>
  <c r="U57" i="7" s="1"/>
  <c r="V57" i="7" a="1"/>
  <c r="V57" i="7" s="1"/>
  <c r="W57" i="7" a="1"/>
  <c r="W57" i="7" s="1"/>
  <c r="X57" i="7" a="1"/>
  <c r="X57" i="7" s="1"/>
  <c r="T58" i="7" a="1"/>
  <c r="T58" i="7" s="1"/>
  <c r="U58" i="7" a="1"/>
  <c r="U58" i="7" s="1"/>
  <c r="V58" i="7" a="1"/>
  <c r="V58" i="7" s="1"/>
  <c r="W58" i="7" a="1"/>
  <c r="W58" i="7" s="1"/>
  <c r="X58" i="7" a="1"/>
  <c r="X58" i="7" s="1"/>
  <c r="T59" i="7" a="1"/>
  <c r="T59" i="7" s="1"/>
  <c r="U59" i="7" a="1"/>
  <c r="U59" i="7" s="1"/>
  <c r="V59" i="7" a="1"/>
  <c r="V59" i="7" s="1"/>
  <c r="W59" i="7" a="1"/>
  <c r="W59" i="7" s="1"/>
  <c r="X59" i="7" a="1"/>
  <c r="X59" i="7" s="1"/>
  <c r="T60" i="7" a="1"/>
  <c r="T60" i="7" s="1"/>
  <c r="U60" i="7" a="1"/>
  <c r="U60" i="7" s="1"/>
  <c r="V60" i="7" a="1"/>
  <c r="V60" i="7" s="1"/>
  <c r="W60" i="7" a="1"/>
  <c r="W60" i="7" s="1"/>
  <c r="X60" i="7" a="1"/>
  <c r="X60" i="7" s="1"/>
  <c r="T61" i="7" a="1"/>
  <c r="T61" i="7" s="1"/>
  <c r="U61" i="7" a="1"/>
  <c r="U61" i="7" s="1"/>
  <c r="V61" i="7" a="1"/>
  <c r="V61" i="7" s="1"/>
  <c r="W61" i="7" a="1"/>
  <c r="W61" i="7" s="1"/>
  <c r="X61" i="7" a="1"/>
  <c r="X61" i="7" s="1"/>
  <c r="T62" i="7" a="1"/>
  <c r="T62" i="7" s="1"/>
  <c r="U62" i="7" a="1"/>
  <c r="U62" i="7" s="1"/>
  <c r="V62" i="7" a="1"/>
  <c r="V62" i="7" s="1"/>
  <c r="W62" i="7" a="1"/>
  <c r="W62" i="7" s="1"/>
  <c r="X62" i="7" a="1"/>
  <c r="X62" i="7" s="1"/>
  <c r="T63" i="7" a="1"/>
  <c r="T63" i="7" s="1"/>
  <c r="U63" i="7" a="1"/>
  <c r="U63" i="7" s="1"/>
  <c r="V63" i="7" a="1"/>
  <c r="V63" i="7" s="1"/>
  <c r="W63" i="7" a="1"/>
  <c r="W63" i="7" s="1"/>
  <c r="X63" i="7" a="1"/>
  <c r="X63" i="7" s="1"/>
  <c r="T64" i="7" a="1"/>
  <c r="T64" i="7" s="1"/>
  <c r="U64" i="7" a="1"/>
  <c r="U64" i="7" s="1"/>
  <c r="V64" i="7" a="1"/>
  <c r="V64" i="7" s="1"/>
  <c r="W64" i="7" a="1"/>
  <c r="W64" i="7" s="1"/>
  <c r="X64" i="7" a="1"/>
  <c r="X64" i="7" s="1"/>
  <c r="T65" i="7" a="1"/>
  <c r="T65" i="7" s="1"/>
  <c r="U65" i="7" a="1"/>
  <c r="U65" i="7" s="1"/>
  <c r="V65" i="7" a="1"/>
  <c r="V65" i="7" s="1"/>
  <c r="W65" i="7" a="1"/>
  <c r="W65" i="7" s="1"/>
  <c r="X65" i="7" a="1"/>
  <c r="X65" i="7" s="1"/>
  <c r="T66" i="7" a="1"/>
  <c r="T66" i="7" s="1"/>
  <c r="U66" i="7" a="1"/>
  <c r="U66" i="7" s="1"/>
  <c r="V66" i="7" a="1"/>
  <c r="V66" i="7" s="1"/>
  <c r="W66" i="7" a="1"/>
  <c r="W66" i="7" s="1"/>
  <c r="X66" i="7" a="1"/>
  <c r="X66" i="7" s="1"/>
  <c r="T67" i="7" a="1"/>
  <c r="T67" i="7" s="1"/>
  <c r="U67" i="7" a="1"/>
  <c r="U67" i="7" s="1"/>
  <c r="V67" i="7" a="1"/>
  <c r="V67" i="7" s="1"/>
  <c r="W67" i="7" a="1"/>
  <c r="W67" i="7" s="1"/>
  <c r="X67" i="7" a="1"/>
  <c r="X67" i="7" s="1"/>
  <c r="T68" i="7" a="1"/>
  <c r="T68" i="7" s="1"/>
  <c r="U68" i="7" a="1"/>
  <c r="U68" i="7" s="1"/>
  <c r="V68" i="7" a="1"/>
  <c r="V68" i="7" s="1"/>
  <c r="W68" i="7" a="1"/>
  <c r="W68" i="7" s="1"/>
  <c r="X68" i="7" a="1"/>
  <c r="X68" i="7" s="1"/>
  <c r="T69" i="7" a="1"/>
  <c r="T69" i="7" s="1"/>
  <c r="U69" i="7" a="1"/>
  <c r="U69" i="7" s="1"/>
  <c r="V69" i="7" a="1"/>
  <c r="V69" i="7" s="1"/>
  <c r="W69" i="7" a="1"/>
  <c r="W69" i="7" s="1"/>
  <c r="X69" i="7" a="1"/>
  <c r="X69" i="7" s="1"/>
  <c r="T70" i="7" a="1"/>
  <c r="T70" i="7" s="1"/>
  <c r="U70" i="7" a="1"/>
  <c r="U70" i="7" s="1"/>
  <c r="V70" i="7" a="1"/>
  <c r="V70" i="7" s="1"/>
  <c r="W70" i="7" a="1"/>
  <c r="W70" i="7" s="1"/>
  <c r="X70" i="7" a="1"/>
  <c r="X70" i="7" s="1"/>
  <c r="T71" i="7" a="1"/>
  <c r="T71" i="7" s="1"/>
  <c r="U71" i="7" a="1"/>
  <c r="U71" i="7" s="1"/>
  <c r="V71" i="7" a="1"/>
  <c r="V71" i="7" s="1"/>
  <c r="W71" i="7" a="1"/>
  <c r="W71" i="7" s="1"/>
  <c r="X71" i="7" a="1"/>
  <c r="X71" i="7" s="1"/>
  <c r="T72" i="7" a="1"/>
  <c r="T72" i="7" s="1"/>
  <c r="U72" i="7" a="1"/>
  <c r="U72" i="7" s="1"/>
  <c r="V72" i="7" a="1"/>
  <c r="V72" i="7" s="1"/>
  <c r="W72" i="7" a="1"/>
  <c r="W72" i="7" s="1"/>
  <c r="X72" i="7" a="1"/>
  <c r="X72" i="7" s="1"/>
  <c r="T73" i="7" a="1"/>
  <c r="T73" i="7" s="1"/>
  <c r="U73" i="7" a="1"/>
  <c r="U73" i="7" s="1"/>
  <c r="V73" i="7" a="1"/>
  <c r="V73" i="7" s="1"/>
  <c r="W73" i="7" a="1"/>
  <c r="W73" i="7" s="1"/>
  <c r="X73" i="7" a="1"/>
  <c r="X73" i="7" s="1"/>
  <c r="T74" i="7" a="1"/>
  <c r="T74" i="7" s="1"/>
  <c r="U74" i="7" a="1"/>
  <c r="U74" i="7" s="1"/>
  <c r="V74" i="7" a="1"/>
  <c r="V74" i="7" s="1"/>
  <c r="W74" i="7" a="1"/>
  <c r="W74" i="7" s="1"/>
  <c r="X74" i="7" a="1"/>
  <c r="X74" i="7" s="1"/>
  <c r="T75" i="7" a="1"/>
  <c r="T75" i="7" s="1"/>
  <c r="U75" i="7" a="1"/>
  <c r="U75" i="7" s="1"/>
  <c r="V75" i="7" a="1"/>
  <c r="V75" i="7" s="1"/>
  <c r="W75" i="7" a="1"/>
  <c r="W75" i="7" s="1"/>
  <c r="X75" i="7" a="1"/>
  <c r="X75" i="7" s="1"/>
  <c r="T76" i="7" a="1"/>
  <c r="T76" i="7" s="1"/>
  <c r="U76" i="7" a="1"/>
  <c r="U76" i="7" s="1"/>
  <c r="V76" i="7" a="1"/>
  <c r="V76" i="7" s="1"/>
  <c r="W76" i="7" a="1"/>
  <c r="W76" i="7" s="1"/>
  <c r="X76" i="7" a="1"/>
  <c r="X76" i="7" s="1"/>
  <c r="T77" i="7" a="1"/>
  <c r="T77" i="7" s="1"/>
  <c r="U77" i="7" a="1"/>
  <c r="U77" i="7" s="1"/>
  <c r="V77" i="7" a="1"/>
  <c r="V77" i="7" s="1"/>
  <c r="W77" i="7" a="1"/>
  <c r="W77" i="7" s="1"/>
  <c r="X77" i="7" a="1"/>
  <c r="X77" i="7" s="1"/>
  <c r="T78" i="7" a="1"/>
  <c r="T78" i="7" s="1"/>
  <c r="U78" i="7" a="1"/>
  <c r="U78" i="7" s="1"/>
  <c r="V78" i="7" a="1"/>
  <c r="V78" i="7" s="1"/>
  <c r="W78" i="7" a="1"/>
  <c r="W78" i="7" s="1"/>
  <c r="X78" i="7" a="1"/>
  <c r="X78" i="7" s="1"/>
  <c r="T79" i="7" a="1"/>
  <c r="T79" i="7" s="1"/>
  <c r="U79" i="7" a="1"/>
  <c r="U79" i="7" s="1"/>
  <c r="V79" i="7" a="1"/>
  <c r="V79" i="7" s="1"/>
  <c r="W79" i="7" a="1"/>
  <c r="W79" i="7" s="1"/>
  <c r="X79" i="7" a="1"/>
  <c r="X79" i="7" s="1"/>
  <c r="T80" i="7" a="1"/>
  <c r="T80" i="7" s="1"/>
  <c r="U80" i="7" a="1"/>
  <c r="U80" i="7" s="1"/>
  <c r="V80" i="7" a="1"/>
  <c r="V80" i="7" s="1"/>
  <c r="W80" i="7" a="1"/>
  <c r="W80" i="7" s="1"/>
  <c r="X80" i="7" a="1"/>
  <c r="X80" i="7" s="1"/>
  <c r="T81" i="7" a="1"/>
  <c r="T81" i="7" s="1"/>
  <c r="U81" i="7" a="1"/>
  <c r="U81" i="7" s="1"/>
  <c r="V81" i="7" a="1"/>
  <c r="V81" i="7" s="1"/>
  <c r="W81" i="7" a="1"/>
  <c r="W81" i="7" s="1"/>
  <c r="X81" i="7" a="1"/>
  <c r="X81" i="7" s="1"/>
  <c r="T82" i="7" a="1"/>
  <c r="T82" i="7" s="1"/>
  <c r="U82" i="7" a="1"/>
  <c r="U82" i="7" s="1"/>
  <c r="V82" i="7" a="1"/>
  <c r="V82" i="7" s="1"/>
  <c r="W82" i="7" a="1"/>
  <c r="W82" i="7" s="1"/>
  <c r="X82" i="7" a="1"/>
  <c r="X82" i="7" s="1"/>
  <c r="T83" i="7" a="1"/>
  <c r="T83" i="7" s="1"/>
  <c r="U83" i="7" a="1"/>
  <c r="U83" i="7" s="1"/>
  <c r="V83" i="7" a="1"/>
  <c r="V83" i="7" s="1"/>
  <c r="W83" i="7" a="1"/>
  <c r="W83" i="7" s="1"/>
  <c r="X83" i="7" a="1"/>
  <c r="X83" i="7" s="1"/>
  <c r="T84" i="7" a="1"/>
  <c r="T84" i="7" s="1"/>
  <c r="U84" i="7" a="1"/>
  <c r="U84" i="7" s="1"/>
  <c r="V84" i="7" a="1"/>
  <c r="V84" i="7" s="1"/>
  <c r="W84" i="7" a="1"/>
  <c r="W84" i="7" s="1"/>
  <c r="X84" i="7" a="1"/>
  <c r="X84" i="7" s="1"/>
  <c r="T85" i="7" a="1"/>
  <c r="T85" i="7" s="1"/>
  <c r="U85" i="7" a="1"/>
  <c r="U85" i="7" s="1"/>
  <c r="V85" i="7" a="1"/>
  <c r="V85" i="7" s="1"/>
  <c r="W85" i="7" a="1"/>
  <c r="W85" i="7" s="1"/>
  <c r="X85" i="7" a="1"/>
  <c r="X85" i="7" s="1"/>
  <c r="T86" i="7" a="1"/>
  <c r="T86" i="7" s="1"/>
  <c r="U86" i="7" a="1"/>
  <c r="U86" i="7" s="1"/>
  <c r="V86" i="7" a="1"/>
  <c r="V86" i="7" s="1"/>
  <c r="W86" i="7" a="1"/>
  <c r="W86" i="7" s="1"/>
  <c r="X86" i="7" a="1"/>
  <c r="X86" i="7" s="1"/>
  <c r="T87" i="7" a="1"/>
  <c r="T87" i="7" s="1"/>
  <c r="U87" i="7" a="1"/>
  <c r="U87" i="7" s="1"/>
  <c r="V87" i="7" a="1"/>
  <c r="V87" i="7" s="1"/>
  <c r="W87" i="7" a="1"/>
  <c r="W87" i="7" s="1"/>
  <c r="X87" i="7" a="1"/>
  <c r="X87" i="7" s="1"/>
  <c r="T88" i="7" a="1"/>
  <c r="T88" i="7" s="1"/>
  <c r="U88" i="7" a="1"/>
  <c r="U88" i="7" s="1"/>
  <c r="V88" i="7" a="1"/>
  <c r="V88" i="7" s="1"/>
  <c r="W88" i="7" a="1"/>
  <c r="W88" i="7" s="1"/>
  <c r="X88" i="7" a="1"/>
  <c r="X88" i="7" s="1"/>
  <c r="T89" i="7" a="1"/>
  <c r="T89" i="7" s="1"/>
  <c r="U89" i="7" a="1"/>
  <c r="U89" i="7" s="1"/>
  <c r="V89" i="7" a="1"/>
  <c r="V89" i="7" s="1"/>
  <c r="W89" i="7" a="1"/>
  <c r="W89" i="7" s="1"/>
  <c r="X89" i="7" a="1"/>
  <c r="X89" i="7" s="1"/>
  <c r="T90" i="7" a="1"/>
  <c r="T90" i="7" s="1"/>
  <c r="U90" i="7" a="1"/>
  <c r="U90" i="7" s="1"/>
  <c r="V90" i="7" a="1"/>
  <c r="V90" i="7" s="1"/>
  <c r="W90" i="7" a="1"/>
  <c r="W90" i="7" s="1"/>
  <c r="X90" i="7" a="1"/>
  <c r="X90" i="7" s="1"/>
  <c r="T91" i="7" a="1"/>
  <c r="T91" i="7" s="1"/>
  <c r="U91" i="7" a="1"/>
  <c r="U91" i="7" s="1"/>
  <c r="V91" i="7" a="1"/>
  <c r="V91" i="7" s="1"/>
  <c r="W91" i="7" a="1"/>
  <c r="W91" i="7" s="1"/>
  <c r="X91" i="7" a="1"/>
  <c r="X91" i="7" s="1"/>
  <c r="T92" i="7" a="1"/>
  <c r="T92" i="7" s="1"/>
  <c r="U92" i="7" a="1"/>
  <c r="U92" i="7" s="1"/>
  <c r="V92" i="7" a="1"/>
  <c r="V92" i="7" s="1"/>
  <c r="W92" i="7" a="1"/>
  <c r="W92" i="7" s="1"/>
  <c r="X92" i="7" a="1"/>
  <c r="X92" i="7" s="1"/>
  <c r="T93" i="7" a="1"/>
  <c r="T93" i="7" s="1"/>
  <c r="U93" i="7" a="1"/>
  <c r="U93" i="7" s="1"/>
  <c r="V93" i="7" a="1"/>
  <c r="V93" i="7" s="1"/>
  <c r="W93" i="7" a="1"/>
  <c r="W93" i="7" s="1"/>
  <c r="X93" i="7" a="1"/>
  <c r="X93" i="7" s="1"/>
  <c r="T94" i="7" a="1"/>
  <c r="T94" i="7" s="1"/>
  <c r="U94" i="7" a="1"/>
  <c r="U94" i="7" s="1"/>
  <c r="V94" i="7" a="1"/>
  <c r="V94" i="7" s="1"/>
  <c r="W94" i="7" a="1"/>
  <c r="W94" i="7" s="1"/>
  <c r="X94" i="7" a="1"/>
  <c r="X94" i="7" s="1"/>
  <c r="T95" i="7" a="1"/>
  <c r="T95" i="7" s="1"/>
  <c r="U95" i="7" a="1"/>
  <c r="U95" i="7" s="1"/>
  <c r="V95" i="7" a="1"/>
  <c r="V95" i="7" s="1"/>
  <c r="W95" i="7" a="1"/>
  <c r="W95" i="7" s="1"/>
  <c r="X95" i="7" a="1"/>
  <c r="X95" i="7" s="1"/>
  <c r="T96" i="7" a="1"/>
  <c r="T96" i="7" s="1"/>
  <c r="U96" i="7" a="1"/>
  <c r="U96" i="7" s="1"/>
  <c r="V96" i="7" a="1"/>
  <c r="V96" i="7" s="1"/>
  <c r="W96" i="7" a="1"/>
  <c r="W96" i="7" s="1"/>
  <c r="X96" i="7" a="1"/>
  <c r="X96" i="7" s="1"/>
  <c r="T97" i="7" a="1"/>
  <c r="T97" i="7" s="1"/>
  <c r="U97" i="7" a="1"/>
  <c r="U97" i="7" s="1"/>
  <c r="V97" i="7" a="1"/>
  <c r="V97" i="7" s="1"/>
  <c r="W97" i="7" a="1"/>
  <c r="W97" i="7" s="1"/>
  <c r="X97" i="7" a="1"/>
  <c r="X97" i="7" s="1"/>
  <c r="T98" i="7" a="1"/>
  <c r="T98" i="7" s="1"/>
  <c r="U98" i="7" a="1"/>
  <c r="U98" i="7" s="1"/>
  <c r="V98" i="7" a="1"/>
  <c r="V98" i="7" s="1"/>
  <c r="W98" i="7" a="1"/>
  <c r="W98" i="7" s="1"/>
  <c r="X98" i="7" a="1"/>
  <c r="X98" i="7" s="1"/>
  <c r="T99" i="7" a="1"/>
  <c r="T99" i="7" s="1"/>
  <c r="U99" i="7" a="1"/>
  <c r="U99" i="7" s="1"/>
  <c r="V99" i="7" a="1"/>
  <c r="V99" i="7" s="1"/>
  <c r="W99" i="7" a="1"/>
  <c r="W99" i="7" s="1"/>
  <c r="X99" i="7" a="1"/>
  <c r="X99" i="7" s="1"/>
  <c r="T100" i="7" a="1"/>
  <c r="T100" i="7" s="1"/>
  <c r="U100" i="7" a="1"/>
  <c r="U100" i="7" s="1"/>
  <c r="V100" i="7" a="1"/>
  <c r="V100" i="7" s="1"/>
  <c r="W100" i="7" a="1"/>
  <c r="W100" i="7" s="1"/>
  <c r="X100" i="7" a="1"/>
  <c r="X100" i="7" s="1"/>
  <c r="T101" i="7" a="1"/>
  <c r="T101" i="7" s="1"/>
  <c r="U101" i="7" a="1"/>
  <c r="U101" i="7" s="1"/>
  <c r="V101" i="7" a="1"/>
  <c r="V101" i="7" s="1"/>
  <c r="W101" i="7" a="1"/>
  <c r="W101" i="7" s="1"/>
  <c r="X101" i="7" a="1"/>
  <c r="X101" i="7" s="1"/>
  <c r="T102" i="7" a="1"/>
  <c r="T102" i="7" s="1"/>
  <c r="U102" i="7" a="1"/>
  <c r="U102" i="7" s="1"/>
  <c r="V102" i="7" a="1"/>
  <c r="V102" i="7" s="1"/>
  <c r="W102" i="7" a="1"/>
  <c r="W102" i="7" s="1"/>
  <c r="X102" i="7" a="1"/>
  <c r="X102" i="7" s="1"/>
  <c r="T103" i="7" a="1"/>
  <c r="T103" i="7" s="1"/>
  <c r="U103" i="7" a="1"/>
  <c r="U103" i="7" s="1"/>
  <c r="V103" i="7" a="1"/>
  <c r="V103" i="7" s="1"/>
  <c r="W103" i="7" a="1"/>
  <c r="W103" i="7" s="1"/>
  <c r="X103" i="7" a="1"/>
  <c r="X103" i="7" s="1"/>
  <c r="U104" i="7" a="1"/>
  <c r="U104" i="7" s="1"/>
  <c r="V104" i="7" a="1"/>
  <c r="V104" i="7" s="1"/>
  <c r="W104" i="7" a="1"/>
  <c r="W104" i="7" s="1"/>
  <c r="X104" i="7" a="1"/>
  <c r="X104" i="7" s="1"/>
  <c r="T105" i="7" a="1"/>
  <c r="T105" i="7" s="1"/>
  <c r="U105" i="7" a="1"/>
  <c r="U105" i="7" s="1"/>
  <c r="V105" i="7" a="1"/>
  <c r="V105" i="7" s="1"/>
  <c r="W105" i="7" a="1"/>
  <c r="W105" i="7" s="1"/>
  <c r="X105" i="7" a="1"/>
  <c r="X105" i="7" s="1"/>
  <c r="T106" i="7" a="1"/>
  <c r="T106" i="7" s="1"/>
  <c r="U106" i="7" a="1"/>
  <c r="U106" i="7" s="1"/>
  <c r="V106" i="7" a="1"/>
  <c r="V106" i="7" s="1"/>
  <c r="W106" i="7" a="1"/>
  <c r="W106" i="7" s="1"/>
  <c r="X106" i="7" a="1"/>
  <c r="X106" i="7" s="1"/>
  <c r="T107" i="7" a="1"/>
  <c r="T107" i="7" s="1"/>
  <c r="U107" i="7" a="1"/>
  <c r="U107" i="7" s="1"/>
  <c r="V107" i="7" a="1"/>
  <c r="V107" i="7" s="1"/>
  <c r="W107" i="7" a="1"/>
  <c r="W107" i="7" s="1"/>
  <c r="X107" i="7" a="1"/>
  <c r="X107" i="7" s="1"/>
  <c r="T108" i="7" a="1"/>
  <c r="T108" i="7" s="1"/>
  <c r="U108" i="7" a="1"/>
  <c r="U108" i="7" s="1"/>
  <c r="V108" i="7" a="1"/>
  <c r="V108" i="7" s="1"/>
  <c r="W108" i="7" a="1"/>
  <c r="W108" i="7" s="1"/>
  <c r="X108" i="7" a="1"/>
  <c r="X108" i="7" s="1"/>
  <c r="T109" i="7" a="1"/>
  <c r="T109" i="7" s="1"/>
  <c r="U109" i="7" a="1"/>
  <c r="U109" i="7" s="1"/>
  <c r="V109" i="7" a="1"/>
  <c r="V109" i="7" s="1"/>
  <c r="W109" i="7" a="1"/>
  <c r="W109" i="7" s="1"/>
  <c r="X109" i="7" a="1"/>
  <c r="X109" i="7" s="1"/>
  <c r="T110" i="7" a="1"/>
  <c r="T110" i="7" s="1"/>
  <c r="U110" i="7" a="1"/>
  <c r="U110" i="7" s="1"/>
  <c r="V110" i="7" a="1"/>
  <c r="V110" i="7" s="1"/>
  <c r="W110" i="7" a="1"/>
  <c r="W110" i="7" s="1"/>
  <c r="X110" i="7" a="1"/>
  <c r="X110" i="7" s="1"/>
  <c r="T111" i="7" a="1"/>
  <c r="T111" i="7" s="1"/>
  <c r="U111" i="7" a="1"/>
  <c r="U111" i="7" s="1"/>
  <c r="V111" i="7" a="1"/>
  <c r="V111" i="7" s="1"/>
  <c r="W111" i="7" a="1"/>
  <c r="W111" i="7" s="1"/>
  <c r="X111" i="7" a="1"/>
  <c r="X111" i="7" s="1"/>
  <c r="T112" i="7" a="1"/>
  <c r="T112" i="7" s="1"/>
  <c r="U112" i="7" a="1"/>
  <c r="U112" i="7" s="1"/>
  <c r="V112" i="7" a="1"/>
  <c r="V112" i="7" s="1"/>
  <c r="W112" i="7" a="1"/>
  <c r="W112" i="7" s="1"/>
  <c r="X112" i="7" a="1"/>
  <c r="X112" i="7" s="1"/>
  <c r="T113" i="7" a="1"/>
  <c r="T113" i="7" s="1"/>
  <c r="U113" i="7" a="1"/>
  <c r="U113" i="7" s="1"/>
  <c r="V113" i="7" a="1"/>
  <c r="V113" i="7" s="1"/>
  <c r="W113" i="7" a="1"/>
  <c r="W113" i="7" s="1"/>
  <c r="X113" i="7" a="1"/>
  <c r="X113" i="7" s="1"/>
  <c r="T114" i="7" a="1"/>
  <c r="T114" i="7" s="1"/>
  <c r="U114" i="7" a="1"/>
  <c r="U114" i="7" s="1"/>
  <c r="V114" i="7" a="1"/>
  <c r="V114" i="7" s="1"/>
  <c r="W114" i="7" a="1"/>
  <c r="W114" i="7" s="1"/>
  <c r="X114" i="7" a="1"/>
  <c r="X114" i="7" s="1"/>
  <c r="T115" i="7" a="1"/>
  <c r="T115" i="7" s="1"/>
  <c r="U115" i="7" a="1"/>
  <c r="U115" i="7" s="1"/>
  <c r="V115" i="7" a="1"/>
  <c r="V115" i="7" s="1"/>
  <c r="W115" i="7" a="1"/>
  <c r="W115" i="7" s="1"/>
  <c r="X115" i="7" a="1"/>
  <c r="X115" i="7" s="1"/>
  <c r="T116" i="7" a="1"/>
  <c r="T116" i="7" s="1"/>
  <c r="U116" i="7" a="1"/>
  <c r="U116" i="7" s="1"/>
  <c r="V116" i="7" a="1"/>
  <c r="V116" i="7" s="1"/>
  <c r="W116" i="7" a="1"/>
  <c r="W116" i="7" s="1"/>
  <c r="X116" i="7" a="1"/>
  <c r="X116" i="7" s="1"/>
  <c r="T117" i="7" a="1"/>
  <c r="T117" i="7" s="1"/>
  <c r="U117" i="7" a="1"/>
  <c r="U117" i="7" s="1"/>
  <c r="V117" i="7" a="1"/>
  <c r="V117" i="7" s="1"/>
  <c r="W117" i="7" a="1"/>
  <c r="W117" i="7" s="1"/>
  <c r="X117" i="7" a="1"/>
  <c r="X117" i="7" s="1"/>
  <c r="T118" i="7" a="1"/>
  <c r="T118" i="7" s="1"/>
  <c r="U118" i="7" a="1"/>
  <c r="U118" i="7" s="1"/>
  <c r="V118" i="7" a="1"/>
  <c r="V118" i="7" s="1"/>
  <c r="W118" i="7" a="1"/>
  <c r="W118" i="7" s="1"/>
  <c r="X118" i="7" a="1"/>
  <c r="X118" i="7" s="1"/>
  <c r="T119" i="7" a="1"/>
  <c r="T119" i="7" s="1"/>
  <c r="U119" i="7" a="1"/>
  <c r="U119" i="7" s="1"/>
  <c r="V119" i="7" a="1"/>
  <c r="V119" i="7" s="1"/>
  <c r="W119" i="7" a="1"/>
  <c r="W119" i="7" s="1"/>
  <c r="X119" i="7" a="1"/>
  <c r="X119" i="7" s="1"/>
  <c r="T120" i="7" a="1"/>
  <c r="T120" i="7" s="1"/>
  <c r="U120" i="7" a="1"/>
  <c r="U120" i="7" s="1"/>
  <c r="V120" i="7" a="1"/>
  <c r="V120" i="7" s="1"/>
  <c r="W120" i="7" a="1"/>
  <c r="W120" i="7" s="1"/>
  <c r="X120" i="7" a="1"/>
  <c r="X120" i="7" s="1"/>
  <c r="T121" i="7" a="1"/>
  <c r="T121" i="7" s="1"/>
  <c r="U121" i="7" a="1"/>
  <c r="U121" i="7" s="1"/>
  <c r="V121" i="7" a="1"/>
  <c r="V121" i="7" s="1"/>
  <c r="W121" i="7" a="1"/>
  <c r="W121" i="7" s="1"/>
  <c r="X121" i="7" a="1"/>
  <c r="X121" i="7" s="1"/>
  <c r="T122" i="7" a="1"/>
  <c r="T122" i="7" s="1"/>
  <c r="U122" i="7" a="1"/>
  <c r="U122" i="7" s="1"/>
  <c r="V122" i="7" a="1"/>
  <c r="V122" i="7" s="1"/>
  <c r="W122" i="7" a="1"/>
  <c r="W122" i="7" s="1"/>
  <c r="X122" i="7" a="1"/>
  <c r="X122" i="7" s="1"/>
  <c r="T123" i="7" a="1"/>
  <c r="T123" i="7" s="1"/>
  <c r="U123" i="7" a="1"/>
  <c r="U123" i="7" s="1"/>
  <c r="V123" i="7" a="1"/>
  <c r="V123" i="7" s="1"/>
  <c r="W123" i="7" a="1"/>
  <c r="W123" i="7" s="1"/>
  <c r="X123" i="7" a="1"/>
  <c r="X123" i="7" s="1"/>
  <c r="T124" i="7" a="1"/>
  <c r="T124" i="7" s="1"/>
  <c r="U124" i="7" a="1"/>
  <c r="U124" i="7" s="1"/>
  <c r="V124" i="7" a="1"/>
  <c r="V124" i="7" s="1"/>
  <c r="W124" i="7" a="1"/>
  <c r="W124" i="7" s="1"/>
  <c r="X124" i="7" a="1"/>
  <c r="X124" i="7" s="1"/>
  <c r="T125" i="7" a="1"/>
  <c r="T125" i="7" s="1"/>
  <c r="U125" i="7" a="1"/>
  <c r="U125" i="7" s="1"/>
  <c r="V125" i="7" a="1"/>
  <c r="V125" i="7" s="1"/>
  <c r="W125" i="7" a="1"/>
  <c r="W125" i="7" s="1"/>
  <c r="X125" i="7" a="1"/>
  <c r="X125" i="7" s="1"/>
  <c r="T126" i="7" a="1"/>
  <c r="T126" i="7" s="1"/>
  <c r="U126" i="7" a="1"/>
  <c r="U126" i="7" s="1"/>
  <c r="V126" i="7" a="1"/>
  <c r="V126" i="7" s="1"/>
  <c r="W126" i="7" a="1"/>
  <c r="W126" i="7" s="1"/>
  <c r="X126" i="7" a="1"/>
  <c r="X126" i="7" s="1"/>
  <c r="T127" i="7" a="1"/>
  <c r="T127" i="7" s="1"/>
  <c r="U127" i="7" a="1"/>
  <c r="U127" i="7" s="1"/>
  <c r="V127" i="7" a="1"/>
  <c r="V127" i="7" s="1"/>
  <c r="W127" i="7" a="1"/>
  <c r="W127" i="7" s="1"/>
  <c r="X127" i="7" a="1"/>
  <c r="X127" i="7" s="1"/>
  <c r="T128" i="7" a="1"/>
  <c r="T128" i="7" s="1"/>
  <c r="U128" i="7" a="1"/>
  <c r="U128" i="7" s="1"/>
  <c r="V128" i="7" a="1"/>
  <c r="V128" i="7" s="1"/>
  <c r="W128" i="7" a="1"/>
  <c r="W128" i="7" s="1"/>
  <c r="X128" i="7" a="1"/>
  <c r="X128" i="7" s="1"/>
  <c r="T129" i="7" a="1"/>
  <c r="T129" i="7" s="1"/>
  <c r="U129" i="7" a="1"/>
  <c r="U129" i="7" s="1"/>
  <c r="V129" i="7" a="1"/>
  <c r="V129" i="7" s="1"/>
  <c r="W129" i="7" a="1"/>
  <c r="W129" i="7" s="1"/>
  <c r="X129" i="7" a="1"/>
  <c r="X129" i="7" s="1"/>
  <c r="T130" i="7" a="1"/>
  <c r="T130" i="7" s="1"/>
  <c r="U130" i="7" a="1"/>
  <c r="U130" i="7" s="1"/>
  <c r="V130" i="7" a="1"/>
  <c r="V130" i="7" s="1"/>
  <c r="W130" i="7" a="1"/>
  <c r="W130" i="7" s="1"/>
  <c r="X130" i="7" a="1"/>
  <c r="X130" i="7" s="1"/>
  <c r="T131" i="7" a="1"/>
  <c r="T131" i="7" s="1"/>
  <c r="U131" i="7" a="1"/>
  <c r="U131" i="7" s="1"/>
  <c r="V131" i="7" a="1"/>
  <c r="V131" i="7" s="1"/>
  <c r="W131" i="7" a="1"/>
  <c r="W131" i="7" s="1"/>
  <c r="X131" i="7" a="1"/>
  <c r="X131" i="7" s="1"/>
  <c r="T132" i="7" a="1"/>
  <c r="T132" i="7" s="1"/>
  <c r="U132" i="7" a="1"/>
  <c r="U132" i="7" s="1"/>
  <c r="V132" i="7" a="1"/>
  <c r="V132" i="7" s="1"/>
  <c r="W132" i="7" a="1"/>
  <c r="W132" i="7" s="1"/>
  <c r="X132" i="7" a="1"/>
  <c r="X132" i="7" s="1"/>
  <c r="T133" i="7" a="1"/>
  <c r="T133" i="7" s="1"/>
  <c r="U133" i="7" a="1"/>
  <c r="U133" i="7" s="1"/>
  <c r="V133" i="7" a="1"/>
  <c r="V133" i="7" s="1"/>
  <c r="W133" i="7" a="1"/>
  <c r="W133" i="7" s="1"/>
  <c r="X133" i="7" a="1"/>
  <c r="X133" i="7" s="1"/>
  <c r="T134" i="7" a="1"/>
  <c r="T134" i="7" s="1"/>
  <c r="U134" i="7" a="1"/>
  <c r="U134" i="7" s="1"/>
  <c r="V134" i="7" a="1"/>
  <c r="V134" i="7" s="1"/>
  <c r="W134" i="7" a="1"/>
  <c r="W134" i="7" s="1"/>
  <c r="X134" i="7" a="1"/>
  <c r="X134" i="7" s="1"/>
  <c r="T135" i="7" a="1"/>
  <c r="T135" i="7" s="1"/>
  <c r="U135" i="7" a="1"/>
  <c r="U135" i="7" s="1"/>
  <c r="V135" i="7" a="1"/>
  <c r="V135" i="7" s="1"/>
  <c r="W135" i="7" a="1"/>
  <c r="W135" i="7" s="1"/>
  <c r="X135" i="7" a="1"/>
  <c r="X135" i="7" s="1"/>
  <c r="T136" i="7" a="1"/>
  <c r="T136" i="7" s="1"/>
  <c r="U136" i="7" a="1"/>
  <c r="U136" i="7" s="1"/>
  <c r="V136" i="7" a="1"/>
  <c r="V136" i="7" s="1"/>
  <c r="W136" i="7" a="1"/>
  <c r="W136" i="7" s="1"/>
  <c r="X136" i="7" a="1"/>
  <c r="X136" i="7" s="1"/>
  <c r="T137" i="7" a="1"/>
  <c r="T137" i="7" s="1"/>
  <c r="U137" i="7" a="1"/>
  <c r="U137" i="7" s="1"/>
  <c r="V137" i="7" a="1"/>
  <c r="V137" i="7" s="1"/>
  <c r="W137" i="7" a="1"/>
  <c r="W137" i="7" s="1"/>
  <c r="X137" i="7" a="1"/>
  <c r="X137" i="7" s="1"/>
  <c r="T138" i="7" a="1"/>
  <c r="T138" i="7" s="1"/>
  <c r="U138" i="7" a="1"/>
  <c r="U138" i="7" s="1"/>
  <c r="V138" i="7" a="1"/>
  <c r="V138" i="7" s="1"/>
  <c r="W138" i="7" a="1"/>
  <c r="W138" i="7" s="1"/>
  <c r="X138" i="7" a="1"/>
  <c r="X138" i="7" s="1"/>
  <c r="T139" i="7" a="1"/>
  <c r="T139" i="7" s="1"/>
  <c r="U139" i="7" a="1"/>
  <c r="U139" i="7" s="1"/>
  <c r="V139" i="7" a="1"/>
  <c r="V139" i="7" s="1"/>
  <c r="W139" i="7" a="1"/>
  <c r="W139" i="7" s="1"/>
  <c r="X139" i="7" a="1"/>
  <c r="X139" i="7" s="1"/>
  <c r="T140" i="7" a="1"/>
  <c r="T140" i="7" s="1"/>
  <c r="U140" i="7" a="1"/>
  <c r="U140" i="7" s="1"/>
  <c r="V140" i="7" a="1"/>
  <c r="V140" i="7" s="1"/>
  <c r="W140" i="7" a="1"/>
  <c r="W140" i="7" s="1"/>
  <c r="X140" i="7" a="1"/>
  <c r="X140" i="7" s="1"/>
  <c r="T141" i="7" a="1"/>
  <c r="T141" i="7" s="1"/>
  <c r="U141" i="7" a="1"/>
  <c r="U141" i="7" s="1"/>
  <c r="V141" i="7" a="1"/>
  <c r="V141" i="7" s="1"/>
  <c r="W141" i="7" a="1"/>
  <c r="W141" i="7" s="1"/>
  <c r="X141" i="7" a="1"/>
  <c r="X141" i="7" s="1"/>
  <c r="T142" i="7" a="1"/>
  <c r="T142" i="7" s="1"/>
  <c r="U142" i="7" a="1"/>
  <c r="U142" i="7" s="1"/>
  <c r="V142" i="7" a="1"/>
  <c r="V142" i="7" s="1"/>
  <c r="W142" i="7" a="1"/>
  <c r="W142" i="7" s="1"/>
  <c r="X142" i="7" a="1"/>
  <c r="X142" i="7" s="1"/>
  <c r="T143" i="7" a="1"/>
  <c r="T143" i="7" s="1"/>
  <c r="U143" i="7" a="1"/>
  <c r="U143" i="7" s="1"/>
  <c r="V143" i="7" a="1"/>
  <c r="V143" i="7" s="1"/>
  <c r="W143" i="7" a="1"/>
  <c r="W143" i="7" s="1"/>
  <c r="X143" i="7" a="1"/>
  <c r="X143" i="7" s="1"/>
  <c r="T144" i="7" a="1"/>
  <c r="T144" i="7" s="1"/>
  <c r="U144" i="7" a="1"/>
  <c r="U144" i="7" s="1"/>
  <c r="V144" i="7" a="1"/>
  <c r="V144" i="7" s="1"/>
  <c r="W144" i="7" a="1"/>
  <c r="W144" i="7" s="1"/>
  <c r="X144" i="7" a="1"/>
  <c r="X144" i="7" s="1"/>
  <c r="T145" i="7" a="1"/>
  <c r="T145" i="7" s="1"/>
  <c r="U145" i="7" a="1"/>
  <c r="U145" i="7" s="1"/>
  <c r="V145" i="7" a="1"/>
  <c r="V145" i="7" s="1"/>
  <c r="W145" i="7" a="1"/>
  <c r="W145" i="7" s="1"/>
  <c r="X145" i="7" a="1"/>
  <c r="X145" i="7" s="1"/>
  <c r="T146" i="7" a="1"/>
  <c r="T146" i="7" s="1"/>
  <c r="U146" i="7" a="1"/>
  <c r="U146" i="7" s="1"/>
  <c r="V146" i="7" a="1"/>
  <c r="V146" i="7" s="1"/>
  <c r="W146" i="7" a="1"/>
  <c r="W146" i="7" s="1"/>
  <c r="X146" i="7" a="1"/>
  <c r="X146" i="7" s="1"/>
  <c r="T147" i="7" a="1"/>
  <c r="T147" i="7" s="1"/>
  <c r="U147" i="7" a="1"/>
  <c r="U147" i="7" s="1"/>
  <c r="V147" i="7" a="1"/>
  <c r="V147" i="7" s="1"/>
  <c r="W147" i="7" a="1"/>
  <c r="W147" i="7" s="1"/>
  <c r="X147" i="7" a="1"/>
  <c r="X147" i="7" s="1"/>
  <c r="T148" i="7" a="1"/>
  <c r="T148" i="7" s="1"/>
  <c r="U148" i="7" a="1"/>
  <c r="U148" i="7" s="1"/>
  <c r="V148" i="7" a="1"/>
  <c r="V148" i="7" s="1"/>
  <c r="W148" i="7" a="1"/>
  <c r="W148" i="7" s="1"/>
  <c r="X148" i="7" a="1"/>
  <c r="X148" i="7" s="1"/>
  <c r="T149" i="7" a="1"/>
  <c r="T149" i="7" s="1"/>
  <c r="U149" i="7" a="1"/>
  <c r="U149" i="7" s="1"/>
  <c r="V149" i="7" a="1"/>
  <c r="V149" i="7" s="1"/>
  <c r="W149" i="7" a="1"/>
  <c r="W149" i="7" s="1"/>
  <c r="X149" i="7" a="1"/>
  <c r="X149" i="7" s="1"/>
  <c r="T150" i="7" a="1"/>
  <c r="T150" i="7" s="1"/>
  <c r="U150" i="7" a="1"/>
  <c r="U150" i="7" s="1"/>
  <c r="V150" i="7" a="1"/>
  <c r="V150" i="7" s="1"/>
  <c r="W150" i="7" a="1"/>
  <c r="W150" i="7" s="1"/>
  <c r="X150" i="7" a="1"/>
  <c r="X150" i="7" s="1"/>
  <c r="T151" i="7" a="1"/>
  <c r="T151" i="7" s="1"/>
  <c r="U151" i="7" a="1"/>
  <c r="U151" i="7" s="1"/>
  <c r="V151" i="7" a="1"/>
  <c r="V151" i="7" s="1"/>
  <c r="W151" i="7" a="1"/>
  <c r="W151" i="7" s="1"/>
  <c r="X151" i="7" a="1"/>
  <c r="X151" i="7" s="1"/>
  <c r="T152" i="7" a="1"/>
  <c r="T152" i="7" s="1"/>
  <c r="U152" i="7" a="1"/>
  <c r="U152" i="7" s="1"/>
  <c r="V152" i="7" a="1"/>
  <c r="V152" i="7" s="1"/>
  <c r="W152" i="7" a="1"/>
  <c r="W152" i="7" s="1"/>
  <c r="X152" i="7" a="1"/>
  <c r="X152" i="7" s="1"/>
  <c r="T153" i="7" a="1"/>
  <c r="T153" i="7" s="1"/>
  <c r="U153" i="7" a="1"/>
  <c r="U153" i="7" s="1"/>
  <c r="V153" i="7" a="1"/>
  <c r="V153" i="7" s="1"/>
  <c r="W153" i="7" a="1"/>
  <c r="W153" i="7" s="1"/>
  <c r="X153" i="7" a="1"/>
  <c r="X153" i="7" s="1"/>
  <c r="T154" i="7" a="1"/>
  <c r="T154" i="7" s="1"/>
  <c r="U154" i="7" a="1"/>
  <c r="U154" i="7" s="1"/>
  <c r="V154" i="7" a="1"/>
  <c r="V154" i="7" s="1"/>
  <c r="W154" i="7" a="1"/>
  <c r="W154" i="7" s="1"/>
  <c r="X154" i="7" a="1"/>
  <c r="X154" i="7" s="1"/>
  <c r="T155" i="7" a="1"/>
  <c r="T155" i="7" s="1"/>
  <c r="U155" i="7" a="1"/>
  <c r="U155" i="7" s="1"/>
  <c r="V155" i="7" a="1"/>
  <c r="V155" i="7" s="1"/>
  <c r="W155" i="7" a="1"/>
  <c r="W155" i="7" s="1"/>
  <c r="X155" i="7" a="1"/>
  <c r="X155" i="7" s="1"/>
  <c r="T156" i="7" a="1"/>
  <c r="T156" i="7" s="1"/>
  <c r="U156" i="7" a="1"/>
  <c r="U156" i="7" s="1"/>
  <c r="V156" i="7" a="1"/>
  <c r="V156" i="7" s="1"/>
  <c r="W156" i="7" a="1"/>
  <c r="W156" i="7" s="1"/>
  <c r="X156" i="7" a="1"/>
  <c r="X156" i="7" s="1"/>
  <c r="T157" i="7" a="1"/>
  <c r="T157" i="7" s="1"/>
  <c r="U157" i="7" a="1"/>
  <c r="U157" i="7" s="1"/>
  <c r="V157" i="7" a="1"/>
  <c r="V157" i="7" s="1"/>
  <c r="W157" i="7" a="1"/>
  <c r="W157" i="7" s="1"/>
  <c r="X157" i="7" a="1"/>
  <c r="X157" i="7" s="1"/>
  <c r="T158" i="7" a="1"/>
  <c r="T158" i="7" s="1"/>
  <c r="U158" i="7" a="1"/>
  <c r="U158" i="7" s="1"/>
  <c r="V158" i="7" a="1"/>
  <c r="V158" i="7" s="1"/>
  <c r="W158" i="7" a="1"/>
  <c r="W158" i="7" s="1"/>
  <c r="X158" i="7" a="1"/>
  <c r="X158" i="7" s="1"/>
  <c r="T159" i="7" a="1"/>
  <c r="T159" i="7" s="1"/>
  <c r="U159" i="7" a="1"/>
  <c r="U159" i="7" s="1"/>
  <c r="V159" i="7" a="1"/>
  <c r="V159" i="7" s="1"/>
  <c r="W159" i="7" a="1"/>
  <c r="W159" i="7" s="1"/>
  <c r="X159" i="7" a="1"/>
  <c r="X159" i="7" s="1"/>
  <c r="T160" i="7" a="1"/>
  <c r="T160" i="7" s="1"/>
  <c r="U160" i="7" a="1"/>
  <c r="U160" i="7" s="1"/>
  <c r="V160" i="7" a="1"/>
  <c r="V160" i="7" s="1"/>
  <c r="W160" i="7" a="1"/>
  <c r="W160" i="7" s="1"/>
  <c r="X160" i="7" a="1"/>
  <c r="X160" i="7" s="1"/>
  <c r="T161" i="7" a="1"/>
  <c r="T161" i="7" s="1"/>
  <c r="U161" i="7" a="1"/>
  <c r="U161" i="7" s="1"/>
  <c r="V161" i="7" a="1"/>
  <c r="V161" i="7" s="1"/>
  <c r="W161" i="7" a="1"/>
  <c r="W161" i="7" s="1"/>
  <c r="X161" i="7" a="1"/>
  <c r="X161" i="7" s="1"/>
  <c r="T162" i="7" a="1"/>
  <c r="T162" i="7" s="1"/>
  <c r="U162" i="7" a="1"/>
  <c r="U162" i="7" s="1"/>
  <c r="V162" i="7" a="1"/>
  <c r="V162" i="7" s="1"/>
  <c r="W162" i="7" a="1"/>
  <c r="W162" i="7" s="1"/>
  <c r="X162" i="7" a="1"/>
  <c r="X162" i="7" s="1"/>
  <c r="T163" i="7" a="1"/>
  <c r="T163" i="7" s="1"/>
  <c r="U163" i="7" a="1"/>
  <c r="U163" i="7" s="1"/>
  <c r="V163" i="7" a="1"/>
  <c r="V163" i="7" s="1"/>
  <c r="W163" i="7" a="1"/>
  <c r="W163" i="7" s="1"/>
  <c r="X163" i="7" a="1"/>
  <c r="X163" i="7" s="1"/>
  <c r="T164" i="7" a="1"/>
  <c r="T164" i="7" s="1"/>
  <c r="U164" i="7" a="1"/>
  <c r="U164" i="7" s="1"/>
  <c r="V164" i="7" a="1"/>
  <c r="V164" i="7" s="1"/>
  <c r="W164" i="7" a="1"/>
  <c r="W164" i="7" s="1"/>
  <c r="X164" i="7" a="1"/>
  <c r="X164" i="7" s="1"/>
  <c r="T165" i="7" a="1"/>
  <c r="T165" i="7" s="1"/>
  <c r="U165" i="7" a="1"/>
  <c r="U165" i="7" s="1"/>
  <c r="V165" i="7" a="1"/>
  <c r="V165" i="7" s="1"/>
  <c r="W165" i="7" a="1"/>
  <c r="W165" i="7" s="1"/>
  <c r="X165" i="7" a="1"/>
  <c r="X165" i="7" s="1"/>
  <c r="T166" i="7" a="1"/>
  <c r="T166" i="7" s="1"/>
  <c r="U166" i="7" a="1"/>
  <c r="U166" i="7" s="1"/>
  <c r="V166" i="7" a="1"/>
  <c r="V166" i="7" s="1"/>
  <c r="W166" i="7" a="1"/>
  <c r="W166" i="7" s="1"/>
  <c r="X166" i="7" a="1"/>
  <c r="X166" i="7" s="1"/>
  <c r="T167" i="7" a="1"/>
  <c r="T167" i="7" s="1"/>
  <c r="U167" i="7" a="1"/>
  <c r="U167" i="7" s="1"/>
  <c r="V167" i="7" a="1"/>
  <c r="V167" i="7" s="1"/>
  <c r="W167" i="7" a="1"/>
  <c r="W167" i="7" s="1"/>
  <c r="X167" i="7" a="1"/>
  <c r="X167" i="7" s="1"/>
  <c r="T168" i="7" a="1"/>
  <c r="T168" i="7" s="1"/>
  <c r="U168" i="7" a="1"/>
  <c r="U168" i="7" s="1"/>
  <c r="V168" i="7" a="1"/>
  <c r="V168" i="7" s="1"/>
  <c r="W168" i="7" a="1"/>
  <c r="W168" i="7" s="1"/>
  <c r="X168" i="7" a="1"/>
  <c r="X168" i="7" s="1"/>
  <c r="T169" i="7" a="1"/>
  <c r="T169" i="7" s="1"/>
  <c r="U169" i="7" a="1"/>
  <c r="U169" i="7" s="1"/>
  <c r="V169" i="7" a="1"/>
  <c r="V169" i="7" s="1"/>
  <c r="W169" i="7" a="1"/>
  <c r="W169" i="7" s="1"/>
  <c r="X169" i="7" a="1"/>
  <c r="X169" i="7" s="1"/>
  <c r="T170" i="7" a="1"/>
  <c r="T170" i="7" s="1"/>
  <c r="U170" i="7" a="1"/>
  <c r="U170" i="7" s="1"/>
  <c r="V170" i="7" a="1"/>
  <c r="V170" i="7" s="1"/>
  <c r="W170" i="7" a="1"/>
  <c r="W170" i="7" s="1"/>
  <c r="X170" i="7" a="1"/>
  <c r="X170" i="7" s="1"/>
  <c r="T171" i="7" a="1"/>
  <c r="T171" i="7" s="1"/>
  <c r="U171" i="7" a="1"/>
  <c r="U171" i="7" s="1"/>
  <c r="V171" i="7" a="1"/>
  <c r="V171" i="7" s="1"/>
  <c r="W171" i="7" a="1"/>
  <c r="W171" i="7" s="1"/>
  <c r="X171" i="7" a="1"/>
  <c r="X171" i="7" s="1"/>
  <c r="T172" i="7" a="1"/>
  <c r="T172" i="7" s="1"/>
  <c r="U172" i="7" a="1"/>
  <c r="U172" i="7" s="1"/>
  <c r="V172" i="7" a="1"/>
  <c r="V172" i="7" s="1"/>
  <c r="W172" i="7" a="1"/>
  <c r="W172" i="7" s="1"/>
  <c r="X172" i="7" a="1"/>
  <c r="X172" i="7" s="1"/>
  <c r="T173" i="7" a="1"/>
  <c r="T173" i="7" s="1"/>
  <c r="U173" i="7" a="1"/>
  <c r="U173" i="7" s="1"/>
  <c r="V173" i="7" a="1"/>
  <c r="V173" i="7" s="1"/>
  <c r="W173" i="7" a="1"/>
  <c r="W173" i="7" s="1"/>
  <c r="X173" i="7" a="1"/>
  <c r="X173" i="7" s="1"/>
  <c r="T174" i="7" a="1"/>
  <c r="T174" i="7" s="1"/>
  <c r="U174" i="7" a="1"/>
  <c r="U174" i="7" s="1"/>
  <c r="V174" i="7" a="1"/>
  <c r="V174" i="7" s="1"/>
  <c r="W174" i="7" a="1"/>
  <c r="W174" i="7" s="1"/>
  <c r="X174" i="7" a="1"/>
  <c r="X174" i="7" s="1"/>
  <c r="T175" i="7" a="1"/>
  <c r="T175" i="7" s="1"/>
  <c r="U175" i="7" a="1"/>
  <c r="U175" i="7" s="1"/>
  <c r="V175" i="7" a="1"/>
  <c r="V175" i="7" s="1"/>
  <c r="W175" i="7" a="1"/>
  <c r="W175" i="7" s="1"/>
  <c r="X175" i="7" a="1"/>
  <c r="X175" i="7" s="1"/>
  <c r="T176" i="7" a="1"/>
  <c r="T176" i="7" s="1"/>
  <c r="U176" i="7" a="1"/>
  <c r="U176" i="7" s="1"/>
  <c r="V176" i="7" a="1"/>
  <c r="V176" i="7" s="1"/>
  <c r="W176" i="7" a="1"/>
  <c r="W176" i="7" s="1"/>
  <c r="X176" i="7" a="1"/>
  <c r="X176" i="7" s="1"/>
  <c r="T177" i="7" a="1"/>
  <c r="T177" i="7" s="1"/>
  <c r="U177" i="7" a="1"/>
  <c r="U177" i="7" s="1"/>
  <c r="V177" i="7" a="1"/>
  <c r="V177" i="7" s="1"/>
  <c r="W177" i="7" a="1"/>
  <c r="W177" i="7" s="1"/>
  <c r="X177" i="7" a="1"/>
  <c r="X177" i="7" s="1"/>
  <c r="T178" i="7" a="1"/>
  <c r="T178" i="7" s="1"/>
  <c r="U178" i="7" a="1"/>
  <c r="U178" i="7" s="1"/>
  <c r="V178" i="7" a="1"/>
  <c r="V178" i="7" s="1"/>
  <c r="W178" i="7" a="1"/>
  <c r="W178" i="7" s="1"/>
  <c r="X178" i="7" a="1"/>
  <c r="X178" i="7" s="1"/>
  <c r="T179" i="7" a="1"/>
  <c r="T179" i="7" s="1"/>
  <c r="U179" i="7" a="1"/>
  <c r="U179" i="7" s="1"/>
  <c r="V179" i="7" a="1"/>
  <c r="V179" i="7" s="1"/>
  <c r="W179" i="7" a="1"/>
  <c r="W179" i="7" s="1"/>
  <c r="X179" i="7" a="1"/>
  <c r="X179" i="7" s="1"/>
  <c r="T180" i="7" a="1"/>
  <c r="T180" i="7" s="1"/>
  <c r="U180" i="7" a="1"/>
  <c r="U180" i="7" s="1"/>
  <c r="V180" i="7" a="1"/>
  <c r="V180" i="7" s="1"/>
  <c r="W180" i="7" a="1"/>
  <c r="W180" i="7" s="1"/>
  <c r="X180" i="7" a="1"/>
  <c r="X180" i="7" s="1"/>
  <c r="T181" i="7" a="1"/>
  <c r="T181" i="7" s="1"/>
  <c r="U181" i="7" a="1"/>
  <c r="U181" i="7" s="1"/>
  <c r="V181" i="7" a="1"/>
  <c r="V181" i="7" s="1"/>
  <c r="W181" i="7" a="1"/>
  <c r="W181" i="7" s="1"/>
  <c r="X181" i="7" a="1"/>
  <c r="X181" i="7" s="1"/>
  <c r="T182" i="7" a="1"/>
  <c r="T182" i="7" s="1"/>
  <c r="U182" i="7" a="1"/>
  <c r="U182" i="7" s="1"/>
  <c r="V182" i="7" a="1"/>
  <c r="V182" i="7" s="1"/>
  <c r="W182" i="7" a="1"/>
  <c r="W182" i="7" s="1"/>
  <c r="X182" i="7" a="1"/>
  <c r="X182" i="7" s="1"/>
  <c r="T183" i="7" a="1"/>
  <c r="T183" i="7" s="1"/>
  <c r="U183" i="7" a="1"/>
  <c r="U183" i="7" s="1"/>
  <c r="V183" i="7" a="1"/>
  <c r="V183" i="7" s="1"/>
  <c r="W183" i="7" a="1"/>
  <c r="W183" i="7" s="1"/>
  <c r="X183" i="7" a="1"/>
  <c r="X183" i="7" s="1"/>
  <c r="T184" i="7" a="1"/>
  <c r="T184" i="7" s="1"/>
  <c r="U184" i="7" a="1"/>
  <c r="U184" i="7" s="1"/>
  <c r="V184" i="7" a="1"/>
  <c r="V184" i="7" s="1"/>
  <c r="W184" i="7" a="1"/>
  <c r="W184" i="7" s="1"/>
  <c r="X184" i="7" a="1"/>
  <c r="X184" i="7" s="1"/>
  <c r="T185" i="7" a="1"/>
  <c r="T185" i="7" s="1"/>
  <c r="U185" i="7" a="1"/>
  <c r="U185" i="7" s="1"/>
  <c r="V185" i="7" a="1"/>
  <c r="V185" i="7" s="1"/>
  <c r="W185" i="7" a="1"/>
  <c r="W185" i="7" s="1"/>
  <c r="X185" i="7" a="1"/>
  <c r="X185" i="7" s="1"/>
  <c r="T186" i="7" a="1"/>
  <c r="T186" i="7" s="1"/>
  <c r="U186" i="7" a="1"/>
  <c r="U186" i="7" s="1"/>
  <c r="V186" i="7" a="1"/>
  <c r="V186" i="7" s="1"/>
  <c r="W186" i="7" a="1"/>
  <c r="W186" i="7" s="1"/>
  <c r="X186" i="7" a="1"/>
  <c r="X186" i="7" s="1"/>
  <c r="T187" i="7" a="1"/>
  <c r="T187" i="7" s="1"/>
  <c r="U187" i="7" a="1"/>
  <c r="U187" i="7" s="1"/>
  <c r="V187" i="7" a="1"/>
  <c r="V187" i="7" s="1"/>
  <c r="W187" i="7" a="1"/>
  <c r="W187" i="7" s="1"/>
  <c r="X187" i="7" a="1"/>
  <c r="X187" i="7" s="1"/>
  <c r="T188" i="7" a="1"/>
  <c r="T188" i="7" s="1"/>
  <c r="U188" i="7" a="1"/>
  <c r="U188" i="7" s="1"/>
  <c r="V188" i="7" a="1"/>
  <c r="V188" i="7" s="1"/>
  <c r="W188" i="7" a="1"/>
  <c r="W188" i="7" s="1"/>
  <c r="X188" i="7" a="1"/>
  <c r="X188" i="7" s="1"/>
  <c r="T189" i="7" a="1"/>
  <c r="T189" i="7" s="1"/>
  <c r="U189" i="7" a="1"/>
  <c r="U189" i="7" s="1"/>
  <c r="V189" i="7" a="1"/>
  <c r="V189" i="7" s="1"/>
  <c r="W189" i="7" a="1"/>
  <c r="W189" i="7" s="1"/>
  <c r="X189" i="7" a="1"/>
  <c r="X189" i="7" s="1"/>
  <c r="T190" i="7" a="1"/>
  <c r="T190" i="7" s="1"/>
  <c r="U190" i="7" a="1"/>
  <c r="U190" i="7" s="1"/>
  <c r="V190" i="7" a="1"/>
  <c r="V190" i="7" s="1"/>
  <c r="W190" i="7" a="1"/>
  <c r="W190" i="7" s="1"/>
  <c r="X190" i="7" a="1"/>
  <c r="X190" i="7" s="1"/>
  <c r="T191" i="7" a="1"/>
  <c r="T191" i="7" s="1"/>
  <c r="U191" i="7" a="1"/>
  <c r="U191" i="7" s="1"/>
  <c r="V191" i="7" a="1"/>
  <c r="V191" i="7" s="1"/>
  <c r="W191" i="7" a="1"/>
  <c r="W191" i="7" s="1"/>
  <c r="X191" i="7" a="1"/>
  <c r="X191" i="7" s="1"/>
  <c r="T192" i="7" a="1"/>
  <c r="T192" i="7" s="1"/>
  <c r="U192" i="7" a="1"/>
  <c r="U192" i="7" s="1"/>
  <c r="V192" i="7" a="1"/>
  <c r="V192" i="7" s="1"/>
  <c r="W192" i="7" a="1"/>
  <c r="W192" i="7" s="1"/>
  <c r="X192" i="7" a="1"/>
  <c r="X192" i="7" s="1"/>
  <c r="V8" i="7" a="1"/>
  <c r="V8" i="7" s="1"/>
  <c r="W8" i="7" a="1"/>
  <c r="W8" i="7" s="1"/>
  <c r="X8" i="7" a="1"/>
  <c r="X8" i="7" s="1"/>
  <c r="U8" i="7" a="1"/>
  <c r="U8" i="7" s="1"/>
  <c r="T8" i="7" a="1"/>
  <c r="T8" i="7" s="1"/>
  <c r="P10" i="16" a="1"/>
  <c r="P10" i="16" s="1"/>
  <c r="Q10" i="16" a="1"/>
  <c r="Q10" i="16" s="1"/>
  <c r="R10" i="16" a="1"/>
  <c r="R10" i="16" s="1"/>
  <c r="S10" i="16" a="1"/>
  <c r="S10" i="16" s="1"/>
  <c r="P11" i="16" a="1"/>
  <c r="P11" i="16" s="1"/>
  <c r="Q11" i="16" a="1"/>
  <c r="Q11" i="16" s="1"/>
  <c r="R11" i="16" a="1"/>
  <c r="R11" i="16" s="1"/>
  <c r="S11" i="16" a="1"/>
  <c r="S11" i="16" s="1"/>
  <c r="P12" i="16" a="1"/>
  <c r="P12" i="16" s="1"/>
  <c r="Q12" i="16" a="1"/>
  <c r="Q12" i="16" s="1"/>
  <c r="R12" i="16" a="1"/>
  <c r="R12" i="16" s="1"/>
  <c r="S12" i="16" a="1"/>
  <c r="S12" i="16" s="1"/>
  <c r="P13" i="16" a="1"/>
  <c r="P13" i="16" s="1"/>
  <c r="Q13" i="16" a="1"/>
  <c r="Q13" i="16" s="1"/>
  <c r="R13" i="16" a="1"/>
  <c r="R13" i="16" s="1"/>
  <c r="S13" i="16" a="1"/>
  <c r="S13" i="16" s="1"/>
  <c r="P14" i="16" a="1"/>
  <c r="P14" i="16" s="1"/>
  <c r="Q14" i="16" a="1"/>
  <c r="Q14" i="16" s="1"/>
  <c r="R14" i="16" a="1"/>
  <c r="R14" i="16" s="1"/>
  <c r="S14" i="16" a="1"/>
  <c r="S14" i="16" s="1"/>
  <c r="P15" i="16" a="1"/>
  <c r="P15" i="16" s="1"/>
  <c r="Q15" i="16" a="1"/>
  <c r="Q15" i="16" s="1"/>
  <c r="R15" i="16" a="1"/>
  <c r="R15" i="16" s="1"/>
  <c r="S15" i="16" a="1"/>
  <c r="S15" i="16" s="1"/>
  <c r="P16" i="16" a="1"/>
  <c r="P16" i="16" s="1"/>
  <c r="Q16" i="16" a="1"/>
  <c r="Q16" i="16" s="1"/>
  <c r="R16" i="16" a="1"/>
  <c r="R16" i="16" s="1"/>
  <c r="S16" i="16" a="1"/>
  <c r="S16" i="16" s="1"/>
  <c r="P17" i="16" a="1"/>
  <c r="P17" i="16" s="1"/>
  <c r="Q17" i="16" a="1"/>
  <c r="Q17" i="16" s="1"/>
  <c r="R17" i="16" a="1"/>
  <c r="R17" i="16" s="1"/>
  <c r="S17" i="16" a="1"/>
  <c r="S17" i="16" s="1"/>
  <c r="P18" i="16" a="1"/>
  <c r="P18" i="16" s="1"/>
  <c r="Q18" i="16" a="1"/>
  <c r="Q18" i="16" s="1"/>
  <c r="R18" i="16" a="1"/>
  <c r="R18" i="16" s="1"/>
  <c r="S18" i="16" a="1"/>
  <c r="S18" i="16" s="1"/>
  <c r="P19" i="16" a="1"/>
  <c r="P19" i="16" s="1"/>
  <c r="Q19" i="16" a="1"/>
  <c r="Q19" i="16" s="1"/>
  <c r="R19" i="16" a="1"/>
  <c r="R19" i="16" s="1"/>
  <c r="S19" i="16" a="1"/>
  <c r="S19" i="16" s="1"/>
  <c r="P20" i="16" a="1"/>
  <c r="P20" i="16" s="1"/>
  <c r="Q20" i="16" a="1"/>
  <c r="Q20" i="16" s="1"/>
  <c r="R20" i="16" a="1"/>
  <c r="R20" i="16" s="1"/>
  <c r="S20" i="16" a="1"/>
  <c r="S20" i="16" s="1"/>
  <c r="P21" i="16" a="1"/>
  <c r="P21" i="16" s="1"/>
  <c r="Q21" i="16" a="1"/>
  <c r="Q21" i="16" s="1"/>
  <c r="R21" i="16" a="1"/>
  <c r="R21" i="16" s="1"/>
  <c r="S21" i="16" a="1"/>
  <c r="S21" i="16" s="1"/>
  <c r="P22" i="16" a="1"/>
  <c r="P22" i="16" s="1"/>
  <c r="Q22" i="16" a="1"/>
  <c r="Q22" i="16" s="1"/>
  <c r="R22" i="16" a="1"/>
  <c r="R22" i="16" s="1"/>
  <c r="S22" i="16" a="1"/>
  <c r="S22" i="16" s="1"/>
  <c r="P23" i="16" a="1"/>
  <c r="P23" i="16" s="1"/>
  <c r="Q23" i="16" a="1"/>
  <c r="Q23" i="16" s="1"/>
  <c r="R23" i="16" a="1"/>
  <c r="R23" i="16" s="1"/>
  <c r="S23" i="16" a="1"/>
  <c r="S23" i="16" s="1"/>
  <c r="P24" i="16" a="1"/>
  <c r="P24" i="16" s="1"/>
  <c r="Q24" i="16" a="1"/>
  <c r="Q24" i="16" s="1"/>
  <c r="R24" i="16" a="1"/>
  <c r="R24" i="16" s="1"/>
  <c r="S24" i="16" a="1"/>
  <c r="S24" i="16" s="1"/>
  <c r="P25" i="16" a="1"/>
  <c r="P25" i="16" s="1"/>
  <c r="Q25" i="16" a="1"/>
  <c r="Q25" i="16" s="1"/>
  <c r="R25" i="16" a="1"/>
  <c r="R25" i="16" s="1"/>
  <c r="S25" i="16" a="1"/>
  <c r="S25" i="16" s="1"/>
  <c r="P26" i="16" a="1"/>
  <c r="P26" i="16" s="1"/>
  <c r="Q26" i="16" a="1"/>
  <c r="Q26" i="16" s="1"/>
  <c r="R26" i="16" a="1"/>
  <c r="R26" i="16" s="1"/>
  <c r="S26" i="16" a="1"/>
  <c r="S26" i="16" s="1"/>
  <c r="P27" i="16" a="1"/>
  <c r="P27" i="16" s="1"/>
  <c r="Q27" i="16" a="1"/>
  <c r="Q27" i="16" s="1"/>
  <c r="R27" i="16" a="1"/>
  <c r="R27" i="16" s="1"/>
  <c r="S27" i="16" a="1"/>
  <c r="S27" i="16" s="1"/>
  <c r="P28" i="16" a="1"/>
  <c r="P28" i="16" s="1"/>
  <c r="Q28" i="16" a="1"/>
  <c r="Q28" i="16" s="1"/>
  <c r="R28" i="16" a="1"/>
  <c r="R28" i="16" s="1"/>
  <c r="S28" i="16" a="1"/>
  <c r="S28" i="16" s="1"/>
  <c r="P29" i="16" a="1"/>
  <c r="P29" i="16" s="1"/>
  <c r="Q29" i="16" a="1"/>
  <c r="Q29" i="16" s="1"/>
  <c r="R29" i="16" a="1"/>
  <c r="R29" i="16" s="1"/>
  <c r="S29" i="16" a="1"/>
  <c r="S29" i="16" s="1"/>
  <c r="P30" i="16" a="1"/>
  <c r="P30" i="16" s="1"/>
  <c r="Q30" i="16" a="1"/>
  <c r="Q30" i="16" s="1"/>
  <c r="R30" i="16" a="1"/>
  <c r="R30" i="16" s="1"/>
  <c r="S30" i="16" a="1"/>
  <c r="S30" i="16" s="1"/>
  <c r="P31" i="16" a="1"/>
  <c r="P31" i="16" s="1"/>
  <c r="Q31" i="16" a="1"/>
  <c r="Q31" i="16" s="1"/>
  <c r="R31" i="16" a="1"/>
  <c r="R31" i="16" s="1"/>
  <c r="S31" i="16" a="1"/>
  <c r="S31" i="16" s="1"/>
  <c r="P32" i="16" a="1"/>
  <c r="P32" i="16" s="1"/>
  <c r="Q32" i="16" a="1"/>
  <c r="Q32" i="16" s="1"/>
  <c r="R32" i="16" a="1"/>
  <c r="R32" i="16" s="1"/>
  <c r="S32" i="16" a="1"/>
  <c r="S32" i="16" s="1"/>
  <c r="P33" i="16" a="1"/>
  <c r="P33" i="16" s="1"/>
  <c r="Q33" i="16" a="1"/>
  <c r="Q33" i="16" s="1"/>
  <c r="R33" i="16" a="1"/>
  <c r="R33" i="16" s="1"/>
  <c r="S33" i="16" a="1"/>
  <c r="S33" i="16" s="1"/>
  <c r="P34" i="16" a="1"/>
  <c r="P34" i="16" s="1"/>
  <c r="Q34" i="16" a="1"/>
  <c r="Q34" i="16" s="1"/>
  <c r="R34" i="16" a="1"/>
  <c r="R34" i="16" s="1"/>
  <c r="S34" i="16" a="1"/>
  <c r="S34" i="16" s="1"/>
  <c r="P35" i="16" a="1"/>
  <c r="P35" i="16" s="1"/>
  <c r="Q35" i="16" a="1"/>
  <c r="Q35" i="16" s="1"/>
  <c r="R35" i="16" a="1"/>
  <c r="R35" i="16" s="1"/>
  <c r="S35" i="16" a="1"/>
  <c r="S35" i="16" s="1"/>
  <c r="P36" i="16" a="1"/>
  <c r="P36" i="16" s="1"/>
  <c r="Q36" i="16" a="1"/>
  <c r="Q36" i="16" s="1"/>
  <c r="R36" i="16" a="1"/>
  <c r="R36" i="16" s="1"/>
  <c r="S36" i="16" a="1"/>
  <c r="S36" i="16" s="1"/>
  <c r="P37" i="16" a="1"/>
  <c r="P37" i="16" s="1"/>
  <c r="Q37" i="16" a="1"/>
  <c r="Q37" i="16" s="1"/>
  <c r="R37" i="16" a="1"/>
  <c r="R37" i="16" s="1"/>
  <c r="S37" i="16" a="1"/>
  <c r="S37" i="16" s="1"/>
  <c r="P38" i="16" a="1"/>
  <c r="P38" i="16" s="1"/>
  <c r="Q38" i="16" a="1"/>
  <c r="Q38" i="16" s="1"/>
  <c r="R38" i="16" a="1"/>
  <c r="R38" i="16" s="1"/>
  <c r="S38" i="16" a="1"/>
  <c r="S38" i="16" s="1"/>
  <c r="P39" i="16" a="1"/>
  <c r="P39" i="16" s="1"/>
  <c r="Q39" i="16" a="1"/>
  <c r="Q39" i="16" s="1"/>
  <c r="R39" i="16" a="1"/>
  <c r="R39" i="16" s="1"/>
  <c r="S39" i="16" a="1"/>
  <c r="S39" i="16" s="1"/>
  <c r="P40" i="16" a="1"/>
  <c r="P40" i="16" s="1"/>
  <c r="Q40" i="16" a="1"/>
  <c r="Q40" i="16" s="1"/>
  <c r="R40" i="16" a="1"/>
  <c r="R40" i="16" s="1"/>
  <c r="S40" i="16" a="1"/>
  <c r="S40" i="16" s="1"/>
  <c r="P41" i="16" a="1"/>
  <c r="P41" i="16" s="1"/>
  <c r="Q41" i="16" a="1"/>
  <c r="Q41" i="16" s="1"/>
  <c r="R41" i="16" a="1"/>
  <c r="R41" i="16" s="1"/>
  <c r="S41" i="16" a="1"/>
  <c r="S41" i="16" s="1"/>
  <c r="P42" i="16" a="1"/>
  <c r="P42" i="16" s="1"/>
  <c r="Q42" i="16" a="1"/>
  <c r="Q42" i="16" s="1"/>
  <c r="R42" i="16" a="1"/>
  <c r="R42" i="16" s="1"/>
  <c r="S42" i="16" a="1"/>
  <c r="S42" i="16" s="1"/>
  <c r="P43" i="16" a="1"/>
  <c r="P43" i="16" s="1"/>
  <c r="Q43" i="16" a="1"/>
  <c r="Q43" i="16" s="1"/>
  <c r="R43" i="16" a="1"/>
  <c r="R43" i="16" s="1"/>
  <c r="S43" i="16" a="1"/>
  <c r="S43" i="16" s="1"/>
  <c r="P44" i="16" a="1"/>
  <c r="P44" i="16" s="1"/>
  <c r="Q44" i="16" a="1"/>
  <c r="Q44" i="16" s="1"/>
  <c r="R44" i="16" a="1"/>
  <c r="R44" i="16" s="1"/>
  <c r="S44" i="16" a="1"/>
  <c r="S44" i="16" s="1"/>
  <c r="P45" i="16" a="1"/>
  <c r="P45" i="16" s="1"/>
  <c r="Q45" i="16" a="1"/>
  <c r="Q45" i="16" s="1"/>
  <c r="R45" i="16" a="1"/>
  <c r="R45" i="16" s="1"/>
  <c r="S45" i="16" a="1"/>
  <c r="S45" i="16" s="1"/>
  <c r="P46" i="16" a="1"/>
  <c r="P46" i="16" s="1"/>
  <c r="Q46" i="16" a="1"/>
  <c r="Q46" i="16" s="1"/>
  <c r="R46" i="16" a="1"/>
  <c r="R46" i="16" s="1"/>
  <c r="S46" i="16" a="1"/>
  <c r="S46" i="16" s="1"/>
  <c r="P47" i="16" a="1"/>
  <c r="P47" i="16" s="1"/>
  <c r="Q47" i="16" a="1"/>
  <c r="Q47" i="16" s="1"/>
  <c r="R47" i="16" a="1"/>
  <c r="R47" i="16" s="1"/>
  <c r="S47" i="16" a="1"/>
  <c r="S47" i="16" s="1"/>
  <c r="P48" i="16" a="1"/>
  <c r="P48" i="16" s="1"/>
  <c r="Q48" i="16" a="1"/>
  <c r="Q48" i="16" s="1"/>
  <c r="R48" i="16" a="1"/>
  <c r="R48" i="16" s="1"/>
  <c r="S48" i="16" a="1"/>
  <c r="S48" i="16" s="1"/>
  <c r="P49" i="16" a="1"/>
  <c r="P49" i="16" s="1"/>
  <c r="Q49" i="16" a="1"/>
  <c r="Q49" i="16" s="1"/>
  <c r="R49" i="16" a="1"/>
  <c r="R49" i="16" s="1"/>
  <c r="S49" i="16" a="1"/>
  <c r="S49" i="16" s="1"/>
  <c r="P50" i="16" a="1"/>
  <c r="P50" i="16" s="1"/>
  <c r="Q50" i="16" a="1"/>
  <c r="Q50" i="16" s="1"/>
  <c r="R50" i="16" a="1"/>
  <c r="R50" i="16" s="1"/>
  <c r="S50" i="16" a="1"/>
  <c r="S50" i="16" s="1"/>
  <c r="P51" i="16" a="1"/>
  <c r="P51" i="16" s="1"/>
  <c r="Q51" i="16" a="1"/>
  <c r="Q51" i="16" s="1"/>
  <c r="R51" i="16" a="1"/>
  <c r="R51" i="16" s="1"/>
  <c r="S51" i="16" a="1"/>
  <c r="S51" i="16" s="1"/>
  <c r="P52" i="16" a="1"/>
  <c r="P52" i="16" s="1"/>
  <c r="Q52" i="16" a="1"/>
  <c r="Q52" i="16" s="1"/>
  <c r="R52" i="16" a="1"/>
  <c r="R52" i="16" s="1"/>
  <c r="S52" i="16" a="1"/>
  <c r="S52" i="16" s="1"/>
  <c r="P53" i="16" a="1"/>
  <c r="P53" i="16" s="1"/>
  <c r="Q53" i="16" a="1"/>
  <c r="Q53" i="16" s="1"/>
  <c r="R53" i="16" a="1"/>
  <c r="R53" i="16" s="1"/>
  <c r="S53" i="16" a="1"/>
  <c r="S53" i="16" s="1"/>
  <c r="P54" i="16" a="1"/>
  <c r="P54" i="16" s="1"/>
  <c r="Q54" i="16" a="1"/>
  <c r="Q54" i="16" s="1"/>
  <c r="R54" i="16" a="1"/>
  <c r="R54" i="16" s="1"/>
  <c r="S54" i="16" a="1"/>
  <c r="S54" i="16" s="1"/>
  <c r="P55" i="16" a="1"/>
  <c r="P55" i="16" s="1"/>
  <c r="Q55" i="16" a="1"/>
  <c r="Q55" i="16" s="1"/>
  <c r="R55" i="16" a="1"/>
  <c r="R55" i="16" s="1"/>
  <c r="S55" i="16" a="1"/>
  <c r="S55" i="16" s="1"/>
  <c r="P56" i="16" a="1"/>
  <c r="P56" i="16" s="1"/>
  <c r="Q56" i="16" a="1"/>
  <c r="Q56" i="16" s="1"/>
  <c r="R56" i="16" a="1"/>
  <c r="R56" i="16" s="1"/>
  <c r="S56" i="16" a="1"/>
  <c r="S56" i="16" s="1"/>
  <c r="P57" i="16" a="1"/>
  <c r="P57" i="16" s="1"/>
  <c r="Q57" i="16" a="1"/>
  <c r="Q57" i="16" s="1"/>
  <c r="R57" i="16" a="1"/>
  <c r="R57" i="16" s="1"/>
  <c r="S57" i="16" a="1"/>
  <c r="S57" i="16" s="1"/>
  <c r="P58" i="16" a="1"/>
  <c r="P58" i="16" s="1"/>
  <c r="Q58" i="16" a="1"/>
  <c r="Q58" i="16" s="1"/>
  <c r="R58" i="16" a="1"/>
  <c r="R58" i="16" s="1"/>
  <c r="S58" i="16" a="1"/>
  <c r="S58" i="16" s="1"/>
  <c r="P59" i="16" a="1"/>
  <c r="P59" i="16" s="1"/>
  <c r="Q59" i="16" a="1"/>
  <c r="Q59" i="16" s="1"/>
  <c r="R59" i="16" a="1"/>
  <c r="R59" i="16" s="1"/>
  <c r="S59" i="16" a="1"/>
  <c r="S59" i="16" s="1"/>
  <c r="P60" i="16" a="1"/>
  <c r="P60" i="16" s="1"/>
  <c r="Q60" i="16" a="1"/>
  <c r="Q60" i="16" s="1"/>
  <c r="R60" i="16" a="1"/>
  <c r="R60" i="16" s="1"/>
  <c r="S60" i="16" a="1"/>
  <c r="S60" i="16" s="1"/>
  <c r="P61" i="16" a="1"/>
  <c r="P61" i="16" s="1"/>
  <c r="Q61" i="16" a="1"/>
  <c r="Q61" i="16" s="1"/>
  <c r="R61" i="16" a="1"/>
  <c r="R61" i="16" s="1"/>
  <c r="S61" i="16" a="1"/>
  <c r="S61" i="16" s="1"/>
  <c r="P62" i="16" a="1"/>
  <c r="P62" i="16" s="1"/>
  <c r="Q62" i="16" a="1"/>
  <c r="Q62" i="16" s="1"/>
  <c r="R62" i="16" a="1"/>
  <c r="R62" i="16" s="1"/>
  <c r="S62" i="16" a="1"/>
  <c r="S62" i="16" s="1"/>
  <c r="P63" i="16" a="1"/>
  <c r="P63" i="16" s="1"/>
  <c r="Q63" i="16" a="1"/>
  <c r="Q63" i="16" s="1"/>
  <c r="R63" i="16" a="1"/>
  <c r="R63" i="16" s="1"/>
  <c r="S63" i="16" a="1"/>
  <c r="S63" i="16" s="1"/>
  <c r="P64" i="16" a="1"/>
  <c r="P64" i="16" s="1"/>
  <c r="Q64" i="16" a="1"/>
  <c r="Q64" i="16" s="1"/>
  <c r="R64" i="16" a="1"/>
  <c r="R64" i="16" s="1"/>
  <c r="S64" i="16" a="1"/>
  <c r="S64" i="16" s="1"/>
  <c r="P65" i="16" a="1"/>
  <c r="P65" i="16" s="1"/>
  <c r="Q65" i="16" a="1"/>
  <c r="Q65" i="16" s="1"/>
  <c r="R65" i="16" a="1"/>
  <c r="R65" i="16" s="1"/>
  <c r="S65" i="16" a="1"/>
  <c r="S65" i="16" s="1"/>
  <c r="P66" i="16" a="1"/>
  <c r="P66" i="16" s="1"/>
  <c r="Q66" i="16" a="1"/>
  <c r="Q66" i="16" s="1"/>
  <c r="R66" i="16" a="1"/>
  <c r="R66" i="16" s="1"/>
  <c r="S66" i="16" a="1"/>
  <c r="S66" i="16" s="1"/>
  <c r="P67" i="16" a="1"/>
  <c r="P67" i="16" s="1"/>
  <c r="Q67" i="16" a="1"/>
  <c r="Q67" i="16" s="1"/>
  <c r="R67" i="16" a="1"/>
  <c r="R67" i="16" s="1"/>
  <c r="S67" i="16" a="1"/>
  <c r="S67" i="16" s="1"/>
  <c r="P68" i="16" a="1"/>
  <c r="P68" i="16" s="1"/>
  <c r="Q68" i="16" a="1"/>
  <c r="Q68" i="16" s="1"/>
  <c r="R68" i="16" a="1"/>
  <c r="R68" i="16" s="1"/>
  <c r="S68" i="16" a="1"/>
  <c r="S68" i="16" s="1"/>
  <c r="P69" i="16" a="1"/>
  <c r="P69" i="16" s="1"/>
  <c r="Q69" i="16" a="1"/>
  <c r="Q69" i="16" s="1"/>
  <c r="R69" i="16" a="1"/>
  <c r="R69" i="16" s="1"/>
  <c r="S69" i="16" a="1"/>
  <c r="S69" i="16" s="1"/>
  <c r="P70" i="16" a="1"/>
  <c r="P70" i="16" s="1"/>
  <c r="Q70" i="16" a="1"/>
  <c r="Q70" i="16" s="1"/>
  <c r="R70" i="16" a="1"/>
  <c r="R70" i="16" s="1"/>
  <c r="S70" i="16" a="1"/>
  <c r="S70" i="16" s="1"/>
  <c r="P71" i="16" a="1"/>
  <c r="P71" i="16" s="1"/>
  <c r="Q71" i="16" a="1"/>
  <c r="Q71" i="16" s="1"/>
  <c r="R71" i="16" a="1"/>
  <c r="R71" i="16" s="1"/>
  <c r="S71" i="16" a="1"/>
  <c r="S71" i="16" s="1"/>
  <c r="P72" i="16" a="1"/>
  <c r="P72" i="16" s="1"/>
  <c r="Q72" i="16" a="1"/>
  <c r="Q72" i="16" s="1"/>
  <c r="R72" i="16" a="1"/>
  <c r="R72" i="16" s="1"/>
  <c r="S72" i="16" a="1"/>
  <c r="S72" i="16" s="1"/>
  <c r="P73" i="16" a="1"/>
  <c r="P73" i="16" s="1"/>
  <c r="Q73" i="16" a="1"/>
  <c r="Q73" i="16" s="1"/>
  <c r="R73" i="16" a="1"/>
  <c r="R73" i="16" s="1"/>
  <c r="S73" i="16" a="1"/>
  <c r="S73" i="16" s="1"/>
  <c r="P74" i="16" a="1"/>
  <c r="P74" i="16" s="1"/>
  <c r="Q74" i="16" a="1"/>
  <c r="Q74" i="16" s="1"/>
  <c r="R74" i="16" a="1"/>
  <c r="R74" i="16" s="1"/>
  <c r="S74" i="16" a="1"/>
  <c r="S74" i="16" s="1"/>
  <c r="P75" i="16" a="1"/>
  <c r="P75" i="16" s="1"/>
  <c r="Q75" i="16" a="1"/>
  <c r="Q75" i="16" s="1"/>
  <c r="R75" i="16" a="1"/>
  <c r="R75" i="16" s="1"/>
  <c r="S75" i="16" a="1"/>
  <c r="S75" i="16" s="1"/>
  <c r="P76" i="16" a="1"/>
  <c r="P76" i="16" s="1"/>
  <c r="Q76" i="16" a="1"/>
  <c r="Q76" i="16" s="1"/>
  <c r="R76" i="16" a="1"/>
  <c r="R76" i="16" s="1"/>
  <c r="S76" i="16" a="1"/>
  <c r="S76" i="16" s="1"/>
  <c r="P77" i="16" a="1"/>
  <c r="P77" i="16" s="1"/>
  <c r="Q77" i="16" a="1"/>
  <c r="Q77" i="16" s="1"/>
  <c r="R77" i="16" a="1"/>
  <c r="R77" i="16" s="1"/>
  <c r="S77" i="16" a="1"/>
  <c r="S77" i="16" s="1"/>
  <c r="P78" i="16" a="1"/>
  <c r="P78" i="16" s="1"/>
  <c r="Q78" i="16" a="1"/>
  <c r="Q78" i="16" s="1"/>
  <c r="R78" i="16" a="1"/>
  <c r="R78" i="16" s="1"/>
  <c r="S78" i="16" a="1"/>
  <c r="S78" i="16" s="1"/>
  <c r="P79" i="16" a="1"/>
  <c r="P79" i="16" s="1"/>
  <c r="Q79" i="16" a="1"/>
  <c r="Q79" i="16" s="1"/>
  <c r="R79" i="16" a="1"/>
  <c r="R79" i="16" s="1"/>
  <c r="S79" i="16" a="1"/>
  <c r="S79" i="16" s="1"/>
  <c r="P80" i="16" a="1"/>
  <c r="P80" i="16" s="1"/>
  <c r="Q80" i="16" a="1"/>
  <c r="Q80" i="16" s="1"/>
  <c r="R80" i="16" a="1"/>
  <c r="R80" i="16" s="1"/>
  <c r="S80" i="16" a="1"/>
  <c r="S80" i="16" s="1"/>
  <c r="P81" i="16" a="1"/>
  <c r="P81" i="16" s="1"/>
  <c r="Q81" i="16" a="1"/>
  <c r="Q81" i="16" s="1"/>
  <c r="R81" i="16" a="1"/>
  <c r="R81" i="16" s="1"/>
  <c r="S81" i="16" a="1"/>
  <c r="S81" i="16" s="1"/>
  <c r="P82" i="16" a="1"/>
  <c r="P82" i="16" s="1"/>
  <c r="Q82" i="16" a="1"/>
  <c r="Q82" i="16" s="1"/>
  <c r="R82" i="16" a="1"/>
  <c r="R82" i="16" s="1"/>
  <c r="S82" i="16" a="1"/>
  <c r="S82" i="16" s="1"/>
  <c r="P83" i="16" a="1"/>
  <c r="P83" i="16" s="1"/>
  <c r="Q83" i="16" a="1"/>
  <c r="Q83" i="16" s="1"/>
  <c r="R83" i="16" a="1"/>
  <c r="R83" i="16" s="1"/>
  <c r="S83" i="16" a="1"/>
  <c r="S83" i="16" s="1"/>
  <c r="P84" i="16" a="1"/>
  <c r="P84" i="16" s="1"/>
  <c r="Q84" i="16" a="1"/>
  <c r="Q84" i="16" s="1"/>
  <c r="R84" i="16" a="1"/>
  <c r="R84" i="16" s="1"/>
  <c r="S84" i="16" a="1"/>
  <c r="S84" i="16" s="1"/>
  <c r="P85" i="16" a="1"/>
  <c r="P85" i="16" s="1"/>
  <c r="Q85" i="16" a="1"/>
  <c r="Q85" i="16" s="1"/>
  <c r="R85" i="16" a="1"/>
  <c r="R85" i="16" s="1"/>
  <c r="S85" i="16" a="1"/>
  <c r="S85" i="16" s="1"/>
  <c r="P86" i="16" a="1"/>
  <c r="P86" i="16" s="1"/>
  <c r="Q86" i="16" a="1"/>
  <c r="Q86" i="16" s="1"/>
  <c r="R86" i="16" a="1"/>
  <c r="R86" i="16" s="1"/>
  <c r="S86" i="16" a="1"/>
  <c r="S86" i="16" s="1"/>
  <c r="P87" i="16" a="1"/>
  <c r="P87" i="16" s="1"/>
  <c r="Q87" i="16" a="1"/>
  <c r="Q87" i="16" s="1"/>
  <c r="R87" i="16" a="1"/>
  <c r="R87" i="16" s="1"/>
  <c r="S87" i="16" a="1"/>
  <c r="S87" i="16" s="1"/>
  <c r="P88" i="16" a="1"/>
  <c r="P88" i="16" s="1"/>
  <c r="Q88" i="16" a="1"/>
  <c r="Q88" i="16" s="1"/>
  <c r="R88" i="16" a="1"/>
  <c r="R88" i="16" s="1"/>
  <c r="S88" i="16" a="1"/>
  <c r="S88" i="16" s="1"/>
  <c r="P89" i="16" a="1"/>
  <c r="P89" i="16" s="1"/>
  <c r="Q89" i="16" a="1"/>
  <c r="Q89" i="16" s="1"/>
  <c r="R89" i="16" a="1"/>
  <c r="R89" i="16" s="1"/>
  <c r="S89" i="16" a="1"/>
  <c r="S89" i="16" s="1"/>
  <c r="P90" i="16" a="1"/>
  <c r="P90" i="16" s="1"/>
  <c r="Q90" i="16" a="1"/>
  <c r="Q90" i="16" s="1"/>
  <c r="R90" i="16" a="1"/>
  <c r="R90" i="16" s="1"/>
  <c r="S90" i="16" a="1"/>
  <c r="S90" i="16" s="1"/>
  <c r="P91" i="16" a="1"/>
  <c r="P91" i="16" s="1"/>
  <c r="Q91" i="16" a="1"/>
  <c r="Q91" i="16" s="1"/>
  <c r="R91" i="16" a="1"/>
  <c r="R91" i="16" s="1"/>
  <c r="S91" i="16" a="1"/>
  <c r="S91" i="16" s="1"/>
  <c r="P92" i="16" a="1"/>
  <c r="P92" i="16" s="1"/>
  <c r="Q92" i="16" a="1"/>
  <c r="Q92" i="16" s="1"/>
  <c r="R92" i="16" a="1"/>
  <c r="R92" i="16" s="1"/>
  <c r="S92" i="16" a="1"/>
  <c r="S92" i="16" s="1"/>
  <c r="P93" i="16" a="1"/>
  <c r="P93" i="16" s="1"/>
  <c r="Q93" i="16" a="1"/>
  <c r="Q93" i="16" s="1"/>
  <c r="R93" i="16" a="1"/>
  <c r="R93" i="16" s="1"/>
  <c r="S93" i="16" a="1"/>
  <c r="S93" i="16" s="1"/>
  <c r="P94" i="16" a="1"/>
  <c r="P94" i="16" s="1"/>
  <c r="Q94" i="16" a="1"/>
  <c r="Q94" i="16" s="1"/>
  <c r="R94" i="16" a="1"/>
  <c r="R94" i="16" s="1"/>
  <c r="S94" i="16" a="1"/>
  <c r="S94" i="16" s="1"/>
  <c r="P95" i="16" a="1"/>
  <c r="P95" i="16" s="1"/>
  <c r="Q95" i="16" a="1"/>
  <c r="Q95" i="16" s="1"/>
  <c r="R95" i="16" a="1"/>
  <c r="R95" i="16" s="1"/>
  <c r="S95" i="16" a="1"/>
  <c r="S95" i="16" s="1"/>
  <c r="P96" i="16" a="1"/>
  <c r="P96" i="16" s="1"/>
  <c r="Q96" i="16" a="1"/>
  <c r="Q96" i="16" s="1"/>
  <c r="R96" i="16" a="1"/>
  <c r="R96" i="16" s="1"/>
  <c r="S96" i="16" a="1"/>
  <c r="S96" i="16" s="1"/>
  <c r="P97" i="16" a="1"/>
  <c r="P97" i="16" s="1"/>
  <c r="Q97" i="16" a="1"/>
  <c r="Q97" i="16" s="1"/>
  <c r="R97" i="16" a="1"/>
  <c r="R97" i="16" s="1"/>
  <c r="S97" i="16" a="1"/>
  <c r="S97" i="16" s="1"/>
  <c r="P98" i="16" a="1"/>
  <c r="P98" i="16" s="1"/>
  <c r="Q98" i="16" a="1"/>
  <c r="Q98" i="16" s="1"/>
  <c r="R98" i="16" a="1"/>
  <c r="R98" i="16" s="1"/>
  <c r="S98" i="16" a="1"/>
  <c r="S98" i="16" s="1"/>
  <c r="P99" i="16" a="1"/>
  <c r="P99" i="16" s="1"/>
  <c r="Q99" i="16" a="1"/>
  <c r="Q99" i="16" s="1"/>
  <c r="R99" i="16" a="1"/>
  <c r="R99" i="16" s="1"/>
  <c r="S99" i="16" a="1"/>
  <c r="S99" i="16" s="1"/>
  <c r="P100" i="16" a="1"/>
  <c r="P100" i="16" s="1"/>
  <c r="Q100" i="16" a="1"/>
  <c r="Q100" i="16" s="1"/>
  <c r="R100" i="16" a="1"/>
  <c r="R100" i="16" s="1"/>
  <c r="S100" i="16" a="1"/>
  <c r="S100" i="16" s="1"/>
  <c r="P101" i="16" a="1"/>
  <c r="P101" i="16" s="1"/>
  <c r="Q101" i="16" a="1"/>
  <c r="Q101" i="16" s="1"/>
  <c r="R101" i="16" a="1"/>
  <c r="R101" i="16" s="1"/>
  <c r="S101" i="16" a="1"/>
  <c r="S101" i="16" s="1"/>
  <c r="P102" i="16" a="1"/>
  <c r="P102" i="16" s="1"/>
  <c r="Q102" i="16" a="1"/>
  <c r="Q102" i="16" s="1"/>
  <c r="R102" i="16" a="1"/>
  <c r="R102" i="16" s="1"/>
  <c r="S102" i="16" a="1"/>
  <c r="S102" i="16" s="1"/>
  <c r="P103" i="16" a="1"/>
  <c r="P103" i="16" s="1"/>
  <c r="Q103" i="16" a="1"/>
  <c r="Q103" i="16" s="1"/>
  <c r="R103" i="16" a="1"/>
  <c r="R103" i="16" s="1"/>
  <c r="S103" i="16" a="1"/>
  <c r="S103" i="16" s="1"/>
  <c r="P104" i="16" a="1"/>
  <c r="P104" i="16" s="1"/>
  <c r="Q104" i="16" a="1"/>
  <c r="Q104" i="16" s="1"/>
  <c r="R104" i="16" a="1"/>
  <c r="R104" i="16" s="1"/>
  <c r="S104" i="16" a="1"/>
  <c r="S104" i="16" s="1"/>
  <c r="P105" i="16" a="1"/>
  <c r="P105" i="16" s="1"/>
  <c r="Q105" i="16" a="1"/>
  <c r="Q105" i="16" s="1"/>
  <c r="R105" i="16" a="1"/>
  <c r="R105" i="16" s="1"/>
  <c r="S105" i="16" a="1"/>
  <c r="S105" i="16" s="1"/>
  <c r="P106" i="16" a="1"/>
  <c r="P106" i="16" s="1"/>
  <c r="Q106" i="16" a="1"/>
  <c r="Q106" i="16" s="1"/>
  <c r="R106" i="16" a="1"/>
  <c r="R106" i="16" s="1"/>
  <c r="S106" i="16" a="1"/>
  <c r="S106" i="16" s="1"/>
  <c r="P107" i="16" a="1"/>
  <c r="P107" i="16" s="1"/>
  <c r="Q107" i="16" a="1"/>
  <c r="Q107" i="16" s="1"/>
  <c r="R107" i="16" a="1"/>
  <c r="R107" i="16" s="1"/>
  <c r="S107" i="16" a="1"/>
  <c r="S107" i="16" s="1"/>
  <c r="P108" i="16" a="1"/>
  <c r="P108" i="16" s="1"/>
  <c r="Q108" i="16" a="1"/>
  <c r="Q108" i="16" s="1"/>
  <c r="R108" i="16" a="1"/>
  <c r="R108" i="16" s="1"/>
  <c r="S108" i="16" a="1"/>
  <c r="S108" i="16" s="1"/>
  <c r="P109" i="16" a="1"/>
  <c r="P109" i="16" s="1"/>
  <c r="Q109" i="16" a="1"/>
  <c r="Q109" i="16" s="1"/>
  <c r="R109" i="16" a="1"/>
  <c r="R109" i="16" s="1"/>
  <c r="S109" i="16" a="1"/>
  <c r="S109" i="16" s="1"/>
  <c r="P110" i="16" a="1"/>
  <c r="P110" i="16" s="1"/>
  <c r="Q110" i="16" a="1"/>
  <c r="Q110" i="16" s="1"/>
  <c r="R110" i="16" a="1"/>
  <c r="R110" i="16" s="1"/>
  <c r="S110" i="16" a="1"/>
  <c r="S110" i="16" s="1"/>
  <c r="P111" i="16" a="1"/>
  <c r="P111" i="16" s="1"/>
  <c r="Q111" i="16" a="1"/>
  <c r="Q111" i="16" s="1"/>
  <c r="R111" i="16" a="1"/>
  <c r="R111" i="16" s="1"/>
  <c r="S111" i="16" a="1"/>
  <c r="S111" i="16" s="1"/>
  <c r="P112" i="16" a="1"/>
  <c r="P112" i="16" s="1"/>
  <c r="Q112" i="16" a="1"/>
  <c r="Q112" i="16" s="1"/>
  <c r="R112" i="16" a="1"/>
  <c r="R112" i="16" s="1"/>
  <c r="S112" i="16" a="1"/>
  <c r="S112" i="16" s="1"/>
  <c r="P113" i="16" a="1"/>
  <c r="P113" i="16" s="1"/>
  <c r="Q113" i="16" a="1"/>
  <c r="Q113" i="16" s="1"/>
  <c r="R113" i="16" a="1"/>
  <c r="R113" i="16" s="1"/>
  <c r="S113" i="16" a="1"/>
  <c r="S113" i="16" s="1"/>
  <c r="P114" i="16" a="1"/>
  <c r="P114" i="16" s="1"/>
  <c r="Q114" i="16" a="1"/>
  <c r="Q114" i="16" s="1"/>
  <c r="R114" i="16" a="1"/>
  <c r="R114" i="16" s="1"/>
  <c r="S114" i="16" a="1"/>
  <c r="S114" i="16" s="1"/>
  <c r="P115" i="16" a="1"/>
  <c r="P115" i="16" s="1"/>
  <c r="Q115" i="16" a="1"/>
  <c r="Q115" i="16" s="1"/>
  <c r="R115" i="16" a="1"/>
  <c r="R115" i="16" s="1"/>
  <c r="S115" i="16" a="1"/>
  <c r="S115" i="16" s="1"/>
  <c r="P116" i="16" a="1"/>
  <c r="P116" i="16" s="1"/>
  <c r="Q116" i="16" a="1"/>
  <c r="Q116" i="16" s="1"/>
  <c r="R116" i="16" a="1"/>
  <c r="R116" i="16" s="1"/>
  <c r="S116" i="16" a="1"/>
  <c r="S116" i="16" s="1"/>
  <c r="P117" i="16" a="1"/>
  <c r="P117" i="16" s="1"/>
  <c r="Q117" i="16" a="1"/>
  <c r="Q117" i="16" s="1"/>
  <c r="R117" i="16" a="1"/>
  <c r="R117" i="16" s="1"/>
  <c r="S117" i="16" a="1"/>
  <c r="S117" i="16" s="1"/>
  <c r="P118" i="16" a="1"/>
  <c r="P118" i="16" s="1"/>
  <c r="Q118" i="16" a="1"/>
  <c r="Q118" i="16" s="1"/>
  <c r="R118" i="16" a="1"/>
  <c r="R118" i="16" s="1"/>
  <c r="S118" i="16" a="1"/>
  <c r="S118" i="16" s="1"/>
  <c r="P119" i="16" a="1"/>
  <c r="P119" i="16" s="1"/>
  <c r="Q119" i="16" a="1"/>
  <c r="Q119" i="16" s="1"/>
  <c r="R119" i="16" a="1"/>
  <c r="R119" i="16" s="1"/>
  <c r="S119" i="16" a="1"/>
  <c r="S119" i="16" s="1"/>
  <c r="P120" i="16" a="1"/>
  <c r="P120" i="16" s="1"/>
  <c r="Q120" i="16" a="1"/>
  <c r="Q120" i="16" s="1"/>
  <c r="R120" i="16" a="1"/>
  <c r="R120" i="16" s="1"/>
  <c r="S120" i="16" a="1"/>
  <c r="S120" i="16" s="1"/>
  <c r="P121" i="16" a="1"/>
  <c r="P121" i="16" s="1"/>
  <c r="Q121" i="16" a="1"/>
  <c r="Q121" i="16" s="1"/>
  <c r="R121" i="16" a="1"/>
  <c r="R121" i="16" s="1"/>
  <c r="S121" i="16" a="1"/>
  <c r="S121" i="16" s="1"/>
  <c r="P122" i="16" a="1"/>
  <c r="P122" i="16" s="1"/>
  <c r="Q122" i="16" a="1"/>
  <c r="Q122" i="16" s="1"/>
  <c r="R122" i="16" a="1"/>
  <c r="R122" i="16" s="1"/>
  <c r="S122" i="16" a="1"/>
  <c r="S122" i="16" s="1"/>
  <c r="P123" i="16" a="1"/>
  <c r="P123" i="16" s="1"/>
  <c r="Q123" i="16" a="1"/>
  <c r="Q123" i="16" s="1"/>
  <c r="R123" i="16" a="1"/>
  <c r="R123" i="16" s="1"/>
  <c r="S123" i="16" a="1"/>
  <c r="S123" i="16" s="1"/>
  <c r="P124" i="16" a="1"/>
  <c r="P124" i="16" s="1"/>
  <c r="Q124" i="16" a="1"/>
  <c r="Q124" i="16" s="1"/>
  <c r="R124" i="16" a="1"/>
  <c r="R124" i="16" s="1"/>
  <c r="S124" i="16" a="1"/>
  <c r="S124" i="16" s="1"/>
  <c r="P125" i="16" a="1"/>
  <c r="P125" i="16" s="1"/>
  <c r="Q125" i="16" a="1"/>
  <c r="Q125" i="16" s="1"/>
  <c r="R125" i="16" a="1"/>
  <c r="R125" i="16" s="1"/>
  <c r="S125" i="16" a="1"/>
  <c r="S125" i="16" s="1"/>
  <c r="P126" i="16" a="1"/>
  <c r="P126" i="16" s="1"/>
  <c r="Q126" i="16" a="1"/>
  <c r="Q126" i="16" s="1"/>
  <c r="R126" i="16" a="1"/>
  <c r="R126" i="16" s="1"/>
  <c r="S126" i="16" a="1"/>
  <c r="S126" i="16" s="1"/>
  <c r="P127" i="16" a="1"/>
  <c r="P127" i="16" s="1"/>
  <c r="Q127" i="16" a="1"/>
  <c r="Q127" i="16" s="1"/>
  <c r="R127" i="16" a="1"/>
  <c r="R127" i="16" s="1"/>
  <c r="S127" i="16" a="1"/>
  <c r="S127" i="16" s="1"/>
  <c r="P128" i="16" a="1"/>
  <c r="P128" i="16" s="1"/>
  <c r="Q128" i="16" a="1"/>
  <c r="Q128" i="16" s="1"/>
  <c r="R128" i="16" a="1"/>
  <c r="R128" i="16" s="1"/>
  <c r="S128" i="16" a="1"/>
  <c r="S128" i="16" s="1"/>
  <c r="P129" i="16" a="1"/>
  <c r="P129" i="16" s="1"/>
  <c r="Q129" i="16" a="1"/>
  <c r="Q129" i="16" s="1"/>
  <c r="R129" i="16" a="1"/>
  <c r="R129" i="16" s="1"/>
  <c r="S129" i="16" a="1"/>
  <c r="S129" i="16" s="1"/>
  <c r="P130" i="16" a="1"/>
  <c r="P130" i="16" s="1"/>
  <c r="Q130" i="16" a="1"/>
  <c r="Q130" i="16" s="1"/>
  <c r="R130" i="16" a="1"/>
  <c r="R130" i="16" s="1"/>
  <c r="S130" i="16" a="1"/>
  <c r="S130" i="16" s="1"/>
  <c r="P131" i="16" a="1"/>
  <c r="P131" i="16" s="1"/>
  <c r="Q131" i="16" a="1"/>
  <c r="Q131" i="16" s="1"/>
  <c r="R131" i="16" a="1"/>
  <c r="R131" i="16" s="1"/>
  <c r="S131" i="16" a="1"/>
  <c r="S131" i="16" s="1"/>
  <c r="P132" i="16" a="1"/>
  <c r="P132" i="16" s="1"/>
  <c r="Q132" i="16" a="1"/>
  <c r="Q132" i="16" s="1"/>
  <c r="R132" i="16" a="1"/>
  <c r="R132" i="16" s="1"/>
  <c r="S132" i="16" a="1"/>
  <c r="S132" i="16" s="1"/>
  <c r="P133" i="16" a="1"/>
  <c r="P133" i="16" s="1"/>
  <c r="Q133" i="16" a="1"/>
  <c r="Q133" i="16" s="1"/>
  <c r="R133" i="16" a="1"/>
  <c r="R133" i="16" s="1"/>
  <c r="S133" i="16" a="1"/>
  <c r="S133" i="16" s="1"/>
  <c r="P134" i="16" a="1"/>
  <c r="P134" i="16" s="1"/>
  <c r="Q134" i="16" a="1"/>
  <c r="Q134" i="16" s="1"/>
  <c r="R134" i="16" a="1"/>
  <c r="R134" i="16" s="1"/>
  <c r="S134" i="16" a="1"/>
  <c r="S134" i="16" s="1"/>
  <c r="P135" i="16" a="1"/>
  <c r="P135" i="16" s="1"/>
  <c r="Q135" i="16" a="1"/>
  <c r="Q135" i="16" s="1"/>
  <c r="R135" i="16" a="1"/>
  <c r="R135" i="16" s="1"/>
  <c r="S135" i="16" a="1"/>
  <c r="S135" i="16" s="1"/>
  <c r="P136" i="16" a="1"/>
  <c r="P136" i="16" s="1"/>
  <c r="Q136" i="16" a="1"/>
  <c r="Q136" i="16" s="1"/>
  <c r="R136" i="16" a="1"/>
  <c r="R136" i="16" s="1"/>
  <c r="S136" i="16" a="1"/>
  <c r="S136" i="16" s="1"/>
  <c r="P137" i="16" a="1"/>
  <c r="P137" i="16" s="1"/>
  <c r="Q137" i="16" a="1"/>
  <c r="Q137" i="16" s="1"/>
  <c r="R137" i="16" a="1"/>
  <c r="R137" i="16" s="1"/>
  <c r="S137" i="16" a="1"/>
  <c r="S137" i="16" s="1"/>
  <c r="P138" i="16" a="1"/>
  <c r="P138" i="16" s="1"/>
  <c r="Q138" i="16" a="1"/>
  <c r="Q138" i="16" s="1"/>
  <c r="R138" i="16" a="1"/>
  <c r="R138" i="16" s="1"/>
  <c r="S138" i="16" a="1"/>
  <c r="S138" i="16" s="1"/>
  <c r="P139" i="16" a="1"/>
  <c r="P139" i="16" s="1"/>
  <c r="Q139" i="16" a="1"/>
  <c r="Q139" i="16" s="1"/>
  <c r="R139" i="16" a="1"/>
  <c r="R139" i="16" s="1"/>
  <c r="S139" i="16" a="1"/>
  <c r="S139" i="16" s="1"/>
  <c r="P140" i="16" a="1"/>
  <c r="P140" i="16" s="1"/>
  <c r="Q140" i="16" a="1"/>
  <c r="Q140" i="16" s="1"/>
  <c r="R140" i="16" a="1"/>
  <c r="R140" i="16" s="1"/>
  <c r="S140" i="16" a="1"/>
  <c r="S140" i="16" s="1"/>
  <c r="P141" i="16" a="1"/>
  <c r="P141" i="16" s="1"/>
  <c r="Q141" i="16" a="1"/>
  <c r="Q141" i="16" s="1"/>
  <c r="R141" i="16" a="1"/>
  <c r="R141" i="16" s="1"/>
  <c r="S141" i="16" a="1"/>
  <c r="S141" i="16" s="1"/>
  <c r="P142" i="16" a="1"/>
  <c r="P142" i="16" s="1"/>
  <c r="Q142" i="16" a="1"/>
  <c r="Q142" i="16" s="1"/>
  <c r="R142" i="16" a="1"/>
  <c r="R142" i="16" s="1"/>
  <c r="S142" i="16" a="1"/>
  <c r="S142" i="16" s="1"/>
  <c r="P143" i="16" a="1"/>
  <c r="P143" i="16" s="1"/>
  <c r="Q143" i="16" a="1"/>
  <c r="Q143" i="16" s="1"/>
  <c r="R143" i="16" a="1"/>
  <c r="R143" i="16" s="1"/>
  <c r="S143" i="16" a="1"/>
  <c r="S143" i="16" s="1"/>
  <c r="P144" i="16" a="1"/>
  <c r="P144" i="16" s="1"/>
  <c r="Q144" i="16" a="1"/>
  <c r="Q144" i="16" s="1"/>
  <c r="R144" i="16" a="1"/>
  <c r="R144" i="16" s="1"/>
  <c r="S144" i="16" a="1"/>
  <c r="S144" i="16" s="1"/>
  <c r="P145" i="16" a="1"/>
  <c r="P145" i="16" s="1"/>
  <c r="Q145" i="16" a="1"/>
  <c r="Q145" i="16" s="1"/>
  <c r="R145" i="16" a="1"/>
  <c r="R145" i="16" s="1"/>
  <c r="S145" i="16" a="1"/>
  <c r="S145" i="16" s="1"/>
  <c r="P146" i="16" a="1"/>
  <c r="P146" i="16" s="1"/>
  <c r="Q146" i="16" a="1"/>
  <c r="Q146" i="16" s="1"/>
  <c r="R146" i="16" a="1"/>
  <c r="R146" i="16" s="1"/>
  <c r="S146" i="16" a="1"/>
  <c r="S146" i="16" s="1"/>
  <c r="P147" i="16" a="1"/>
  <c r="P147" i="16" s="1"/>
  <c r="Q147" i="16" a="1"/>
  <c r="Q147" i="16" s="1"/>
  <c r="R147" i="16" a="1"/>
  <c r="R147" i="16" s="1"/>
  <c r="S147" i="16" a="1"/>
  <c r="S147" i="16" s="1"/>
  <c r="P148" i="16" a="1"/>
  <c r="P148" i="16" s="1"/>
  <c r="Q148" i="16" a="1"/>
  <c r="Q148" i="16" s="1"/>
  <c r="R148" i="16" a="1"/>
  <c r="R148" i="16" s="1"/>
  <c r="S148" i="16" a="1"/>
  <c r="S148" i="16" s="1"/>
  <c r="P149" i="16" a="1"/>
  <c r="P149" i="16" s="1"/>
  <c r="Q149" i="16" a="1"/>
  <c r="Q149" i="16" s="1"/>
  <c r="R149" i="16" a="1"/>
  <c r="R149" i="16" s="1"/>
  <c r="S149" i="16" a="1"/>
  <c r="S149" i="16" s="1"/>
  <c r="P150" i="16" a="1"/>
  <c r="P150" i="16" s="1"/>
  <c r="Q150" i="16" a="1"/>
  <c r="Q150" i="16" s="1"/>
  <c r="R150" i="16" a="1"/>
  <c r="R150" i="16" s="1"/>
  <c r="S150" i="16" a="1"/>
  <c r="S150" i="16" s="1"/>
  <c r="P151" i="16" a="1"/>
  <c r="P151" i="16" s="1"/>
  <c r="Q151" i="16" a="1"/>
  <c r="Q151" i="16" s="1"/>
  <c r="R151" i="16" a="1"/>
  <c r="R151" i="16" s="1"/>
  <c r="S151" i="16" a="1"/>
  <c r="S151" i="16" s="1"/>
  <c r="P152" i="16" a="1"/>
  <c r="P152" i="16" s="1"/>
  <c r="Q152" i="16" a="1"/>
  <c r="Q152" i="16" s="1"/>
  <c r="R152" i="16" a="1"/>
  <c r="R152" i="16" s="1"/>
  <c r="S152" i="16" a="1"/>
  <c r="S152" i="16" s="1"/>
  <c r="P153" i="16" a="1"/>
  <c r="P153" i="16" s="1"/>
  <c r="Q153" i="16" a="1"/>
  <c r="Q153" i="16" s="1"/>
  <c r="R153" i="16" a="1"/>
  <c r="R153" i="16" s="1"/>
  <c r="S153" i="16" a="1"/>
  <c r="S153" i="16" s="1"/>
  <c r="P154" i="16" a="1"/>
  <c r="P154" i="16" s="1"/>
  <c r="Q154" i="16" a="1"/>
  <c r="Q154" i="16" s="1"/>
  <c r="R154" i="16" a="1"/>
  <c r="R154" i="16" s="1"/>
  <c r="S154" i="16" a="1"/>
  <c r="S154" i="16" s="1"/>
  <c r="P155" i="16" a="1"/>
  <c r="P155" i="16" s="1"/>
  <c r="Q155" i="16" a="1"/>
  <c r="Q155" i="16" s="1"/>
  <c r="R155" i="16" a="1"/>
  <c r="R155" i="16" s="1"/>
  <c r="S155" i="16" a="1"/>
  <c r="S155" i="16" s="1"/>
  <c r="P156" i="16" a="1"/>
  <c r="P156" i="16" s="1"/>
  <c r="Q156" i="16" a="1"/>
  <c r="Q156" i="16" s="1"/>
  <c r="R156" i="16" a="1"/>
  <c r="R156" i="16" s="1"/>
  <c r="S156" i="16" a="1"/>
  <c r="S156" i="16" s="1"/>
  <c r="P157" i="16" a="1"/>
  <c r="P157" i="16" s="1"/>
  <c r="Q157" i="16" a="1"/>
  <c r="Q157" i="16" s="1"/>
  <c r="R157" i="16" a="1"/>
  <c r="R157" i="16" s="1"/>
  <c r="S157" i="16" a="1"/>
  <c r="S157" i="16" s="1"/>
  <c r="P158" i="16" a="1"/>
  <c r="P158" i="16" s="1"/>
  <c r="Q158" i="16" a="1"/>
  <c r="Q158" i="16" s="1"/>
  <c r="R158" i="16" a="1"/>
  <c r="R158" i="16" s="1"/>
  <c r="S158" i="16" a="1"/>
  <c r="S158" i="16" s="1"/>
  <c r="P159" i="16" a="1"/>
  <c r="P159" i="16" s="1"/>
  <c r="Q159" i="16" a="1"/>
  <c r="Q159" i="16" s="1"/>
  <c r="R159" i="16" a="1"/>
  <c r="R159" i="16" s="1"/>
  <c r="S159" i="16" a="1"/>
  <c r="S159" i="16" s="1"/>
  <c r="P160" i="16" a="1"/>
  <c r="P160" i="16" s="1"/>
  <c r="Q160" i="16" a="1"/>
  <c r="Q160" i="16" s="1"/>
  <c r="R160" i="16" a="1"/>
  <c r="R160" i="16" s="1"/>
  <c r="S160" i="16" a="1"/>
  <c r="S160" i="16" s="1"/>
  <c r="P161" i="16" a="1"/>
  <c r="P161" i="16" s="1"/>
  <c r="Q161" i="16" a="1"/>
  <c r="Q161" i="16" s="1"/>
  <c r="R161" i="16" a="1"/>
  <c r="R161" i="16" s="1"/>
  <c r="S161" i="16" a="1"/>
  <c r="S161" i="16" s="1"/>
  <c r="P162" i="16" a="1"/>
  <c r="P162" i="16" s="1"/>
  <c r="Q162" i="16" a="1"/>
  <c r="Q162" i="16" s="1"/>
  <c r="R162" i="16" a="1"/>
  <c r="R162" i="16" s="1"/>
  <c r="S162" i="16" a="1"/>
  <c r="S162" i="16" s="1"/>
  <c r="P163" i="16" a="1"/>
  <c r="P163" i="16" s="1"/>
  <c r="Q163" i="16" a="1"/>
  <c r="Q163" i="16" s="1"/>
  <c r="R163" i="16" a="1"/>
  <c r="R163" i="16" s="1"/>
  <c r="S163" i="16" a="1"/>
  <c r="S163" i="16" s="1"/>
  <c r="P164" i="16" a="1"/>
  <c r="P164" i="16" s="1"/>
  <c r="Q164" i="16" a="1"/>
  <c r="Q164" i="16" s="1"/>
  <c r="R164" i="16" a="1"/>
  <c r="R164" i="16" s="1"/>
  <c r="S164" i="16" a="1"/>
  <c r="S164" i="16" s="1"/>
  <c r="P165" i="16" a="1"/>
  <c r="P165" i="16" s="1"/>
  <c r="Q165" i="16" a="1"/>
  <c r="Q165" i="16" s="1"/>
  <c r="R165" i="16" a="1"/>
  <c r="R165" i="16" s="1"/>
  <c r="S165" i="16" a="1"/>
  <c r="S165" i="16" s="1"/>
  <c r="P166" i="16" a="1"/>
  <c r="P166" i="16" s="1"/>
  <c r="Q166" i="16" a="1"/>
  <c r="Q166" i="16" s="1"/>
  <c r="R166" i="16" a="1"/>
  <c r="R166" i="16" s="1"/>
  <c r="S166" i="16" a="1"/>
  <c r="S166" i="16" s="1"/>
  <c r="P167" i="16" a="1"/>
  <c r="P167" i="16" s="1"/>
  <c r="Q167" i="16" a="1"/>
  <c r="Q167" i="16" s="1"/>
  <c r="R167" i="16" a="1"/>
  <c r="R167" i="16" s="1"/>
  <c r="S167" i="16" a="1"/>
  <c r="S167" i="16" s="1"/>
  <c r="P168" i="16" a="1"/>
  <c r="P168" i="16" s="1"/>
  <c r="Q168" i="16" a="1"/>
  <c r="Q168" i="16" s="1"/>
  <c r="R168" i="16" a="1"/>
  <c r="R168" i="16" s="1"/>
  <c r="S168" i="16" a="1"/>
  <c r="S168" i="16" s="1"/>
  <c r="P169" i="16" a="1"/>
  <c r="P169" i="16" s="1"/>
  <c r="Q169" i="16" a="1"/>
  <c r="Q169" i="16" s="1"/>
  <c r="R169" i="16" a="1"/>
  <c r="R169" i="16" s="1"/>
  <c r="S169" i="16" a="1"/>
  <c r="S169" i="16" s="1"/>
  <c r="P170" i="16" a="1"/>
  <c r="P170" i="16" s="1"/>
  <c r="Q170" i="16" a="1"/>
  <c r="Q170" i="16" s="1"/>
  <c r="R170" i="16" a="1"/>
  <c r="R170" i="16" s="1"/>
  <c r="S170" i="16" a="1"/>
  <c r="S170" i="16" s="1"/>
  <c r="P171" i="16" a="1"/>
  <c r="P171" i="16" s="1"/>
  <c r="Q171" i="16" a="1"/>
  <c r="Q171" i="16" s="1"/>
  <c r="R171" i="16" a="1"/>
  <c r="R171" i="16" s="1"/>
  <c r="S171" i="16" a="1"/>
  <c r="S171" i="16" s="1"/>
  <c r="P172" i="16" a="1"/>
  <c r="P172" i="16" s="1"/>
  <c r="Q172" i="16" a="1"/>
  <c r="Q172" i="16" s="1"/>
  <c r="R172" i="16" a="1"/>
  <c r="R172" i="16" s="1"/>
  <c r="S172" i="16" a="1"/>
  <c r="S172" i="16" s="1"/>
  <c r="P173" i="16" a="1"/>
  <c r="P173" i="16" s="1"/>
  <c r="Q173" i="16" a="1"/>
  <c r="Q173" i="16" s="1"/>
  <c r="R173" i="16" a="1"/>
  <c r="R173" i="16" s="1"/>
  <c r="S173" i="16" a="1"/>
  <c r="S173" i="16" s="1"/>
  <c r="P174" i="16" a="1"/>
  <c r="P174" i="16" s="1"/>
  <c r="Q174" i="16" a="1"/>
  <c r="Q174" i="16" s="1"/>
  <c r="R174" i="16" a="1"/>
  <c r="R174" i="16" s="1"/>
  <c r="S174" i="16" a="1"/>
  <c r="S174" i="16" s="1"/>
  <c r="P175" i="16" a="1"/>
  <c r="P175" i="16" s="1"/>
  <c r="Q175" i="16" a="1"/>
  <c r="Q175" i="16" s="1"/>
  <c r="R175" i="16" a="1"/>
  <c r="R175" i="16" s="1"/>
  <c r="S175" i="16" a="1"/>
  <c r="S175" i="16" s="1"/>
  <c r="P176" i="16" a="1"/>
  <c r="P176" i="16" s="1"/>
  <c r="Q176" i="16" a="1"/>
  <c r="Q176" i="16" s="1"/>
  <c r="R176" i="16" a="1"/>
  <c r="R176" i="16" s="1"/>
  <c r="S176" i="16" a="1"/>
  <c r="S176" i="16" s="1"/>
  <c r="P177" i="16" a="1"/>
  <c r="P177" i="16" s="1"/>
  <c r="Q177" i="16" a="1"/>
  <c r="Q177" i="16" s="1"/>
  <c r="R177" i="16" a="1"/>
  <c r="R177" i="16" s="1"/>
  <c r="S177" i="16" a="1"/>
  <c r="S177" i="16" s="1"/>
  <c r="P178" i="16" a="1"/>
  <c r="P178" i="16" s="1"/>
  <c r="Q178" i="16" a="1"/>
  <c r="Q178" i="16" s="1"/>
  <c r="R178" i="16" a="1"/>
  <c r="R178" i="16" s="1"/>
  <c r="S178" i="16" a="1"/>
  <c r="S178" i="16" s="1"/>
  <c r="P179" i="16" a="1"/>
  <c r="P179" i="16" s="1"/>
  <c r="Q179" i="16" a="1"/>
  <c r="Q179" i="16" s="1"/>
  <c r="R179" i="16" a="1"/>
  <c r="R179" i="16" s="1"/>
  <c r="S179" i="16" a="1"/>
  <c r="S179" i="16" s="1"/>
  <c r="P180" i="16" a="1"/>
  <c r="P180" i="16" s="1"/>
  <c r="Q180" i="16" a="1"/>
  <c r="Q180" i="16" s="1"/>
  <c r="R180" i="16" a="1"/>
  <c r="R180" i="16" s="1"/>
  <c r="S180" i="16" a="1"/>
  <c r="S180" i="16" s="1"/>
  <c r="P181" i="16" a="1"/>
  <c r="P181" i="16" s="1"/>
  <c r="Q181" i="16" a="1"/>
  <c r="Q181" i="16" s="1"/>
  <c r="R181" i="16" a="1"/>
  <c r="R181" i="16" s="1"/>
  <c r="S181" i="16" a="1"/>
  <c r="S181" i="16" s="1"/>
  <c r="P182" i="16" a="1"/>
  <c r="P182" i="16" s="1"/>
  <c r="Q182" i="16" a="1"/>
  <c r="Q182" i="16" s="1"/>
  <c r="R182" i="16" a="1"/>
  <c r="R182" i="16" s="1"/>
  <c r="S182" i="16" a="1"/>
  <c r="S182" i="16" s="1"/>
  <c r="P183" i="16" a="1"/>
  <c r="P183" i="16" s="1"/>
  <c r="Q183" i="16" a="1"/>
  <c r="Q183" i="16" s="1"/>
  <c r="R183" i="16" a="1"/>
  <c r="R183" i="16" s="1"/>
  <c r="S183" i="16" a="1"/>
  <c r="S183" i="16" s="1"/>
  <c r="P184" i="16" a="1"/>
  <c r="P184" i="16" s="1"/>
  <c r="Q184" i="16" a="1"/>
  <c r="Q184" i="16" s="1"/>
  <c r="R184" i="16" a="1"/>
  <c r="R184" i="16" s="1"/>
  <c r="S184" i="16" a="1"/>
  <c r="S184" i="16" s="1"/>
  <c r="P185" i="16" a="1"/>
  <c r="P185" i="16" s="1"/>
  <c r="Q185" i="16" a="1"/>
  <c r="Q185" i="16" s="1"/>
  <c r="R185" i="16" a="1"/>
  <c r="R185" i="16" s="1"/>
  <c r="S185" i="16" a="1"/>
  <c r="S185" i="16" s="1"/>
  <c r="P186" i="16" a="1"/>
  <c r="P186" i="16" s="1"/>
  <c r="Q186" i="16" a="1"/>
  <c r="Q186" i="16" s="1"/>
  <c r="R186" i="16" a="1"/>
  <c r="R186" i="16" s="1"/>
  <c r="S186" i="16" a="1"/>
  <c r="S186" i="16" s="1"/>
  <c r="P187" i="16" a="1"/>
  <c r="P187" i="16" s="1"/>
  <c r="Q187" i="16" a="1"/>
  <c r="Q187" i="16" s="1"/>
  <c r="R187" i="16" a="1"/>
  <c r="R187" i="16" s="1"/>
  <c r="S187" i="16" a="1"/>
  <c r="S187" i="16" s="1"/>
  <c r="P188" i="16" a="1"/>
  <c r="P188" i="16" s="1"/>
  <c r="Q188" i="16" a="1"/>
  <c r="Q188" i="16" s="1"/>
  <c r="R188" i="16" a="1"/>
  <c r="R188" i="16" s="1"/>
  <c r="S188" i="16" a="1"/>
  <c r="S188" i="16" s="1"/>
  <c r="P189" i="16" a="1"/>
  <c r="P189" i="16" s="1"/>
  <c r="Q189" i="16" a="1"/>
  <c r="Q189" i="16" s="1"/>
  <c r="R189" i="16" a="1"/>
  <c r="R189" i="16" s="1"/>
  <c r="S189" i="16" a="1"/>
  <c r="S189" i="16" s="1"/>
  <c r="P190" i="16" a="1"/>
  <c r="P190" i="16" s="1"/>
  <c r="Q190" i="16" a="1"/>
  <c r="Q190" i="16" s="1"/>
  <c r="R190" i="16" a="1"/>
  <c r="R190" i="16" s="1"/>
  <c r="S190" i="16" a="1"/>
  <c r="S190" i="16" s="1"/>
  <c r="P191" i="16" a="1"/>
  <c r="P191" i="16" s="1"/>
  <c r="Q191" i="16" a="1"/>
  <c r="Q191" i="16" s="1"/>
  <c r="R191" i="16" a="1"/>
  <c r="R191" i="16" s="1"/>
  <c r="S191" i="16" a="1"/>
  <c r="S191" i="16" s="1"/>
  <c r="P192" i="16" a="1"/>
  <c r="P192" i="16" s="1"/>
  <c r="Q192" i="16" a="1"/>
  <c r="Q192" i="16" s="1"/>
  <c r="R192" i="16" a="1"/>
  <c r="R192" i="16" s="1"/>
  <c r="S192" i="16" a="1"/>
  <c r="S192" i="16" s="1"/>
  <c r="P193" i="16" a="1"/>
  <c r="P193" i="16" s="1"/>
  <c r="Q193" i="16" a="1"/>
  <c r="Q193" i="16" s="1"/>
  <c r="R193" i="16" a="1"/>
  <c r="R193" i="16" s="1"/>
  <c r="S193" i="16" a="1"/>
  <c r="S193" i="16" s="1"/>
  <c r="P194" i="16" a="1"/>
  <c r="P194" i="16" s="1"/>
  <c r="Q194" i="16" a="1"/>
  <c r="Q194" i="16" s="1"/>
  <c r="R194" i="16" a="1"/>
  <c r="R194" i="16" s="1"/>
  <c r="S194" i="16" a="1"/>
  <c r="S194" i="16" s="1"/>
  <c r="P195" i="16" a="1"/>
  <c r="P195" i="16" s="1"/>
  <c r="Q195" i="16" a="1"/>
  <c r="Q195" i="16" s="1"/>
  <c r="R195" i="16" a="1"/>
  <c r="R195" i="16" s="1"/>
  <c r="S195" i="16" a="1"/>
  <c r="S195" i="16" s="1"/>
  <c r="P196" i="16" a="1"/>
  <c r="P196" i="16" s="1"/>
  <c r="Q196" i="16" a="1"/>
  <c r="Q196" i="16" s="1"/>
  <c r="R196" i="16" a="1"/>
  <c r="R196" i="16" s="1"/>
  <c r="S196" i="16" a="1"/>
  <c r="S196" i="16" s="1"/>
  <c r="P197" i="16" a="1"/>
  <c r="P197" i="16" s="1"/>
  <c r="Q197" i="16" a="1"/>
  <c r="Q197" i="16" s="1"/>
  <c r="R197" i="16" a="1"/>
  <c r="R197" i="16" s="1"/>
  <c r="S197" i="16" a="1"/>
  <c r="S197" i="16" s="1"/>
  <c r="P198" i="16" a="1"/>
  <c r="P198" i="16" s="1"/>
  <c r="Q198" i="16" a="1"/>
  <c r="Q198" i="16" s="1"/>
  <c r="R198" i="16" a="1"/>
  <c r="R198" i="16" s="1"/>
  <c r="S198" i="16" a="1"/>
  <c r="S198" i="16" s="1"/>
  <c r="P199" i="16" a="1"/>
  <c r="P199" i="16" s="1"/>
  <c r="Q199" i="16" a="1"/>
  <c r="Q199" i="16" s="1"/>
  <c r="R199" i="16" a="1"/>
  <c r="R199" i="16" s="1"/>
  <c r="S199" i="16" a="1"/>
  <c r="S199" i="16" s="1"/>
  <c r="P200" i="16" a="1"/>
  <c r="P200" i="16" s="1"/>
  <c r="Q200" i="16" a="1"/>
  <c r="Q200" i="16" s="1"/>
  <c r="R200" i="16" a="1"/>
  <c r="R200" i="16" s="1"/>
  <c r="S200" i="16" a="1"/>
  <c r="S200" i="16" s="1"/>
  <c r="P201" i="16" a="1"/>
  <c r="P201" i="16" s="1"/>
  <c r="Q201" i="16" a="1"/>
  <c r="Q201" i="16" s="1"/>
  <c r="R201" i="16" a="1"/>
  <c r="R201" i="16" s="1"/>
  <c r="S201" i="16" a="1"/>
  <c r="S201" i="16" s="1"/>
  <c r="P202" i="16" a="1"/>
  <c r="P202" i="16" s="1"/>
  <c r="Q202" i="16" a="1"/>
  <c r="Q202" i="16" s="1"/>
  <c r="R202" i="16" a="1"/>
  <c r="R202" i="16" s="1"/>
  <c r="S202" i="16" a="1"/>
  <c r="S202" i="16" s="1"/>
  <c r="P203" i="16" a="1"/>
  <c r="P203" i="16" s="1"/>
  <c r="Q203" i="16" a="1"/>
  <c r="Q203" i="16" s="1"/>
  <c r="R203" i="16" a="1"/>
  <c r="R203" i="16" s="1"/>
  <c r="S203" i="16" a="1"/>
  <c r="S203" i="16" s="1"/>
  <c r="P204" i="16" a="1"/>
  <c r="P204" i="16" s="1"/>
  <c r="Q204" i="16" a="1"/>
  <c r="Q204" i="16" s="1"/>
  <c r="R204" i="16" a="1"/>
  <c r="R204" i="16" s="1"/>
  <c r="S204" i="16" a="1"/>
  <c r="S204" i="16" s="1"/>
  <c r="P205" i="16" a="1"/>
  <c r="P205" i="16" s="1"/>
  <c r="Q205" i="16" a="1"/>
  <c r="Q205" i="16" s="1"/>
  <c r="R205" i="16" a="1"/>
  <c r="R205" i="16" s="1"/>
  <c r="S205" i="16" a="1"/>
  <c r="S205" i="16" s="1"/>
  <c r="P206" i="16" a="1"/>
  <c r="P206" i="16" s="1"/>
  <c r="Q206" i="16" a="1"/>
  <c r="Q206" i="16" s="1"/>
  <c r="R206" i="16" a="1"/>
  <c r="R206" i="16" s="1"/>
  <c r="S206" i="16" a="1"/>
  <c r="S206" i="16" s="1"/>
  <c r="P207" i="16" a="1"/>
  <c r="P207" i="16" s="1"/>
  <c r="Q207" i="16" a="1"/>
  <c r="Q207" i="16" s="1"/>
  <c r="R207" i="16" a="1"/>
  <c r="R207" i="16" s="1"/>
  <c r="S207" i="16" a="1"/>
  <c r="S207" i="16" s="1"/>
  <c r="P208" i="16" a="1"/>
  <c r="P208" i="16" s="1"/>
  <c r="Q208" i="16" a="1"/>
  <c r="Q208" i="16" s="1"/>
  <c r="R208" i="16" a="1"/>
  <c r="R208" i="16" s="1"/>
  <c r="S208" i="16" a="1"/>
  <c r="S208" i="16" s="1"/>
  <c r="P209" i="16" a="1"/>
  <c r="P209" i="16" s="1"/>
  <c r="Q209" i="16" a="1"/>
  <c r="Q209" i="16" s="1"/>
  <c r="R209" i="16" a="1"/>
  <c r="R209" i="16" s="1"/>
  <c r="S209" i="16" a="1"/>
  <c r="S209" i="16" s="1"/>
  <c r="P210" i="16" a="1"/>
  <c r="P210" i="16" s="1"/>
  <c r="Q210" i="16" a="1"/>
  <c r="Q210" i="16" s="1"/>
  <c r="R210" i="16" a="1"/>
  <c r="R210" i="16" s="1"/>
  <c r="S210" i="16" a="1"/>
  <c r="S210" i="16" s="1"/>
  <c r="P211" i="16" a="1"/>
  <c r="P211" i="16" s="1"/>
  <c r="Q211" i="16" a="1"/>
  <c r="Q211" i="16" s="1"/>
  <c r="R211" i="16" a="1"/>
  <c r="R211" i="16" s="1"/>
  <c r="S211" i="16" a="1"/>
  <c r="S211" i="16" s="1"/>
  <c r="P212" i="16" a="1"/>
  <c r="P212" i="16" s="1"/>
  <c r="Q212" i="16" a="1"/>
  <c r="Q212" i="16" s="1"/>
  <c r="R212" i="16" a="1"/>
  <c r="R212" i="16" s="1"/>
  <c r="S212" i="16" a="1"/>
  <c r="S212" i="16" s="1"/>
  <c r="P213" i="16" a="1"/>
  <c r="P213" i="16" s="1"/>
  <c r="Q213" i="16" a="1"/>
  <c r="Q213" i="16" s="1"/>
  <c r="R213" i="16" a="1"/>
  <c r="R213" i="16" s="1"/>
  <c r="S213" i="16" a="1"/>
  <c r="S213" i="16" s="1"/>
  <c r="P214" i="16" a="1"/>
  <c r="P214" i="16" s="1"/>
  <c r="Q214" i="16" a="1"/>
  <c r="Q214" i="16" s="1"/>
  <c r="R214" i="16" a="1"/>
  <c r="R214" i="16" s="1"/>
  <c r="S214" i="16" a="1"/>
  <c r="S214" i="16" s="1"/>
  <c r="P215" i="16" a="1"/>
  <c r="P215" i="16" s="1"/>
  <c r="Q215" i="16" a="1"/>
  <c r="Q215" i="16" s="1"/>
  <c r="R215" i="16" a="1"/>
  <c r="R215" i="16" s="1"/>
  <c r="S215" i="16" a="1"/>
  <c r="S215" i="16" s="1"/>
  <c r="P216" i="16" a="1"/>
  <c r="P216" i="16" s="1"/>
  <c r="Q216" i="16" a="1"/>
  <c r="Q216" i="16" s="1"/>
  <c r="R216" i="16" a="1"/>
  <c r="R216" i="16" s="1"/>
  <c r="S216" i="16" a="1"/>
  <c r="S216" i="16" s="1"/>
  <c r="P217" i="16" a="1"/>
  <c r="P217" i="16" s="1"/>
  <c r="Q217" i="16" a="1"/>
  <c r="Q217" i="16" s="1"/>
  <c r="R217" i="16" a="1"/>
  <c r="R217" i="16" s="1"/>
  <c r="S217" i="16" a="1"/>
  <c r="S217" i="16" s="1"/>
  <c r="P218" i="16" a="1"/>
  <c r="P218" i="16" s="1"/>
  <c r="Q218" i="16" a="1"/>
  <c r="Q218" i="16" s="1"/>
  <c r="R218" i="16" a="1"/>
  <c r="R218" i="16" s="1"/>
  <c r="S218" i="16" a="1"/>
  <c r="S218" i="16" s="1"/>
  <c r="P219" i="16" a="1"/>
  <c r="P219" i="16" s="1"/>
  <c r="Q219" i="16" a="1"/>
  <c r="Q219" i="16" s="1"/>
  <c r="R219" i="16" a="1"/>
  <c r="R219" i="16" s="1"/>
  <c r="S219" i="16" a="1"/>
  <c r="S219" i="16" s="1"/>
  <c r="P220" i="16" a="1"/>
  <c r="P220" i="16" s="1"/>
  <c r="Q220" i="16" a="1"/>
  <c r="Q220" i="16" s="1"/>
  <c r="R220" i="16" a="1"/>
  <c r="R220" i="16" s="1"/>
  <c r="S220" i="16" a="1"/>
  <c r="S220" i="16" s="1"/>
  <c r="P221" i="16" a="1"/>
  <c r="P221" i="16" s="1"/>
  <c r="Q221" i="16" a="1"/>
  <c r="Q221" i="16" s="1"/>
  <c r="R221" i="16" a="1"/>
  <c r="R221" i="16" s="1"/>
  <c r="S221" i="16" a="1"/>
  <c r="S221" i="16" s="1"/>
  <c r="P222" i="16" a="1"/>
  <c r="P222" i="16" s="1"/>
  <c r="Q222" i="16" a="1"/>
  <c r="Q222" i="16" s="1"/>
  <c r="R222" i="16" a="1"/>
  <c r="R222" i="16" s="1"/>
  <c r="S222" i="16" a="1"/>
  <c r="S222" i="16" s="1"/>
  <c r="P223" i="16" a="1"/>
  <c r="P223" i="16" s="1"/>
  <c r="Q223" i="16" a="1"/>
  <c r="Q223" i="16" s="1"/>
  <c r="R223" i="16" a="1"/>
  <c r="R223" i="16" s="1"/>
  <c r="S223" i="16" a="1"/>
  <c r="S223" i="16" s="1"/>
  <c r="P224" i="16" a="1"/>
  <c r="P224" i="16" s="1"/>
  <c r="Q224" i="16" a="1"/>
  <c r="Q224" i="16" s="1"/>
  <c r="R224" i="16" a="1"/>
  <c r="R224" i="16" s="1"/>
  <c r="S224" i="16" a="1"/>
  <c r="S224" i="16" s="1"/>
  <c r="Q9" i="16" a="1"/>
  <c r="Q9" i="16" s="1"/>
  <c r="R9" i="16" a="1"/>
  <c r="R9" i="16" s="1"/>
  <c r="S9" i="16" a="1"/>
  <c r="S9" i="16" s="1"/>
  <c r="P9" i="16" a="1"/>
  <c r="P9" i="16" s="1"/>
  <c r="O10" i="16" a="1"/>
  <c r="O10" i="16" s="1"/>
  <c r="O11" i="16" a="1"/>
  <c r="O11" i="16" s="1"/>
  <c r="O12" i="16" a="1"/>
  <c r="O12" i="16" s="1"/>
  <c r="O13" i="16" a="1"/>
  <c r="O13" i="16" s="1"/>
  <c r="O14" i="16" a="1"/>
  <c r="O14" i="16" s="1"/>
  <c r="O15" i="16" a="1"/>
  <c r="O15" i="16" s="1"/>
  <c r="O16" i="16" a="1"/>
  <c r="O16" i="16" s="1"/>
  <c r="O17" i="16" a="1"/>
  <c r="O17" i="16" s="1"/>
  <c r="O18" i="16" a="1"/>
  <c r="O18" i="16" s="1"/>
  <c r="O19" i="16" a="1"/>
  <c r="O19" i="16" s="1"/>
  <c r="O20" i="16" a="1"/>
  <c r="O20" i="16" s="1"/>
  <c r="O21" i="16" a="1"/>
  <c r="O21" i="16" s="1"/>
  <c r="O22" i="16" a="1"/>
  <c r="O22" i="16" s="1"/>
  <c r="O23" i="16" a="1"/>
  <c r="O23" i="16" s="1"/>
  <c r="O24" i="16" a="1"/>
  <c r="O24" i="16" s="1"/>
  <c r="O25" i="16" a="1"/>
  <c r="O25" i="16" s="1"/>
  <c r="O26" i="16" a="1"/>
  <c r="O26" i="16" s="1"/>
  <c r="O27" i="16" a="1"/>
  <c r="O27" i="16" s="1"/>
  <c r="O28" i="16" a="1"/>
  <c r="O28" i="16" s="1"/>
  <c r="O29" i="16" a="1"/>
  <c r="O29" i="16" s="1"/>
  <c r="O30" i="16" a="1"/>
  <c r="O30" i="16" s="1"/>
  <c r="O31" i="16" a="1"/>
  <c r="O31" i="16" s="1"/>
  <c r="O32" i="16" a="1"/>
  <c r="O32" i="16" s="1"/>
  <c r="O33" i="16" a="1"/>
  <c r="O33" i="16" s="1"/>
  <c r="O34" i="16" a="1"/>
  <c r="O34" i="16" s="1"/>
  <c r="O35" i="16" a="1"/>
  <c r="O35" i="16" s="1"/>
  <c r="O36" i="16" a="1"/>
  <c r="O36" i="16" s="1"/>
  <c r="O37" i="16" a="1"/>
  <c r="O37" i="16" s="1"/>
  <c r="O38" i="16" a="1"/>
  <c r="O38" i="16" s="1"/>
  <c r="O39" i="16" a="1"/>
  <c r="O39" i="16" s="1"/>
  <c r="O40" i="16" a="1"/>
  <c r="O40" i="16" s="1"/>
  <c r="O41" i="16" a="1"/>
  <c r="O41" i="16" s="1"/>
  <c r="O42" i="16" a="1"/>
  <c r="O42" i="16" s="1"/>
  <c r="O43" i="16" a="1"/>
  <c r="O43" i="16" s="1"/>
  <c r="O44" i="16" a="1"/>
  <c r="O44" i="16" s="1"/>
  <c r="O45" i="16" a="1"/>
  <c r="O45" i="16" s="1"/>
  <c r="O46" i="16" a="1"/>
  <c r="O46" i="16" s="1"/>
  <c r="O47" i="16" a="1"/>
  <c r="O47" i="16" s="1"/>
  <c r="O48" i="16" a="1"/>
  <c r="O48" i="16" s="1"/>
  <c r="O49" i="16" a="1"/>
  <c r="O49" i="16" s="1"/>
  <c r="O50" i="16" a="1"/>
  <c r="O50" i="16" s="1"/>
  <c r="O51" i="16" a="1"/>
  <c r="O51" i="16" s="1"/>
  <c r="O52" i="16" a="1"/>
  <c r="O52" i="16" s="1"/>
  <c r="O53" i="16" a="1"/>
  <c r="O53" i="16" s="1"/>
  <c r="O54" i="16" a="1"/>
  <c r="O54" i="16" s="1"/>
  <c r="O55" i="16" a="1"/>
  <c r="O55" i="16" s="1"/>
  <c r="O56" i="16" a="1"/>
  <c r="O56" i="16" s="1"/>
  <c r="O57" i="16" a="1"/>
  <c r="O57" i="16" s="1"/>
  <c r="O58" i="16" a="1"/>
  <c r="O58" i="16" s="1"/>
  <c r="O59" i="16" a="1"/>
  <c r="O59" i="16" s="1"/>
  <c r="O60" i="16" a="1"/>
  <c r="O60" i="16" s="1"/>
  <c r="O61" i="16" a="1"/>
  <c r="O61" i="16" s="1"/>
  <c r="O62" i="16" a="1"/>
  <c r="O62" i="16" s="1"/>
  <c r="O63" i="16" a="1"/>
  <c r="O63" i="16" s="1"/>
  <c r="O64" i="16" a="1"/>
  <c r="O64" i="16" s="1"/>
  <c r="O65" i="16" a="1"/>
  <c r="O65" i="16" s="1"/>
  <c r="O66" i="16" a="1"/>
  <c r="O66" i="16" s="1"/>
  <c r="O67" i="16" a="1"/>
  <c r="O67" i="16" s="1"/>
  <c r="O68" i="16" a="1"/>
  <c r="O68" i="16" s="1"/>
  <c r="O69" i="16" a="1"/>
  <c r="O69" i="16" s="1"/>
  <c r="O70" i="16" a="1"/>
  <c r="O70" i="16" s="1"/>
  <c r="O71" i="16" a="1"/>
  <c r="O71" i="16" s="1"/>
  <c r="O72" i="16" a="1"/>
  <c r="O72" i="16" s="1"/>
  <c r="O73" i="16" a="1"/>
  <c r="O73" i="16" s="1"/>
  <c r="O74" i="16" a="1"/>
  <c r="O74" i="16" s="1"/>
  <c r="O75" i="16" a="1"/>
  <c r="O75" i="16" s="1"/>
  <c r="O76" i="16" a="1"/>
  <c r="O76" i="16" s="1"/>
  <c r="O77" i="16" a="1"/>
  <c r="O77" i="16" s="1"/>
  <c r="O78" i="16" a="1"/>
  <c r="O78" i="16" s="1"/>
  <c r="O79" i="16" a="1"/>
  <c r="O79" i="16" s="1"/>
  <c r="O80" i="16" a="1"/>
  <c r="O80" i="16" s="1"/>
  <c r="O81" i="16" a="1"/>
  <c r="O81" i="16" s="1"/>
  <c r="O82" i="16" a="1"/>
  <c r="O82" i="16" s="1"/>
  <c r="O83" i="16" a="1"/>
  <c r="O83" i="16" s="1"/>
  <c r="O84" i="16" a="1"/>
  <c r="O84" i="16" s="1"/>
  <c r="O85" i="16" a="1"/>
  <c r="O85" i="16" s="1"/>
  <c r="O86" i="16" a="1"/>
  <c r="O86" i="16" s="1"/>
  <c r="O87" i="16" a="1"/>
  <c r="O87" i="16" s="1"/>
  <c r="O88" i="16" a="1"/>
  <c r="O88" i="16" s="1"/>
  <c r="O89" i="16" a="1"/>
  <c r="O89" i="16" s="1"/>
  <c r="O90" i="16" a="1"/>
  <c r="O90" i="16" s="1"/>
  <c r="O91" i="16" a="1"/>
  <c r="O91" i="16" s="1"/>
  <c r="O92" i="16" a="1"/>
  <c r="O92" i="16" s="1"/>
  <c r="O93" i="16" a="1"/>
  <c r="O93" i="16" s="1"/>
  <c r="O94" i="16" a="1"/>
  <c r="O94" i="16" s="1"/>
  <c r="O95" i="16" a="1"/>
  <c r="O95" i="16" s="1"/>
  <c r="O96" i="16" a="1"/>
  <c r="O96" i="16" s="1"/>
  <c r="O97" i="16" a="1"/>
  <c r="O97" i="16" s="1"/>
  <c r="O98" i="16" a="1"/>
  <c r="O98" i="16" s="1"/>
  <c r="O99" i="16" a="1"/>
  <c r="O99" i="16" s="1"/>
  <c r="O100" i="16" a="1"/>
  <c r="O100" i="16" s="1"/>
  <c r="O101" i="16" a="1"/>
  <c r="O101" i="16" s="1"/>
  <c r="O102" i="16" a="1"/>
  <c r="O102" i="16" s="1"/>
  <c r="O103" i="16" a="1"/>
  <c r="O103" i="16" s="1"/>
  <c r="O104" i="16" a="1"/>
  <c r="O104" i="16" s="1"/>
  <c r="O105" i="16" a="1"/>
  <c r="O105" i="16" s="1"/>
  <c r="O106" i="16" a="1"/>
  <c r="O106" i="16" s="1"/>
  <c r="O107" i="16" a="1"/>
  <c r="O107" i="16" s="1"/>
  <c r="O108" i="16" a="1"/>
  <c r="O108" i="16" s="1"/>
  <c r="O109" i="16" a="1"/>
  <c r="O109" i="16" s="1"/>
  <c r="O110" i="16" a="1"/>
  <c r="O110" i="16" s="1"/>
  <c r="O111" i="16" a="1"/>
  <c r="O111" i="16" s="1"/>
  <c r="O112" i="16" a="1"/>
  <c r="O112" i="16" s="1"/>
  <c r="O113" i="16" a="1"/>
  <c r="O113" i="16" s="1"/>
  <c r="O114" i="16" a="1"/>
  <c r="O114" i="16" s="1"/>
  <c r="O115" i="16" a="1"/>
  <c r="O115" i="16" s="1"/>
  <c r="O116" i="16" a="1"/>
  <c r="O116" i="16" s="1"/>
  <c r="O117" i="16" a="1"/>
  <c r="O117" i="16" s="1"/>
  <c r="O118" i="16" a="1"/>
  <c r="O118" i="16" s="1"/>
  <c r="O119" i="16" a="1"/>
  <c r="O119" i="16" s="1"/>
  <c r="O120" i="16" a="1"/>
  <c r="O120" i="16" s="1"/>
  <c r="O121" i="16" a="1"/>
  <c r="O121" i="16" s="1"/>
  <c r="O122" i="16" a="1"/>
  <c r="O122" i="16" s="1"/>
  <c r="O123" i="16" a="1"/>
  <c r="O123" i="16" s="1"/>
  <c r="O124" i="16" a="1"/>
  <c r="O124" i="16" s="1"/>
  <c r="O125" i="16" a="1"/>
  <c r="O125" i="16" s="1"/>
  <c r="O126" i="16" a="1"/>
  <c r="O126" i="16" s="1"/>
  <c r="O127" i="16" a="1"/>
  <c r="O127" i="16" s="1"/>
  <c r="O128" i="16" a="1"/>
  <c r="O128" i="16" s="1"/>
  <c r="O129" i="16" a="1"/>
  <c r="O129" i="16" s="1"/>
  <c r="O130" i="16" a="1"/>
  <c r="O130" i="16" s="1"/>
  <c r="O131" i="16" a="1"/>
  <c r="O131" i="16" s="1"/>
  <c r="O132" i="16" a="1"/>
  <c r="O132" i="16" s="1"/>
  <c r="O133" i="16" a="1"/>
  <c r="O133" i="16" s="1"/>
  <c r="O134" i="16" a="1"/>
  <c r="O134" i="16" s="1"/>
  <c r="O135" i="16" a="1"/>
  <c r="O135" i="16" s="1"/>
  <c r="O136" i="16" a="1"/>
  <c r="O136" i="16" s="1"/>
  <c r="O137" i="16" a="1"/>
  <c r="O137" i="16" s="1"/>
  <c r="O138" i="16" a="1"/>
  <c r="O138" i="16" s="1"/>
  <c r="O139" i="16" a="1"/>
  <c r="O139" i="16" s="1"/>
  <c r="O140" i="16" a="1"/>
  <c r="O140" i="16" s="1"/>
  <c r="O141" i="16" a="1"/>
  <c r="O141" i="16" s="1"/>
  <c r="O142" i="16" a="1"/>
  <c r="O142" i="16" s="1"/>
  <c r="O143" i="16" a="1"/>
  <c r="O143" i="16" s="1"/>
  <c r="O144" i="16" a="1"/>
  <c r="O144" i="16" s="1"/>
  <c r="O145" i="16" a="1"/>
  <c r="O145" i="16" s="1"/>
  <c r="O146" i="16" a="1"/>
  <c r="O146" i="16" s="1"/>
  <c r="O147" i="16" a="1"/>
  <c r="O147" i="16" s="1"/>
  <c r="O148" i="16" a="1"/>
  <c r="O148" i="16" s="1"/>
  <c r="O149" i="16" a="1"/>
  <c r="O149" i="16" s="1"/>
  <c r="O150" i="16" a="1"/>
  <c r="O150" i="16" s="1"/>
  <c r="O151" i="16" a="1"/>
  <c r="O151" i="16" s="1"/>
  <c r="O152" i="16" a="1"/>
  <c r="O152" i="16" s="1"/>
  <c r="O153" i="16" a="1"/>
  <c r="O153" i="16" s="1"/>
  <c r="O154" i="16" a="1"/>
  <c r="O154" i="16" s="1"/>
  <c r="O155" i="16" a="1"/>
  <c r="O155" i="16" s="1"/>
  <c r="O156" i="16" a="1"/>
  <c r="O156" i="16" s="1"/>
  <c r="O157" i="16" a="1"/>
  <c r="O157" i="16" s="1"/>
  <c r="O158" i="16" a="1"/>
  <c r="O158" i="16" s="1"/>
  <c r="O159" i="16" a="1"/>
  <c r="O159" i="16" s="1"/>
  <c r="O160" i="16" a="1"/>
  <c r="O160" i="16" s="1"/>
  <c r="O161" i="16" a="1"/>
  <c r="O161" i="16" s="1"/>
  <c r="O162" i="16" a="1"/>
  <c r="O162" i="16" s="1"/>
  <c r="O163" i="16" a="1"/>
  <c r="O163" i="16" s="1"/>
  <c r="O164" i="16" a="1"/>
  <c r="O164" i="16" s="1"/>
  <c r="O165" i="16" a="1"/>
  <c r="O165" i="16" s="1"/>
  <c r="O166" i="16" a="1"/>
  <c r="O166" i="16" s="1"/>
  <c r="O167" i="16" a="1"/>
  <c r="O167" i="16" s="1"/>
  <c r="O168" i="16" a="1"/>
  <c r="O168" i="16" s="1"/>
  <c r="O169" i="16" a="1"/>
  <c r="O169" i="16" s="1"/>
  <c r="O170" i="16" a="1"/>
  <c r="O170" i="16" s="1"/>
  <c r="O171" i="16" a="1"/>
  <c r="O171" i="16" s="1"/>
  <c r="O172" i="16" a="1"/>
  <c r="O172" i="16" s="1"/>
  <c r="O173" i="16" a="1"/>
  <c r="O173" i="16" s="1"/>
  <c r="O174" i="16" a="1"/>
  <c r="O174" i="16" s="1"/>
  <c r="O175" i="16" a="1"/>
  <c r="O175" i="16" s="1"/>
  <c r="O176" i="16" a="1"/>
  <c r="O176" i="16" s="1"/>
  <c r="O177" i="16" a="1"/>
  <c r="O177" i="16" s="1"/>
  <c r="O178" i="16" a="1"/>
  <c r="O178" i="16" s="1"/>
  <c r="O179" i="16" a="1"/>
  <c r="O179" i="16" s="1"/>
  <c r="O180" i="16" a="1"/>
  <c r="O180" i="16" s="1"/>
  <c r="O181" i="16" a="1"/>
  <c r="O181" i="16" s="1"/>
  <c r="O182" i="16" a="1"/>
  <c r="O182" i="16" s="1"/>
  <c r="O183" i="16" a="1"/>
  <c r="O183" i="16" s="1"/>
  <c r="O184" i="16" a="1"/>
  <c r="O184" i="16" s="1"/>
  <c r="O185" i="16" a="1"/>
  <c r="O185" i="16" s="1"/>
  <c r="O186" i="16" a="1"/>
  <c r="O186" i="16" s="1"/>
  <c r="O187" i="16" a="1"/>
  <c r="O187" i="16" s="1"/>
  <c r="O188" i="16" a="1"/>
  <c r="O188" i="16" s="1"/>
  <c r="O189" i="16" a="1"/>
  <c r="O189" i="16" s="1"/>
  <c r="O190" i="16" a="1"/>
  <c r="O190" i="16" s="1"/>
  <c r="O191" i="16" a="1"/>
  <c r="O191" i="16" s="1"/>
  <c r="O192" i="16" a="1"/>
  <c r="O192" i="16" s="1"/>
  <c r="O193" i="16" a="1"/>
  <c r="O193" i="16" s="1"/>
  <c r="O194" i="16" a="1"/>
  <c r="O194" i="16" s="1"/>
  <c r="O195" i="16" a="1"/>
  <c r="O195" i="16" s="1"/>
  <c r="O196" i="16" a="1"/>
  <c r="O196" i="16" s="1"/>
  <c r="O197" i="16" a="1"/>
  <c r="O197" i="16" s="1"/>
  <c r="O198" i="16" a="1"/>
  <c r="O198" i="16" s="1"/>
  <c r="O199" i="16" a="1"/>
  <c r="O199" i="16" s="1"/>
  <c r="O200" i="16" a="1"/>
  <c r="O200" i="16" s="1"/>
  <c r="O201" i="16" a="1"/>
  <c r="O201" i="16" s="1"/>
  <c r="O202" i="16" a="1"/>
  <c r="O202" i="16" s="1"/>
  <c r="O203" i="16" a="1"/>
  <c r="O203" i="16" s="1"/>
  <c r="O204" i="16" a="1"/>
  <c r="O204" i="16" s="1"/>
  <c r="O205" i="16" a="1"/>
  <c r="O205" i="16" s="1"/>
  <c r="O206" i="16" a="1"/>
  <c r="O206" i="16" s="1"/>
  <c r="O207" i="16" a="1"/>
  <c r="O207" i="16" s="1"/>
  <c r="O208" i="16" a="1"/>
  <c r="O208" i="16" s="1"/>
  <c r="O209" i="16" a="1"/>
  <c r="O209" i="16" s="1"/>
  <c r="O210" i="16" a="1"/>
  <c r="O210" i="16" s="1"/>
  <c r="O211" i="16" a="1"/>
  <c r="O211" i="16" s="1"/>
  <c r="O212" i="16" a="1"/>
  <c r="O212" i="16" s="1"/>
  <c r="O213" i="16" a="1"/>
  <c r="O213" i="16" s="1"/>
  <c r="O214" i="16" a="1"/>
  <c r="O214" i="16" s="1"/>
  <c r="O215" i="16" a="1"/>
  <c r="O215" i="16" s="1"/>
  <c r="O216" i="16" a="1"/>
  <c r="O216" i="16" s="1"/>
  <c r="O217" i="16" a="1"/>
  <c r="O217" i="16" s="1"/>
  <c r="O218" i="16" a="1"/>
  <c r="O218" i="16" s="1"/>
  <c r="O219" i="16" a="1"/>
  <c r="O219" i="16" s="1"/>
  <c r="O221" i="16" a="1"/>
  <c r="O221" i="16" s="1"/>
  <c r="O222" i="16" a="1"/>
  <c r="O222" i="16" s="1"/>
  <c r="O223" i="16" a="1"/>
  <c r="O223" i="16" s="1"/>
  <c r="O224" i="16" a="1"/>
  <c r="O224" i="16" s="1"/>
  <c r="O9" i="16" a="1"/>
  <c r="O9" i="16" s="1"/>
  <c r="O11" i="6" a="1"/>
  <c r="O11" i="6" s="1"/>
  <c r="P11" i="6" a="1"/>
  <c r="P11" i="6" s="1"/>
  <c r="Q11" i="6" a="1"/>
  <c r="Q11" i="6" s="1"/>
  <c r="R11" i="6" a="1"/>
  <c r="R11" i="6" s="1"/>
  <c r="O12" i="6" a="1"/>
  <c r="O12" i="6" s="1"/>
  <c r="P12" i="6" a="1"/>
  <c r="P12" i="6" s="1"/>
  <c r="Q12" i="6" a="1"/>
  <c r="Q12" i="6" s="1"/>
  <c r="R12" i="6" a="1"/>
  <c r="R12" i="6" s="1"/>
  <c r="O13" i="6" a="1"/>
  <c r="O13" i="6" s="1"/>
  <c r="P13" i="6" a="1"/>
  <c r="P13" i="6" s="1"/>
  <c r="Q13" i="6" a="1"/>
  <c r="Q13" i="6" s="1"/>
  <c r="R13" i="6" a="1"/>
  <c r="R13" i="6" s="1"/>
  <c r="O14" i="6" a="1"/>
  <c r="O14" i="6" s="1"/>
  <c r="P14" i="6" a="1"/>
  <c r="P14" i="6" s="1"/>
  <c r="Q14" i="6" a="1"/>
  <c r="Q14" i="6" s="1"/>
  <c r="R14" i="6" a="1"/>
  <c r="R14" i="6" s="1"/>
  <c r="O15" i="6" a="1"/>
  <c r="O15" i="6" s="1"/>
  <c r="P15" i="6" a="1"/>
  <c r="P15" i="6" s="1"/>
  <c r="Q15" i="6" a="1"/>
  <c r="Q15" i="6" s="1"/>
  <c r="R15" i="6" a="1"/>
  <c r="R15" i="6" s="1"/>
  <c r="O16" i="6" a="1"/>
  <c r="O16" i="6" s="1"/>
  <c r="P16" i="6" a="1"/>
  <c r="P16" i="6" s="1"/>
  <c r="Q16" i="6" a="1"/>
  <c r="Q16" i="6" s="1"/>
  <c r="R16" i="6" a="1"/>
  <c r="R16" i="6" s="1"/>
  <c r="O17" i="6" a="1"/>
  <c r="O17" i="6" s="1"/>
  <c r="P17" i="6" a="1"/>
  <c r="P17" i="6" s="1"/>
  <c r="Q17" i="6" a="1"/>
  <c r="Q17" i="6" s="1"/>
  <c r="R17" i="6" a="1"/>
  <c r="R17" i="6" s="1"/>
  <c r="O18" i="6" a="1"/>
  <c r="O18" i="6" s="1"/>
  <c r="P18" i="6" a="1"/>
  <c r="P18" i="6" s="1"/>
  <c r="Q18" i="6" a="1"/>
  <c r="Q18" i="6" s="1"/>
  <c r="R18" i="6" a="1"/>
  <c r="R18" i="6" s="1"/>
  <c r="O19" i="6" a="1"/>
  <c r="O19" i="6" s="1"/>
  <c r="P19" i="6" a="1"/>
  <c r="P19" i="6" s="1"/>
  <c r="Q19" i="6" a="1"/>
  <c r="Q19" i="6" s="1"/>
  <c r="R19" i="6" a="1"/>
  <c r="R19" i="6" s="1"/>
  <c r="O20" i="6" a="1"/>
  <c r="O20" i="6" s="1"/>
  <c r="P20" i="6" a="1"/>
  <c r="P20" i="6" s="1"/>
  <c r="Q20" i="6" a="1"/>
  <c r="Q20" i="6" s="1"/>
  <c r="R20" i="6" a="1"/>
  <c r="R20" i="6" s="1"/>
  <c r="O21" i="6" a="1"/>
  <c r="O21" i="6" s="1"/>
  <c r="P21" i="6" a="1"/>
  <c r="P21" i="6" s="1"/>
  <c r="Q21" i="6" a="1"/>
  <c r="Q21" i="6" s="1"/>
  <c r="R21" i="6" a="1"/>
  <c r="R21" i="6" s="1"/>
  <c r="O22" i="6" a="1"/>
  <c r="O22" i="6" s="1"/>
  <c r="P22" i="6" a="1"/>
  <c r="P22" i="6" s="1"/>
  <c r="Q22" i="6" a="1"/>
  <c r="Q22" i="6" s="1"/>
  <c r="R22" i="6" a="1"/>
  <c r="R22" i="6" s="1"/>
  <c r="O23" i="6" a="1"/>
  <c r="O23" i="6" s="1"/>
  <c r="P23" i="6" a="1"/>
  <c r="P23" i="6" s="1"/>
  <c r="Q23" i="6" a="1"/>
  <c r="Q23" i="6" s="1"/>
  <c r="R23" i="6" a="1"/>
  <c r="R23" i="6" s="1"/>
  <c r="O24" i="6" a="1"/>
  <c r="O24" i="6" s="1"/>
  <c r="P24" i="6" a="1"/>
  <c r="P24" i="6" s="1"/>
  <c r="Q24" i="6" a="1"/>
  <c r="Q24" i="6" s="1"/>
  <c r="R24" i="6" a="1"/>
  <c r="R24" i="6" s="1"/>
  <c r="O25" i="6" a="1"/>
  <c r="O25" i="6" s="1"/>
  <c r="P25" i="6" a="1"/>
  <c r="P25" i="6" s="1"/>
  <c r="Q25" i="6" a="1"/>
  <c r="Q25" i="6" s="1"/>
  <c r="R25" i="6" a="1"/>
  <c r="R25" i="6" s="1"/>
  <c r="O26" i="6" a="1"/>
  <c r="O26" i="6" s="1"/>
  <c r="P26" i="6" a="1"/>
  <c r="P26" i="6" s="1"/>
  <c r="Q26" i="6" a="1"/>
  <c r="Q26" i="6" s="1"/>
  <c r="R26" i="6" a="1"/>
  <c r="R26" i="6" s="1"/>
  <c r="O27" i="6" a="1"/>
  <c r="O27" i="6" s="1"/>
  <c r="P27" i="6" a="1"/>
  <c r="P27" i="6" s="1"/>
  <c r="Q27" i="6" a="1"/>
  <c r="Q27" i="6" s="1"/>
  <c r="R27" i="6" a="1"/>
  <c r="R27" i="6" s="1"/>
  <c r="O28" i="6" a="1"/>
  <c r="O28" i="6" s="1"/>
  <c r="P28" i="6" a="1"/>
  <c r="P28" i="6" s="1"/>
  <c r="Q28" i="6" a="1"/>
  <c r="Q28" i="6" s="1"/>
  <c r="R28" i="6" a="1"/>
  <c r="R28" i="6" s="1"/>
  <c r="O29" i="6" a="1"/>
  <c r="O29" i="6" s="1"/>
  <c r="P29" i="6" a="1"/>
  <c r="P29" i="6" s="1"/>
  <c r="Q29" i="6" a="1"/>
  <c r="Q29" i="6" s="1"/>
  <c r="R29" i="6" a="1"/>
  <c r="R29" i="6" s="1"/>
  <c r="O30" i="6" a="1"/>
  <c r="O30" i="6" s="1"/>
  <c r="P30" i="6" a="1"/>
  <c r="P30" i="6" s="1"/>
  <c r="Q30" i="6" a="1"/>
  <c r="Q30" i="6" s="1"/>
  <c r="R30" i="6" a="1"/>
  <c r="R30" i="6" s="1"/>
  <c r="O31" i="6" a="1"/>
  <c r="O31" i="6" s="1"/>
  <c r="P31" i="6" a="1"/>
  <c r="P31" i="6" s="1"/>
  <c r="Q31" i="6" a="1"/>
  <c r="Q31" i="6" s="1"/>
  <c r="R31" i="6" a="1"/>
  <c r="R31" i="6" s="1"/>
  <c r="O32" i="6" a="1"/>
  <c r="O32" i="6" s="1"/>
  <c r="P32" i="6" a="1"/>
  <c r="P32" i="6" s="1"/>
  <c r="Q32" i="6" a="1"/>
  <c r="Q32" i="6" s="1"/>
  <c r="R32" i="6" a="1"/>
  <c r="R32" i="6" s="1"/>
  <c r="O33" i="6" a="1"/>
  <c r="O33" i="6" s="1"/>
  <c r="P33" i="6" a="1"/>
  <c r="P33" i="6" s="1"/>
  <c r="Q33" i="6" a="1"/>
  <c r="Q33" i="6" s="1"/>
  <c r="R33" i="6" a="1"/>
  <c r="R33" i="6" s="1"/>
  <c r="O34" i="6" a="1"/>
  <c r="O34" i="6" s="1"/>
  <c r="P34" i="6" a="1"/>
  <c r="P34" i="6" s="1"/>
  <c r="Q34" i="6" a="1"/>
  <c r="Q34" i="6" s="1"/>
  <c r="R34" i="6" a="1"/>
  <c r="R34" i="6" s="1"/>
  <c r="O35" i="6" a="1"/>
  <c r="O35" i="6" s="1"/>
  <c r="P35" i="6" a="1"/>
  <c r="P35" i="6" s="1"/>
  <c r="Q35" i="6" a="1"/>
  <c r="Q35" i="6" s="1"/>
  <c r="R35" i="6" a="1"/>
  <c r="R35" i="6" s="1"/>
  <c r="O36" i="6" a="1"/>
  <c r="O36" i="6" s="1"/>
  <c r="P36" i="6" a="1"/>
  <c r="P36" i="6" s="1"/>
  <c r="Q36" i="6" a="1"/>
  <c r="Q36" i="6" s="1"/>
  <c r="R36" i="6" a="1"/>
  <c r="R36" i="6" s="1"/>
  <c r="O37" i="6" a="1"/>
  <c r="O37" i="6" s="1"/>
  <c r="P37" i="6" a="1"/>
  <c r="P37" i="6" s="1"/>
  <c r="Q37" i="6" a="1"/>
  <c r="Q37" i="6" s="1"/>
  <c r="R37" i="6" a="1"/>
  <c r="R37" i="6" s="1"/>
  <c r="O38" i="6" a="1"/>
  <c r="O38" i="6" s="1"/>
  <c r="P38" i="6" a="1"/>
  <c r="P38" i="6" s="1"/>
  <c r="Q38" i="6" a="1"/>
  <c r="Q38" i="6" s="1"/>
  <c r="R38" i="6" a="1"/>
  <c r="R38" i="6" s="1"/>
  <c r="O39" i="6" a="1"/>
  <c r="O39" i="6" s="1"/>
  <c r="P39" i="6" a="1"/>
  <c r="P39" i="6" s="1"/>
  <c r="Q39" i="6" a="1"/>
  <c r="Q39" i="6" s="1"/>
  <c r="R39" i="6" a="1"/>
  <c r="R39" i="6" s="1"/>
  <c r="O40" i="6" a="1"/>
  <c r="O40" i="6" s="1"/>
  <c r="P40" i="6" a="1"/>
  <c r="P40" i="6" s="1"/>
  <c r="Q40" i="6" a="1"/>
  <c r="Q40" i="6" s="1"/>
  <c r="R40" i="6" a="1"/>
  <c r="R40" i="6" s="1"/>
  <c r="O41" i="6" a="1"/>
  <c r="O41" i="6" s="1"/>
  <c r="P41" i="6" a="1"/>
  <c r="P41" i="6" s="1"/>
  <c r="Q41" i="6" a="1"/>
  <c r="Q41" i="6" s="1"/>
  <c r="R41" i="6" a="1"/>
  <c r="R41" i="6" s="1"/>
  <c r="O42" i="6" a="1"/>
  <c r="O42" i="6" s="1"/>
  <c r="P42" i="6" a="1"/>
  <c r="P42" i="6" s="1"/>
  <c r="Q42" i="6" a="1"/>
  <c r="Q42" i="6" s="1"/>
  <c r="R42" i="6" a="1"/>
  <c r="R42" i="6" s="1"/>
  <c r="O43" i="6" a="1"/>
  <c r="O43" i="6" s="1"/>
  <c r="P43" i="6" a="1"/>
  <c r="P43" i="6" s="1"/>
  <c r="Q43" i="6" a="1"/>
  <c r="Q43" i="6" s="1"/>
  <c r="R43" i="6" a="1"/>
  <c r="R43" i="6" s="1"/>
  <c r="O44" i="6" a="1"/>
  <c r="O44" i="6" s="1"/>
  <c r="P44" i="6" a="1"/>
  <c r="P44" i="6" s="1"/>
  <c r="Q44" i="6" a="1"/>
  <c r="Q44" i="6" s="1"/>
  <c r="R44" i="6" a="1"/>
  <c r="R44" i="6" s="1"/>
  <c r="O45" i="6" a="1"/>
  <c r="O45" i="6" s="1"/>
  <c r="P45" i="6" a="1"/>
  <c r="P45" i="6" s="1"/>
  <c r="Q45" i="6" a="1"/>
  <c r="Q45" i="6" s="1"/>
  <c r="R45" i="6" a="1"/>
  <c r="R45" i="6" s="1"/>
  <c r="O46" i="6" a="1"/>
  <c r="O46" i="6" s="1"/>
  <c r="P46" i="6" a="1"/>
  <c r="P46" i="6" s="1"/>
  <c r="Q46" i="6" a="1"/>
  <c r="Q46" i="6" s="1"/>
  <c r="R46" i="6" a="1"/>
  <c r="R46" i="6" s="1"/>
  <c r="O47" i="6" a="1"/>
  <c r="O47" i="6" s="1"/>
  <c r="P47" i="6" a="1"/>
  <c r="P47" i="6" s="1"/>
  <c r="Q47" i="6" a="1"/>
  <c r="Q47" i="6" s="1"/>
  <c r="R47" i="6" a="1"/>
  <c r="R47" i="6" s="1"/>
  <c r="O48" i="6" a="1"/>
  <c r="O48" i="6" s="1"/>
  <c r="P48" i="6" a="1"/>
  <c r="P48" i="6" s="1"/>
  <c r="Q48" i="6" a="1"/>
  <c r="Q48" i="6" s="1"/>
  <c r="R48" i="6" a="1"/>
  <c r="R48" i="6" s="1"/>
  <c r="O49" i="6" a="1"/>
  <c r="O49" i="6" s="1"/>
  <c r="P49" i="6" a="1"/>
  <c r="P49" i="6" s="1"/>
  <c r="Q49" i="6" a="1"/>
  <c r="Q49" i="6" s="1"/>
  <c r="R49" i="6" a="1"/>
  <c r="R49" i="6" s="1"/>
  <c r="O50" i="6" a="1"/>
  <c r="O50" i="6" s="1"/>
  <c r="P50" i="6" a="1"/>
  <c r="P50" i="6" s="1"/>
  <c r="Q50" i="6" a="1"/>
  <c r="Q50" i="6" s="1"/>
  <c r="R50" i="6" a="1"/>
  <c r="R50" i="6" s="1"/>
  <c r="O51" i="6" a="1"/>
  <c r="O51" i="6" s="1"/>
  <c r="P51" i="6" a="1"/>
  <c r="P51" i="6" s="1"/>
  <c r="Q51" i="6" a="1"/>
  <c r="Q51" i="6" s="1"/>
  <c r="R51" i="6" a="1"/>
  <c r="R51" i="6" s="1"/>
  <c r="O52" i="6" a="1"/>
  <c r="O52" i="6" s="1"/>
  <c r="P52" i="6" a="1"/>
  <c r="P52" i="6" s="1"/>
  <c r="Q52" i="6" a="1"/>
  <c r="Q52" i="6" s="1"/>
  <c r="R52" i="6" a="1"/>
  <c r="R52" i="6" s="1"/>
  <c r="O53" i="6" a="1"/>
  <c r="O53" i="6" s="1"/>
  <c r="P53" i="6" a="1"/>
  <c r="P53" i="6" s="1"/>
  <c r="Q53" i="6" a="1"/>
  <c r="Q53" i="6" s="1"/>
  <c r="R53" i="6" a="1"/>
  <c r="R53" i="6" s="1"/>
  <c r="O54" i="6" a="1"/>
  <c r="O54" i="6" s="1"/>
  <c r="P54" i="6" a="1"/>
  <c r="P54" i="6" s="1"/>
  <c r="Q54" i="6" a="1"/>
  <c r="Q54" i="6" s="1"/>
  <c r="R54" i="6" a="1"/>
  <c r="R54" i="6" s="1"/>
  <c r="O55" i="6" a="1"/>
  <c r="O55" i="6" s="1"/>
  <c r="P55" i="6" a="1"/>
  <c r="P55" i="6" s="1"/>
  <c r="Q55" i="6" a="1"/>
  <c r="Q55" i="6" s="1"/>
  <c r="R55" i="6" a="1"/>
  <c r="R55" i="6" s="1"/>
  <c r="O56" i="6" a="1"/>
  <c r="O56" i="6" s="1"/>
  <c r="P56" i="6" a="1"/>
  <c r="P56" i="6" s="1"/>
  <c r="Q56" i="6" a="1"/>
  <c r="Q56" i="6" s="1"/>
  <c r="R56" i="6" a="1"/>
  <c r="R56" i="6" s="1"/>
  <c r="O57" i="6" a="1"/>
  <c r="O57" i="6" s="1"/>
  <c r="P57" i="6" a="1"/>
  <c r="P57" i="6" s="1"/>
  <c r="Q57" i="6" a="1"/>
  <c r="Q57" i="6" s="1"/>
  <c r="R57" i="6" a="1"/>
  <c r="R57" i="6" s="1"/>
  <c r="O58" i="6" a="1"/>
  <c r="O58" i="6" s="1"/>
  <c r="P58" i="6" a="1"/>
  <c r="P58" i="6" s="1"/>
  <c r="Q58" i="6" a="1"/>
  <c r="Q58" i="6" s="1"/>
  <c r="R58" i="6" a="1"/>
  <c r="R58" i="6" s="1"/>
  <c r="O59" i="6" a="1"/>
  <c r="O59" i="6" s="1"/>
  <c r="P59" i="6" a="1"/>
  <c r="P59" i="6" s="1"/>
  <c r="Q59" i="6" a="1"/>
  <c r="Q59" i="6" s="1"/>
  <c r="R59" i="6" a="1"/>
  <c r="R59" i="6" s="1"/>
  <c r="O60" i="6" a="1"/>
  <c r="O60" i="6" s="1"/>
  <c r="P60" i="6" a="1"/>
  <c r="P60" i="6" s="1"/>
  <c r="Q60" i="6" a="1"/>
  <c r="Q60" i="6" s="1"/>
  <c r="R60" i="6" a="1"/>
  <c r="R60" i="6" s="1"/>
  <c r="O61" i="6" a="1"/>
  <c r="O61" i="6" s="1"/>
  <c r="P61" i="6" a="1"/>
  <c r="P61" i="6" s="1"/>
  <c r="Q61" i="6" a="1"/>
  <c r="Q61" i="6" s="1"/>
  <c r="R61" i="6" a="1"/>
  <c r="R61" i="6" s="1"/>
  <c r="O62" i="6" a="1"/>
  <c r="O62" i="6" s="1"/>
  <c r="P62" i="6" a="1"/>
  <c r="P62" i="6" s="1"/>
  <c r="Q62" i="6" a="1"/>
  <c r="Q62" i="6" s="1"/>
  <c r="R62" i="6" a="1"/>
  <c r="R62" i="6" s="1"/>
  <c r="O63" i="6" a="1"/>
  <c r="O63" i="6" s="1"/>
  <c r="P63" i="6" a="1"/>
  <c r="P63" i="6" s="1"/>
  <c r="Q63" i="6" a="1"/>
  <c r="Q63" i="6" s="1"/>
  <c r="R63" i="6" a="1"/>
  <c r="R63" i="6" s="1"/>
  <c r="O64" i="6" a="1"/>
  <c r="O64" i="6" s="1"/>
  <c r="P64" i="6" a="1"/>
  <c r="P64" i="6" s="1"/>
  <c r="Q64" i="6" a="1"/>
  <c r="Q64" i="6" s="1"/>
  <c r="R64" i="6" a="1"/>
  <c r="R64" i="6" s="1"/>
  <c r="O65" i="6" a="1"/>
  <c r="O65" i="6" s="1"/>
  <c r="P65" i="6" a="1"/>
  <c r="P65" i="6" s="1"/>
  <c r="Q65" i="6" a="1"/>
  <c r="Q65" i="6" s="1"/>
  <c r="R65" i="6" a="1"/>
  <c r="R65" i="6" s="1"/>
  <c r="O66" i="6" a="1"/>
  <c r="O66" i="6" s="1"/>
  <c r="P66" i="6" a="1"/>
  <c r="P66" i="6" s="1"/>
  <c r="Q66" i="6" a="1"/>
  <c r="Q66" i="6" s="1"/>
  <c r="R66" i="6" a="1"/>
  <c r="R66" i="6" s="1"/>
  <c r="O67" i="6" a="1"/>
  <c r="O67" i="6" s="1"/>
  <c r="P67" i="6" a="1"/>
  <c r="P67" i="6" s="1"/>
  <c r="Q67" i="6" a="1"/>
  <c r="Q67" i="6" s="1"/>
  <c r="R67" i="6" a="1"/>
  <c r="R67" i="6" s="1"/>
  <c r="O68" i="6" a="1"/>
  <c r="O68" i="6" s="1"/>
  <c r="P68" i="6" a="1"/>
  <c r="P68" i="6" s="1"/>
  <c r="Q68" i="6" a="1"/>
  <c r="Q68" i="6" s="1"/>
  <c r="R68" i="6" a="1"/>
  <c r="R68" i="6" s="1"/>
  <c r="O69" i="6" a="1"/>
  <c r="O69" i="6" s="1"/>
  <c r="P69" i="6" a="1"/>
  <c r="P69" i="6" s="1"/>
  <c r="Q69" i="6" a="1"/>
  <c r="Q69" i="6" s="1"/>
  <c r="R69" i="6" a="1"/>
  <c r="R69" i="6" s="1"/>
  <c r="O70" i="6" a="1"/>
  <c r="O70" i="6" s="1"/>
  <c r="P70" i="6" a="1"/>
  <c r="P70" i="6" s="1"/>
  <c r="Q70" i="6" a="1"/>
  <c r="Q70" i="6" s="1"/>
  <c r="R70" i="6" a="1"/>
  <c r="R70" i="6" s="1"/>
  <c r="O71" i="6" a="1"/>
  <c r="O71" i="6" s="1"/>
  <c r="P71" i="6" a="1"/>
  <c r="P71" i="6" s="1"/>
  <c r="Q71" i="6" a="1"/>
  <c r="Q71" i="6" s="1"/>
  <c r="R71" i="6" a="1"/>
  <c r="R71" i="6" s="1"/>
  <c r="O72" i="6" a="1"/>
  <c r="O72" i="6" s="1"/>
  <c r="P72" i="6" a="1"/>
  <c r="P72" i="6" s="1"/>
  <c r="Q72" i="6" a="1"/>
  <c r="Q72" i="6" s="1"/>
  <c r="R72" i="6" a="1"/>
  <c r="R72" i="6" s="1"/>
  <c r="O73" i="6" a="1"/>
  <c r="O73" i="6" s="1"/>
  <c r="P73" i="6" a="1"/>
  <c r="P73" i="6" s="1"/>
  <c r="Q73" i="6" a="1"/>
  <c r="Q73" i="6" s="1"/>
  <c r="R73" i="6" a="1"/>
  <c r="R73" i="6" s="1"/>
  <c r="O74" i="6" a="1"/>
  <c r="O74" i="6" s="1"/>
  <c r="P74" i="6" a="1"/>
  <c r="P74" i="6" s="1"/>
  <c r="Q74" i="6" a="1"/>
  <c r="Q74" i="6" s="1"/>
  <c r="R74" i="6" a="1"/>
  <c r="R74" i="6" s="1"/>
  <c r="O75" i="6" a="1"/>
  <c r="O75" i="6" s="1"/>
  <c r="P75" i="6" a="1"/>
  <c r="P75" i="6" s="1"/>
  <c r="Q75" i="6" a="1"/>
  <c r="Q75" i="6" s="1"/>
  <c r="R75" i="6" a="1"/>
  <c r="R75" i="6" s="1"/>
  <c r="O76" i="6" a="1"/>
  <c r="O76" i="6" s="1"/>
  <c r="P76" i="6" a="1"/>
  <c r="P76" i="6" s="1"/>
  <c r="Q76" i="6" a="1"/>
  <c r="Q76" i="6" s="1"/>
  <c r="R76" i="6" a="1"/>
  <c r="R76" i="6" s="1"/>
  <c r="O77" i="6" a="1"/>
  <c r="O77" i="6" s="1"/>
  <c r="P77" i="6" a="1"/>
  <c r="P77" i="6" s="1"/>
  <c r="Q77" i="6" a="1"/>
  <c r="Q77" i="6" s="1"/>
  <c r="R77" i="6" a="1"/>
  <c r="R77" i="6" s="1"/>
  <c r="O78" i="6" a="1"/>
  <c r="O78" i="6" s="1"/>
  <c r="P78" i="6" a="1"/>
  <c r="P78" i="6" s="1"/>
  <c r="Q78" i="6" a="1"/>
  <c r="Q78" i="6" s="1"/>
  <c r="R78" i="6" a="1"/>
  <c r="R78" i="6" s="1"/>
  <c r="O79" i="6" a="1"/>
  <c r="O79" i="6" s="1"/>
  <c r="P79" i="6" a="1"/>
  <c r="P79" i="6" s="1"/>
  <c r="Q79" i="6" a="1"/>
  <c r="Q79" i="6" s="1"/>
  <c r="R79" i="6" a="1"/>
  <c r="R79" i="6" s="1"/>
  <c r="O80" i="6" a="1"/>
  <c r="O80" i="6" s="1"/>
  <c r="P80" i="6" a="1"/>
  <c r="P80" i="6" s="1"/>
  <c r="Q80" i="6" a="1"/>
  <c r="Q80" i="6" s="1"/>
  <c r="R80" i="6" a="1"/>
  <c r="R80" i="6" s="1"/>
  <c r="O81" i="6" a="1"/>
  <c r="O81" i="6" s="1"/>
  <c r="P81" i="6" a="1"/>
  <c r="P81" i="6" s="1"/>
  <c r="Q81" i="6" a="1"/>
  <c r="Q81" i="6" s="1"/>
  <c r="R81" i="6" a="1"/>
  <c r="R81" i="6" s="1"/>
  <c r="O82" i="6" a="1"/>
  <c r="O82" i="6" s="1"/>
  <c r="P82" i="6" a="1"/>
  <c r="P82" i="6" s="1"/>
  <c r="Q82" i="6" a="1"/>
  <c r="Q82" i="6" s="1"/>
  <c r="R82" i="6" a="1"/>
  <c r="R82" i="6" s="1"/>
  <c r="O83" i="6" a="1"/>
  <c r="O83" i="6" s="1"/>
  <c r="P83" i="6" a="1"/>
  <c r="P83" i="6" s="1"/>
  <c r="Q83" i="6" a="1"/>
  <c r="Q83" i="6" s="1"/>
  <c r="R83" i="6" a="1"/>
  <c r="R83" i="6" s="1"/>
  <c r="O84" i="6" a="1"/>
  <c r="O84" i="6" s="1"/>
  <c r="P84" i="6" a="1"/>
  <c r="P84" i="6" s="1"/>
  <c r="Q84" i="6" a="1"/>
  <c r="Q84" i="6" s="1"/>
  <c r="R84" i="6" a="1"/>
  <c r="R84" i="6" s="1"/>
  <c r="O85" i="6" a="1"/>
  <c r="O85" i="6" s="1"/>
  <c r="P85" i="6" a="1"/>
  <c r="P85" i="6" s="1"/>
  <c r="Q85" i="6" a="1"/>
  <c r="Q85" i="6" s="1"/>
  <c r="R85" i="6" a="1"/>
  <c r="R85" i="6" s="1"/>
  <c r="O86" i="6" a="1"/>
  <c r="O86" i="6" s="1"/>
  <c r="P86" i="6" a="1"/>
  <c r="P86" i="6" s="1"/>
  <c r="Q86" i="6" a="1"/>
  <c r="Q86" i="6" s="1"/>
  <c r="R86" i="6" a="1"/>
  <c r="R86" i="6" s="1"/>
  <c r="O87" i="6" a="1"/>
  <c r="O87" i="6" s="1"/>
  <c r="P87" i="6" a="1"/>
  <c r="P87" i="6" s="1"/>
  <c r="Q87" i="6" a="1"/>
  <c r="Q87" i="6" s="1"/>
  <c r="R87" i="6" a="1"/>
  <c r="R87" i="6" s="1"/>
  <c r="O88" i="6" a="1"/>
  <c r="O88" i="6" s="1"/>
  <c r="P88" i="6" a="1"/>
  <c r="P88" i="6" s="1"/>
  <c r="Q88" i="6" a="1"/>
  <c r="Q88" i="6" s="1"/>
  <c r="R88" i="6" a="1"/>
  <c r="R88" i="6" s="1"/>
  <c r="O89" i="6" a="1"/>
  <c r="O89" i="6" s="1"/>
  <c r="P89" i="6" a="1"/>
  <c r="P89" i="6" s="1"/>
  <c r="Q89" i="6" a="1"/>
  <c r="Q89" i="6" s="1"/>
  <c r="R89" i="6" a="1"/>
  <c r="R89" i="6" s="1"/>
  <c r="O90" i="6" a="1"/>
  <c r="O90" i="6" s="1"/>
  <c r="P90" i="6" a="1"/>
  <c r="P90" i="6" s="1"/>
  <c r="Q90" i="6" a="1"/>
  <c r="Q90" i="6" s="1"/>
  <c r="R90" i="6" a="1"/>
  <c r="R90" i="6" s="1"/>
  <c r="O91" i="6" a="1"/>
  <c r="O91" i="6" s="1"/>
  <c r="P91" i="6" a="1"/>
  <c r="P91" i="6" s="1"/>
  <c r="Q91" i="6" a="1"/>
  <c r="Q91" i="6" s="1"/>
  <c r="R91" i="6" a="1"/>
  <c r="R91" i="6" s="1"/>
  <c r="O92" i="6" a="1"/>
  <c r="O92" i="6" s="1"/>
  <c r="P92" i="6" a="1"/>
  <c r="P92" i="6" s="1"/>
  <c r="Q92" i="6" a="1"/>
  <c r="Q92" i="6" s="1"/>
  <c r="R92" i="6" a="1"/>
  <c r="R92" i="6" s="1"/>
  <c r="O93" i="6" a="1"/>
  <c r="O93" i="6" s="1"/>
  <c r="P93" i="6" a="1"/>
  <c r="P93" i="6" s="1"/>
  <c r="Q93" i="6" a="1"/>
  <c r="Q93" i="6" s="1"/>
  <c r="R93" i="6" a="1"/>
  <c r="R93" i="6" s="1"/>
  <c r="O94" i="6" a="1"/>
  <c r="O94" i="6" s="1"/>
  <c r="P94" i="6" a="1"/>
  <c r="P94" i="6" s="1"/>
  <c r="Q94" i="6" a="1"/>
  <c r="Q94" i="6" s="1"/>
  <c r="R94" i="6" a="1"/>
  <c r="R94" i="6" s="1"/>
  <c r="O95" i="6" a="1"/>
  <c r="O95" i="6" s="1"/>
  <c r="P95" i="6" a="1"/>
  <c r="P95" i="6" s="1"/>
  <c r="Q95" i="6" a="1"/>
  <c r="Q95" i="6" s="1"/>
  <c r="R95" i="6" a="1"/>
  <c r="R95" i="6" s="1"/>
  <c r="O96" i="6" a="1"/>
  <c r="O96" i="6" s="1"/>
  <c r="P96" i="6" a="1"/>
  <c r="P96" i="6" s="1"/>
  <c r="Q96" i="6" a="1"/>
  <c r="Q96" i="6" s="1"/>
  <c r="R96" i="6" a="1"/>
  <c r="R96" i="6" s="1"/>
  <c r="O97" i="6" a="1"/>
  <c r="O97" i="6" s="1"/>
  <c r="P97" i="6" a="1"/>
  <c r="P97" i="6" s="1"/>
  <c r="Q97" i="6" a="1"/>
  <c r="Q97" i="6" s="1"/>
  <c r="R97" i="6" a="1"/>
  <c r="R97" i="6" s="1"/>
  <c r="O98" i="6" a="1"/>
  <c r="O98" i="6" s="1"/>
  <c r="P98" i="6" a="1"/>
  <c r="P98" i="6" s="1"/>
  <c r="Q98" i="6" a="1"/>
  <c r="Q98" i="6" s="1"/>
  <c r="R98" i="6" a="1"/>
  <c r="R98" i="6" s="1"/>
  <c r="O99" i="6" a="1"/>
  <c r="O99" i="6" s="1"/>
  <c r="P99" i="6" a="1"/>
  <c r="P99" i="6" s="1"/>
  <c r="Q99" i="6" a="1"/>
  <c r="Q99" i="6" s="1"/>
  <c r="R99" i="6" a="1"/>
  <c r="R99" i="6" s="1"/>
  <c r="O100" i="6" a="1"/>
  <c r="O100" i="6" s="1"/>
  <c r="P100" i="6" a="1"/>
  <c r="P100" i="6" s="1"/>
  <c r="Q100" i="6" a="1"/>
  <c r="Q100" i="6" s="1"/>
  <c r="R100" i="6" a="1"/>
  <c r="R100" i="6" s="1"/>
  <c r="O101" i="6" a="1"/>
  <c r="O101" i="6" s="1"/>
  <c r="P101" i="6" a="1"/>
  <c r="P101" i="6" s="1"/>
  <c r="Q101" i="6" a="1"/>
  <c r="Q101" i="6" s="1"/>
  <c r="R101" i="6" a="1"/>
  <c r="R101" i="6" s="1"/>
  <c r="O102" i="6" a="1"/>
  <c r="O102" i="6" s="1"/>
  <c r="P102" i="6" a="1"/>
  <c r="P102" i="6" s="1"/>
  <c r="Q102" i="6" a="1"/>
  <c r="Q102" i="6" s="1"/>
  <c r="R102" i="6" a="1"/>
  <c r="R102" i="6" s="1"/>
  <c r="O103" i="6" a="1"/>
  <c r="O103" i="6" s="1"/>
  <c r="P103" i="6" a="1"/>
  <c r="P103" i="6" s="1"/>
  <c r="Q103" i="6" a="1"/>
  <c r="Q103" i="6" s="1"/>
  <c r="R103" i="6" a="1"/>
  <c r="R103" i="6" s="1"/>
  <c r="O104" i="6" a="1"/>
  <c r="O104" i="6" s="1"/>
  <c r="P104" i="6" a="1"/>
  <c r="P104" i="6" s="1"/>
  <c r="Q104" i="6" a="1"/>
  <c r="Q104" i="6" s="1"/>
  <c r="R104" i="6" a="1"/>
  <c r="R104" i="6" s="1"/>
  <c r="O105" i="6" a="1"/>
  <c r="O105" i="6" s="1"/>
  <c r="P105" i="6" a="1"/>
  <c r="P105" i="6" s="1"/>
  <c r="Q105" i="6" a="1"/>
  <c r="Q105" i="6" s="1"/>
  <c r="R105" i="6" a="1"/>
  <c r="R105" i="6" s="1"/>
  <c r="O106" i="6" a="1"/>
  <c r="O106" i="6" s="1"/>
  <c r="P106" i="6" a="1"/>
  <c r="P106" i="6" s="1"/>
  <c r="Q106" i="6" a="1"/>
  <c r="Q106" i="6" s="1"/>
  <c r="R106" i="6" a="1"/>
  <c r="R106" i="6" s="1"/>
  <c r="O107" i="6" a="1"/>
  <c r="O107" i="6" s="1"/>
  <c r="P107" i="6" a="1"/>
  <c r="P107" i="6" s="1"/>
  <c r="Q107" i="6" a="1"/>
  <c r="Q107" i="6" s="1"/>
  <c r="R107" i="6" a="1"/>
  <c r="R107" i="6" s="1"/>
  <c r="O108" i="6" a="1"/>
  <c r="O108" i="6" s="1"/>
  <c r="P108" i="6" a="1"/>
  <c r="P108" i="6" s="1"/>
  <c r="Q108" i="6" a="1"/>
  <c r="Q108" i="6" s="1"/>
  <c r="R108" i="6" a="1"/>
  <c r="R108" i="6" s="1"/>
  <c r="O109" i="6" a="1"/>
  <c r="O109" i="6" s="1"/>
  <c r="P109" i="6" a="1"/>
  <c r="P109" i="6" s="1"/>
  <c r="Q109" i="6" a="1"/>
  <c r="Q109" i="6" s="1"/>
  <c r="R109" i="6" a="1"/>
  <c r="R109" i="6" s="1"/>
  <c r="O110" i="6" a="1"/>
  <c r="O110" i="6" s="1"/>
  <c r="P110" i="6" a="1"/>
  <c r="P110" i="6" s="1"/>
  <c r="Q110" i="6" a="1"/>
  <c r="Q110" i="6" s="1"/>
  <c r="R110" i="6" a="1"/>
  <c r="R110" i="6" s="1"/>
  <c r="O111" i="6" a="1"/>
  <c r="O111" i="6" s="1"/>
  <c r="P111" i="6" a="1"/>
  <c r="P111" i="6" s="1"/>
  <c r="Q111" i="6" a="1"/>
  <c r="Q111" i="6" s="1"/>
  <c r="R111" i="6" a="1"/>
  <c r="R111" i="6" s="1"/>
  <c r="O112" i="6" a="1"/>
  <c r="O112" i="6" s="1"/>
  <c r="P112" i="6" a="1"/>
  <c r="P112" i="6" s="1"/>
  <c r="Q112" i="6" a="1"/>
  <c r="Q112" i="6" s="1"/>
  <c r="R112" i="6" a="1"/>
  <c r="R112" i="6" s="1"/>
  <c r="O113" i="6" a="1"/>
  <c r="O113" i="6" s="1"/>
  <c r="P113" i="6" a="1"/>
  <c r="P113" i="6" s="1"/>
  <c r="Q113" i="6" a="1"/>
  <c r="Q113" i="6" s="1"/>
  <c r="R113" i="6" a="1"/>
  <c r="R113" i="6" s="1"/>
  <c r="O114" i="6" a="1"/>
  <c r="O114" i="6" s="1"/>
  <c r="P114" i="6" a="1"/>
  <c r="P114" i="6" s="1"/>
  <c r="Q114" i="6" a="1"/>
  <c r="Q114" i="6" s="1"/>
  <c r="R114" i="6" a="1"/>
  <c r="R114" i="6" s="1"/>
  <c r="O115" i="6" a="1"/>
  <c r="O115" i="6" s="1"/>
  <c r="P115" i="6" a="1"/>
  <c r="P115" i="6" s="1"/>
  <c r="Q115" i="6" a="1"/>
  <c r="Q115" i="6" s="1"/>
  <c r="R115" i="6" a="1"/>
  <c r="R115" i="6" s="1"/>
  <c r="O116" i="6" a="1"/>
  <c r="O116" i="6" s="1"/>
  <c r="P116" i="6" a="1"/>
  <c r="P116" i="6" s="1"/>
  <c r="Q116" i="6" a="1"/>
  <c r="Q116" i="6" s="1"/>
  <c r="R116" i="6" a="1"/>
  <c r="R116" i="6" s="1"/>
  <c r="O117" i="6" a="1"/>
  <c r="O117" i="6" s="1"/>
  <c r="P117" i="6" a="1"/>
  <c r="P117" i="6" s="1"/>
  <c r="Q117" i="6" a="1"/>
  <c r="Q117" i="6" s="1"/>
  <c r="R117" i="6" a="1"/>
  <c r="R117" i="6" s="1"/>
  <c r="O118" i="6" a="1"/>
  <c r="O118" i="6" s="1"/>
  <c r="P118" i="6" a="1"/>
  <c r="P118" i="6" s="1"/>
  <c r="Q118" i="6" a="1"/>
  <c r="Q118" i="6" s="1"/>
  <c r="R118" i="6" a="1"/>
  <c r="R118" i="6" s="1"/>
  <c r="O119" i="6" a="1"/>
  <c r="O119" i="6" s="1"/>
  <c r="P119" i="6" a="1"/>
  <c r="P119" i="6" s="1"/>
  <c r="Q119" i="6" a="1"/>
  <c r="Q119" i="6" s="1"/>
  <c r="R119" i="6" a="1"/>
  <c r="R119" i="6" s="1"/>
  <c r="O120" i="6" a="1"/>
  <c r="O120" i="6" s="1"/>
  <c r="P120" i="6" a="1"/>
  <c r="P120" i="6" s="1"/>
  <c r="Q120" i="6" a="1"/>
  <c r="Q120" i="6" s="1"/>
  <c r="R120" i="6" a="1"/>
  <c r="R120" i="6" s="1"/>
  <c r="O121" i="6" a="1"/>
  <c r="O121" i="6" s="1"/>
  <c r="P121" i="6" a="1"/>
  <c r="P121" i="6" s="1"/>
  <c r="Q121" i="6" a="1"/>
  <c r="Q121" i="6" s="1"/>
  <c r="R121" i="6" a="1"/>
  <c r="R121" i="6" s="1"/>
  <c r="O122" i="6" a="1"/>
  <c r="O122" i="6" s="1"/>
  <c r="P122" i="6" a="1"/>
  <c r="P122" i="6" s="1"/>
  <c r="Q122" i="6" a="1"/>
  <c r="Q122" i="6" s="1"/>
  <c r="R122" i="6" a="1"/>
  <c r="R122" i="6" s="1"/>
  <c r="O123" i="6" a="1"/>
  <c r="O123" i="6" s="1"/>
  <c r="P123" i="6" a="1"/>
  <c r="P123" i="6" s="1"/>
  <c r="Q123" i="6" a="1"/>
  <c r="Q123" i="6" s="1"/>
  <c r="R123" i="6" a="1"/>
  <c r="R123" i="6" s="1"/>
  <c r="O124" i="6" a="1"/>
  <c r="O124" i="6" s="1"/>
  <c r="P124" i="6" a="1"/>
  <c r="P124" i="6" s="1"/>
  <c r="Q124" i="6" a="1"/>
  <c r="Q124" i="6" s="1"/>
  <c r="R124" i="6" a="1"/>
  <c r="R124" i="6" s="1"/>
  <c r="O125" i="6" a="1"/>
  <c r="O125" i="6" s="1"/>
  <c r="P125" i="6" a="1"/>
  <c r="P125" i="6" s="1"/>
  <c r="Q125" i="6" a="1"/>
  <c r="Q125" i="6" s="1"/>
  <c r="R125" i="6" a="1"/>
  <c r="R125" i="6" s="1"/>
  <c r="O126" i="6" a="1"/>
  <c r="O126" i="6" s="1"/>
  <c r="P126" i="6" a="1"/>
  <c r="P126" i="6" s="1"/>
  <c r="Q126" i="6" a="1"/>
  <c r="Q126" i="6" s="1"/>
  <c r="R126" i="6" a="1"/>
  <c r="R126" i="6" s="1"/>
  <c r="O127" i="6" a="1"/>
  <c r="O127" i="6" s="1"/>
  <c r="P127" i="6" a="1"/>
  <c r="P127" i="6" s="1"/>
  <c r="Q127" i="6" a="1"/>
  <c r="Q127" i="6" s="1"/>
  <c r="R127" i="6" a="1"/>
  <c r="R127" i="6" s="1"/>
  <c r="O128" i="6" a="1"/>
  <c r="O128" i="6" s="1"/>
  <c r="P128" i="6" a="1"/>
  <c r="P128" i="6" s="1"/>
  <c r="Q128" i="6" a="1"/>
  <c r="Q128" i="6" s="1"/>
  <c r="R128" i="6" a="1"/>
  <c r="R128" i="6" s="1"/>
  <c r="O129" i="6" a="1"/>
  <c r="O129" i="6" s="1"/>
  <c r="P129" i="6" a="1"/>
  <c r="P129" i="6" s="1"/>
  <c r="Q129" i="6" a="1"/>
  <c r="Q129" i="6" s="1"/>
  <c r="R129" i="6" a="1"/>
  <c r="R129" i="6" s="1"/>
  <c r="O130" i="6" a="1"/>
  <c r="O130" i="6" s="1"/>
  <c r="P130" i="6" a="1"/>
  <c r="P130" i="6" s="1"/>
  <c r="Q130" i="6" a="1"/>
  <c r="Q130" i="6" s="1"/>
  <c r="R130" i="6" a="1"/>
  <c r="R130" i="6" s="1"/>
  <c r="O131" i="6" a="1"/>
  <c r="O131" i="6" s="1"/>
  <c r="P131" i="6" a="1"/>
  <c r="P131" i="6" s="1"/>
  <c r="Q131" i="6" a="1"/>
  <c r="Q131" i="6" s="1"/>
  <c r="R131" i="6" a="1"/>
  <c r="R131" i="6" s="1"/>
  <c r="O132" i="6" a="1"/>
  <c r="O132" i="6" s="1"/>
  <c r="P132" i="6" a="1"/>
  <c r="P132" i="6" s="1"/>
  <c r="Q132" i="6" a="1"/>
  <c r="Q132" i="6" s="1"/>
  <c r="R132" i="6" a="1"/>
  <c r="R132" i="6" s="1"/>
  <c r="O133" i="6" a="1"/>
  <c r="O133" i="6" s="1"/>
  <c r="P133" i="6" a="1"/>
  <c r="P133" i="6" s="1"/>
  <c r="Q133" i="6" a="1"/>
  <c r="Q133" i="6" s="1"/>
  <c r="R133" i="6" a="1"/>
  <c r="R133" i="6" s="1"/>
  <c r="O134" i="6" a="1"/>
  <c r="O134" i="6" s="1"/>
  <c r="P134" i="6" a="1"/>
  <c r="P134" i="6" s="1"/>
  <c r="Q134" i="6" a="1"/>
  <c r="Q134" i="6" s="1"/>
  <c r="R134" i="6" a="1"/>
  <c r="R134" i="6" s="1"/>
  <c r="O135" i="6" a="1"/>
  <c r="O135" i="6" s="1"/>
  <c r="P135" i="6" a="1"/>
  <c r="P135" i="6" s="1"/>
  <c r="Q135" i="6" a="1"/>
  <c r="Q135" i="6" s="1"/>
  <c r="R135" i="6" a="1"/>
  <c r="R135" i="6" s="1"/>
  <c r="O136" i="6" a="1"/>
  <c r="O136" i="6" s="1"/>
  <c r="P136" i="6" a="1"/>
  <c r="P136" i="6" s="1"/>
  <c r="Q136" i="6" a="1"/>
  <c r="Q136" i="6" s="1"/>
  <c r="R136" i="6" a="1"/>
  <c r="R136" i="6" s="1"/>
  <c r="O137" i="6" a="1"/>
  <c r="O137" i="6" s="1"/>
  <c r="P137" i="6" a="1"/>
  <c r="P137" i="6" s="1"/>
  <c r="Q137" i="6" a="1"/>
  <c r="Q137" i="6" s="1"/>
  <c r="R137" i="6" a="1"/>
  <c r="R137" i="6" s="1"/>
  <c r="O138" i="6" a="1"/>
  <c r="O138" i="6" s="1"/>
  <c r="P138" i="6" a="1"/>
  <c r="P138" i="6" s="1"/>
  <c r="Q138" i="6" a="1"/>
  <c r="Q138" i="6" s="1"/>
  <c r="R138" i="6" a="1"/>
  <c r="R138" i="6" s="1"/>
  <c r="O139" i="6" a="1"/>
  <c r="O139" i="6" s="1"/>
  <c r="P139" i="6" a="1"/>
  <c r="P139" i="6" s="1"/>
  <c r="Q139" i="6" a="1"/>
  <c r="Q139" i="6" s="1"/>
  <c r="R139" i="6" a="1"/>
  <c r="R139" i="6" s="1"/>
  <c r="O140" i="6" a="1"/>
  <c r="O140" i="6" s="1"/>
  <c r="P140" i="6" a="1"/>
  <c r="P140" i="6" s="1"/>
  <c r="Q140" i="6" a="1"/>
  <c r="Q140" i="6" s="1"/>
  <c r="R140" i="6" a="1"/>
  <c r="R140" i="6" s="1"/>
  <c r="O141" i="6" a="1"/>
  <c r="O141" i="6" s="1"/>
  <c r="P141" i="6" a="1"/>
  <c r="P141" i="6" s="1"/>
  <c r="Q141" i="6" a="1"/>
  <c r="Q141" i="6" s="1"/>
  <c r="R141" i="6" a="1"/>
  <c r="R141" i="6" s="1"/>
  <c r="O142" i="6" a="1"/>
  <c r="O142" i="6" s="1"/>
  <c r="P142" i="6" a="1"/>
  <c r="P142" i="6" s="1"/>
  <c r="Q142" i="6" a="1"/>
  <c r="Q142" i="6" s="1"/>
  <c r="R142" i="6" a="1"/>
  <c r="R142" i="6" s="1"/>
  <c r="O143" i="6" a="1"/>
  <c r="O143" i="6" s="1"/>
  <c r="P143" i="6" a="1"/>
  <c r="P143" i="6" s="1"/>
  <c r="Q143" i="6" a="1"/>
  <c r="Q143" i="6" s="1"/>
  <c r="R143" i="6" a="1"/>
  <c r="R143" i="6" s="1"/>
  <c r="O144" i="6" a="1"/>
  <c r="O144" i="6" s="1"/>
  <c r="P144" i="6" a="1"/>
  <c r="P144" i="6" s="1"/>
  <c r="Q144" i="6" a="1"/>
  <c r="Q144" i="6" s="1"/>
  <c r="R144" i="6" a="1"/>
  <c r="R144" i="6" s="1"/>
  <c r="O145" i="6" a="1"/>
  <c r="O145" i="6" s="1"/>
  <c r="P145" i="6" a="1"/>
  <c r="P145" i="6" s="1"/>
  <c r="Q145" i="6" a="1"/>
  <c r="Q145" i="6" s="1"/>
  <c r="R145" i="6" a="1"/>
  <c r="R145" i="6" s="1"/>
  <c r="O146" i="6" a="1"/>
  <c r="O146" i="6" s="1"/>
  <c r="P146" i="6" a="1"/>
  <c r="P146" i="6" s="1"/>
  <c r="Q146" i="6" a="1"/>
  <c r="Q146" i="6" s="1"/>
  <c r="R146" i="6" a="1"/>
  <c r="R146" i="6" s="1"/>
  <c r="O147" i="6" a="1"/>
  <c r="O147" i="6" s="1"/>
  <c r="P147" i="6" a="1"/>
  <c r="P147" i="6" s="1"/>
  <c r="Q147" i="6" a="1"/>
  <c r="Q147" i="6" s="1"/>
  <c r="R147" i="6" a="1"/>
  <c r="R147" i="6" s="1"/>
  <c r="O148" i="6" a="1"/>
  <c r="O148" i="6" s="1"/>
  <c r="P148" i="6" a="1"/>
  <c r="P148" i="6" s="1"/>
  <c r="Q148" i="6" a="1"/>
  <c r="Q148" i="6" s="1"/>
  <c r="R148" i="6" a="1"/>
  <c r="R148" i="6" s="1"/>
  <c r="O149" i="6" a="1"/>
  <c r="O149" i="6" s="1"/>
  <c r="P149" i="6" a="1"/>
  <c r="P149" i="6" s="1"/>
  <c r="Q149" i="6" a="1"/>
  <c r="Q149" i="6" s="1"/>
  <c r="R149" i="6" a="1"/>
  <c r="R149" i="6" s="1"/>
  <c r="O150" i="6" a="1"/>
  <c r="O150" i="6" s="1"/>
  <c r="P150" i="6" a="1"/>
  <c r="P150" i="6" s="1"/>
  <c r="Q150" i="6" a="1"/>
  <c r="Q150" i="6" s="1"/>
  <c r="R150" i="6" a="1"/>
  <c r="R150" i="6" s="1"/>
  <c r="O151" i="6" a="1"/>
  <c r="O151" i="6" s="1"/>
  <c r="P151" i="6" a="1"/>
  <c r="P151" i="6" s="1"/>
  <c r="Q151" i="6" a="1"/>
  <c r="Q151" i="6" s="1"/>
  <c r="R151" i="6" a="1"/>
  <c r="R151" i="6" s="1"/>
  <c r="O152" i="6" a="1"/>
  <c r="O152" i="6" s="1"/>
  <c r="P152" i="6" a="1"/>
  <c r="P152" i="6" s="1"/>
  <c r="Q152" i="6" a="1"/>
  <c r="Q152" i="6" s="1"/>
  <c r="R152" i="6" a="1"/>
  <c r="R152" i="6" s="1"/>
  <c r="O153" i="6" a="1"/>
  <c r="O153" i="6" s="1"/>
  <c r="P153" i="6" a="1"/>
  <c r="P153" i="6" s="1"/>
  <c r="Q153" i="6" a="1"/>
  <c r="Q153" i="6" s="1"/>
  <c r="R153" i="6" a="1"/>
  <c r="R153" i="6" s="1"/>
  <c r="O154" i="6" a="1"/>
  <c r="O154" i="6" s="1"/>
  <c r="P154" i="6" a="1"/>
  <c r="P154" i="6" s="1"/>
  <c r="Q154" i="6" a="1"/>
  <c r="Q154" i="6" s="1"/>
  <c r="R154" i="6" a="1"/>
  <c r="R154" i="6" s="1"/>
  <c r="O155" i="6" a="1"/>
  <c r="O155" i="6" s="1"/>
  <c r="P155" i="6" a="1"/>
  <c r="P155" i="6" s="1"/>
  <c r="Q155" i="6" a="1"/>
  <c r="Q155" i="6" s="1"/>
  <c r="R155" i="6" a="1"/>
  <c r="R155" i="6" s="1"/>
  <c r="O156" i="6" a="1"/>
  <c r="O156" i="6" s="1"/>
  <c r="P156" i="6" a="1"/>
  <c r="P156" i="6" s="1"/>
  <c r="Q156" i="6" a="1"/>
  <c r="Q156" i="6" s="1"/>
  <c r="R156" i="6" a="1"/>
  <c r="R156" i="6" s="1"/>
  <c r="O157" i="6" a="1"/>
  <c r="O157" i="6" s="1"/>
  <c r="P157" i="6" a="1"/>
  <c r="P157" i="6" s="1"/>
  <c r="Q157" i="6" a="1"/>
  <c r="Q157" i="6" s="1"/>
  <c r="R157" i="6" a="1"/>
  <c r="R157" i="6" s="1"/>
  <c r="O158" i="6" a="1"/>
  <c r="O158" i="6" s="1"/>
  <c r="P158" i="6" a="1"/>
  <c r="P158" i="6" s="1"/>
  <c r="Q158" i="6" a="1"/>
  <c r="Q158" i="6" s="1"/>
  <c r="R158" i="6" a="1"/>
  <c r="R158" i="6" s="1"/>
  <c r="O159" i="6" a="1"/>
  <c r="O159" i="6" s="1"/>
  <c r="P159" i="6" a="1"/>
  <c r="P159" i="6" s="1"/>
  <c r="Q159" i="6" a="1"/>
  <c r="Q159" i="6" s="1"/>
  <c r="R159" i="6" a="1"/>
  <c r="R159" i="6" s="1"/>
  <c r="O160" i="6" a="1"/>
  <c r="O160" i="6" s="1"/>
  <c r="P160" i="6" a="1"/>
  <c r="P160" i="6" s="1"/>
  <c r="Q160" i="6" a="1"/>
  <c r="Q160" i="6" s="1"/>
  <c r="R160" i="6" a="1"/>
  <c r="R160" i="6" s="1"/>
  <c r="O161" i="6" a="1"/>
  <c r="O161" i="6" s="1"/>
  <c r="P161" i="6" a="1"/>
  <c r="P161" i="6" s="1"/>
  <c r="Q161" i="6" a="1"/>
  <c r="Q161" i="6" s="1"/>
  <c r="R161" i="6" a="1"/>
  <c r="R161" i="6" s="1"/>
  <c r="O162" i="6" a="1"/>
  <c r="O162" i="6" s="1"/>
  <c r="P162" i="6" a="1"/>
  <c r="P162" i="6" s="1"/>
  <c r="Q162" i="6" a="1"/>
  <c r="Q162" i="6" s="1"/>
  <c r="R162" i="6" a="1"/>
  <c r="R162" i="6" s="1"/>
  <c r="O163" i="6" a="1"/>
  <c r="O163" i="6" s="1"/>
  <c r="P163" i="6" a="1"/>
  <c r="P163" i="6" s="1"/>
  <c r="Q163" i="6" a="1"/>
  <c r="Q163" i="6" s="1"/>
  <c r="R163" i="6" a="1"/>
  <c r="R163" i="6" s="1"/>
  <c r="O164" i="6" a="1"/>
  <c r="O164" i="6" s="1"/>
  <c r="P164" i="6" a="1"/>
  <c r="P164" i="6" s="1"/>
  <c r="Q164" i="6" a="1"/>
  <c r="Q164" i="6" s="1"/>
  <c r="R164" i="6" a="1"/>
  <c r="R164" i="6" s="1"/>
  <c r="O165" i="6" a="1"/>
  <c r="O165" i="6" s="1"/>
  <c r="P165" i="6" a="1"/>
  <c r="P165" i="6" s="1"/>
  <c r="Q165" i="6" a="1"/>
  <c r="Q165" i="6" s="1"/>
  <c r="R165" i="6" a="1"/>
  <c r="R165" i="6" s="1"/>
  <c r="O166" i="6" a="1"/>
  <c r="O166" i="6" s="1"/>
  <c r="P166" i="6" a="1"/>
  <c r="P166" i="6" s="1"/>
  <c r="Q166" i="6" a="1"/>
  <c r="Q166" i="6" s="1"/>
  <c r="R166" i="6" a="1"/>
  <c r="R166" i="6" s="1"/>
  <c r="O167" i="6" a="1"/>
  <c r="O167" i="6" s="1"/>
  <c r="P167" i="6" a="1"/>
  <c r="P167" i="6" s="1"/>
  <c r="Q167" i="6" a="1"/>
  <c r="Q167" i="6" s="1"/>
  <c r="R167" i="6" a="1"/>
  <c r="R167" i="6" s="1"/>
  <c r="O168" i="6" a="1"/>
  <c r="O168" i="6" s="1"/>
  <c r="P168" i="6" a="1"/>
  <c r="P168" i="6" s="1"/>
  <c r="Q168" i="6" a="1"/>
  <c r="Q168" i="6" s="1"/>
  <c r="R168" i="6" a="1"/>
  <c r="R168" i="6" s="1"/>
  <c r="O169" i="6" a="1"/>
  <c r="O169" i="6" s="1"/>
  <c r="P169" i="6" a="1"/>
  <c r="P169" i="6" s="1"/>
  <c r="Q169" i="6" a="1"/>
  <c r="Q169" i="6" s="1"/>
  <c r="R169" i="6" a="1"/>
  <c r="R169" i="6" s="1"/>
  <c r="O170" i="6" a="1"/>
  <c r="O170" i="6" s="1"/>
  <c r="P170" i="6" a="1"/>
  <c r="P170" i="6" s="1"/>
  <c r="Q170" i="6" a="1"/>
  <c r="Q170" i="6" s="1"/>
  <c r="R170" i="6" a="1"/>
  <c r="R170" i="6" s="1"/>
  <c r="O171" i="6" a="1"/>
  <c r="O171" i="6" s="1"/>
  <c r="P171" i="6" a="1"/>
  <c r="P171" i="6" s="1"/>
  <c r="Q171" i="6" a="1"/>
  <c r="Q171" i="6" s="1"/>
  <c r="R171" i="6" a="1"/>
  <c r="R171" i="6" s="1"/>
  <c r="O172" i="6" a="1"/>
  <c r="O172" i="6" s="1"/>
  <c r="P172" i="6" a="1"/>
  <c r="P172" i="6" s="1"/>
  <c r="Q172" i="6" a="1"/>
  <c r="Q172" i="6" s="1"/>
  <c r="R172" i="6" a="1"/>
  <c r="R172" i="6" s="1"/>
  <c r="O173" i="6" a="1"/>
  <c r="O173" i="6" s="1"/>
  <c r="P173" i="6" a="1"/>
  <c r="P173" i="6" s="1"/>
  <c r="Q173" i="6" a="1"/>
  <c r="Q173" i="6" s="1"/>
  <c r="R173" i="6" a="1"/>
  <c r="R173" i="6" s="1"/>
  <c r="O174" i="6" a="1"/>
  <c r="O174" i="6" s="1"/>
  <c r="P174" i="6" a="1"/>
  <c r="P174" i="6" s="1"/>
  <c r="Q174" i="6" a="1"/>
  <c r="Q174" i="6" s="1"/>
  <c r="R174" i="6" a="1"/>
  <c r="R174" i="6" s="1"/>
  <c r="O175" i="6" a="1"/>
  <c r="O175" i="6" s="1"/>
  <c r="P175" i="6" a="1"/>
  <c r="P175" i="6" s="1"/>
  <c r="Q175" i="6" a="1"/>
  <c r="Q175" i="6" s="1"/>
  <c r="R175" i="6" a="1"/>
  <c r="R175" i="6" s="1"/>
  <c r="O176" i="6" a="1"/>
  <c r="O176" i="6" s="1"/>
  <c r="P176" i="6" a="1"/>
  <c r="P176" i="6" s="1"/>
  <c r="Q176" i="6" a="1"/>
  <c r="Q176" i="6" s="1"/>
  <c r="R176" i="6" a="1"/>
  <c r="R176" i="6" s="1"/>
  <c r="O177" i="6" a="1"/>
  <c r="O177" i="6" s="1"/>
  <c r="P177" i="6" a="1"/>
  <c r="P177" i="6" s="1"/>
  <c r="Q177" i="6" a="1"/>
  <c r="Q177" i="6" s="1"/>
  <c r="R177" i="6" a="1"/>
  <c r="R177" i="6" s="1"/>
  <c r="O178" i="6" a="1"/>
  <c r="O178" i="6" s="1"/>
  <c r="P178" i="6" a="1"/>
  <c r="P178" i="6" s="1"/>
  <c r="Q178" i="6" a="1"/>
  <c r="Q178" i="6" s="1"/>
  <c r="R178" i="6" a="1"/>
  <c r="R178" i="6" s="1"/>
  <c r="O179" i="6" a="1"/>
  <c r="O179" i="6" s="1"/>
  <c r="P179" i="6" a="1"/>
  <c r="P179" i="6" s="1"/>
  <c r="Q179" i="6" a="1"/>
  <c r="Q179" i="6" s="1"/>
  <c r="R179" i="6" a="1"/>
  <c r="R179" i="6" s="1"/>
  <c r="O180" i="6" a="1"/>
  <c r="O180" i="6" s="1"/>
  <c r="P180" i="6" a="1"/>
  <c r="P180" i="6" s="1"/>
  <c r="Q180" i="6" a="1"/>
  <c r="Q180" i="6" s="1"/>
  <c r="R180" i="6" a="1"/>
  <c r="R180" i="6" s="1"/>
  <c r="O181" i="6" a="1"/>
  <c r="O181" i="6" s="1"/>
  <c r="P181" i="6" a="1"/>
  <c r="P181" i="6" s="1"/>
  <c r="Q181" i="6" a="1"/>
  <c r="Q181" i="6" s="1"/>
  <c r="R181" i="6" a="1"/>
  <c r="R181" i="6" s="1"/>
  <c r="O182" i="6" a="1"/>
  <c r="O182" i="6" s="1"/>
  <c r="P182" i="6" a="1"/>
  <c r="P182" i="6" s="1"/>
  <c r="Q182" i="6" a="1"/>
  <c r="Q182" i="6" s="1"/>
  <c r="R182" i="6" a="1"/>
  <c r="R182" i="6" s="1"/>
  <c r="O183" i="6" a="1"/>
  <c r="O183" i="6" s="1"/>
  <c r="P183" i="6" a="1"/>
  <c r="P183" i="6" s="1"/>
  <c r="Q183" i="6" a="1"/>
  <c r="Q183" i="6" s="1"/>
  <c r="R183" i="6" a="1"/>
  <c r="R183" i="6" s="1"/>
  <c r="O184" i="6" a="1"/>
  <c r="O184" i="6" s="1"/>
  <c r="P184" i="6" a="1"/>
  <c r="P184" i="6" s="1"/>
  <c r="Q184" i="6" a="1"/>
  <c r="Q184" i="6" s="1"/>
  <c r="R184" i="6" a="1"/>
  <c r="R184" i="6" s="1"/>
  <c r="O185" i="6" a="1"/>
  <c r="O185" i="6" s="1"/>
  <c r="P185" i="6" a="1"/>
  <c r="P185" i="6" s="1"/>
  <c r="Q185" i="6" a="1"/>
  <c r="Q185" i="6" s="1"/>
  <c r="R185" i="6" a="1"/>
  <c r="R185" i="6" s="1"/>
  <c r="O186" i="6" a="1"/>
  <c r="O186" i="6" s="1"/>
  <c r="P186" i="6" a="1"/>
  <c r="P186" i="6" s="1"/>
  <c r="Q186" i="6" a="1"/>
  <c r="Q186" i="6" s="1"/>
  <c r="R186" i="6" a="1"/>
  <c r="R186" i="6" s="1"/>
  <c r="O187" i="6" a="1"/>
  <c r="O187" i="6" s="1"/>
  <c r="P187" i="6" a="1"/>
  <c r="P187" i="6" s="1"/>
  <c r="Q187" i="6" a="1"/>
  <c r="Q187" i="6" s="1"/>
  <c r="R187" i="6" a="1"/>
  <c r="R187" i="6" s="1"/>
  <c r="O188" i="6" a="1"/>
  <c r="O188" i="6" s="1"/>
  <c r="P188" i="6" a="1"/>
  <c r="P188" i="6" s="1"/>
  <c r="Q188" i="6" a="1"/>
  <c r="Q188" i="6" s="1"/>
  <c r="R188" i="6" a="1"/>
  <c r="R188" i="6" s="1"/>
  <c r="O189" i="6" a="1"/>
  <c r="O189" i="6" s="1"/>
  <c r="P189" i="6" a="1"/>
  <c r="P189" i="6" s="1"/>
  <c r="Q189" i="6" a="1"/>
  <c r="Q189" i="6" s="1"/>
  <c r="R189" i="6" a="1"/>
  <c r="R189" i="6" s="1"/>
  <c r="O190" i="6" a="1"/>
  <c r="O190" i="6" s="1"/>
  <c r="P190" i="6" a="1"/>
  <c r="P190" i="6" s="1"/>
  <c r="Q190" i="6" a="1"/>
  <c r="Q190" i="6" s="1"/>
  <c r="R190" i="6" a="1"/>
  <c r="R190" i="6" s="1"/>
  <c r="O191" i="6" a="1"/>
  <c r="O191" i="6" s="1"/>
  <c r="P191" i="6" a="1"/>
  <c r="P191" i="6" s="1"/>
  <c r="Q191" i="6" a="1"/>
  <c r="Q191" i="6" s="1"/>
  <c r="R191" i="6" a="1"/>
  <c r="R191" i="6" s="1"/>
  <c r="O192" i="6" a="1"/>
  <c r="O192" i="6" s="1"/>
  <c r="P192" i="6" a="1"/>
  <c r="P192" i="6" s="1"/>
  <c r="Q192" i="6" a="1"/>
  <c r="Q192" i="6" s="1"/>
  <c r="R192" i="6" a="1"/>
  <c r="R192" i="6" s="1"/>
  <c r="O193" i="6" a="1"/>
  <c r="O193" i="6" s="1"/>
  <c r="P193" i="6" a="1"/>
  <c r="P193" i="6" s="1"/>
  <c r="Q193" i="6" a="1"/>
  <c r="Q193" i="6" s="1"/>
  <c r="R193" i="6" a="1"/>
  <c r="R193" i="6" s="1"/>
  <c r="O194" i="6" a="1"/>
  <c r="O194" i="6" s="1"/>
  <c r="P194" i="6" a="1"/>
  <c r="P194" i="6" s="1"/>
  <c r="Q194" i="6" a="1"/>
  <c r="Q194" i="6" s="1"/>
  <c r="R194" i="6" a="1"/>
  <c r="R194" i="6" s="1"/>
  <c r="O195" i="6" a="1"/>
  <c r="O195" i="6" s="1"/>
  <c r="P195" i="6" a="1"/>
  <c r="P195" i="6" s="1"/>
  <c r="Q195" i="6" a="1"/>
  <c r="Q195" i="6" s="1"/>
  <c r="R195" i="6" a="1"/>
  <c r="R195" i="6" s="1"/>
  <c r="O196" i="6" a="1"/>
  <c r="O196" i="6" s="1"/>
  <c r="P196" i="6" a="1"/>
  <c r="P196" i="6" s="1"/>
  <c r="Q196" i="6" a="1"/>
  <c r="Q196" i="6" s="1"/>
  <c r="R196" i="6" a="1"/>
  <c r="R196" i="6" s="1"/>
  <c r="O197" i="6" a="1"/>
  <c r="O197" i="6" s="1"/>
  <c r="P197" i="6" a="1"/>
  <c r="P197" i="6" s="1"/>
  <c r="Q197" i="6" a="1"/>
  <c r="Q197" i="6" s="1"/>
  <c r="R197" i="6" a="1"/>
  <c r="R197" i="6" s="1"/>
  <c r="O198" i="6" a="1"/>
  <c r="O198" i="6" s="1"/>
  <c r="P198" i="6" a="1"/>
  <c r="P198" i="6" s="1"/>
  <c r="Q198" i="6" a="1"/>
  <c r="Q198" i="6" s="1"/>
  <c r="R198" i="6" a="1"/>
  <c r="R198" i="6" s="1"/>
  <c r="O199" i="6" a="1"/>
  <c r="O199" i="6" s="1"/>
  <c r="P199" i="6" a="1"/>
  <c r="P199" i="6" s="1"/>
  <c r="Q199" i="6" a="1"/>
  <c r="Q199" i="6" s="1"/>
  <c r="R199" i="6" a="1"/>
  <c r="R199" i="6" s="1"/>
  <c r="O200" i="6" a="1"/>
  <c r="O200" i="6" s="1"/>
  <c r="P200" i="6" a="1"/>
  <c r="P200" i="6" s="1"/>
  <c r="Q200" i="6" a="1"/>
  <c r="Q200" i="6" s="1"/>
  <c r="R200" i="6" a="1"/>
  <c r="R200" i="6" s="1"/>
  <c r="O201" i="6" a="1"/>
  <c r="O201" i="6" s="1"/>
  <c r="P201" i="6" a="1"/>
  <c r="P201" i="6" s="1"/>
  <c r="Q201" i="6" a="1"/>
  <c r="Q201" i="6" s="1"/>
  <c r="R201" i="6" a="1"/>
  <c r="R201" i="6" s="1"/>
  <c r="O202" i="6" a="1"/>
  <c r="O202" i="6" s="1"/>
  <c r="P202" i="6" a="1"/>
  <c r="P202" i="6" s="1"/>
  <c r="Q202" i="6" a="1"/>
  <c r="Q202" i="6" s="1"/>
  <c r="R202" i="6" a="1"/>
  <c r="R202" i="6" s="1"/>
  <c r="O203" i="6" a="1"/>
  <c r="O203" i="6" s="1"/>
  <c r="P203" i="6" a="1"/>
  <c r="P203" i="6" s="1"/>
  <c r="Q203" i="6" a="1"/>
  <c r="Q203" i="6" s="1"/>
  <c r="R203" i="6" a="1"/>
  <c r="R203" i="6" s="1"/>
  <c r="O204" i="6" a="1"/>
  <c r="O204" i="6" s="1"/>
  <c r="P204" i="6" a="1"/>
  <c r="P204" i="6" s="1"/>
  <c r="Q204" i="6" a="1"/>
  <c r="Q204" i="6" s="1"/>
  <c r="R204" i="6" a="1"/>
  <c r="R204" i="6" s="1"/>
  <c r="O205" i="6" a="1"/>
  <c r="O205" i="6" s="1"/>
  <c r="P205" i="6" a="1"/>
  <c r="P205" i="6" s="1"/>
  <c r="Q205" i="6" a="1"/>
  <c r="Q205" i="6" s="1"/>
  <c r="R205" i="6" a="1"/>
  <c r="R205" i="6" s="1"/>
  <c r="O206" i="6" a="1"/>
  <c r="O206" i="6" s="1"/>
  <c r="P206" i="6" a="1"/>
  <c r="P206" i="6" s="1"/>
  <c r="Q206" i="6" a="1"/>
  <c r="Q206" i="6" s="1"/>
  <c r="R206" i="6" a="1"/>
  <c r="R206" i="6" s="1"/>
  <c r="O207" i="6" a="1"/>
  <c r="O207" i="6" s="1"/>
  <c r="P207" i="6" a="1"/>
  <c r="P207" i="6" s="1"/>
  <c r="Q207" i="6" a="1"/>
  <c r="Q207" i="6" s="1"/>
  <c r="R207" i="6" a="1"/>
  <c r="R207" i="6" s="1"/>
  <c r="O208" i="6" a="1"/>
  <c r="O208" i="6" s="1"/>
  <c r="P208" i="6" a="1"/>
  <c r="P208" i="6" s="1"/>
  <c r="Q208" i="6" a="1"/>
  <c r="Q208" i="6" s="1"/>
  <c r="R208" i="6" a="1"/>
  <c r="R208" i="6" s="1"/>
  <c r="O209" i="6" a="1"/>
  <c r="O209" i="6" s="1"/>
  <c r="P209" i="6" a="1"/>
  <c r="P209" i="6" s="1"/>
  <c r="Q209" i="6" a="1"/>
  <c r="Q209" i="6" s="1"/>
  <c r="R209" i="6" a="1"/>
  <c r="R209" i="6" s="1"/>
  <c r="O210" i="6" a="1"/>
  <c r="O210" i="6" s="1"/>
  <c r="P210" i="6" a="1"/>
  <c r="P210" i="6" s="1"/>
  <c r="Q210" i="6" a="1"/>
  <c r="Q210" i="6" s="1"/>
  <c r="R210" i="6" a="1"/>
  <c r="R210" i="6" s="1"/>
  <c r="O211" i="6" a="1"/>
  <c r="O211" i="6" s="1"/>
  <c r="P211" i="6" a="1"/>
  <c r="P211" i="6" s="1"/>
  <c r="Q211" i="6" a="1"/>
  <c r="Q211" i="6" s="1"/>
  <c r="R211" i="6" a="1"/>
  <c r="R211" i="6" s="1"/>
  <c r="O212" i="6" a="1"/>
  <c r="O212" i="6" s="1"/>
  <c r="P212" i="6" a="1"/>
  <c r="P212" i="6" s="1"/>
  <c r="Q212" i="6" a="1"/>
  <c r="Q212" i="6" s="1"/>
  <c r="R212" i="6" a="1"/>
  <c r="R212" i="6" s="1"/>
  <c r="O213" i="6" a="1"/>
  <c r="O213" i="6" s="1"/>
  <c r="P213" i="6" a="1"/>
  <c r="P213" i="6" s="1"/>
  <c r="Q213" i="6" a="1"/>
  <c r="Q213" i="6" s="1"/>
  <c r="R213" i="6" a="1"/>
  <c r="R213" i="6" s="1"/>
  <c r="O214" i="6" a="1"/>
  <c r="O214" i="6" s="1"/>
  <c r="P214" i="6" a="1"/>
  <c r="P214" i="6" s="1"/>
  <c r="Q214" i="6" a="1"/>
  <c r="Q214" i="6" s="1"/>
  <c r="R214" i="6" a="1"/>
  <c r="R214" i="6" s="1"/>
  <c r="O215" i="6" a="1"/>
  <c r="O215" i="6" s="1"/>
  <c r="P215" i="6" a="1"/>
  <c r="P215" i="6" s="1"/>
  <c r="Q215" i="6" a="1"/>
  <c r="Q215" i="6" s="1"/>
  <c r="R215" i="6" a="1"/>
  <c r="R215" i="6" s="1"/>
  <c r="O216" i="6" a="1"/>
  <c r="O216" i="6" s="1"/>
  <c r="P216" i="6" a="1"/>
  <c r="P216" i="6" s="1"/>
  <c r="Q216" i="6" a="1"/>
  <c r="Q216" i="6" s="1"/>
  <c r="R216" i="6" a="1"/>
  <c r="R216" i="6" s="1"/>
  <c r="O217" i="6" a="1"/>
  <c r="O217" i="6" s="1"/>
  <c r="P217" i="6" a="1"/>
  <c r="P217" i="6" s="1"/>
  <c r="Q217" i="6" a="1"/>
  <c r="Q217" i="6" s="1"/>
  <c r="R217" i="6" a="1"/>
  <c r="R217" i="6" s="1"/>
  <c r="O218" i="6" a="1"/>
  <c r="O218" i="6" s="1"/>
  <c r="P218" i="6" a="1"/>
  <c r="P218" i="6" s="1"/>
  <c r="Q218" i="6" a="1"/>
  <c r="Q218" i="6" s="1"/>
  <c r="R218" i="6" a="1"/>
  <c r="R218" i="6" s="1"/>
  <c r="O219" i="6" a="1"/>
  <c r="O219" i="6" s="1"/>
  <c r="P219" i="6" a="1"/>
  <c r="P219" i="6" s="1"/>
  <c r="Q219" i="6" a="1"/>
  <c r="Q219" i="6" s="1"/>
  <c r="R219" i="6" a="1"/>
  <c r="R219" i="6" s="1"/>
  <c r="O220" i="6" a="1"/>
  <c r="O220" i="6" s="1"/>
  <c r="P220" i="6" a="1"/>
  <c r="P220" i="6" s="1"/>
  <c r="Q220" i="6" a="1"/>
  <c r="Q220" i="6" s="1"/>
  <c r="R220" i="6" a="1"/>
  <c r="R220" i="6" s="1"/>
  <c r="O221" i="6" a="1"/>
  <c r="O221" i="6" s="1"/>
  <c r="P221" i="6" a="1"/>
  <c r="P221" i="6" s="1"/>
  <c r="Q221" i="6" a="1"/>
  <c r="Q221" i="6" s="1"/>
  <c r="R221" i="6" a="1"/>
  <c r="R221" i="6" s="1"/>
  <c r="O222" i="6" a="1"/>
  <c r="O222" i="6" s="1"/>
  <c r="P222" i="6" a="1"/>
  <c r="P222" i="6" s="1"/>
  <c r="Q222" i="6" a="1"/>
  <c r="Q222" i="6" s="1"/>
  <c r="R222" i="6" a="1"/>
  <c r="R222" i="6" s="1"/>
  <c r="O223" i="6" a="1"/>
  <c r="O223" i="6" s="1"/>
  <c r="P223" i="6" a="1"/>
  <c r="P223" i="6" s="1"/>
  <c r="Q223" i="6" a="1"/>
  <c r="Q223" i="6" s="1"/>
  <c r="R223" i="6" a="1"/>
  <c r="R223" i="6" s="1"/>
  <c r="O224" i="6" a="1"/>
  <c r="O224" i="6" s="1"/>
  <c r="P224" i="6" a="1"/>
  <c r="P224" i="6" s="1"/>
  <c r="Q224" i="6" a="1"/>
  <c r="Q224" i="6" s="1"/>
  <c r="R224" i="6" a="1"/>
  <c r="R224" i="6" s="1"/>
  <c r="O225" i="6" a="1"/>
  <c r="O225" i="6" s="1"/>
  <c r="P225" i="6" a="1"/>
  <c r="P225" i="6" s="1"/>
  <c r="Q225" i="6" a="1"/>
  <c r="Q225" i="6" s="1"/>
  <c r="R225" i="6" a="1"/>
  <c r="R225" i="6" s="1"/>
  <c r="N11" i="6" a="1"/>
  <c r="N11" i="6" s="1"/>
  <c r="N12" i="6" a="1"/>
  <c r="N12" i="6" s="1"/>
  <c r="N13" i="6" a="1"/>
  <c r="N13" i="6" s="1"/>
  <c r="N14" i="6" a="1"/>
  <c r="N14" i="6" s="1"/>
  <c r="N15" i="6" a="1"/>
  <c r="N15" i="6" s="1"/>
  <c r="N16" i="6" a="1"/>
  <c r="N16" i="6" s="1"/>
  <c r="N17" i="6" a="1"/>
  <c r="N17" i="6" s="1"/>
  <c r="N18" i="6" a="1"/>
  <c r="N18" i="6" s="1"/>
  <c r="N19" i="6" a="1"/>
  <c r="N19" i="6" s="1"/>
  <c r="N20" i="6" a="1"/>
  <c r="N20" i="6" s="1"/>
  <c r="N21" i="6" a="1"/>
  <c r="N21" i="6" s="1"/>
  <c r="N22" i="6" a="1"/>
  <c r="N22" i="6" s="1"/>
  <c r="N23" i="6" a="1"/>
  <c r="N23" i="6" s="1"/>
  <c r="N24" i="6" a="1"/>
  <c r="N24" i="6" s="1"/>
  <c r="N25" i="6" a="1"/>
  <c r="N25" i="6" s="1"/>
  <c r="N26" i="6" a="1"/>
  <c r="N26" i="6" s="1"/>
  <c r="N27" i="6" a="1"/>
  <c r="N27" i="6" s="1"/>
  <c r="N28" i="6" a="1"/>
  <c r="N28" i="6" s="1"/>
  <c r="N29" i="6" a="1"/>
  <c r="N29" i="6" s="1"/>
  <c r="N30" i="6" a="1"/>
  <c r="N30" i="6" s="1"/>
  <c r="N31" i="6" a="1"/>
  <c r="N31" i="6" s="1"/>
  <c r="N32" i="6" a="1"/>
  <c r="N32" i="6" s="1"/>
  <c r="N33" i="6" a="1"/>
  <c r="N33" i="6" s="1"/>
  <c r="N34" i="6" a="1"/>
  <c r="N34" i="6" s="1"/>
  <c r="N35" i="6" a="1"/>
  <c r="N35" i="6" s="1"/>
  <c r="N36" i="6" a="1"/>
  <c r="N36" i="6" s="1"/>
  <c r="N37" i="6" a="1"/>
  <c r="N37" i="6" s="1"/>
  <c r="N38" i="6" a="1"/>
  <c r="N38" i="6" s="1"/>
  <c r="N39" i="6" a="1"/>
  <c r="N39" i="6" s="1"/>
  <c r="N40" i="6" a="1"/>
  <c r="N40" i="6" s="1"/>
  <c r="N41" i="6" a="1"/>
  <c r="N41" i="6" s="1"/>
  <c r="N42" i="6" a="1"/>
  <c r="N42" i="6" s="1"/>
  <c r="N43" i="6" a="1"/>
  <c r="N43" i="6" s="1"/>
  <c r="N44" i="6" a="1"/>
  <c r="N44" i="6" s="1"/>
  <c r="N45" i="6" a="1"/>
  <c r="N45" i="6" s="1"/>
  <c r="N46" i="6" a="1"/>
  <c r="N46" i="6" s="1"/>
  <c r="N47" i="6" a="1"/>
  <c r="N47" i="6" s="1"/>
  <c r="N48" i="6" a="1"/>
  <c r="N48" i="6" s="1"/>
  <c r="N49" i="6" a="1"/>
  <c r="N49" i="6" s="1"/>
  <c r="N50" i="6" a="1"/>
  <c r="N50" i="6" s="1"/>
  <c r="N51" i="6" a="1"/>
  <c r="N51" i="6" s="1"/>
  <c r="N52" i="6" a="1"/>
  <c r="N52" i="6" s="1"/>
  <c r="N53" i="6" a="1"/>
  <c r="N53" i="6" s="1"/>
  <c r="N54" i="6" a="1"/>
  <c r="N54" i="6" s="1"/>
  <c r="N55" i="6" a="1"/>
  <c r="N55" i="6" s="1"/>
  <c r="N56" i="6" a="1"/>
  <c r="N56" i="6" s="1"/>
  <c r="N57" i="6" a="1"/>
  <c r="N57" i="6" s="1"/>
  <c r="N58" i="6" a="1"/>
  <c r="N58" i="6" s="1"/>
  <c r="N59" i="6" a="1"/>
  <c r="N59" i="6" s="1"/>
  <c r="N60" i="6" a="1"/>
  <c r="N60" i="6" s="1"/>
  <c r="N61" i="6" a="1"/>
  <c r="N61" i="6" s="1"/>
  <c r="P10" i="6" a="1"/>
  <c r="P10" i="6" s="1"/>
  <c r="Q10" i="6" a="1"/>
  <c r="Q10" i="6" s="1"/>
  <c r="R10" i="6" a="1"/>
  <c r="R10" i="6" s="1"/>
  <c r="O10" i="6" a="1"/>
  <c r="O10" i="6" s="1"/>
  <c r="N62" i="6" a="1"/>
  <c r="N62" i="6" s="1"/>
  <c r="N63" i="6" a="1"/>
  <c r="N63" i="6" s="1"/>
  <c r="N64" i="6" a="1"/>
  <c r="N64" i="6" s="1"/>
  <c r="N65" i="6" a="1"/>
  <c r="N65" i="6" s="1"/>
  <c r="N66" i="6" a="1"/>
  <c r="N66" i="6" s="1"/>
  <c r="N67" i="6" a="1"/>
  <c r="N67" i="6" s="1"/>
  <c r="N68" i="6" a="1"/>
  <c r="N68" i="6" s="1"/>
  <c r="N69" i="6" a="1"/>
  <c r="N69" i="6" s="1"/>
  <c r="N70" i="6" a="1"/>
  <c r="N70" i="6" s="1"/>
  <c r="N71" i="6" a="1"/>
  <c r="N71" i="6" s="1"/>
  <c r="N72" i="6" a="1"/>
  <c r="N72" i="6" s="1"/>
  <c r="N73" i="6" a="1"/>
  <c r="N73" i="6" s="1"/>
  <c r="N74" i="6" a="1"/>
  <c r="N74" i="6" s="1"/>
  <c r="N75" i="6" a="1"/>
  <c r="N75" i="6" s="1"/>
  <c r="N76" i="6" a="1"/>
  <c r="N76" i="6" s="1"/>
  <c r="N77" i="6" a="1"/>
  <c r="N77" i="6" s="1"/>
  <c r="N78" i="6" a="1"/>
  <c r="N78" i="6" s="1"/>
  <c r="N79" i="6" a="1"/>
  <c r="N79" i="6" s="1"/>
  <c r="N80" i="6" a="1"/>
  <c r="N80" i="6" s="1"/>
  <c r="N81" i="6" a="1"/>
  <c r="N81" i="6" s="1"/>
  <c r="N82" i="6" a="1"/>
  <c r="N82" i="6" s="1"/>
  <c r="N83" i="6" a="1"/>
  <c r="N83" i="6" s="1"/>
  <c r="N84" i="6" a="1"/>
  <c r="N84" i="6" s="1"/>
  <c r="N85" i="6" a="1"/>
  <c r="N85" i="6" s="1"/>
  <c r="N86" i="6" a="1"/>
  <c r="N86" i="6" s="1"/>
  <c r="N87" i="6" a="1"/>
  <c r="N87" i="6" s="1"/>
  <c r="N88" i="6" a="1"/>
  <c r="N88" i="6" s="1"/>
  <c r="N89" i="6" a="1"/>
  <c r="N89" i="6" s="1"/>
  <c r="N90" i="6" a="1"/>
  <c r="N90" i="6" s="1"/>
  <c r="N91" i="6" a="1"/>
  <c r="N91" i="6" s="1"/>
  <c r="N92" i="6" a="1"/>
  <c r="N92" i="6" s="1"/>
  <c r="N93" i="6" a="1"/>
  <c r="N93" i="6" s="1"/>
  <c r="N94" i="6" a="1"/>
  <c r="N94" i="6" s="1"/>
  <c r="N95" i="6" a="1"/>
  <c r="N95" i="6" s="1"/>
  <c r="N96" i="6" a="1"/>
  <c r="N96" i="6" s="1"/>
  <c r="N97" i="6" a="1"/>
  <c r="N97" i="6" s="1"/>
  <c r="N98" i="6" a="1"/>
  <c r="N98" i="6" s="1"/>
  <c r="N99" i="6" a="1"/>
  <c r="N99" i="6" s="1"/>
  <c r="N100" i="6" a="1"/>
  <c r="N100" i="6" s="1"/>
  <c r="N101" i="6" a="1"/>
  <c r="N101" i="6" s="1"/>
  <c r="N102" i="6" a="1"/>
  <c r="N102" i="6" s="1"/>
  <c r="N103" i="6" a="1"/>
  <c r="N103" i="6" s="1"/>
  <c r="N104" i="6" a="1"/>
  <c r="N104" i="6" s="1"/>
  <c r="N105" i="6" a="1"/>
  <c r="N105" i="6" s="1"/>
  <c r="N106" i="6" a="1"/>
  <c r="N106" i="6" s="1"/>
  <c r="N107" i="6" a="1"/>
  <c r="N107" i="6" s="1"/>
  <c r="N108" i="6" a="1"/>
  <c r="N108" i="6" s="1"/>
  <c r="N109" i="6" a="1"/>
  <c r="N109" i="6" s="1"/>
  <c r="N110" i="6" a="1"/>
  <c r="N110" i="6" s="1"/>
  <c r="N111" i="6" a="1"/>
  <c r="N111" i="6" s="1"/>
  <c r="N112" i="6" a="1"/>
  <c r="N112" i="6" s="1"/>
  <c r="N113" i="6" a="1"/>
  <c r="N113" i="6" s="1"/>
  <c r="N114" i="6" a="1"/>
  <c r="N114" i="6" s="1"/>
  <c r="N115" i="6" a="1"/>
  <c r="N115" i="6" s="1"/>
  <c r="N116" i="6" a="1"/>
  <c r="N116" i="6" s="1"/>
  <c r="N117" i="6" a="1"/>
  <c r="N117" i="6" s="1"/>
  <c r="N118" i="6" a="1"/>
  <c r="N118" i="6" s="1"/>
  <c r="N119" i="6" a="1"/>
  <c r="N119" i="6" s="1"/>
  <c r="N120" i="6" a="1"/>
  <c r="N120" i="6" s="1"/>
  <c r="N121" i="6" a="1"/>
  <c r="N121" i="6" s="1"/>
  <c r="N122" i="6" a="1"/>
  <c r="N122" i="6" s="1"/>
  <c r="N123" i="6" a="1"/>
  <c r="N123" i="6" s="1"/>
  <c r="N124" i="6" a="1"/>
  <c r="N124" i="6" s="1"/>
  <c r="N125" i="6" a="1"/>
  <c r="N125" i="6" s="1"/>
  <c r="N126" i="6" a="1"/>
  <c r="N126" i="6" s="1"/>
  <c r="N127" i="6" a="1"/>
  <c r="N127" i="6" s="1"/>
  <c r="N128" i="6" a="1"/>
  <c r="N128" i="6" s="1"/>
  <c r="N129" i="6" a="1"/>
  <c r="N129" i="6" s="1"/>
  <c r="N130" i="6" a="1"/>
  <c r="N130" i="6" s="1"/>
  <c r="N131" i="6" a="1"/>
  <c r="N131" i="6" s="1"/>
  <c r="N132" i="6" a="1"/>
  <c r="N132" i="6" s="1"/>
  <c r="N133" i="6" a="1"/>
  <c r="N133" i="6" s="1"/>
  <c r="N134" i="6" a="1"/>
  <c r="N134" i="6" s="1"/>
  <c r="N135" i="6" a="1"/>
  <c r="N135" i="6" s="1"/>
  <c r="N136" i="6" a="1"/>
  <c r="N136" i="6" s="1"/>
  <c r="N137" i="6" a="1"/>
  <c r="N137" i="6" s="1"/>
  <c r="N138" i="6" a="1"/>
  <c r="N138" i="6" s="1"/>
  <c r="N139" i="6" a="1"/>
  <c r="N139" i="6" s="1"/>
  <c r="N140" i="6" a="1"/>
  <c r="N140" i="6" s="1"/>
  <c r="N141" i="6" a="1"/>
  <c r="N141" i="6" s="1"/>
  <c r="N142" i="6" a="1"/>
  <c r="N142" i="6" s="1"/>
  <c r="N143" i="6" a="1"/>
  <c r="N143" i="6" s="1"/>
  <c r="N144" i="6" a="1"/>
  <c r="N144" i="6" s="1"/>
  <c r="N145" i="6" a="1"/>
  <c r="N145" i="6" s="1"/>
  <c r="N146" i="6" a="1"/>
  <c r="N146" i="6" s="1"/>
  <c r="N147" i="6" a="1"/>
  <c r="N147" i="6" s="1"/>
  <c r="N148" i="6" a="1"/>
  <c r="N148" i="6" s="1"/>
  <c r="N149" i="6" a="1"/>
  <c r="N149" i="6" s="1"/>
  <c r="N150" i="6" a="1"/>
  <c r="N150" i="6" s="1"/>
  <c r="N151" i="6" a="1"/>
  <c r="N151" i="6" s="1"/>
  <c r="N152" i="6" a="1"/>
  <c r="N152" i="6" s="1"/>
  <c r="N153" i="6" a="1"/>
  <c r="N153" i="6" s="1"/>
  <c r="N154" i="6" a="1"/>
  <c r="N154" i="6" s="1"/>
  <c r="N155" i="6" a="1"/>
  <c r="N155" i="6" s="1"/>
  <c r="N156" i="6" a="1"/>
  <c r="N156" i="6" s="1"/>
  <c r="N157" i="6" a="1"/>
  <c r="N157" i="6" s="1"/>
  <c r="N158" i="6" a="1"/>
  <c r="N158" i="6" s="1"/>
  <c r="N159" i="6" a="1"/>
  <c r="N159" i="6" s="1"/>
  <c r="N160" i="6" a="1"/>
  <c r="N160" i="6" s="1"/>
  <c r="N161" i="6" a="1"/>
  <c r="N161" i="6" s="1"/>
  <c r="N162" i="6" a="1"/>
  <c r="N162" i="6" s="1"/>
  <c r="N163" i="6" a="1"/>
  <c r="N163" i="6" s="1"/>
  <c r="N164" i="6" a="1"/>
  <c r="N164" i="6" s="1"/>
  <c r="N165" i="6" a="1"/>
  <c r="N165" i="6" s="1"/>
  <c r="N166" i="6" a="1"/>
  <c r="N166" i="6" s="1"/>
  <c r="N167" i="6" a="1"/>
  <c r="N167" i="6" s="1"/>
  <c r="N168" i="6" a="1"/>
  <c r="N168" i="6" s="1"/>
  <c r="N169" i="6" a="1"/>
  <c r="N169" i="6" s="1"/>
  <c r="N170" i="6" a="1"/>
  <c r="N170" i="6" s="1"/>
  <c r="N171" i="6" a="1"/>
  <c r="N171" i="6" s="1"/>
  <c r="N172" i="6" a="1"/>
  <c r="N172" i="6" s="1"/>
  <c r="N173" i="6" a="1"/>
  <c r="N173" i="6" s="1"/>
  <c r="N174" i="6" a="1"/>
  <c r="N174" i="6" s="1"/>
  <c r="N175" i="6" a="1"/>
  <c r="N175" i="6" s="1"/>
  <c r="N176" i="6" a="1"/>
  <c r="N176" i="6" s="1"/>
  <c r="N177" i="6" a="1"/>
  <c r="N177" i="6" s="1"/>
  <c r="N178" i="6" a="1"/>
  <c r="N178" i="6" s="1"/>
  <c r="N179" i="6" a="1"/>
  <c r="N179" i="6" s="1"/>
  <c r="N180" i="6" a="1"/>
  <c r="N180" i="6" s="1"/>
  <c r="N181" i="6" a="1"/>
  <c r="N181" i="6" s="1"/>
  <c r="N182" i="6" a="1"/>
  <c r="N182" i="6" s="1"/>
  <c r="N183" i="6" a="1"/>
  <c r="N183" i="6" s="1"/>
  <c r="N184" i="6" a="1"/>
  <c r="N184" i="6" s="1"/>
  <c r="N185" i="6" a="1"/>
  <c r="N185" i="6" s="1"/>
  <c r="N186" i="6" a="1"/>
  <c r="N186" i="6" s="1"/>
  <c r="N187" i="6" a="1"/>
  <c r="N187" i="6" s="1"/>
  <c r="N188" i="6" a="1"/>
  <c r="N188" i="6" s="1"/>
  <c r="N189" i="6" a="1"/>
  <c r="N189" i="6" s="1"/>
  <c r="N190" i="6" a="1"/>
  <c r="N190" i="6" s="1"/>
  <c r="N191" i="6" a="1"/>
  <c r="N191" i="6" s="1"/>
  <c r="N192" i="6" a="1"/>
  <c r="N192" i="6" s="1"/>
  <c r="N193" i="6" a="1"/>
  <c r="N193" i="6" s="1"/>
  <c r="N194" i="6" a="1"/>
  <c r="N194" i="6" s="1"/>
  <c r="N195" i="6" a="1"/>
  <c r="N195" i="6" s="1"/>
  <c r="N196" i="6" a="1"/>
  <c r="N196" i="6" s="1"/>
  <c r="N197" i="6" a="1"/>
  <c r="N197" i="6" s="1"/>
  <c r="N198" i="6" a="1"/>
  <c r="N198" i="6" s="1"/>
  <c r="N199" i="6" a="1"/>
  <c r="N199" i="6" s="1"/>
  <c r="N200" i="6" a="1"/>
  <c r="N200" i="6" s="1"/>
  <c r="N201" i="6" a="1"/>
  <c r="N201" i="6" s="1"/>
  <c r="N202" i="6" a="1"/>
  <c r="N202" i="6" s="1"/>
  <c r="N203" i="6" a="1"/>
  <c r="N203" i="6" s="1"/>
  <c r="N204" i="6" a="1"/>
  <c r="N204" i="6" s="1"/>
  <c r="N205" i="6" a="1"/>
  <c r="N205" i="6" s="1"/>
  <c r="N206" i="6" a="1"/>
  <c r="N206" i="6" s="1"/>
  <c r="N207" i="6" a="1"/>
  <c r="N207" i="6" s="1"/>
  <c r="N208" i="6" a="1"/>
  <c r="N208" i="6" s="1"/>
  <c r="N209" i="6" a="1"/>
  <c r="N209" i="6" s="1"/>
  <c r="N210" i="6" a="1"/>
  <c r="N210" i="6" s="1"/>
  <c r="N211" i="6" a="1"/>
  <c r="N211" i="6" s="1"/>
  <c r="N212" i="6" a="1"/>
  <c r="N212" i="6" s="1"/>
  <c r="N213" i="6" a="1"/>
  <c r="N213" i="6" s="1"/>
  <c r="N214" i="6" a="1"/>
  <c r="N214" i="6" s="1"/>
  <c r="N215" i="6" a="1"/>
  <c r="N215" i="6" s="1"/>
  <c r="N216" i="6" a="1"/>
  <c r="N216" i="6" s="1"/>
  <c r="N217" i="6" a="1"/>
  <c r="N217" i="6" s="1"/>
  <c r="N218" i="6" a="1"/>
  <c r="N218" i="6" s="1"/>
  <c r="N219" i="6" a="1"/>
  <c r="N219" i="6" s="1"/>
  <c r="N220" i="6" a="1"/>
  <c r="N220" i="6" s="1"/>
  <c r="N222" i="6" a="1"/>
  <c r="N222" i="6" s="1"/>
  <c r="N223" i="6" a="1"/>
  <c r="N223" i="6" s="1"/>
  <c r="N224" i="6" a="1"/>
  <c r="N224" i="6" s="1"/>
  <c r="N225" i="6" a="1"/>
  <c r="N225" i="6" s="1"/>
  <c r="N10" i="6" a="1"/>
  <c r="N10" i="6" s="1"/>
  <c r="M7" i="5" a="1"/>
  <c r="M7" i="5" s="1"/>
  <c r="N7" i="5" a="1"/>
  <c r="N7" i="5" s="1"/>
  <c r="O7" i="5" a="1"/>
  <c r="O7" i="5" s="1"/>
  <c r="P7" i="5" a="1"/>
  <c r="P7" i="5" s="1"/>
  <c r="Q7" i="5" a="1"/>
  <c r="Q7" i="5" s="1"/>
  <c r="M8" i="5" a="1"/>
  <c r="M8" i="5" s="1"/>
  <c r="N8" i="5" a="1"/>
  <c r="N8" i="5" s="1"/>
  <c r="O8" i="5" a="1"/>
  <c r="O8" i="5" s="1"/>
  <c r="P8" i="5" a="1"/>
  <c r="P8" i="5" s="1"/>
  <c r="Q8" i="5" a="1"/>
  <c r="Q8" i="5" s="1"/>
  <c r="M9" i="5" a="1"/>
  <c r="M9" i="5" s="1"/>
  <c r="N9" i="5" a="1"/>
  <c r="N9" i="5" s="1"/>
  <c r="O9" i="5" a="1"/>
  <c r="O9" i="5" s="1"/>
  <c r="P9" i="5" a="1"/>
  <c r="P9" i="5" s="1"/>
  <c r="Q9" i="5" a="1"/>
  <c r="Q9" i="5" s="1"/>
  <c r="M10" i="5" a="1"/>
  <c r="M10" i="5" s="1"/>
  <c r="N10" i="5" a="1"/>
  <c r="N10" i="5" s="1"/>
  <c r="O10" i="5" a="1"/>
  <c r="O10" i="5" s="1"/>
  <c r="P10" i="5" a="1"/>
  <c r="P10" i="5" s="1"/>
  <c r="Q10" i="5" a="1"/>
  <c r="Q10" i="5" s="1"/>
  <c r="M11" i="5" a="1"/>
  <c r="M11" i="5" s="1"/>
  <c r="N11" i="5" a="1"/>
  <c r="N11" i="5" s="1"/>
  <c r="O11" i="5" a="1"/>
  <c r="O11" i="5" s="1"/>
  <c r="P11" i="5" a="1"/>
  <c r="P11" i="5" s="1"/>
  <c r="Q11" i="5" a="1"/>
  <c r="Q11" i="5" s="1"/>
  <c r="M12" i="5" a="1"/>
  <c r="M12" i="5" s="1"/>
  <c r="N12" i="5" a="1"/>
  <c r="N12" i="5" s="1"/>
  <c r="O12" i="5" a="1"/>
  <c r="O12" i="5" s="1"/>
  <c r="P12" i="5" a="1"/>
  <c r="P12" i="5" s="1"/>
  <c r="Q12" i="5" a="1"/>
  <c r="Q12" i="5" s="1"/>
  <c r="M13" i="5" a="1"/>
  <c r="M13" i="5" s="1"/>
  <c r="N13" i="5" a="1"/>
  <c r="N13" i="5" s="1"/>
  <c r="O13" i="5" a="1"/>
  <c r="O13" i="5" s="1"/>
  <c r="P13" i="5" a="1"/>
  <c r="P13" i="5" s="1"/>
  <c r="Q13" i="5" a="1"/>
  <c r="Q13" i="5" s="1"/>
  <c r="M14" i="5" a="1"/>
  <c r="M14" i="5" s="1"/>
  <c r="N14" i="5" a="1"/>
  <c r="N14" i="5" s="1"/>
  <c r="O14" i="5" a="1"/>
  <c r="O14" i="5" s="1"/>
  <c r="P14" i="5" a="1"/>
  <c r="P14" i="5" s="1"/>
  <c r="Q14" i="5" a="1"/>
  <c r="Q14" i="5" s="1"/>
  <c r="M15" i="5" a="1"/>
  <c r="M15" i="5" s="1"/>
  <c r="N15" i="5" a="1"/>
  <c r="N15" i="5" s="1"/>
  <c r="O15" i="5" a="1"/>
  <c r="O15" i="5" s="1"/>
  <c r="P15" i="5" a="1"/>
  <c r="P15" i="5" s="1"/>
  <c r="Q15" i="5" a="1"/>
  <c r="Q15" i="5" s="1"/>
  <c r="M16" i="5" a="1"/>
  <c r="M16" i="5" s="1"/>
  <c r="N16" i="5" a="1"/>
  <c r="N16" i="5" s="1"/>
  <c r="O16" i="5" a="1"/>
  <c r="O16" i="5" s="1"/>
  <c r="P16" i="5" a="1"/>
  <c r="P16" i="5" s="1"/>
  <c r="Q16" i="5" a="1"/>
  <c r="Q16" i="5" s="1"/>
  <c r="M17" i="5" a="1"/>
  <c r="M17" i="5" s="1"/>
  <c r="N17" i="5" a="1"/>
  <c r="N17" i="5" s="1"/>
  <c r="O17" i="5" a="1"/>
  <c r="O17" i="5" s="1"/>
  <c r="P17" i="5" a="1"/>
  <c r="P17" i="5" s="1"/>
  <c r="Q17" i="5" a="1"/>
  <c r="Q17" i="5" s="1"/>
  <c r="M18" i="5" a="1"/>
  <c r="M18" i="5" s="1"/>
  <c r="N18" i="5" a="1"/>
  <c r="N18" i="5" s="1"/>
  <c r="O18" i="5" a="1"/>
  <c r="O18" i="5" s="1"/>
  <c r="P18" i="5" a="1"/>
  <c r="P18" i="5" s="1"/>
  <c r="Q18" i="5" a="1"/>
  <c r="Q18" i="5" s="1"/>
  <c r="M19" i="5" a="1"/>
  <c r="M19" i="5" s="1"/>
  <c r="N19" i="5" a="1"/>
  <c r="N19" i="5" s="1"/>
  <c r="O19" i="5" a="1"/>
  <c r="O19" i="5" s="1"/>
  <c r="P19" i="5" a="1"/>
  <c r="P19" i="5" s="1"/>
  <c r="Q19" i="5" a="1"/>
  <c r="Q19" i="5" s="1"/>
  <c r="M20" i="5" a="1"/>
  <c r="M20" i="5" s="1"/>
  <c r="N20" i="5" a="1"/>
  <c r="N20" i="5" s="1"/>
  <c r="O20" i="5" a="1"/>
  <c r="O20" i="5" s="1"/>
  <c r="P20" i="5" a="1"/>
  <c r="P20" i="5" s="1"/>
  <c r="Q20" i="5" a="1"/>
  <c r="Q20" i="5" s="1"/>
  <c r="M21" i="5" a="1"/>
  <c r="M21" i="5" s="1"/>
  <c r="N21" i="5" a="1"/>
  <c r="N21" i="5" s="1"/>
  <c r="O21" i="5" a="1"/>
  <c r="O21" i="5" s="1"/>
  <c r="P21" i="5" a="1"/>
  <c r="P21" i="5" s="1"/>
  <c r="Q21" i="5" a="1"/>
  <c r="Q21" i="5" s="1"/>
  <c r="M22" i="5" a="1"/>
  <c r="M22" i="5" s="1"/>
  <c r="N22" i="5" a="1"/>
  <c r="N22" i="5" s="1"/>
  <c r="O22" i="5" a="1"/>
  <c r="O22" i="5" s="1"/>
  <c r="P22" i="5" a="1"/>
  <c r="P22" i="5" s="1"/>
  <c r="Q22" i="5" a="1"/>
  <c r="Q22" i="5" s="1"/>
  <c r="M23" i="5" a="1"/>
  <c r="M23" i="5" s="1"/>
  <c r="N23" i="5" a="1"/>
  <c r="N23" i="5" s="1"/>
  <c r="O23" i="5" a="1"/>
  <c r="O23" i="5" s="1"/>
  <c r="P23" i="5" a="1"/>
  <c r="P23" i="5" s="1"/>
  <c r="Q23" i="5" a="1"/>
  <c r="Q23" i="5" s="1"/>
  <c r="M24" i="5" a="1"/>
  <c r="M24" i="5" s="1"/>
  <c r="N24" i="5" a="1"/>
  <c r="N24" i="5" s="1"/>
  <c r="O24" i="5" a="1"/>
  <c r="O24" i="5" s="1"/>
  <c r="P24" i="5" a="1"/>
  <c r="P24" i="5" s="1"/>
  <c r="Q24" i="5" a="1"/>
  <c r="Q24" i="5" s="1"/>
  <c r="M25" i="5" a="1"/>
  <c r="M25" i="5" s="1"/>
  <c r="N25" i="5" a="1"/>
  <c r="N25" i="5" s="1"/>
  <c r="O25" i="5" a="1"/>
  <c r="O25" i="5" s="1"/>
  <c r="P25" i="5" a="1"/>
  <c r="P25" i="5" s="1"/>
  <c r="Q25" i="5" a="1"/>
  <c r="Q25" i="5" s="1"/>
  <c r="M26" i="5" a="1"/>
  <c r="M26" i="5" s="1"/>
  <c r="N26" i="5" a="1"/>
  <c r="N26" i="5" s="1"/>
  <c r="O26" i="5" a="1"/>
  <c r="O26" i="5" s="1"/>
  <c r="P26" i="5" a="1"/>
  <c r="P26" i="5" s="1"/>
  <c r="Q26" i="5" a="1"/>
  <c r="Q26" i="5" s="1"/>
  <c r="M27" i="5" a="1"/>
  <c r="M27" i="5" s="1"/>
  <c r="N27" i="5" a="1"/>
  <c r="N27" i="5" s="1"/>
  <c r="O27" i="5" a="1"/>
  <c r="O27" i="5" s="1"/>
  <c r="P27" i="5" a="1"/>
  <c r="P27" i="5" s="1"/>
  <c r="Q27" i="5" a="1"/>
  <c r="Q27" i="5" s="1"/>
  <c r="M28" i="5" a="1"/>
  <c r="M28" i="5" s="1"/>
  <c r="N28" i="5" a="1"/>
  <c r="N28" i="5" s="1"/>
  <c r="O28" i="5" a="1"/>
  <c r="O28" i="5" s="1"/>
  <c r="P28" i="5" a="1"/>
  <c r="P28" i="5" s="1"/>
  <c r="Q28" i="5" a="1"/>
  <c r="Q28" i="5" s="1"/>
  <c r="M29" i="5" a="1"/>
  <c r="M29" i="5" s="1"/>
  <c r="N29" i="5" a="1"/>
  <c r="N29" i="5" s="1"/>
  <c r="O29" i="5" a="1"/>
  <c r="O29" i="5" s="1"/>
  <c r="P29" i="5" a="1"/>
  <c r="P29" i="5" s="1"/>
  <c r="Q29" i="5" a="1"/>
  <c r="Q29" i="5" s="1"/>
  <c r="M30" i="5" a="1"/>
  <c r="M30" i="5" s="1"/>
  <c r="N30" i="5" a="1"/>
  <c r="N30" i="5" s="1"/>
  <c r="O30" i="5" a="1"/>
  <c r="O30" i="5" s="1"/>
  <c r="P30" i="5" a="1"/>
  <c r="P30" i="5" s="1"/>
  <c r="Q30" i="5" a="1"/>
  <c r="Q30" i="5" s="1"/>
  <c r="M31" i="5" a="1"/>
  <c r="M31" i="5" s="1"/>
  <c r="N31" i="5" a="1"/>
  <c r="N31" i="5" s="1"/>
  <c r="O31" i="5" a="1"/>
  <c r="O31" i="5" s="1"/>
  <c r="P31" i="5" a="1"/>
  <c r="P31" i="5" s="1"/>
  <c r="Q31" i="5" a="1"/>
  <c r="Q31" i="5" s="1"/>
  <c r="M32" i="5" a="1"/>
  <c r="M32" i="5" s="1"/>
  <c r="N32" i="5" a="1"/>
  <c r="N32" i="5" s="1"/>
  <c r="O32" i="5" a="1"/>
  <c r="O32" i="5" s="1"/>
  <c r="P32" i="5" a="1"/>
  <c r="P32" i="5" s="1"/>
  <c r="Q32" i="5" a="1"/>
  <c r="Q32" i="5" s="1"/>
  <c r="M33" i="5" a="1"/>
  <c r="M33" i="5" s="1"/>
  <c r="N33" i="5" a="1"/>
  <c r="N33" i="5" s="1"/>
  <c r="O33" i="5" a="1"/>
  <c r="O33" i="5" s="1"/>
  <c r="P33" i="5" a="1"/>
  <c r="P33" i="5" s="1"/>
  <c r="Q33" i="5" a="1"/>
  <c r="Q33" i="5" s="1"/>
  <c r="M34" i="5" a="1"/>
  <c r="M34" i="5" s="1"/>
  <c r="N34" i="5" a="1"/>
  <c r="N34" i="5" s="1"/>
  <c r="O34" i="5" a="1"/>
  <c r="O34" i="5" s="1"/>
  <c r="P34" i="5" a="1"/>
  <c r="P34" i="5" s="1"/>
  <c r="Q34" i="5" a="1"/>
  <c r="Q34" i="5" s="1"/>
  <c r="M35" i="5" a="1"/>
  <c r="M35" i="5" s="1"/>
  <c r="N35" i="5" a="1"/>
  <c r="N35" i="5" s="1"/>
  <c r="O35" i="5" a="1"/>
  <c r="O35" i="5" s="1"/>
  <c r="P35" i="5" a="1"/>
  <c r="P35" i="5" s="1"/>
  <c r="Q35" i="5" a="1"/>
  <c r="Q35" i="5" s="1"/>
  <c r="M36" i="5" a="1"/>
  <c r="M36" i="5" s="1"/>
  <c r="N36" i="5" a="1"/>
  <c r="N36" i="5" s="1"/>
  <c r="O36" i="5" a="1"/>
  <c r="O36" i="5" s="1"/>
  <c r="P36" i="5" a="1"/>
  <c r="P36" i="5" s="1"/>
  <c r="Q36" i="5" a="1"/>
  <c r="Q36" i="5" s="1"/>
  <c r="M37" i="5" a="1"/>
  <c r="M37" i="5" s="1"/>
  <c r="N37" i="5" a="1"/>
  <c r="N37" i="5" s="1"/>
  <c r="O37" i="5" a="1"/>
  <c r="O37" i="5" s="1"/>
  <c r="P37" i="5" a="1"/>
  <c r="P37" i="5" s="1"/>
  <c r="Q37" i="5" a="1"/>
  <c r="Q37" i="5" s="1"/>
  <c r="M38" i="5" a="1"/>
  <c r="M38" i="5" s="1"/>
  <c r="N38" i="5" a="1"/>
  <c r="N38" i="5" s="1"/>
  <c r="O38" i="5" a="1"/>
  <c r="O38" i="5" s="1"/>
  <c r="P38" i="5" a="1"/>
  <c r="P38" i="5" s="1"/>
  <c r="Q38" i="5" a="1"/>
  <c r="Q38" i="5" s="1"/>
  <c r="M39" i="5" a="1"/>
  <c r="M39" i="5" s="1"/>
  <c r="N39" i="5" a="1"/>
  <c r="N39" i="5" s="1"/>
  <c r="O39" i="5" a="1"/>
  <c r="O39" i="5" s="1"/>
  <c r="P39" i="5" a="1"/>
  <c r="P39" i="5" s="1"/>
  <c r="Q39" i="5" a="1"/>
  <c r="Q39" i="5" s="1"/>
  <c r="M40" i="5" a="1"/>
  <c r="M40" i="5" s="1"/>
  <c r="N40" i="5" a="1"/>
  <c r="N40" i="5" s="1"/>
  <c r="O40" i="5" a="1"/>
  <c r="O40" i="5" s="1"/>
  <c r="P40" i="5" a="1"/>
  <c r="P40" i="5" s="1"/>
  <c r="Q40" i="5" a="1"/>
  <c r="Q40" i="5" s="1"/>
  <c r="M41" i="5" a="1"/>
  <c r="M41" i="5" s="1"/>
  <c r="N41" i="5" a="1"/>
  <c r="N41" i="5" s="1"/>
  <c r="O41" i="5" a="1"/>
  <c r="O41" i="5" s="1"/>
  <c r="P41" i="5" a="1"/>
  <c r="P41" i="5" s="1"/>
  <c r="Q41" i="5" a="1"/>
  <c r="Q41" i="5" s="1"/>
  <c r="M42" i="5" a="1"/>
  <c r="M42" i="5" s="1"/>
  <c r="N42" i="5" a="1"/>
  <c r="N42" i="5" s="1"/>
  <c r="O42" i="5" a="1"/>
  <c r="O42" i="5" s="1"/>
  <c r="P42" i="5" a="1"/>
  <c r="P42" i="5" s="1"/>
  <c r="Q42" i="5" a="1"/>
  <c r="Q42" i="5" s="1"/>
  <c r="M43" i="5" a="1"/>
  <c r="M43" i="5" s="1"/>
  <c r="N43" i="5" a="1"/>
  <c r="N43" i="5" s="1"/>
  <c r="O43" i="5" a="1"/>
  <c r="O43" i="5" s="1"/>
  <c r="P43" i="5" a="1"/>
  <c r="P43" i="5" s="1"/>
  <c r="Q43" i="5" a="1"/>
  <c r="Q43" i="5" s="1"/>
  <c r="M44" i="5" a="1"/>
  <c r="M44" i="5" s="1"/>
  <c r="N44" i="5" a="1"/>
  <c r="N44" i="5" s="1"/>
  <c r="O44" i="5" a="1"/>
  <c r="O44" i="5" s="1"/>
  <c r="P44" i="5" a="1"/>
  <c r="P44" i="5" s="1"/>
  <c r="Q44" i="5" a="1"/>
  <c r="Q44" i="5" s="1"/>
  <c r="M45" i="5" a="1"/>
  <c r="M45" i="5" s="1"/>
  <c r="N45" i="5" a="1"/>
  <c r="N45" i="5" s="1"/>
  <c r="O45" i="5" a="1"/>
  <c r="O45" i="5" s="1"/>
  <c r="P45" i="5" a="1"/>
  <c r="P45" i="5" s="1"/>
  <c r="Q45" i="5" a="1"/>
  <c r="Q45" i="5" s="1"/>
  <c r="M46" i="5" a="1"/>
  <c r="M46" i="5" s="1"/>
  <c r="N46" i="5" a="1"/>
  <c r="N46" i="5" s="1"/>
  <c r="O46" i="5" a="1"/>
  <c r="O46" i="5" s="1"/>
  <c r="P46" i="5" a="1"/>
  <c r="P46" i="5" s="1"/>
  <c r="Q46" i="5" a="1"/>
  <c r="Q46" i="5" s="1"/>
  <c r="M47" i="5" a="1"/>
  <c r="M47" i="5" s="1"/>
  <c r="N47" i="5" a="1"/>
  <c r="N47" i="5" s="1"/>
  <c r="O47" i="5" a="1"/>
  <c r="O47" i="5" s="1"/>
  <c r="P47" i="5" a="1"/>
  <c r="P47" i="5" s="1"/>
  <c r="Q47" i="5" a="1"/>
  <c r="Q47" i="5" s="1"/>
  <c r="M48" i="5" a="1"/>
  <c r="M48" i="5" s="1"/>
  <c r="N48" i="5" a="1"/>
  <c r="N48" i="5" s="1"/>
  <c r="O48" i="5" a="1"/>
  <c r="O48" i="5" s="1"/>
  <c r="P48" i="5" a="1"/>
  <c r="P48" i="5" s="1"/>
  <c r="Q48" i="5" a="1"/>
  <c r="Q48" i="5" s="1"/>
  <c r="M49" i="5" a="1"/>
  <c r="M49" i="5" s="1"/>
  <c r="N49" i="5" a="1"/>
  <c r="N49" i="5" s="1"/>
  <c r="O49" i="5" a="1"/>
  <c r="O49" i="5" s="1"/>
  <c r="P49" i="5" a="1"/>
  <c r="P49" i="5" s="1"/>
  <c r="Q49" i="5" a="1"/>
  <c r="Q49" i="5" s="1"/>
  <c r="M50" i="5" a="1"/>
  <c r="M50" i="5" s="1"/>
  <c r="N50" i="5" a="1"/>
  <c r="N50" i="5" s="1"/>
  <c r="O50" i="5" a="1"/>
  <c r="O50" i="5" s="1"/>
  <c r="P50" i="5" a="1"/>
  <c r="P50" i="5" s="1"/>
  <c r="Q50" i="5" a="1"/>
  <c r="Q50" i="5" s="1"/>
  <c r="M51" i="5" a="1"/>
  <c r="M51" i="5" s="1"/>
  <c r="N51" i="5" a="1"/>
  <c r="N51" i="5" s="1"/>
  <c r="O51" i="5" a="1"/>
  <c r="O51" i="5" s="1"/>
  <c r="P51" i="5" a="1"/>
  <c r="P51" i="5" s="1"/>
  <c r="Q51" i="5" a="1"/>
  <c r="Q51" i="5" s="1"/>
  <c r="M52" i="5" a="1"/>
  <c r="M52" i="5" s="1"/>
  <c r="N52" i="5" a="1"/>
  <c r="N52" i="5" s="1"/>
  <c r="O52" i="5" a="1"/>
  <c r="O52" i="5" s="1"/>
  <c r="P52" i="5" a="1"/>
  <c r="P52" i="5" s="1"/>
  <c r="Q52" i="5" a="1"/>
  <c r="Q52" i="5" s="1"/>
  <c r="M53" i="5" a="1"/>
  <c r="M53" i="5" s="1"/>
  <c r="N53" i="5" a="1"/>
  <c r="N53" i="5" s="1"/>
  <c r="O53" i="5" a="1"/>
  <c r="O53" i="5" s="1"/>
  <c r="P53" i="5" a="1"/>
  <c r="P53" i="5" s="1"/>
  <c r="Q53" i="5" a="1"/>
  <c r="Q53" i="5" s="1"/>
  <c r="M54" i="5" a="1"/>
  <c r="M54" i="5" s="1"/>
  <c r="N54" i="5" a="1"/>
  <c r="N54" i="5" s="1"/>
  <c r="O54" i="5" a="1"/>
  <c r="O54" i="5" s="1"/>
  <c r="P54" i="5" a="1"/>
  <c r="P54" i="5" s="1"/>
  <c r="Q54" i="5" a="1"/>
  <c r="Q54" i="5" s="1"/>
  <c r="M55" i="5" a="1"/>
  <c r="M55" i="5" s="1"/>
  <c r="N55" i="5" a="1"/>
  <c r="N55" i="5" s="1"/>
  <c r="O55" i="5" a="1"/>
  <c r="O55" i="5" s="1"/>
  <c r="P55" i="5" a="1"/>
  <c r="P55" i="5" s="1"/>
  <c r="Q55" i="5" a="1"/>
  <c r="Q55" i="5" s="1"/>
  <c r="M56" i="5" a="1"/>
  <c r="M56" i="5" s="1"/>
  <c r="N56" i="5" a="1"/>
  <c r="N56" i="5" s="1"/>
  <c r="O56" i="5" a="1"/>
  <c r="O56" i="5" s="1"/>
  <c r="P56" i="5" a="1"/>
  <c r="P56" i="5" s="1"/>
  <c r="Q56" i="5" a="1"/>
  <c r="Q56" i="5" s="1"/>
  <c r="M57" i="5" a="1"/>
  <c r="M57" i="5" s="1"/>
  <c r="N57" i="5" a="1"/>
  <c r="N57" i="5" s="1"/>
  <c r="O57" i="5" a="1"/>
  <c r="O57" i="5" s="1"/>
  <c r="P57" i="5" a="1"/>
  <c r="P57" i="5" s="1"/>
  <c r="Q57" i="5" a="1"/>
  <c r="Q57" i="5" s="1"/>
  <c r="M58" i="5" a="1"/>
  <c r="M58" i="5" s="1"/>
  <c r="N58" i="5" a="1"/>
  <c r="N58" i="5" s="1"/>
  <c r="O58" i="5" a="1"/>
  <c r="O58" i="5" s="1"/>
  <c r="P58" i="5" a="1"/>
  <c r="P58" i="5" s="1"/>
  <c r="Q58" i="5" a="1"/>
  <c r="Q58" i="5" s="1"/>
  <c r="M59" i="5" a="1"/>
  <c r="M59" i="5" s="1"/>
  <c r="N59" i="5" a="1"/>
  <c r="N59" i="5" s="1"/>
  <c r="O59" i="5" a="1"/>
  <c r="O59" i="5" s="1"/>
  <c r="P59" i="5" a="1"/>
  <c r="P59" i="5" s="1"/>
  <c r="Q59" i="5" a="1"/>
  <c r="Q59" i="5" s="1"/>
  <c r="M60" i="5" a="1"/>
  <c r="M60" i="5" s="1"/>
  <c r="N60" i="5" a="1"/>
  <c r="N60" i="5" s="1"/>
  <c r="O60" i="5" a="1"/>
  <c r="O60" i="5" s="1"/>
  <c r="P60" i="5" a="1"/>
  <c r="P60" i="5" s="1"/>
  <c r="Q60" i="5" a="1"/>
  <c r="Q60" i="5" s="1"/>
  <c r="M61" i="5" a="1"/>
  <c r="M61" i="5" s="1"/>
  <c r="N61" i="5" a="1"/>
  <c r="N61" i="5" s="1"/>
  <c r="O61" i="5" a="1"/>
  <c r="O61" i="5" s="1"/>
  <c r="P61" i="5" a="1"/>
  <c r="P61" i="5" s="1"/>
  <c r="Q61" i="5" a="1"/>
  <c r="Q61" i="5" s="1"/>
  <c r="M62" i="5" a="1"/>
  <c r="M62" i="5" s="1"/>
  <c r="N62" i="5" a="1"/>
  <c r="N62" i="5" s="1"/>
  <c r="O62" i="5" a="1"/>
  <c r="O62" i="5" s="1"/>
  <c r="P62" i="5" a="1"/>
  <c r="P62" i="5" s="1"/>
  <c r="Q62" i="5" a="1"/>
  <c r="Q62" i="5" s="1"/>
  <c r="M63" i="5" a="1"/>
  <c r="M63" i="5" s="1"/>
  <c r="N63" i="5" a="1"/>
  <c r="N63" i="5" s="1"/>
  <c r="O63" i="5" a="1"/>
  <c r="O63" i="5" s="1"/>
  <c r="P63" i="5" a="1"/>
  <c r="P63" i="5" s="1"/>
  <c r="Q63" i="5" a="1"/>
  <c r="Q63" i="5" s="1"/>
  <c r="M64" i="5" a="1"/>
  <c r="M64" i="5" s="1"/>
  <c r="N64" i="5" a="1"/>
  <c r="N64" i="5" s="1"/>
  <c r="O64" i="5" a="1"/>
  <c r="O64" i="5" s="1"/>
  <c r="P64" i="5" a="1"/>
  <c r="P64" i="5" s="1"/>
  <c r="Q64" i="5" a="1"/>
  <c r="Q64" i="5" s="1"/>
  <c r="M65" i="5" a="1"/>
  <c r="M65" i="5" s="1"/>
  <c r="N65" i="5" a="1"/>
  <c r="N65" i="5" s="1"/>
  <c r="O65" i="5" a="1"/>
  <c r="O65" i="5" s="1"/>
  <c r="P65" i="5" a="1"/>
  <c r="P65" i="5" s="1"/>
  <c r="Q65" i="5" a="1"/>
  <c r="Q65" i="5" s="1"/>
  <c r="M66" i="5" a="1"/>
  <c r="M66" i="5" s="1"/>
  <c r="N66" i="5" a="1"/>
  <c r="N66" i="5" s="1"/>
  <c r="O66" i="5" a="1"/>
  <c r="O66" i="5" s="1"/>
  <c r="P66" i="5" a="1"/>
  <c r="P66" i="5" s="1"/>
  <c r="Q66" i="5" a="1"/>
  <c r="Q66" i="5" s="1"/>
  <c r="M67" i="5" a="1"/>
  <c r="M67" i="5" s="1"/>
  <c r="N67" i="5" a="1"/>
  <c r="N67" i="5" s="1"/>
  <c r="O67" i="5" a="1"/>
  <c r="O67" i="5" s="1"/>
  <c r="P67" i="5" a="1"/>
  <c r="P67" i="5" s="1"/>
  <c r="Q67" i="5" a="1"/>
  <c r="Q67" i="5" s="1"/>
  <c r="M68" i="5" a="1"/>
  <c r="M68" i="5" s="1"/>
  <c r="N68" i="5" a="1"/>
  <c r="N68" i="5" s="1"/>
  <c r="O68" i="5" a="1"/>
  <c r="O68" i="5" s="1"/>
  <c r="P68" i="5" a="1"/>
  <c r="P68" i="5" s="1"/>
  <c r="Q68" i="5" a="1"/>
  <c r="Q68" i="5" s="1"/>
  <c r="M69" i="5" a="1"/>
  <c r="M69" i="5" s="1"/>
  <c r="N69" i="5" a="1"/>
  <c r="N69" i="5" s="1"/>
  <c r="O69" i="5" a="1"/>
  <c r="O69" i="5" s="1"/>
  <c r="P69" i="5" a="1"/>
  <c r="P69" i="5" s="1"/>
  <c r="Q69" i="5" a="1"/>
  <c r="Q69" i="5" s="1"/>
  <c r="M70" i="5" a="1"/>
  <c r="M70" i="5" s="1"/>
  <c r="N70" i="5" a="1"/>
  <c r="N70" i="5" s="1"/>
  <c r="O70" i="5" a="1"/>
  <c r="O70" i="5" s="1"/>
  <c r="P70" i="5" a="1"/>
  <c r="P70" i="5" s="1"/>
  <c r="Q70" i="5" a="1"/>
  <c r="Q70" i="5" s="1"/>
  <c r="M71" i="5" a="1"/>
  <c r="M71" i="5" s="1"/>
  <c r="N71" i="5" a="1"/>
  <c r="N71" i="5" s="1"/>
  <c r="O71" i="5" a="1"/>
  <c r="O71" i="5" s="1"/>
  <c r="P71" i="5" a="1"/>
  <c r="P71" i="5" s="1"/>
  <c r="Q71" i="5" a="1"/>
  <c r="Q71" i="5" s="1"/>
  <c r="M72" i="5" a="1"/>
  <c r="M72" i="5" s="1"/>
  <c r="N72" i="5" a="1"/>
  <c r="N72" i="5" s="1"/>
  <c r="O72" i="5" a="1"/>
  <c r="O72" i="5" s="1"/>
  <c r="P72" i="5" a="1"/>
  <c r="P72" i="5" s="1"/>
  <c r="Q72" i="5" a="1"/>
  <c r="Q72" i="5" s="1"/>
  <c r="M73" i="5" a="1"/>
  <c r="M73" i="5" s="1"/>
  <c r="N73" i="5" a="1"/>
  <c r="N73" i="5" s="1"/>
  <c r="O73" i="5" a="1"/>
  <c r="O73" i="5" s="1"/>
  <c r="P73" i="5" a="1"/>
  <c r="P73" i="5" s="1"/>
  <c r="Q73" i="5" a="1"/>
  <c r="Q73" i="5" s="1"/>
  <c r="M74" i="5" a="1"/>
  <c r="M74" i="5" s="1"/>
  <c r="N74" i="5" a="1"/>
  <c r="N74" i="5" s="1"/>
  <c r="O74" i="5" a="1"/>
  <c r="O74" i="5" s="1"/>
  <c r="P74" i="5" a="1"/>
  <c r="P74" i="5" s="1"/>
  <c r="Q74" i="5" a="1"/>
  <c r="Q74" i="5" s="1"/>
  <c r="M75" i="5" a="1"/>
  <c r="M75" i="5" s="1"/>
  <c r="N75" i="5" a="1"/>
  <c r="N75" i="5" s="1"/>
  <c r="O75" i="5" a="1"/>
  <c r="O75" i="5" s="1"/>
  <c r="P75" i="5" a="1"/>
  <c r="P75" i="5" s="1"/>
  <c r="Q75" i="5" a="1"/>
  <c r="Q75" i="5" s="1"/>
  <c r="M76" i="5" a="1"/>
  <c r="M76" i="5" s="1"/>
  <c r="N76" i="5" a="1"/>
  <c r="N76" i="5" s="1"/>
  <c r="O76" i="5" a="1"/>
  <c r="O76" i="5" s="1"/>
  <c r="P76" i="5" a="1"/>
  <c r="P76" i="5" s="1"/>
  <c r="Q76" i="5" a="1"/>
  <c r="Q76" i="5" s="1"/>
  <c r="M77" i="5" a="1"/>
  <c r="M77" i="5" s="1"/>
  <c r="N77" i="5" a="1"/>
  <c r="N77" i="5" s="1"/>
  <c r="O77" i="5" a="1"/>
  <c r="O77" i="5" s="1"/>
  <c r="P77" i="5" a="1"/>
  <c r="P77" i="5" s="1"/>
  <c r="Q77" i="5" a="1"/>
  <c r="Q77" i="5" s="1"/>
  <c r="M78" i="5" a="1"/>
  <c r="M78" i="5" s="1"/>
  <c r="N78" i="5" a="1"/>
  <c r="N78" i="5" s="1"/>
  <c r="O78" i="5" a="1"/>
  <c r="O78" i="5" s="1"/>
  <c r="P78" i="5" a="1"/>
  <c r="P78" i="5" s="1"/>
  <c r="Q78" i="5" a="1"/>
  <c r="Q78" i="5" s="1"/>
  <c r="M79" i="5" a="1"/>
  <c r="M79" i="5" s="1"/>
  <c r="N79" i="5" a="1"/>
  <c r="N79" i="5" s="1"/>
  <c r="O79" i="5" a="1"/>
  <c r="O79" i="5" s="1"/>
  <c r="P79" i="5" a="1"/>
  <c r="P79" i="5" s="1"/>
  <c r="Q79" i="5" a="1"/>
  <c r="Q79" i="5" s="1"/>
  <c r="M80" i="5" a="1"/>
  <c r="M80" i="5" s="1"/>
  <c r="N80" i="5" a="1"/>
  <c r="N80" i="5" s="1"/>
  <c r="O80" i="5" a="1"/>
  <c r="O80" i="5" s="1"/>
  <c r="P80" i="5" a="1"/>
  <c r="P80" i="5" s="1"/>
  <c r="Q80" i="5" a="1"/>
  <c r="Q80" i="5" s="1"/>
  <c r="M81" i="5" a="1"/>
  <c r="M81" i="5" s="1"/>
  <c r="N81" i="5" a="1"/>
  <c r="N81" i="5" s="1"/>
  <c r="O81" i="5" a="1"/>
  <c r="O81" i="5" s="1"/>
  <c r="P81" i="5" a="1"/>
  <c r="P81" i="5" s="1"/>
  <c r="Q81" i="5" a="1"/>
  <c r="Q81" i="5" s="1"/>
  <c r="M82" i="5" a="1"/>
  <c r="M82" i="5" s="1"/>
  <c r="N82" i="5" a="1"/>
  <c r="N82" i="5" s="1"/>
  <c r="O82" i="5" a="1"/>
  <c r="O82" i="5" s="1"/>
  <c r="P82" i="5" a="1"/>
  <c r="P82" i="5" s="1"/>
  <c r="Q82" i="5" a="1"/>
  <c r="Q82" i="5" s="1"/>
  <c r="M83" i="5" a="1"/>
  <c r="M83" i="5" s="1"/>
  <c r="N83" i="5" a="1"/>
  <c r="N83" i="5" s="1"/>
  <c r="O83" i="5" a="1"/>
  <c r="O83" i="5" s="1"/>
  <c r="P83" i="5" a="1"/>
  <c r="P83" i="5" s="1"/>
  <c r="Q83" i="5" a="1"/>
  <c r="Q83" i="5" s="1"/>
  <c r="M84" i="5" a="1"/>
  <c r="M84" i="5" s="1"/>
  <c r="N84" i="5" a="1"/>
  <c r="N84" i="5" s="1"/>
  <c r="O84" i="5" a="1"/>
  <c r="O84" i="5" s="1"/>
  <c r="P84" i="5" a="1"/>
  <c r="P84" i="5" s="1"/>
  <c r="Q84" i="5" a="1"/>
  <c r="Q84" i="5" s="1"/>
  <c r="M85" i="5" a="1"/>
  <c r="M85" i="5" s="1"/>
  <c r="N85" i="5" a="1"/>
  <c r="N85" i="5" s="1"/>
  <c r="O85" i="5" a="1"/>
  <c r="O85" i="5" s="1"/>
  <c r="P85" i="5" a="1"/>
  <c r="P85" i="5" s="1"/>
  <c r="Q85" i="5" a="1"/>
  <c r="Q85" i="5" s="1"/>
  <c r="M86" i="5" a="1"/>
  <c r="M86" i="5" s="1"/>
  <c r="N86" i="5" a="1"/>
  <c r="N86" i="5" s="1"/>
  <c r="O86" i="5" a="1"/>
  <c r="O86" i="5" s="1"/>
  <c r="P86" i="5" a="1"/>
  <c r="P86" i="5" s="1"/>
  <c r="Q86" i="5" a="1"/>
  <c r="Q86" i="5" s="1"/>
  <c r="M87" i="5" a="1"/>
  <c r="M87" i="5" s="1"/>
  <c r="N87" i="5" a="1"/>
  <c r="N87" i="5" s="1"/>
  <c r="O87" i="5" a="1"/>
  <c r="O87" i="5" s="1"/>
  <c r="P87" i="5" a="1"/>
  <c r="P87" i="5" s="1"/>
  <c r="Q87" i="5" a="1"/>
  <c r="Q87" i="5" s="1"/>
  <c r="M88" i="5" a="1"/>
  <c r="M88" i="5" s="1"/>
  <c r="N88" i="5" a="1"/>
  <c r="N88" i="5" s="1"/>
  <c r="O88" i="5" a="1"/>
  <c r="O88" i="5" s="1"/>
  <c r="P88" i="5" a="1"/>
  <c r="P88" i="5" s="1"/>
  <c r="Q88" i="5" a="1"/>
  <c r="Q88" i="5" s="1"/>
  <c r="M89" i="5" a="1"/>
  <c r="M89" i="5" s="1"/>
  <c r="N89" i="5" a="1"/>
  <c r="N89" i="5" s="1"/>
  <c r="O89" i="5" a="1"/>
  <c r="O89" i="5" s="1"/>
  <c r="P89" i="5" a="1"/>
  <c r="P89" i="5" s="1"/>
  <c r="Q89" i="5" a="1"/>
  <c r="Q89" i="5" s="1"/>
  <c r="M90" i="5" a="1"/>
  <c r="M90" i="5" s="1"/>
  <c r="N90" i="5" a="1"/>
  <c r="N90" i="5" s="1"/>
  <c r="O90" i="5" a="1"/>
  <c r="O90" i="5" s="1"/>
  <c r="P90" i="5" a="1"/>
  <c r="P90" i="5" s="1"/>
  <c r="Q90" i="5" a="1"/>
  <c r="Q90" i="5" s="1"/>
  <c r="M91" i="5" a="1"/>
  <c r="M91" i="5" s="1"/>
  <c r="N91" i="5" a="1"/>
  <c r="N91" i="5" s="1"/>
  <c r="O91" i="5" a="1"/>
  <c r="O91" i="5" s="1"/>
  <c r="P91" i="5" a="1"/>
  <c r="P91" i="5" s="1"/>
  <c r="Q91" i="5" a="1"/>
  <c r="Q91" i="5" s="1"/>
  <c r="M92" i="5" a="1"/>
  <c r="M92" i="5" s="1"/>
  <c r="N92" i="5" a="1"/>
  <c r="N92" i="5" s="1"/>
  <c r="O92" i="5" a="1"/>
  <c r="O92" i="5" s="1"/>
  <c r="P92" i="5" a="1"/>
  <c r="P92" i="5" s="1"/>
  <c r="Q92" i="5" a="1"/>
  <c r="Q92" i="5" s="1"/>
  <c r="M93" i="5" a="1"/>
  <c r="M93" i="5" s="1"/>
  <c r="N93" i="5" a="1"/>
  <c r="N93" i="5" s="1"/>
  <c r="O93" i="5" a="1"/>
  <c r="O93" i="5" s="1"/>
  <c r="P93" i="5" a="1"/>
  <c r="P93" i="5" s="1"/>
  <c r="Q93" i="5" a="1"/>
  <c r="Q93" i="5" s="1"/>
  <c r="M94" i="5" a="1"/>
  <c r="M94" i="5" s="1"/>
  <c r="N94" i="5" a="1"/>
  <c r="N94" i="5" s="1"/>
  <c r="O94" i="5" a="1"/>
  <c r="O94" i="5" s="1"/>
  <c r="P94" i="5" a="1"/>
  <c r="P94" i="5" s="1"/>
  <c r="Q94" i="5" a="1"/>
  <c r="Q94" i="5" s="1"/>
  <c r="M95" i="5" a="1"/>
  <c r="M95" i="5" s="1"/>
  <c r="N95" i="5" a="1"/>
  <c r="N95" i="5" s="1"/>
  <c r="O95" i="5" a="1"/>
  <c r="O95" i="5" s="1"/>
  <c r="P95" i="5" a="1"/>
  <c r="P95" i="5" s="1"/>
  <c r="Q95" i="5" a="1"/>
  <c r="Q95" i="5" s="1"/>
  <c r="M96" i="5" a="1"/>
  <c r="M96" i="5" s="1"/>
  <c r="N96" i="5" a="1"/>
  <c r="N96" i="5" s="1"/>
  <c r="O96" i="5" a="1"/>
  <c r="O96" i="5" s="1"/>
  <c r="P96" i="5" a="1"/>
  <c r="P96" i="5" s="1"/>
  <c r="Q96" i="5" a="1"/>
  <c r="Q96" i="5" s="1"/>
  <c r="M97" i="5" a="1"/>
  <c r="M97" i="5" s="1"/>
  <c r="N97" i="5" a="1"/>
  <c r="N97" i="5" s="1"/>
  <c r="O97" i="5" a="1"/>
  <c r="O97" i="5" s="1"/>
  <c r="P97" i="5" a="1"/>
  <c r="P97" i="5" s="1"/>
  <c r="Q97" i="5" a="1"/>
  <c r="Q97" i="5" s="1"/>
  <c r="M98" i="5" a="1"/>
  <c r="M98" i="5" s="1"/>
  <c r="N98" i="5" a="1"/>
  <c r="N98" i="5" s="1"/>
  <c r="O98" i="5" a="1"/>
  <c r="O98" i="5" s="1"/>
  <c r="P98" i="5" a="1"/>
  <c r="P98" i="5" s="1"/>
  <c r="Q98" i="5" a="1"/>
  <c r="Q98" i="5" s="1"/>
  <c r="M99" i="5" a="1"/>
  <c r="M99" i="5" s="1"/>
  <c r="N99" i="5" a="1"/>
  <c r="N99" i="5" s="1"/>
  <c r="O99" i="5" a="1"/>
  <c r="O99" i="5" s="1"/>
  <c r="P99" i="5" a="1"/>
  <c r="P99" i="5" s="1"/>
  <c r="Q99" i="5" a="1"/>
  <c r="Q99" i="5" s="1"/>
  <c r="M100" i="5" a="1"/>
  <c r="M100" i="5" s="1"/>
  <c r="N100" i="5" a="1"/>
  <c r="N100" i="5" s="1"/>
  <c r="O100" i="5" a="1"/>
  <c r="O100" i="5" s="1"/>
  <c r="P100" i="5" a="1"/>
  <c r="P100" i="5" s="1"/>
  <c r="Q100" i="5" a="1"/>
  <c r="Q100" i="5" s="1"/>
  <c r="M101" i="5" a="1"/>
  <c r="M101" i="5" s="1"/>
  <c r="N101" i="5" a="1"/>
  <c r="N101" i="5" s="1"/>
  <c r="O101" i="5" a="1"/>
  <c r="O101" i="5" s="1"/>
  <c r="P101" i="5" a="1"/>
  <c r="P101" i="5" s="1"/>
  <c r="Q101" i="5" a="1"/>
  <c r="Q101" i="5" s="1"/>
  <c r="M102" i="5" a="1"/>
  <c r="M102" i="5" s="1"/>
  <c r="N102" i="5" a="1"/>
  <c r="N102" i="5" s="1"/>
  <c r="O102" i="5" a="1"/>
  <c r="O102" i="5" s="1"/>
  <c r="P102" i="5" a="1"/>
  <c r="P102" i="5" s="1"/>
  <c r="Q102" i="5" a="1"/>
  <c r="Q102" i="5" s="1"/>
  <c r="M103" i="5" a="1"/>
  <c r="M103" i="5" s="1"/>
  <c r="N103" i="5" a="1"/>
  <c r="N103" i="5" s="1"/>
  <c r="O103" i="5" a="1"/>
  <c r="O103" i="5" s="1"/>
  <c r="P103" i="5" a="1"/>
  <c r="P103" i="5" s="1"/>
  <c r="Q103" i="5" a="1"/>
  <c r="Q103" i="5" s="1"/>
  <c r="M105" i="5" a="1"/>
  <c r="M105" i="5" s="1"/>
  <c r="N105" i="5" a="1"/>
  <c r="N105" i="5" s="1"/>
  <c r="O105" i="5" a="1"/>
  <c r="O105" i="5" s="1"/>
  <c r="P105" i="5" a="1"/>
  <c r="P105" i="5" s="1"/>
  <c r="Q105" i="5" a="1"/>
  <c r="Q105" i="5" s="1"/>
  <c r="M106" i="5" a="1"/>
  <c r="M106" i="5" s="1"/>
  <c r="N106" i="5" a="1"/>
  <c r="N106" i="5" s="1"/>
  <c r="O106" i="5" a="1"/>
  <c r="O106" i="5" s="1"/>
  <c r="P106" i="5" a="1"/>
  <c r="P106" i="5" s="1"/>
  <c r="Q106" i="5" a="1"/>
  <c r="Q106" i="5" s="1"/>
  <c r="M107" i="5" a="1"/>
  <c r="M107" i="5" s="1"/>
  <c r="N107" i="5" a="1"/>
  <c r="N107" i="5" s="1"/>
  <c r="O107" i="5" a="1"/>
  <c r="O107" i="5" s="1"/>
  <c r="P107" i="5" a="1"/>
  <c r="P107" i="5" s="1"/>
  <c r="Q107" i="5" a="1"/>
  <c r="Q107" i="5" s="1"/>
  <c r="M108" i="5" a="1"/>
  <c r="M108" i="5" s="1"/>
  <c r="N108" i="5" a="1"/>
  <c r="N108" i="5" s="1"/>
  <c r="O108" i="5" a="1"/>
  <c r="O108" i="5" s="1"/>
  <c r="P108" i="5" a="1"/>
  <c r="P108" i="5" s="1"/>
  <c r="Q108" i="5" a="1"/>
  <c r="Q108" i="5" s="1"/>
  <c r="M109" i="5" a="1"/>
  <c r="M109" i="5" s="1"/>
  <c r="N109" i="5" a="1"/>
  <c r="N109" i="5" s="1"/>
  <c r="O109" i="5" a="1"/>
  <c r="O109" i="5" s="1"/>
  <c r="P109" i="5" a="1"/>
  <c r="P109" i="5" s="1"/>
  <c r="Q109" i="5" a="1"/>
  <c r="Q109" i="5" s="1"/>
  <c r="M110" i="5" a="1"/>
  <c r="M110" i="5" s="1"/>
  <c r="N110" i="5" a="1"/>
  <c r="N110" i="5" s="1"/>
  <c r="O110" i="5" a="1"/>
  <c r="O110" i="5" s="1"/>
  <c r="P110" i="5" a="1"/>
  <c r="P110" i="5" s="1"/>
  <c r="Q110" i="5" a="1"/>
  <c r="Q110" i="5" s="1"/>
  <c r="M111" i="5" a="1"/>
  <c r="M111" i="5" s="1"/>
  <c r="N111" i="5" a="1"/>
  <c r="N111" i="5" s="1"/>
  <c r="O111" i="5" a="1"/>
  <c r="O111" i="5" s="1"/>
  <c r="P111" i="5" a="1"/>
  <c r="P111" i="5" s="1"/>
  <c r="Q111" i="5" a="1"/>
  <c r="Q111" i="5" s="1"/>
  <c r="M112" i="5" a="1"/>
  <c r="M112" i="5" s="1"/>
  <c r="N112" i="5" a="1"/>
  <c r="N112" i="5" s="1"/>
  <c r="O112" i="5" a="1"/>
  <c r="O112" i="5" s="1"/>
  <c r="P112" i="5" a="1"/>
  <c r="P112" i="5" s="1"/>
  <c r="Q112" i="5" a="1"/>
  <c r="Q112" i="5" s="1"/>
  <c r="M113" i="5" a="1"/>
  <c r="M113" i="5" s="1"/>
  <c r="N113" i="5" a="1"/>
  <c r="N113" i="5" s="1"/>
  <c r="O113" i="5" a="1"/>
  <c r="O113" i="5" s="1"/>
  <c r="P113" i="5" a="1"/>
  <c r="P113" i="5" s="1"/>
  <c r="Q113" i="5" a="1"/>
  <c r="Q113" i="5" s="1"/>
  <c r="M114" i="5" a="1"/>
  <c r="M114" i="5" s="1"/>
  <c r="N114" i="5" a="1"/>
  <c r="N114" i="5" s="1"/>
  <c r="O114" i="5" a="1"/>
  <c r="O114" i="5" s="1"/>
  <c r="P114" i="5" a="1"/>
  <c r="P114" i="5" s="1"/>
  <c r="Q114" i="5" a="1"/>
  <c r="Q114" i="5" s="1"/>
  <c r="M115" i="5" a="1"/>
  <c r="M115" i="5" s="1"/>
  <c r="N115" i="5" a="1"/>
  <c r="N115" i="5" s="1"/>
  <c r="O115" i="5" a="1"/>
  <c r="O115" i="5" s="1"/>
  <c r="P115" i="5" a="1"/>
  <c r="P115" i="5" s="1"/>
  <c r="Q115" i="5" a="1"/>
  <c r="Q115" i="5" s="1"/>
  <c r="M116" i="5" a="1"/>
  <c r="M116" i="5" s="1"/>
  <c r="N116" i="5" a="1"/>
  <c r="N116" i="5" s="1"/>
  <c r="O116" i="5" a="1"/>
  <c r="O116" i="5" s="1"/>
  <c r="P116" i="5" a="1"/>
  <c r="P116" i="5" s="1"/>
  <c r="Q116" i="5" a="1"/>
  <c r="Q116" i="5" s="1"/>
  <c r="M117" i="5" a="1"/>
  <c r="M117" i="5" s="1"/>
  <c r="N117" i="5" a="1"/>
  <c r="N117" i="5" s="1"/>
  <c r="O117" i="5" a="1"/>
  <c r="O117" i="5" s="1"/>
  <c r="P117" i="5" a="1"/>
  <c r="P117" i="5" s="1"/>
  <c r="Q117" i="5" a="1"/>
  <c r="Q117" i="5" s="1"/>
  <c r="M118" i="5" a="1"/>
  <c r="M118" i="5" s="1"/>
  <c r="N118" i="5" a="1"/>
  <c r="N118" i="5" s="1"/>
  <c r="O118" i="5" a="1"/>
  <c r="O118" i="5" s="1"/>
  <c r="P118" i="5" a="1"/>
  <c r="P118" i="5" s="1"/>
  <c r="Q118" i="5" a="1"/>
  <c r="Q118" i="5" s="1"/>
  <c r="M119" i="5" a="1"/>
  <c r="M119" i="5" s="1"/>
  <c r="N119" i="5" a="1"/>
  <c r="N119" i="5" s="1"/>
  <c r="O119" i="5" a="1"/>
  <c r="O119" i="5" s="1"/>
  <c r="P119" i="5" a="1"/>
  <c r="P119" i="5" s="1"/>
  <c r="Q119" i="5" a="1"/>
  <c r="Q119" i="5" s="1"/>
  <c r="M120" i="5" a="1"/>
  <c r="M120" i="5" s="1"/>
  <c r="N120" i="5" a="1"/>
  <c r="N120" i="5" s="1"/>
  <c r="O120" i="5" a="1"/>
  <c r="O120" i="5" s="1"/>
  <c r="P120" i="5" a="1"/>
  <c r="P120" i="5" s="1"/>
  <c r="Q120" i="5" a="1"/>
  <c r="Q120" i="5" s="1"/>
  <c r="M121" i="5" a="1"/>
  <c r="M121" i="5" s="1"/>
  <c r="N121" i="5" a="1"/>
  <c r="N121" i="5" s="1"/>
  <c r="O121" i="5" a="1"/>
  <c r="O121" i="5" s="1"/>
  <c r="P121" i="5" a="1"/>
  <c r="P121" i="5" s="1"/>
  <c r="Q121" i="5" a="1"/>
  <c r="Q121" i="5" s="1"/>
  <c r="M122" i="5" a="1"/>
  <c r="M122" i="5" s="1"/>
  <c r="N122" i="5" a="1"/>
  <c r="N122" i="5" s="1"/>
  <c r="O122" i="5" a="1"/>
  <c r="O122" i="5" s="1"/>
  <c r="P122" i="5" a="1"/>
  <c r="P122" i="5" s="1"/>
  <c r="Q122" i="5" a="1"/>
  <c r="Q122" i="5" s="1"/>
  <c r="M123" i="5" a="1"/>
  <c r="M123" i="5" s="1"/>
  <c r="N123" i="5" a="1"/>
  <c r="N123" i="5" s="1"/>
  <c r="O123" i="5" a="1"/>
  <c r="O123" i="5" s="1"/>
  <c r="P123" i="5" a="1"/>
  <c r="P123" i="5" s="1"/>
  <c r="Q123" i="5" a="1"/>
  <c r="Q123" i="5" s="1"/>
  <c r="M124" i="5" a="1"/>
  <c r="M124" i="5" s="1"/>
  <c r="N124" i="5" a="1"/>
  <c r="N124" i="5" s="1"/>
  <c r="O124" i="5" a="1"/>
  <c r="O124" i="5" s="1"/>
  <c r="P124" i="5" a="1"/>
  <c r="P124" i="5" s="1"/>
  <c r="Q124" i="5" a="1"/>
  <c r="Q124" i="5" s="1"/>
  <c r="M125" i="5" a="1"/>
  <c r="M125" i="5" s="1"/>
  <c r="N125" i="5" a="1"/>
  <c r="N125" i="5" s="1"/>
  <c r="O125" i="5" a="1"/>
  <c r="O125" i="5" s="1"/>
  <c r="P125" i="5" a="1"/>
  <c r="P125" i="5" s="1"/>
  <c r="Q125" i="5" a="1"/>
  <c r="Q125" i="5" s="1"/>
  <c r="M126" i="5" a="1"/>
  <c r="M126" i="5" s="1"/>
  <c r="N126" i="5" a="1"/>
  <c r="N126" i="5" s="1"/>
  <c r="O126" i="5" a="1"/>
  <c r="O126" i="5" s="1"/>
  <c r="P126" i="5" a="1"/>
  <c r="P126" i="5" s="1"/>
  <c r="Q126" i="5" a="1"/>
  <c r="Q126" i="5" s="1"/>
  <c r="M127" i="5" a="1"/>
  <c r="M127" i="5" s="1"/>
  <c r="N127" i="5" a="1"/>
  <c r="N127" i="5" s="1"/>
  <c r="O127" i="5" a="1"/>
  <c r="O127" i="5" s="1"/>
  <c r="P127" i="5" a="1"/>
  <c r="P127" i="5" s="1"/>
  <c r="Q127" i="5" a="1"/>
  <c r="Q127" i="5" s="1"/>
  <c r="M128" i="5" a="1"/>
  <c r="M128" i="5" s="1"/>
  <c r="N128" i="5" a="1"/>
  <c r="N128" i="5" s="1"/>
  <c r="O128" i="5" a="1"/>
  <c r="O128" i="5" s="1"/>
  <c r="P128" i="5" a="1"/>
  <c r="P128" i="5" s="1"/>
  <c r="Q128" i="5" a="1"/>
  <c r="Q128" i="5" s="1"/>
  <c r="M129" i="5" a="1"/>
  <c r="M129" i="5" s="1"/>
  <c r="N129" i="5" a="1"/>
  <c r="N129" i="5" s="1"/>
  <c r="O129" i="5" a="1"/>
  <c r="O129" i="5" s="1"/>
  <c r="P129" i="5" a="1"/>
  <c r="P129" i="5" s="1"/>
  <c r="Q129" i="5" a="1"/>
  <c r="Q129" i="5" s="1"/>
  <c r="M130" i="5" a="1"/>
  <c r="M130" i="5" s="1"/>
  <c r="N130" i="5" a="1"/>
  <c r="N130" i="5" s="1"/>
  <c r="O130" i="5" a="1"/>
  <c r="O130" i="5" s="1"/>
  <c r="P130" i="5" a="1"/>
  <c r="P130" i="5" s="1"/>
  <c r="Q130" i="5" a="1"/>
  <c r="Q130" i="5" s="1"/>
  <c r="M131" i="5" a="1"/>
  <c r="M131" i="5" s="1"/>
  <c r="N131" i="5" a="1"/>
  <c r="N131" i="5" s="1"/>
  <c r="O131" i="5" a="1"/>
  <c r="O131" i="5" s="1"/>
  <c r="P131" i="5" a="1"/>
  <c r="P131" i="5" s="1"/>
  <c r="Q131" i="5" a="1"/>
  <c r="Q131" i="5" s="1"/>
  <c r="M132" i="5" a="1"/>
  <c r="M132" i="5" s="1"/>
  <c r="N132" i="5" a="1"/>
  <c r="N132" i="5" s="1"/>
  <c r="O132" i="5" a="1"/>
  <c r="O132" i="5" s="1"/>
  <c r="P132" i="5" a="1"/>
  <c r="P132" i="5" s="1"/>
  <c r="Q132" i="5" a="1"/>
  <c r="Q132" i="5" s="1"/>
  <c r="M133" i="5" a="1"/>
  <c r="M133" i="5" s="1"/>
  <c r="N133" i="5" a="1"/>
  <c r="N133" i="5" s="1"/>
  <c r="O133" i="5" a="1"/>
  <c r="O133" i="5" s="1"/>
  <c r="P133" i="5" a="1"/>
  <c r="P133" i="5" s="1"/>
  <c r="Q133" i="5" a="1"/>
  <c r="Q133" i="5" s="1"/>
  <c r="M134" i="5" a="1"/>
  <c r="M134" i="5" s="1"/>
  <c r="N134" i="5" a="1"/>
  <c r="N134" i="5" s="1"/>
  <c r="O134" i="5" a="1"/>
  <c r="O134" i="5" s="1"/>
  <c r="P134" i="5" a="1"/>
  <c r="P134" i="5" s="1"/>
  <c r="Q134" i="5" a="1"/>
  <c r="Q134" i="5" s="1"/>
  <c r="M135" i="5" a="1"/>
  <c r="M135" i="5" s="1"/>
  <c r="N135" i="5" a="1"/>
  <c r="N135" i="5" s="1"/>
  <c r="O135" i="5" a="1"/>
  <c r="O135" i="5" s="1"/>
  <c r="P135" i="5" a="1"/>
  <c r="P135" i="5" s="1"/>
  <c r="Q135" i="5" a="1"/>
  <c r="Q135" i="5" s="1"/>
  <c r="M136" i="5" a="1"/>
  <c r="M136" i="5" s="1"/>
  <c r="N136" i="5" a="1"/>
  <c r="N136" i="5" s="1"/>
  <c r="O136" i="5" a="1"/>
  <c r="O136" i="5" s="1"/>
  <c r="P136" i="5" a="1"/>
  <c r="P136" i="5" s="1"/>
  <c r="Q136" i="5" a="1"/>
  <c r="Q136" i="5" s="1"/>
  <c r="M137" i="5" a="1"/>
  <c r="M137" i="5" s="1"/>
  <c r="N137" i="5" a="1"/>
  <c r="N137" i="5" s="1"/>
  <c r="O137" i="5" a="1"/>
  <c r="O137" i="5" s="1"/>
  <c r="P137" i="5" a="1"/>
  <c r="P137" i="5" s="1"/>
  <c r="Q137" i="5" a="1"/>
  <c r="Q137" i="5" s="1"/>
  <c r="M139" i="5" a="1"/>
  <c r="M139" i="5" s="1"/>
  <c r="N139" i="5" a="1"/>
  <c r="N139" i="5" s="1"/>
  <c r="O139" i="5" a="1"/>
  <c r="O139" i="5" s="1"/>
  <c r="P139" i="5" a="1"/>
  <c r="P139" i="5" s="1"/>
  <c r="Q139" i="5" a="1"/>
  <c r="Q139" i="5" s="1"/>
  <c r="M140" i="5" a="1"/>
  <c r="M140" i="5" s="1"/>
  <c r="N140" i="5" a="1"/>
  <c r="N140" i="5" s="1"/>
  <c r="O140" i="5" a="1"/>
  <c r="O140" i="5" s="1"/>
  <c r="P140" i="5" a="1"/>
  <c r="P140" i="5" s="1"/>
  <c r="Q140" i="5" a="1"/>
  <c r="Q140" i="5" s="1"/>
  <c r="M141" i="5" a="1"/>
  <c r="M141" i="5" s="1"/>
  <c r="N141" i="5" a="1"/>
  <c r="N141" i="5" s="1"/>
  <c r="O141" i="5" a="1"/>
  <c r="O141" i="5" s="1"/>
  <c r="P141" i="5" a="1"/>
  <c r="P141" i="5" s="1"/>
  <c r="Q141" i="5" a="1"/>
  <c r="Q141" i="5" s="1"/>
  <c r="M142" i="5" a="1"/>
  <c r="M142" i="5" s="1"/>
  <c r="N142" i="5" a="1"/>
  <c r="N142" i="5" s="1"/>
  <c r="O142" i="5" a="1"/>
  <c r="O142" i="5" s="1"/>
  <c r="P142" i="5" a="1"/>
  <c r="P142" i="5" s="1"/>
  <c r="Q142" i="5" a="1"/>
  <c r="Q142" i="5" s="1"/>
  <c r="M143" i="5" a="1"/>
  <c r="M143" i="5" s="1"/>
  <c r="N143" i="5" a="1"/>
  <c r="N143" i="5" s="1"/>
  <c r="O143" i="5" a="1"/>
  <c r="O143" i="5" s="1"/>
  <c r="P143" i="5" a="1"/>
  <c r="P143" i="5" s="1"/>
  <c r="Q143" i="5" a="1"/>
  <c r="Q143" i="5" s="1"/>
  <c r="M144" i="5" a="1"/>
  <c r="M144" i="5" s="1"/>
  <c r="N144" i="5" a="1"/>
  <c r="N144" i="5" s="1"/>
  <c r="O144" i="5" a="1"/>
  <c r="O144" i="5" s="1"/>
  <c r="P144" i="5" a="1"/>
  <c r="P144" i="5" s="1"/>
  <c r="Q144" i="5" a="1"/>
  <c r="Q144" i="5" s="1"/>
  <c r="M145" i="5" a="1"/>
  <c r="M145" i="5" s="1"/>
  <c r="N145" i="5" a="1"/>
  <c r="N145" i="5" s="1"/>
  <c r="O145" i="5" a="1"/>
  <c r="O145" i="5" s="1"/>
  <c r="P145" i="5" a="1"/>
  <c r="P145" i="5" s="1"/>
  <c r="Q145" i="5" a="1"/>
  <c r="Q145" i="5" s="1"/>
  <c r="M146" i="5" a="1"/>
  <c r="M146" i="5" s="1"/>
  <c r="N146" i="5" a="1"/>
  <c r="N146" i="5" s="1"/>
  <c r="O146" i="5" a="1"/>
  <c r="O146" i="5" s="1"/>
  <c r="P146" i="5" a="1"/>
  <c r="P146" i="5" s="1"/>
  <c r="Q146" i="5" a="1"/>
  <c r="Q146" i="5" s="1"/>
  <c r="M147" i="5" a="1"/>
  <c r="M147" i="5" s="1"/>
  <c r="N147" i="5" a="1"/>
  <c r="N147" i="5" s="1"/>
  <c r="O147" i="5" a="1"/>
  <c r="O147" i="5" s="1"/>
  <c r="P147" i="5" a="1"/>
  <c r="P147" i="5" s="1"/>
  <c r="Q147" i="5" a="1"/>
  <c r="Q147" i="5" s="1"/>
  <c r="M148" i="5" a="1"/>
  <c r="M148" i="5" s="1"/>
  <c r="N148" i="5" a="1"/>
  <c r="N148" i="5" s="1"/>
  <c r="O148" i="5" a="1"/>
  <c r="O148" i="5" s="1"/>
  <c r="P148" i="5" a="1"/>
  <c r="P148" i="5" s="1"/>
  <c r="Q148" i="5" a="1"/>
  <c r="Q148" i="5" s="1"/>
  <c r="M149" i="5" a="1"/>
  <c r="M149" i="5" s="1"/>
  <c r="N149" i="5" a="1"/>
  <c r="N149" i="5" s="1"/>
  <c r="O149" i="5" a="1"/>
  <c r="O149" i="5" s="1"/>
  <c r="P149" i="5" a="1"/>
  <c r="P149" i="5" s="1"/>
  <c r="Q149" i="5" a="1"/>
  <c r="Q149" i="5" s="1"/>
  <c r="M150" i="5" a="1"/>
  <c r="M150" i="5" s="1"/>
  <c r="N150" i="5" a="1"/>
  <c r="N150" i="5" s="1"/>
  <c r="O150" i="5" a="1"/>
  <c r="O150" i="5" s="1"/>
  <c r="P150" i="5" a="1"/>
  <c r="P150" i="5" s="1"/>
  <c r="Q150" i="5" a="1"/>
  <c r="Q150" i="5" s="1"/>
  <c r="M151" i="5" a="1"/>
  <c r="M151" i="5" s="1"/>
  <c r="N151" i="5" a="1"/>
  <c r="N151" i="5" s="1"/>
  <c r="O151" i="5" a="1"/>
  <c r="O151" i="5" s="1"/>
  <c r="P151" i="5" a="1"/>
  <c r="P151" i="5" s="1"/>
  <c r="Q151" i="5" a="1"/>
  <c r="Q151" i="5" s="1"/>
  <c r="M152" i="5" a="1"/>
  <c r="M152" i="5" s="1"/>
  <c r="N152" i="5" a="1"/>
  <c r="N152" i="5" s="1"/>
  <c r="O152" i="5" a="1"/>
  <c r="O152" i="5" s="1"/>
  <c r="P152" i="5" a="1"/>
  <c r="P152" i="5" s="1"/>
  <c r="Q152" i="5" a="1"/>
  <c r="Q152" i="5" s="1"/>
  <c r="M153" i="5" a="1"/>
  <c r="M153" i="5" s="1"/>
  <c r="N153" i="5" a="1"/>
  <c r="N153" i="5" s="1"/>
  <c r="O153" i="5" a="1"/>
  <c r="O153" i="5" s="1"/>
  <c r="P153" i="5" a="1"/>
  <c r="P153" i="5" s="1"/>
  <c r="Q153" i="5" a="1"/>
  <c r="Q153" i="5" s="1"/>
  <c r="M154" i="5" a="1"/>
  <c r="M154" i="5" s="1"/>
  <c r="N154" i="5" a="1"/>
  <c r="N154" i="5" s="1"/>
  <c r="O154" i="5" a="1"/>
  <c r="O154" i="5" s="1"/>
  <c r="P154" i="5" a="1"/>
  <c r="P154" i="5" s="1"/>
  <c r="Q154" i="5" a="1"/>
  <c r="Q154" i="5" s="1"/>
  <c r="M155" i="5" a="1"/>
  <c r="M155" i="5" s="1"/>
  <c r="N155" i="5" a="1"/>
  <c r="N155" i="5" s="1"/>
  <c r="O155" i="5" a="1"/>
  <c r="O155" i="5" s="1"/>
  <c r="P155" i="5" a="1"/>
  <c r="P155" i="5" s="1"/>
  <c r="Q155" i="5" a="1"/>
  <c r="Q155" i="5" s="1"/>
  <c r="M156" i="5" a="1"/>
  <c r="M156" i="5" s="1"/>
  <c r="N156" i="5" a="1"/>
  <c r="N156" i="5" s="1"/>
  <c r="O156" i="5" a="1"/>
  <c r="O156" i="5" s="1"/>
  <c r="P156" i="5" a="1"/>
  <c r="P156" i="5" s="1"/>
  <c r="Q156" i="5" a="1"/>
  <c r="Q156" i="5" s="1"/>
  <c r="M157" i="5" a="1"/>
  <c r="M157" i="5" s="1"/>
  <c r="N157" i="5" a="1"/>
  <c r="N157" i="5" s="1"/>
  <c r="O157" i="5" a="1"/>
  <c r="O157" i="5" s="1"/>
  <c r="P157" i="5" a="1"/>
  <c r="P157" i="5" s="1"/>
  <c r="Q157" i="5" a="1"/>
  <c r="Q157" i="5" s="1"/>
  <c r="M158" i="5" a="1"/>
  <c r="M158" i="5" s="1"/>
  <c r="N158" i="5" a="1"/>
  <c r="N158" i="5" s="1"/>
  <c r="O158" i="5" a="1"/>
  <c r="O158" i="5" s="1"/>
  <c r="P158" i="5" a="1"/>
  <c r="P158" i="5" s="1"/>
  <c r="Q158" i="5" a="1"/>
  <c r="Q158" i="5" s="1"/>
  <c r="M159" i="5" a="1"/>
  <c r="M159" i="5" s="1"/>
  <c r="N159" i="5" a="1"/>
  <c r="N159" i="5" s="1"/>
  <c r="O159" i="5" a="1"/>
  <c r="O159" i="5" s="1"/>
  <c r="P159" i="5" a="1"/>
  <c r="P159" i="5" s="1"/>
  <c r="Q159" i="5" a="1"/>
  <c r="Q159" i="5" s="1"/>
  <c r="M160" i="5" a="1"/>
  <c r="M160" i="5" s="1"/>
  <c r="N160" i="5" a="1"/>
  <c r="N160" i="5" s="1"/>
  <c r="O160" i="5" a="1"/>
  <c r="O160" i="5" s="1"/>
  <c r="P160" i="5" a="1"/>
  <c r="P160" i="5" s="1"/>
  <c r="Q160" i="5" a="1"/>
  <c r="Q160" i="5" s="1"/>
  <c r="M161" i="5" a="1"/>
  <c r="M161" i="5" s="1"/>
  <c r="N161" i="5" a="1"/>
  <c r="N161" i="5" s="1"/>
  <c r="O161" i="5" a="1"/>
  <c r="O161" i="5" s="1"/>
  <c r="P161" i="5" a="1"/>
  <c r="P161" i="5" s="1"/>
  <c r="Q161" i="5" a="1"/>
  <c r="Q161" i="5" s="1"/>
  <c r="M162" i="5" a="1"/>
  <c r="M162" i="5" s="1"/>
  <c r="N162" i="5" a="1"/>
  <c r="N162" i="5" s="1"/>
  <c r="O162" i="5" a="1"/>
  <c r="O162" i="5" s="1"/>
  <c r="P162" i="5" a="1"/>
  <c r="P162" i="5" s="1"/>
  <c r="Q162" i="5" a="1"/>
  <c r="Q162" i="5" s="1"/>
  <c r="M163" i="5" a="1"/>
  <c r="M163" i="5" s="1"/>
  <c r="N163" i="5" a="1"/>
  <c r="N163" i="5" s="1"/>
  <c r="O163" i="5" a="1"/>
  <c r="O163" i="5" s="1"/>
  <c r="P163" i="5" a="1"/>
  <c r="P163" i="5" s="1"/>
  <c r="Q163" i="5" a="1"/>
  <c r="Q163" i="5" s="1"/>
  <c r="M164" i="5" a="1"/>
  <c r="M164" i="5" s="1"/>
  <c r="N164" i="5" a="1"/>
  <c r="N164" i="5" s="1"/>
  <c r="O164" i="5" a="1"/>
  <c r="O164" i="5" s="1"/>
  <c r="P164" i="5" a="1"/>
  <c r="P164" i="5" s="1"/>
  <c r="Q164" i="5" a="1"/>
  <c r="Q164" i="5" s="1"/>
  <c r="M165" i="5" a="1"/>
  <c r="M165" i="5" s="1"/>
  <c r="N165" i="5" a="1"/>
  <c r="N165" i="5" s="1"/>
  <c r="O165" i="5" a="1"/>
  <c r="O165" i="5" s="1"/>
  <c r="P165" i="5" a="1"/>
  <c r="P165" i="5" s="1"/>
  <c r="Q165" i="5" a="1"/>
  <c r="Q165" i="5" s="1"/>
  <c r="M166" i="5" a="1"/>
  <c r="M166" i="5" s="1"/>
  <c r="N166" i="5" a="1"/>
  <c r="N166" i="5" s="1"/>
  <c r="O166" i="5" a="1"/>
  <c r="O166" i="5" s="1"/>
  <c r="P166" i="5" a="1"/>
  <c r="P166" i="5" s="1"/>
  <c r="Q166" i="5" a="1"/>
  <c r="Q166" i="5" s="1"/>
  <c r="M167" i="5" a="1"/>
  <c r="M167" i="5" s="1"/>
  <c r="N167" i="5" a="1"/>
  <c r="N167" i="5" s="1"/>
  <c r="O167" i="5" a="1"/>
  <c r="O167" i="5" s="1"/>
  <c r="P167" i="5" a="1"/>
  <c r="P167" i="5" s="1"/>
  <c r="Q167" i="5" a="1"/>
  <c r="Q167" i="5" s="1"/>
  <c r="M168" i="5" a="1"/>
  <c r="M168" i="5" s="1"/>
  <c r="N168" i="5" a="1"/>
  <c r="N168" i="5" s="1"/>
  <c r="O168" i="5" a="1"/>
  <c r="O168" i="5" s="1"/>
  <c r="P168" i="5" a="1"/>
  <c r="P168" i="5" s="1"/>
  <c r="Q168" i="5" a="1"/>
  <c r="Q168" i="5" s="1"/>
  <c r="M169" i="5" a="1"/>
  <c r="M169" i="5" s="1"/>
  <c r="N169" i="5" a="1"/>
  <c r="N169" i="5" s="1"/>
  <c r="O169" i="5" a="1"/>
  <c r="O169" i="5" s="1"/>
  <c r="P169" i="5" a="1"/>
  <c r="P169" i="5" s="1"/>
  <c r="Q169" i="5" a="1"/>
  <c r="Q169" i="5" s="1"/>
  <c r="M170" i="5" a="1"/>
  <c r="M170" i="5" s="1"/>
  <c r="N170" i="5" a="1"/>
  <c r="N170" i="5" s="1"/>
  <c r="O170" i="5" a="1"/>
  <c r="O170" i="5" s="1"/>
  <c r="P170" i="5" a="1"/>
  <c r="P170" i="5" s="1"/>
  <c r="Q170" i="5" a="1"/>
  <c r="Q170" i="5" s="1"/>
  <c r="M171" i="5" a="1"/>
  <c r="M171" i="5" s="1"/>
  <c r="N171" i="5" a="1"/>
  <c r="N171" i="5" s="1"/>
  <c r="O171" i="5" a="1"/>
  <c r="O171" i="5" s="1"/>
  <c r="P171" i="5" a="1"/>
  <c r="P171" i="5" s="1"/>
  <c r="Q171" i="5" a="1"/>
  <c r="Q171" i="5" s="1"/>
  <c r="M172" i="5" a="1"/>
  <c r="M172" i="5" s="1"/>
  <c r="N172" i="5" a="1"/>
  <c r="N172" i="5" s="1"/>
  <c r="O172" i="5" a="1"/>
  <c r="O172" i="5" s="1"/>
  <c r="P172" i="5" a="1"/>
  <c r="P172" i="5" s="1"/>
  <c r="Q172" i="5" a="1"/>
  <c r="Q172" i="5" s="1"/>
  <c r="M173" i="5" a="1"/>
  <c r="M173" i="5" s="1"/>
  <c r="N173" i="5" a="1"/>
  <c r="N173" i="5" s="1"/>
  <c r="O173" i="5" a="1"/>
  <c r="O173" i="5" s="1"/>
  <c r="P173" i="5" a="1"/>
  <c r="P173" i="5" s="1"/>
  <c r="Q173" i="5" a="1"/>
  <c r="Q173" i="5" s="1"/>
  <c r="M174" i="5" a="1"/>
  <c r="M174" i="5" s="1"/>
  <c r="N174" i="5" a="1"/>
  <c r="N174" i="5" s="1"/>
  <c r="O174" i="5" a="1"/>
  <c r="O174" i="5" s="1"/>
  <c r="P174" i="5" a="1"/>
  <c r="P174" i="5" s="1"/>
  <c r="Q174" i="5" a="1"/>
  <c r="Q174" i="5" s="1"/>
  <c r="M175" i="5" a="1"/>
  <c r="M175" i="5" s="1"/>
  <c r="N175" i="5" a="1"/>
  <c r="N175" i="5" s="1"/>
  <c r="O175" i="5" a="1"/>
  <c r="O175" i="5" s="1"/>
  <c r="P175" i="5" a="1"/>
  <c r="P175" i="5" s="1"/>
  <c r="Q175" i="5" a="1"/>
  <c r="Q175" i="5" s="1"/>
  <c r="M176" i="5" a="1"/>
  <c r="M176" i="5" s="1"/>
  <c r="N176" i="5" a="1"/>
  <c r="N176" i="5" s="1"/>
  <c r="O176" i="5" a="1"/>
  <c r="O176" i="5" s="1"/>
  <c r="P176" i="5" a="1"/>
  <c r="P176" i="5" s="1"/>
  <c r="Q176" i="5" a="1"/>
  <c r="Q176" i="5" s="1"/>
  <c r="M177" i="5" a="1"/>
  <c r="M177" i="5" s="1"/>
  <c r="N177" i="5" a="1"/>
  <c r="N177" i="5" s="1"/>
  <c r="O177" i="5" a="1"/>
  <c r="O177" i="5" s="1"/>
  <c r="P177" i="5" a="1"/>
  <c r="P177" i="5" s="1"/>
  <c r="Q177" i="5" a="1"/>
  <c r="Q177" i="5" s="1"/>
  <c r="M178" i="5" a="1"/>
  <c r="M178" i="5" s="1"/>
  <c r="N178" i="5" a="1"/>
  <c r="N178" i="5" s="1"/>
  <c r="O178" i="5" a="1"/>
  <c r="O178" i="5" s="1"/>
  <c r="P178" i="5" a="1"/>
  <c r="P178" i="5" s="1"/>
  <c r="Q178" i="5" a="1"/>
  <c r="Q178" i="5" s="1"/>
  <c r="M179" i="5" a="1"/>
  <c r="M179" i="5" s="1"/>
  <c r="N179" i="5" a="1"/>
  <c r="N179" i="5" s="1"/>
  <c r="O179" i="5" a="1"/>
  <c r="O179" i="5" s="1"/>
  <c r="P179" i="5" a="1"/>
  <c r="P179" i="5" s="1"/>
  <c r="Q179" i="5" a="1"/>
  <c r="Q179" i="5" s="1"/>
  <c r="M180" i="5" a="1"/>
  <c r="M180" i="5" s="1"/>
  <c r="N180" i="5" a="1"/>
  <c r="N180" i="5" s="1"/>
  <c r="O180" i="5" a="1"/>
  <c r="O180" i="5" s="1"/>
  <c r="P180" i="5" a="1"/>
  <c r="P180" i="5" s="1"/>
  <c r="Q180" i="5" a="1"/>
  <c r="Q180" i="5" s="1"/>
  <c r="M181" i="5" a="1"/>
  <c r="M181" i="5" s="1"/>
  <c r="N181" i="5" a="1"/>
  <c r="N181" i="5" s="1"/>
  <c r="O181" i="5" a="1"/>
  <c r="O181" i="5" s="1"/>
  <c r="P181" i="5" a="1"/>
  <c r="P181" i="5" s="1"/>
  <c r="Q181" i="5" a="1"/>
  <c r="Q181" i="5" s="1"/>
  <c r="M182" i="5" a="1"/>
  <c r="M182" i="5" s="1"/>
  <c r="N182" i="5" a="1"/>
  <c r="N182" i="5" s="1"/>
  <c r="O182" i="5" a="1"/>
  <c r="O182" i="5" s="1"/>
  <c r="P182" i="5" a="1"/>
  <c r="P182" i="5" s="1"/>
  <c r="Q182" i="5" a="1"/>
  <c r="Q182" i="5" s="1"/>
  <c r="M183" i="5" a="1"/>
  <c r="M183" i="5" s="1"/>
  <c r="N183" i="5" a="1"/>
  <c r="N183" i="5" s="1"/>
  <c r="O183" i="5" a="1"/>
  <c r="O183" i="5" s="1"/>
  <c r="P183" i="5" a="1"/>
  <c r="P183" i="5" s="1"/>
  <c r="Q183" i="5" a="1"/>
  <c r="Q183" i="5" s="1"/>
  <c r="M184" i="5" a="1"/>
  <c r="M184" i="5" s="1"/>
  <c r="N184" i="5" a="1"/>
  <c r="N184" i="5" s="1"/>
  <c r="O184" i="5" a="1"/>
  <c r="O184" i="5" s="1"/>
  <c r="P184" i="5" a="1"/>
  <c r="P184" i="5" s="1"/>
  <c r="Q184" i="5" a="1"/>
  <c r="Q184" i="5" s="1"/>
  <c r="M185" i="5" a="1"/>
  <c r="M185" i="5" s="1"/>
  <c r="N185" i="5" a="1"/>
  <c r="N185" i="5" s="1"/>
  <c r="O185" i="5" a="1"/>
  <c r="O185" i="5" s="1"/>
  <c r="P185" i="5" a="1"/>
  <c r="P185" i="5" s="1"/>
  <c r="Q185" i="5" a="1"/>
  <c r="Q185" i="5" s="1"/>
  <c r="M186" i="5" a="1"/>
  <c r="M186" i="5" s="1"/>
  <c r="N186" i="5" a="1"/>
  <c r="N186" i="5" s="1"/>
  <c r="O186" i="5" a="1"/>
  <c r="O186" i="5" s="1"/>
  <c r="P186" i="5" a="1"/>
  <c r="P186" i="5" s="1"/>
  <c r="Q186" i="5" a="1"/>
  <c r="Q186" i="5" s="1"/>
  <c r="M187" i="5" a="1"/>
  <c r="M187" i="5" s="1"/>
  <c r="N187" i="5" a="1"/>
  <c r="N187" i="5" s="1"/>
  <c r="O187" i="5" a="1"/>
  <c r="O187" i="5" s="1"/>
  <c r="P187" i="5" a="1"/>
  <c r="P187" i="5" s="1"/>
  <c r="Q187" i="5" a="1"/>
  <c r="Q187" i="5" s="1"/>
  <c r="M188" i="5" a="1"/>
  <c r="M188" i="5" s="1"/>
  <c r="N188" i="5" a="1"/>
  <c r="N188" i="5" s="1"/>
  <c r="O188" i="5" a="1"/>
  <c r="O188" i="5" s="1"/>
  <c r="P188" i="5" a="1"/>
  <c r="P188" i="5" s="1"/>
  <c r="Q188" i="5" a="1"/>
  <c r="Q188" i="5" s="1"/>
  <c r="M189" i="5" a="1"/>
  <c r="M189" i="5" s="1"/>
  <c r="N189" i="5" a="1"/>
  <c r="N189" i="5" s="1"/>
  <c r="O189" i="5" a="1"/>
  <c r="O189" i="5" s="1"/>
  <c r="P189" i="5" a="1"/>
  <c r="P189" i="5" s="1"/>
  <c r="Q189" i="5" a="1"/>
  <c r="Q189" i="5" s="1"/>
  <c r="M190" i="5" a="1"/>
  <c r="M190" i="5" s="1"/>
  <c r="N190" i="5" a="1"/>
  <c r="N190" i="5" s="1"/>
  <c r="O190" i="5" a="1"/>
  <c r="O190" i="5" s="1"/>
  <c r="P190" i="5" a="1"/>
  <c r="P190" i="5" s="1"/>
  <c r="Q190" i="5" a="1"/>
  <c r="Q190" i="5" s="1"/>
  <c r="M191" i="5" a="1"/>
  <c r="M191" i="5" s="1"/>
  <c r="N191" i="5" a="1"/>
  <c r="N191" i="5" s="1"/>
  <c r="O191" i="5" a="1"/>
  <c r="O191" i="5" s="1"/>
  <c r="P191" i="5" a="1"/>
  <c r="P191" i="5" s="1"/>
  <c r="Q191" i="5" a="1"/>
  <c r="Q191" i="5" s="1"/>
  <c r="M192" i="5" a="1"/>
  <c r="M192" i="5" s="1"/>
  <c r="N192" i="5" a="1"/>
  <c r="N192" i="5" s="1"/>
  <c r="O192" i="5" a="1"/>
  <c r="O192" i="5" s="1"/>
  <c r="P192" i="5" a="1"/>
  <c r="P192" i="5" s="1"/>
  <c r="Q192" i="5" a="1"/>
  <c r="Q192" i="5" s="1"/>
  <c r="M193" i="5" a="1"/>
  <c r="M193" i="5" s="1"/>
  <c r="N193" i="5" a="1"/>
  <c r="N193" i="5" s="1"/>
  <c r="O193" i="5" a="1"/>
  <c r="O193" i="5" s="1"/>
  <c r="P193" i="5" a="1"/>
  <c r="P193" i="5" s="1"/>
  <c r="Q193" i="5" a="1"/>
  <c r="Q193" i="5" s="1"/>
  <c r="M194" i="5" a="1"/>
  <c r="M194" i="5" s="1"/>
  <c r="N194" i="5" a="1"/>
  <c r="N194" i="5" s="1"/>
  <c r="O194" i="5" a="1"/>
  <c r="O194" i="5" s="1"/>
  <c r="P194" i="5" a="1"/>
  <c r="P194" i="5" s="1"/>
  <c r="Q194" i="5" a="1"/>
  <c r="Q194" i="5" s="1"/>
  <c r="M195" i="5" a="1"/>
  <c r="M195" i="5" s="1"/>
  <c r="N195" i="5" a="1"/>
  <c r="N195" i="5" s="1"/>
  <c r="O195" i="5" a="1"/>
  <c r="O195" i="5" s="1"/>
  <c r="P195" i="5" a="1"/>
  <c r="P195" i="5" s="1"/>
  <c r="Q195" i="5" a="1"/>
  <c r="Q195" i="5" s="1"/>
  <c r="M196" i="5" a="1"/>
  <c r="M196" i="5" s="1"/>
  <c r="N196" i="5" a="1"/>
  <c r="N196" i="5" s="1"/>
  <c r="O196" i="5" a="1"/>
  <c r="O196" i="5" s="1"/>
  <c r="P196" i="5" a="1"/>
  <c r="P196" i="5" s="1"/>
  <c r="Q196" i="5" a="1"/>
  <c r="Q196" i="5" s="1"/>
  <c r="M197" i="5" a="1"/>
  <c r="M197" i="5" s="1"/>
  <c r="N197" i="5" a="1"/>
  <c r="N197" i="5" s="1"/>
  <c r="O197" i="5" a="1"/>
  <c r="O197" i="5" s="1"/>
  <c r="P197" i="5" a="1"/>
  <c r="P197" i="5" s="1"/>
  <c r="Q197" i="5" a="1"/>
  <c r="Q197" i="5" s="1"/>
  <c r="M198" i="5" a="1"/>
  <c r="M198" i="5" s="1"/>
  <c r="N198" i="5" a="1"/>
  <c r="N198" i="5" s="1"/>
  <c r="O198" i="5" a="1"/>
  <c r="O198" i="5" s="1"/>
  <c r="P198" i="5" a="1"/>
  <c r="P198" i="5" s="1"/>
  <c r="Q198" i="5" a="1"/>
  <c r="Q198" i="5" s="1"/>
  <c r="M199" i="5" a="1"/>
  <c r="M199" i="5" s="1"/>
  <c r="N199" i="5" a="1"/>
  <c r="N199" i="5" s="1"/>
  <c r="O199" i="5" a="1"/>
  <c r="O199" i="5" s="1"/>
  <c r="P199" i="5" a="1"/>
  <c r="P199" i="5" s="1"/>
  <c r="Q199" i="5" a="1"/>
  <c r="Q199" i="5" s="1"/>
  <c r="M200" i="5" a="1"/>
  <c r="M200" i="5" s="1"/>
  <c r="N200" i="5" a="1"/>
  <c r="N200" i="5" s="1"/>
  <c r="O200" i="5" a="1"/>
  <c r="O200" i="5" s="1"/>
  <c r="P200" i="5" a="1"/>
  <c r="P200" i="5" s="1"/>
  <c r="Q200" i="5" a="1"/>
  <c r="Q200" i="5" s="1"/>
  <c r="M201" i="5" a="1"/>
  <c r="M201" i="5" s="1"/>
  <c r="N201" i="5" a="1"/>
  <c r="N201" i="5" s="1"/>
  <c r="O201" i="5" a="1"/>
  <c r="O201" i="5" s="1"/>
  <c r="P201" i="5" a="1"/>
  <c r="P201" i="5" s="1"/>
  <c r="Q201" i="5" a="1"/>
  <c r="Q201" i="5" s="1"/>
  <c r="M202" i="5" a="1"/>
  <c r="M202" i="5" s="1"/>
  <c r="N202" i="5" a="1"/>
  <c r="N202" i="5" s="1"/>
  <c r="O202" i="5" a="1"/>
  <c r="O202" i="5" s="1"/>
  <c r="P202" i="5" a="1"/>
  <c r="P202" i="5" s="1"/>
  <c r="Q202" i="5" a="1"/>
  <c r="Q202" i="5" s="1"/>
  <c r="M203" i="5" a="1"/>
  <c r="M203" i="5" s="1"/>
  <c r="N203" i="5" a="1"/>
  <c r="N203" i="5" s="1"/>
  <c r="O203" i="5" a="1"/>
  <c r="O203" i="5" s="1"/>
  <c r="P203" i="5" a="1"/>
  <c r="P203" i="5" s="1"/>
  <c r="Q203" i="5" a="1"/>
  <c r="Q203" i="5" s="1"/>
  <c r="M204" i="5" a="1"/>
  <c r="M204" i="5" s="1"/>
  <c r="N204" i="5" a="1"/>
  <c r="N204" i="5" s="1"/>
  <c r="O204" i="5" a="1"/>
  <c r="O204" i="5" s="1"/>
  <c r="P204" i="5" a="1"/>
  <c r="P204" i="5" s="1"/>
  <c r="Q204" i="5" a="1"/>
  <c r="Q204" i="5" s="1"/>
  <c r="M205" i="5" a="1"/>
  <c r="M205" i="5" s="1"/>
  <c r="N205" i="5" a="1"/>
  <c r="N205" i="5" s="1"/>
  <c r="O205" i="5" a="1"/>
  <c r="O205" i="5" s="1"/>
  <c r="P205" i="5" a="1"/>
  <c r="P205" i="5" s="1"/>
  <c r="Q205" i="5" a="1"/>
  <c r="Q205" i="5" s="1"/>
  <c r="M206" i="5" a="1"/>
  <c r="M206" i="5" s="1"/>
  <c r="N206" i="5" a="1"/>
  <c r="N206" i="5" s="1"/>
  <c r="O206" i="5" a="1"/>
  <c r="O206" i="5" s="1"/>
  <c r="P206" i="5" a="1"/>
  <c r="P206" i="5" s="1"/>
  <c r="Q206" i="5" a="1"/>
  <c r="Q206" i="5" s="1"/>
  <c r="M207" i="5" a="1"/>
  <c r="M207" i="5" s="1"/>
  <c r="N207" i="5" a="1"/>
  <c r="N207" i="5" s="1"/>
  <c r="O207" i="5" a="1"/>
  <c r="O207" i="5" s="1"/>
  <c r="P207" i="5" a="1"/>
  <c r="P207" i="5" s="1"/>
  <c r="Q207" i="5" a="1"/>
  <c r="Q207" i="5" s="1"/>
  <c r="M208" i="5" a="1"/>
  <c r="M208" i="5" s="1"/>
  <c r="N208" i="5" a="1"/>
  <c r="N208" i="5" s="1"/>
  <c r="O208" i="5" a="1"/>
  <c r="O208" i="5" s="1"/>
  <c r="P208" i="5" a="1"/>
  <c r="P208" i="5" s="1"/>
  <c r="Q208" i="5" a="1"/>
  <c r="Q208" i="5" s="1"/>
  <c r="M209" i="5" a="1"/>
  <c r="M209" i="5" s="1"/>
  <c r="N209" i="5" a="1"/>
  <c r="N209" i="5" s="1"/>
  <c r="O209" i="5" a="1"/>
  <c r="O209" i="5" s="1"/>
  <c r="P209" i="5" a="1"/>
  <c r="P209" i="5" s="1"/>
  <c r="Q209" i="5" a="1"/>
  <c r="Q209" i="5" s="1"/>
  <c r="M210" i="5" a="1"/>
  <c r="M210" i="5" s="1"/>
  <c r="N210" i="5" a="1"/>
  <c r="N210" i="5" s="1"/>
  <c r="O210" i="5" a="1"/>
  <c r="O210" i="5" s="1"/>
  <c r="P210" i="5" a="1"/>
  <c r="P210" i="5" s="1"/>
  <c r="Q210" i="5" a="1"/>
  <c r="Q210" i="5" s="1"/>
  <c r="M211" i="5" a="1"/>
  <c r="M211" i="5" s="1"/>
  <c r="N211" i="5" a="1"/>
  <c r="N211" i="5" s="1"/>
  <c r="O211" i="5" a="1"/>
  <c r="O211" i="5" s="1"/>
  <c r="P211" i="5" a="1"/>
  <c r="P211" i="5" s="1"/>
  <c r="Q211" i="5" a="1"/>
  <c r="Q211" i="5" s="1"/>
  <c r="M212" i="5" a="1"/>
  <c r="M212" i="5" s="1"/>
  <c r="N212" i="5" a="1"/>
  <c r="N212" i="5" s="1"/>
  <c r="O212" i="5" a="1"/>
  <c r="O212" i="5" s="1"/>
  <c r="P212" i="5" a="1"/>
  <c r="P212" i="5" s="1"/>
  <c r="Q212" i="5" a="1"/>
  <c r="Q212" i="5" s="1"/>
  <c r="M213" i="5" a="1"/>
  <c r="M213" i="5" s="1"/>
  <c r="N213" i="5" a="1"/>
  <c r="N213" i="5" s="1"/>
  <c r="O213" i="5" a="1"/>
  <c r="O213" i="5" s="1"/>
  <c r="P213" i="5" a="1"/>
  <c r="P213" i="5" s="1"/>
  <c r="Q213" i="5" a="1"/>
  <c r="Q213" i="5" s="1"/>
  <c r="M214" i="5" a="1"/>
  <c r="M214" i="5" s="1"/>
  <c r="N214" i="5" a="1"/>
  <c r="N214" i="5" s="1"/>
  <c r="O214" i="5" a="1"/>
  <c r="O214" i="5" s="1"/>
  <c r="P214" i="5" a="1"/>
  <c r="P214" i="5" s="1"/>
  <c r="Q214" i="5" a="1"/>
  <c r="Q214" i="5" s="1"/>
  <c r="M215" i="5" a="1"/>
  <c r="M215" i="5" s="1"/>
  <c r="N215" i="5" a="1"/>
  <c r="N215" i="5" s="1"/>
  <c r="O215" i="5" a="1"/>
  <c r="O215" i="5" s="1"/>
  <c r="P215" i="5" a="1"/>
  <c r="P215" i="5" s="1"/>
  <c r="Q215" i="5" a="1"/>
  <c r="Q215" i="5" s="1"/>
  <c r="M216" i="5" a="1"/>
  <c r="M216" i="5" s="1"/>
  <c r="N216" i="5" a="1"/>
  <c r="N216" i="5" s="1"/>
  <c r="O216" i="5" a="1"/>
  <c r="O216" i="5" s="1"/>
  <c r="P216" i="5" a="1"/>
  <c r="P216" i="5" s="1"/>
  <c r="Q216" i="5" a="1"/>
  <c r="Q216" i="5" s="1"/>
  <c r="M217" i="5" a="1"/>
  <c r="M217" i="5" s="1"/>
  <c r="N217" i="5" a="1"/>
  <c r="N217" i="5" s="1"/>
  <c r="O217" i="5" a="1"/>
  <c r="O217" i="5" s="1"/>
  <c r="P217" i="5" a="1"/>
  <c r="P217" i="5" s="1"/>
  <c r="Q217" i="5" a="1"/>
  <c r="Q217" i="5" s="1"/>
  <c r="M218" i="5" a="1"/>
  <c r="M218" i="5" s="1"/>
  <c r="N218" i="5" a="1"/>
  <c r="N218" i="5" s="1"/>
  <c r="O218" i="5" a="1"/>
  <c r="O218" i="5" s="1"/>
  <c r="P218" i="5" a="1"/>
  <c r="P218" i="5" s="1"/>
  <c r="Q218" i="5" a="1"/>
  <c r="Q218" i="5" s="1"/>
  <c r="M219" i="5" a="1"/>
  <c r="M219" i="5" s="1"/>
  <c r="N219" i="5" a="1"/>
  <c r="N219" i="5" s="1"/>
  <c r="O219" i="5" a="1"/>
  <c r="O219" i="5" s="1"/>
  <c r="P219" i="5" a="1"/>
  <c r="P219" i="5" s="1"/>
  <c r="Q219" i="5" a="1"/>
  <c r="Q219" i="5" s="1"/>
  <c r="M220" i="5" a="1"/>
  <c r="M220" i="5" s="1"/>
  <c r="N220" i="5" a="1"/>
  <c r="N220" i="5" s="1"/>
  <c r="O220" i="5" a="1"/>
  <c r="O220" i="5" s="1"/>
  <c r="P220" i="5" a="1"/>
  <c r="P220" i="5" s="1"/>
  <c r="Q220" i="5" a="1"/>
  <c r="Q220" i="5" s="1"/>
  <c r="M221" i="5" a="1"/>
  <c r="M221" i="5" s="1"/>
  <c r="N221" i="5" a="1"/>
  <c r="N221" i="5" s="1"/>
  <c r="O221" i="5" a="1"/>
  <c r="O221" i="5" s="1"/>
  <c r="P221" i="5" a="1"/>
  <c r="P221" i="5" s="1"/>
  <c r="Q221" i="5" a="1"/>
  <c r="Q221" i="5" s="1"/>
  <c r="M222" i="5" a="1"/>
  <c r="M222" i="5" s="1"/>
  <c r="N222" i="5" a="1"/>
  <c r="N222" i="5" s="1"/>
  <c r="O222" i="5" a="1"/>
  <c r="O222" i="5" s="1"/>
  <c r="P222" i="5" a="1"/>
  <c r="P222" i="5" s="1"/>
  <c r="Q222" i="5" a="1"/>
  <c r="Q222" i="5" s="1"/>
  <c r="M223" i="5" a="1"/>
  <c r="M223" i="5" s="1"/>
  <c r="N223" i="5" a="1"/>
  <c r="N223" i="5" s="1"/>
  <c r="O223" i="5" a="1"/>
  <c r="O223" i="5" s="1"/>
  <c r="P223" i="5" a="1"/>
  <c r="P223" i="5" s="1"/>
  <c r="Q223" i="5" a="1"/>
  <c r="Q223" i="5" s="1"/>
  <c r="M224" i="5" a="1"/>
  <c r="M224" i="5" s="1"/>
  <c r="N224" i="5" a="1"/>
  <c r="N224" i="5" s="1"/>
  <c r="O224" i="5" a="1"/>
  <c r="O224" i="5" s="1"/>
  <c r="P224" i="5" a="1"/>
  <c r="P224" i="5" s="1"/>
  <c r="Q224" i="5" a="1"/>
  <c r="Q224" i="5" s="1"/>
  <c r="M225" i="5" a="1"/>
  <c r="M225" i="5" s="1"/>
  <c r="N225" i="5" a="1"/>
  <c r="N225" i="5" s="1"/>
  <c r="O225" i="5" a="1"/>
  <c r="O225" i="5" s="1"/>
  <c r="P225" i="5" a="1"/>
  <c r="P225" i="5" s="1"/>
  <c r="Q225" i="5" a="1"/>
  <c r="Q225" i="5" s="1"/>
  <c r="M226" i="5" a="1"/>
  <c r="M226" i="5" s="1"/>
  <c r="N226" i="5" a="1"/>
  <c r="N226" i="5" s="1"/>
  <c r="O226" i="5" a="1"/>
  <c r="O226" i="5" s="1"/>
  <c r="P226" i="5" a="1"/>
  <c r="P226" i="5" s="1"/>
  <c r="Q226" i="5" a="1"/>
  <c r="Q226" i="5" s="1"/>
  <c r="M227" i="5" a="1"/>
  <c r="M227" i="5" s="1"/>
  <c r="N227" i="5" a="1"/>
  <c r="N227" i="5" s="1"/>
  <c r="O227" i="5" a="1"/>
  <c r="O227" i="5" s="1"/>
  <c r="P227" i="5" a="1"/>
  <c r="P227" i="5" s="1"/>
  <c r="Q227" i="5" a="1"/>
  <c r="Q227" i="5" s="1"/>
  <c r="M228" i="5" a="1"/>
  <c r="M228" i="5" s="1"/>
  <c r="N228" i="5" a="1"/>
  <c r="N228" i="5" s="1"/>
  <c r="O228" i="5" a="1"/>
  <c r="O228" i="5" s="1"/>
  <c r="P228" i="5" a="1"/>
  <c r="P228" i="5" s="1"/>
  <c r="Q228" i="5" a="1"/>
  <c r="Q228" i="5" s="1"/>
  <c r="M229" i="5" a="1"/>
  <c r="M229" i="5" s="1"/>
  <c r="N229" i="5" a="1"/>
  <c r="N229" i="5" s="1"/>
  <c r="O229" i="5" a="1"/>
  <c r="O229" i="5" s="1"/>
  <c r="P229" i="5" a="1"/>
  <c r="P229" i="5" s="1"/>
  <c r="Q229" i="5" a="1"/>
  <c r="Q229" i="5" s="1"/>
  <c r="N230" i="5" a="1"/>
  <c r="N230" i="5" s="1"/>
  <c r="O230" i="5" a="1"/>
  <c r="O230" i="5" s="1"/>
  <c r="P230" i="5" a="1"/>
  <c r="P230" i="5" s="1"/>
  <c r="Q230" i="5" a="1"/>
  <c r="Q230" i="5" s="1"/>
  <c r="M231" i="5" a="1"/>
  <c r="M231" i="5" s="1"/>
  <c r="N231" i="5" a="1"/>
  <c r="N231" i="5" s="1"/>
  <c r="O231" i="5" a="1"/>
  <c r="O231" i="5" s="1"/>
  <c r="P231" i="5" a="1"/>
  <c r="P231" i="5" s="1"/>
  <c r="Q231" i="5" a="1"/>
  <c r="Q231" i="5" s="1"/>
  <c r="M232" i="5" a="1"/>
  <c r="M232" i="5" s="1"/>
  <c r="N232" i="5" a="1"/>
  <c r="N232" i="5" s="1"/>
  <c r="O232" i="5" a="1"/>
  <c r="O232" i="5" s="1"/>
  <c r="P232" i="5" a="1"/>
  <c r="P232" i="5" s="1"/>
  <c r="Q232" i="5" a="1"/>
  <c r="Q232" i="5" s="1"/>
  <c r="M233" i="5" a="1"/>
  <c r="M233" i="5" s="1"/>
  <c r="N233" i="5" a="1"/>
  <c r="N233" i="5" s="1"/>
  <c r="O233" i="5" a="1"/>
  <c r="O233" i="5" s="1"/>
  <c r="P233" i="5" a="1"/>
  <c r="P233" i="5" s="1"/>
  <c r="Q233" i="5" a="1"/>
  <c r="Q233" i="5" s="1"/>
  <c r="M234" i="5" a="1"/>
  <c r="M234" i="5" s="1"/>
  <c r="N234" i="5" a="1"/>
  <c r="N234" i="5" s="1"/>
  <c r="O234" i="5" a="1"/>
  <c r="O234" i="5" s="1"/>
  <c r="P234" i="5" a="1"/>
  <c r="P234" i="5" s="1"/>
  <c r="Q234" i="5" a="1"/>
  <c r="Q234" i="5" s="1"/>
  <c r="O6" i="5" a="1"/>
  <c r="O6" i="5" s="1"/>
  <c r="P6" i="5" a="1"/>
  <c r="P6" i="5" s="1"/>
  <c r="Q6" i="5" a="1"/>
  <c r="Q6" i="5" s="1"/>
  <c r="N6" i="5" a="1"/>
  <c r="N6" i="5" s="1"/>
  <c r="L126" i="4" a="1"/>
  <c r="L126" i="4" s="1"/>
  <c r="M126" i="4" a="1"/>
  <c r="M126" i="4" s="1"/>
  <c r="N126" i="4" a="1"/>
  <c r="N126" i="4" s="1"/>
  <c r="O126" i="4" a="1"/>
  <c r="O126" i="4" s="1"/>
  <c r="P126" i="4" a="1"/>
  <c r="P126" i="4" s="1"/>
  <c r="L127" i="4" a="1"/>
  <c r="L127" i="4" s="1"/>
  <c r="M127" i="4" a="1"/>
  <c r="M127" i="4" s="1"/>
  <c r="N127" i="4" a="1"/>
  <c r="N127" i="4" s="1"/>
  <c r="O127" i="4" a="1"/>
  <c r="O127" i="4" s="1"/>
  <c r="P127" i="4" a="1"/>
  <c r="P127" i="4" s="1"/>
  <c r="L128" i="4" a="1"/>
  <c r="L128" i="4" s="1"/>
  <c r="M128" i="4" a="1"/>
  <c r="M128" i="4" s="1"/>
  <c r="N128" i="4" a="1"/>
  <c r="N128" i="4" s="1"/>
  <c r="O128" i="4" a="1"/>
  <c r="O128" i="4" s="1"/>
  <c r="P128" i="4" a="1"/>
  <c r="P128" i="4" s="1"/>
  <c r="L129" i="4" a="1"/>
  <c r="L129" i="4" s="1"/>
  <c r="M129" i="4" a="1"/>
  <c r="M129" i="4" s="1"/>
  <c r="N129" i="4" a="1"/>
  <c r="N129" i="4" s="1"/>
  <c r="O129" i="4" a="1"/>
  <c r="O129" i="4" s="1"/>
  <c r="P129" i="4" a="1"/>
  <c r="P129" i="4" s="1"/>
  <c r="L130" i="4" a="1"/>
  <c r="L130" i="4" s="1"/>
  <c r="M130" i="4" a="1"/>
  <c r="M130" i="4" s="1"/>
  <c r="N130" i="4" a="1"/>
  <c r="N130" i="4" s="1"/>
  <c r="O130" i="4" a="1"/>
  <c r="O130" i="4" s="1"/>
  <c r="P130" i="4" a="1"/>
  <c r="P130" i="4" s="1"/>
  <c r="L131" i="4" a="1"/>
  <c r="L131" i="4" s="1"/>
  <c r="M131" i="4" a="1"/>
  <c r="M131" i="4" s="1"/>
  <c r="N131" i="4" a="1"/>
  <c r="N131" i="4" s="1"/>
  <c r="O131" i="4" a="1"/>
  <c r="O131" i="4" s="1"/>
  <c r="P131" i="4" a="1"/>
  <c r="P131" i="4" s="1"/>
  <c r="L132" i="4" a="1"/>
  <c r="L132" i="4" s="1"/>
  <c r="M132" i="4" a="1"/>
  <c r="M132" i="4" s="1"/>
  <c r="N132" i="4" a="1"/>
  <c r="N132" i="4" s="1"/>
  <c r="O132" i="4" a="1"/>
  <c r="O132" i="4" s="1"/>
  <c r="P132" i="4" a="1"/>
  <c r="P132" i="4" s="1"/>
  <c r="L133" i="4" a="1"/>
  <c r="L133" i="4" s="1"/>
  <c r="M133" i="4" a="1"/>
  <c r="M133" i="4" s="1"/>
  <c r="N133" i="4" a="1"/>
  <c r="N133" i="4" s="1"/>
  <c r="O133" i="4" a="1"/>
  <c r="O133" i="4" s="1"/>
  <c r="P133" i="4" a="1"/>
  <c r="P133" i="4" s="1"/>
  <c r="L134" i="4" a="1"/>
  <c r="L134" i="4" s="1"/>
  <c r="M134" i="4" a="1"/>
  <c r="M134" i="4" s="1"/>
  <c r="N134" i="4" a="1"/>
  <c r="N134" i="4" s="1"/>
  <c r="O134" i="4" a="1"/>
  <c r="O134" i="4" s="1"/>
  <c r="P134" i="4" a="1"/>
  <c r="P134" i="4" s="1"/>
  <c r="L135" i="4" a="1"/>
  <c r="L135" i="4" s="1"/>
  <c r="M135" i="4" a="1"/>
  <c r="M135" i="4" s="1"/>
  <c r="N135" i="4" a="1"/>
  <c r="N135" i="4" s="1"/>
  <c r="O135" i="4" a="1"/>
  <c r="O135" i="4" s="1"/>
  <c r="P135" i="4" a="1"/>
  <c r="P135" i="4" s="1"/>
  <c r="L136" i="4" a="1"/>
  <c r="L136" i="4" s="1"/>
  <c r="M136" i="4" a="1"/>
  <c r="M136" i="4" s="1"/>
  <c r="N136" i="4" a="1"/>
  <c r="N136" i="4" s="1"/>
  <c r="O136" i="4" a="1"/>
  <c r="O136" i="4" s="1"/>
  <c r="P136" i="4" a="1"/>
  <c r="P136" i="4" s="1"/>
  <c r="L137" i="4" a="1"/>
  <c r="L137" i="4" s="1"/>
  <c r="M137" i="4" a="1"/>
  <c r="M137" i="4" s="1"/>
  <c r="N137" i="4" a="1"/>
  <c r="N137" i="4" s="1"/>
  <c r="O137" i="4" a="1"/>
  <c r="O137" i="4" s="1"/>
  <c r="P137" i="4" a="1"/>
  <c r="P137" i="4" s="1"/>
  <c r="L138" i="4" a="1"/>
  <c r="L138" i="4" s="1"/>
  <c r="M138" i="4" a="1"/>
  <c r="M138" i="4" s="1"/>
  <c r="N138" i="4" a="1"/>
  <c r="N138" i="4" s="1"/>
  <c r="O138" i="4" a="1"/>
  <c r="O138" i="4" s="1"/>
  <c r="P138" i="4" a="1"/>
  <c r="P138" i="4" s="1"/>
  <c r="L139" i="4" a="1"/>
  <c r="L139" i="4" s="1"/>
  <c r="M139" i="4" a="1"/>
  <c r="M139" i="4" s="1"/>
  <c r="N139" i="4" a="1"/>
  <c r="N139" i="4" s="1"/>
  <c r="O139" i="4" a="1"/>
  <c r="O139" i="4" s="1"/>
  <c r="P139" i="4" a="1"/>
  <c r="P139" i="4" s="1"/>
  <c r="L140" i="4" a="1"/>
  <c r="L140" i="4" s="1"/>
  <c r="M140" i="4" a="1"/>
  <c r="M140" i="4" s="1"/>
  <c r="N140" i="4" a="1"/>
  <c r="N140" i="4" s="1"/>
  <c r="O140" i="4" a="1"/>
  <c r="O140" i="4" s="1"/>
  <c r="P140" i="4" a="1"/>
  <c r="P140" i="4" s="1"/>
  <c r="L141" i="4" a="1"/>
  <c r="L141" i="4" s="1"/>
  <c r="M141" i="4" a="1"/>
  <c r="M141" i="4" s="1"/>
  <c r="N141" i="4" a="1"/>
  <c r="N141" i="4" s="1"/>
  <c r="O141" i="4" a="1"/>
  <c r="O141" i="4" s="1"/>
  <c r="P141" i="4" a="1"/>
  <c r="P141" i="4" s="1"/>
  <c r="L142" i="4" a="1"/>
  <c r="L142" i="4" s="1"/>
  <c r="M142" i="4" a="1"/>
  <c r="M142" i="4" s="1"/>
  <c r="N142" i="4" a="1"/>
  <c r="N142" i="4" s="1"/>
  <c r="O142" i="4" a="1"/>
  <c r="O142" i="4" s="1"/>
  <c r="P142" i="4" a="1"/>
  <c r="P142" i="4" s="1"/>
  <c r="L143" i="4" a="1"/>
  <c r="L143" i="4" s="1"/>
  <c r="M143" i="4" a="1"/>
  <c r="M143" i="4" s="1"/>
  <c r="N143" i="4" a="1"/>
  <c r="N143" i="4" s="1"/>
  <c r="O143" i="4" a="1"/>
  <c r="O143" i="4" s="1"/>
  <c r="P143" i="4" a="1"/>
  <c r="P143" i="4" s="1"/>
  <c r="L144" i="4" a="1"/>
  <c r="L144" i="4" s="1"/>
  <c r="M144" i="4" a="1"/>
  <c r="M144" i="4" s="1"/>
  <c r="N144" i="4" a="1"/>
  <c r="N144" i="4" s="1"/>
  <c r="O144" i="4" a="1"/>
  <c r="O144" i="4" s="1"/>
  <c r="P144" i="4" a="1"/>
  <c r="P144" i="4" s="1"/>
  <c r="L145" i="4" a="1"/>
  <c r="L145" i="4" s="1"/>
  <c r="M145" i="4" a="1"/>
  <c r="M145" i="4" s="1"/>
  <c r="N145" i="4" a="1"/>
  <c r="N145" i="4" s="1"/>
  <c r="O145" i="4" a="1"/>
  <c r="O145" i="4" s="1"/>
  <c r="P145" i="4" a="1"/>
  <c r="P145" i="4" s="1"/>
  <c r="L146" i="4" a="1"/>
  <c r="L146" i="4" s="1"/>
  <c r="M146" i="4" a="1"/>
  <c r="M146" i="4" s="1"/>
  <c r="N146" i="4" a="1"/>
  <c r="N146" i="4" s="1"/>
  <c r="O146" i="4" a="1"/>
  <c r="O146" i="4" s="1"/>
  <c r="P146" i="4" a="1"/>
  <c r="P146" i="4" s="1"/>
  <c r="L147" i="4" a="1"/>
  <c r="L147" i="4" s="1"/>
  <c r="M147" i="4" a="1"/>
  <c r="M147" i="4" s="1"/>
  <c r="N147" i="4" a="1"/>
  <c r="N147" i="4" s="1"/>
  <c r="O147" i="4" a="1"/>
  <c r="O147" i="4" s="1"/>
  <c r="P147" i="4" a="1"/>
  <c r="P147" i="4" s="1"/>
  <c r="L148" i="4" a="1"/>
  <c r="L148" i="4" s="1"/>
  <c r="M148" i="4" a="1"/>
  <c r="M148" i="4" s="1"/>
  <c r="N148" i="4" a="1"/>
  <c r="N148" i="4" s="1"/>
  <c r="O148" i="4" a="1"/>
  <c r="O148" i="4" s="1"/>
  <c r="P148" i="4" a="1"/>
  <c r="P148" i="4" s="1"/>
  <c r="L149" i="4" a="1"/>
  <c r="L149" i="4" s="1"/>
  <c r="M149" i="4" a="1"/>
  <c r="M149" i="4" s="1"/>
  <c r="N149" i="4" a="1"/>
  <c r="N149" i="4" s="1"/>
  <c r="O149" i="4" a="1"/>
  <c r="O149" i="4" s="1"/>
  <c r="P149" i="4" a="1"/>
  <c r="P149" i="4" s="1"/>
  <c r="L150" i="4" a="1"/>
  <c r="L150" i="4" s="1"/>
  <c r="M150" i="4" a="1"/>
  <c r="M150" i="4" s="1"/>
  <c r="N150" i="4" a="1"/>
  <c r="N150" i="4" s="1"/>
  <c r="O150" i="4" a="1"/>
  <c r="O150" i="4" s="1"/>
  <c r="P150" i="4" a="1"/>
  <c r="P150" i="4" s="1"/>
  <c r="L151" i="4" a="1"/>
  <c r="L151" i="4" s="1"/>
  <c r="M151" i="4" a="1"/>
  <c r="M151" i="4" s="1"/>
  <c r="N151" i="4" a="1"/>
  <c r="N151" i="4" s="1"/>
  <c r="O151" i="4" a="1"/>
  <c r="O151" i="4" s="1"/>
  <c r="P151" i="4" a="1"/>
  <c r="P151" i="4" s="1"/>
  <c r="L152" i="4" a="1"/>
  <c r="L152" i="4" s="1"/>
  <c r="M152" i="4" a="1"/>
  <c r="M152" i="4" s="1"/>
  <c r="N152" i="4" a="1"/>
  <c r="N152" i="4" s="1"/>
  <c r="O152" i="4" a="1"/>
  <c r="O152" i="4" s="1"/>
  <c r="P152" i="4" a="1"/>
  <c r="P152" i="4" s="1"/>
  <c r="L153" i="4" a="1"/>
  <c r="L153" i="4" s="1"/>
  <c r="M153" i="4" a="1"/>
  <c r="M153" i="4" s="1"/>
  <c r="N153" i="4" a="1"/>
  <c r="N153" i="4" s="1"/>
  <c r="O153" i="4" a="1"/>
  <c r="O153" i="4" s="1"/>
  <c r="P153" i="4" a="1"/>
  <c r="P153" i="4" s="1"/>
  <c r="L154" i="4" a="1"/>
  <c r="L154" i="4" s="1"/>
  <c r="M154" i="4" a="1"/>
  <c r="M154" i="4" s="1"/>
  <c r="N154" i="4" a="1"/>
  <c r="N154" i="4" s="1"/>
  <c r="O154" i="4" a="1"/>
  <c r="O154" i="4" s="1"/>
  <c r="P154" i="4" a="1"/>
  <c r="P154" i="4" s="1"/>
  <c r="L155" i="4" a="1"/>
  <c r="L155" i="4" s="1"/>
  <c r="M155" i="4" a="1"/>
  <c r="M155" i="4" s="1"/>
  <c r="N155" i="4" a="1"/>
  <c r="N155" i="4" s="1"/>
  <c r="O155" i="4" a="1"/>
  <c r="O155" i="4" s="1"/>
  <c r="P155" i="4" a="1"/>
  <c r="P155" i="4" s="1"/>
  <c r="L156" i="4" a="1"/>
  <c r="L156" i="4" s="1"/>
  <c r="M156" i="4" a="1"/>
  <c r="M156" i="4" s="1"/>
  <c r="N156" i="4" a="1"/>
  <c r="N156" i="4" s="1"/>
  <c r="O156" i="4" a="1"/>
  <c r="O156" i="4" s="1"/>
  <c r="P156" i="4" a="1"/>
  <c r="P156" i="4" s="1"/>
  <c r="L157" i="4" a="1"/>
  <c r="L157" i="4" s="1"/>
  <c r="M157" i="4" a="1"/>
  <c r="M157" i="4" s="1"/>
  <c r="N157" i="4" a="1"/>
  <c r="N157" i="4" s="1"/>
  <c r="O157" i="4" a="1"/>
  <c r="O157" i="4" s="1"/>
  <c r="P157" i="4" a="1"/>
  <c r="P157" i="4" s="1"/>
  <c r="L158" i="4" a="1"/>
  <c r="L158" i="4" s="1"/>
  <c r="M158" i="4" a="1"/>
  <c r="M158" i="4" s="1"/>
  <c r="N158" i="4" a="1"/>
  <c r="N158" i="4" s="1"/>
  <c r="O158" i="4" a="1"/>
  <c r="O158" i="4" s="1"/>
  <c r="P158" i="4" a="1"/>
  <c r="P158" i="4" s="1"/>
  <c r="L159" i="4" a="1"/>
  <c r="L159" i="4" s="1"/>
  <c r="M159" i="4" a="1"/>
  <c r="M159" i="4" s="1"/>
  <c r="N159" i="4" a="1"/>
  <c r="N159" i="4" s="1"/>
  <c r="O159" i="4" a="1"/>
  <c r="O159" i="4" s="1"/>
  <c r="P159" i="4" a="1"/>
  <c r="P159" i="4" s="1"/>
  <c r="L160" i="4" a="1"/>
  <c r="L160" i="4" s="1"/>
  <c r="M160" i="4" a="1"/>
  <c r="M160" i="4" s="1"/>
  <c r="N160" i="4" a="1"/>
  <c r="N160" i="4" s="1"/>
  <c r="O160" i="4" a="1"/>
  <c r="O160" i="4" s="1"/>
  <c r="P160" i="4" a="1"/>
  <c r="P160" i="4" s="1"/>
  <c r="L161" i="4" a="1"/>
  <c r="L161" i="4" s="1"/>
  <c r="M161" i="4" a="1"/>
  <c r="M161" i="4" s="1"/>
  <c r="N161" i="4" a="1"/>
  <c r="N161" i="4" s="1"/>
  <c r="O161" i="4" a="1"/>
  <c r="O161" i="4" s="1"/>
  <c r="P161" i="4" a="1"/>
  <c r="P161" i="4" s="1"/>
  <c r="L162" i="4" a="1"/>
  <c r="L162" i="4" s="1"/>
  <c r="M162" i="4" a="1"/>
  <c r="M162" i="4" s="1"/>
  <c r="N162" i="4" a="1"/>
  <c r="N162" i="4" s="1"/>
  <c r="O162" i="4" a="1"/>
  <c r="O162" i="4" s="1"/>
  <c r="P162" i="4" a="1"/>
  <c r="P162" i="4" s="1"/>
  <c r="L163" i="4" a="1"/>
  <c r="L163" i="4" s="1"/>
  <c r="M163" i="4" a="1"/>
  <c r="M163" i="4" s="1"/>
  <c r="N163" i="4" a="1"/>
  <c r="N163" i="4" s="1"/>
  <c r="O163" i="4" a="1"/>
  <c r="O163" i="4" s="1"/>
  <c r="P163" i="4" a="1"/>
  <c r="P163" i="4" s="1"/>
  <c r="L164" i="4" a="1"/>
  <c r="L164" i="4" s="1"/>
  <c r="M164" i="4" a="1"/>
  <c r="M164" i="4" s="1"/>
  <c r="N164" i="4" a="1"/>
  <c r="N164" i="4" s="1"/>
  <c r="O164" i="4" a="1"/>
  <c r="O164" i="4" s="1"/>
  <c r="P164" i="4" a="1"/>
  <c r="P164" i="4" s="1"/>
  <c r="L165" i="4" a="1"/>
  <c r="L165" i="4" s="1"/>
  <c r="M165" i="4" a="1"/>
  <c r="M165" i="4" s="1"/>
  <c r="N165" i="4" a="1"/>
  <c r="N165" i="4" s="1"/>
  <c r="O165" i="4" a="1"/>
  <c r="O165" i="4" s="1"/>
  <c r="P165" i="4" a="1"/>
  <c r="P165" i="4" s="1"/>
  <c r="L166" i="4" a="1"/>
  <c r="L166" i="4" s="1"/>
  <c r="M166" i="4" a="1"/>
  <c r="M166" i="4" s="1"/>
  <c r="N166" i="4" a="1"/>
  <c r="N166" i="4" s="1"/>
  <c r="O166" i="4" a="1"/>
  <c r="O166" i="4" s="1"/>
  <c r="P166" i="4" a="1"/>
  <c r="P166" i="4" s="1"/>
  <c r="L167" i="4" a="1"/>
  <c r="L167" i="4" s="1"/>
  <c r="M167" i="4" a="1"/>
  <c r="M167" i="4" s="1"/>
  <c r="N167" i="4" a="1"/>
  <c r="N167" i="4" s="1"/>
  <c r="O167" i="4" a="1"/>
  <c r="O167" i="4" s="1"/>
  <c r="P167" i="4" a="1"/>
  <c r="P167" i="4" s="1"/>
  <c r="L168" i="4" a="1"/>
  <c r="L168" i="4" s="1"/>
  <c r="M168" i="4" a="1"/>
  <c r="M168" i="4" s="1"/>
  <c r="N168" i="4" a="1"/>
  <c r="N168" i="4" s="1"/>
  <c r="O168" i="4" a="1"/>
  <c r="O168" i="4" s="1"/>
  <c r="P168" i="4" a="1"/>
  <c r="P168" i="4" s="1"/>
  <c r="L169" i="4" a="1"/>
  <c r="L169" i="4" s="1"/>
  <c r="M169" i="4" a="1"/>
  <c r="M169" i="4" s="1"/>
  <c r="N169" i="4" a="1"/>
  <c r="N169" i="4" s="1"/>
  <c r="O169" i="4" a="1"/>
  <c r="O169" i="4" s="1"/>
  <c r="P169" i="4" a="1"/>
  <c r="P169" i="4" s="1"/>
  <c r="L170" i="4" a="1"/>
  <c r="L170" i="4" s="1"/>
  <c r="M170" i="4" a="1"/>
  <c r="M170" i="4" s="1"/>
  <c r="N170" i="4" a="1"/>
  <c r="N170" i="4" s="1"/>
  <c r="O170" i="4" a="1"/>
  <c r="O170" i="4" s="1"/>
  <c r="P170" i="4" a="1"/>
  <c r="P170" i="4" s="1"/>
  <c r="L171" i="4" a="1"/>
  <c r="L171" i="4" s="1"/>
  <c r="M171" i="4" a="1"/>
  <c r="M171" i="4" s="1"/>
  <c r="N171" i="4" a="1"/>
  <c r="N171" i="4" s="1"/>
  <c r="O171" i="4" a="1"/>
  <c r="O171" i="4" s="1"/>
  <c r="P171" i="4" a="1"/>
  <c r="P171" i="4" s="1"/>
  <c r="L172" i="4" a="1"/>
  <c r="L172" i="4" s="1"/>
  <c r="M172" i="4" a="1"/>
  <c r="M172" i="4" s="1"/>
  <c r="N172" i="4" a="1"/>
  <c r="N172" i="4" s="1"/>
  <c r="O172" i="4" a="1"/>
  <c r="O172" i="4" s="1"/>
  <c r="P172" i="4" a="1"/>
  <c r="P172" i="4" s="1"/>
  <c r="L173" i="4" a="1"/>
  <c r="L173" i="4" s="1"/>
  <c r="M173" i="4" a="1"/>
  <c r="M173" i="4" s="1"/>
  <c r="N173" i="4" a="1"/>
  <c r="N173" i="4" s="1"/>
  <c r="O173" i="4" a="1"/>
  <c r="O173" i="4" s="1"/>
  <c r="P173" i="4" a="1"/>
  <c r="P173" i="4" s="1"/>
  <c r="L174" i="4" a="1"/>
  <c r="L174" i="4" s="1"/>
  <c r="M174" i="4" a="1"/>
  <c r="M174" i="4" s="1"/>
  <c r="N174" i="4" a="1"/>
  <c r="N174" i="4" s="1"/>
  <c r="O174" i="4" a="1"/>
  <c r="O174" i="4" s="1"/>
  <c r="P174" i="4" a="1"/>
  <c r="P174" i="4" s="1"/>
  <c r="L175" i="4" a="1"/>
  <c r="L175" i="4" s="1"/>
  <c r="M175" i="4" a="1"/>
  <c r="M175" i="4" s="1"/>
  <c r="N175" i="4" a="1"/>
  <c r="N175" i="4" s="1"/>
  <c r="O175" i="4" a="1"/>
  <c r="O175" i="4" s="1"/>
  <c r="P175" i="4" a="1"/>
  <c r="P175" i="4" s="1"/>
  <c r="L176" i="4" a="1"/>
  <c r="L176" i="4" s="1"/>
  <c r="M176" i="4" a="1"/>
  <c r="M176" i="4" s="1"/>
  <c r="N176" i="4" a="1"/>
  <c r="N176" i="4" s="1"/>
  <c r="O176" i="4" a="1"/>
  <c r="O176" i="4" s="1"/>
  <c r="P176" i="4" a="1"/>
  <c r="P176" i="4" s="1"/>
  <c r="L177" i="4" a="1"/>
  <c r="L177" i="4" s="1"/>
  <c r="M177" i="4" a="1"/>
  <c r="M177" i="4" s="1"/>
  <c r="N177" i="4" a="1"/>
  <c r="N177" i="4" s="1"/>
  <c r="O177" i="4" a="1"/>
  <c r="O177" i="4" s="1"/>
  <c r="P177" i="4" a="1"/>
  <c r="P177" i="4" s="1"/>
  <c r="L178" i="4" a="1"/>
  <c r="L178" i="4" s="1"/>
  <c r="M178" i="4" a="1"/>
  <c r="M178" i="4" s="1"/>
  <c r="N178" i="4" a="1"/>
  <c r="N178" i="4" s="1"/>
  <c r="O178" i="4" a="1"/>
  <c r="O178" i="4" s="1"/>
  <c r="P178" i="4" a="1"/>
  <c r="P178" i="4" s="1"/>
  <c r="L179" i="4" a="1"/>
  <c r="L179" i="4" s="1"/>
  <c r="M179" i="4" a="1"/>
  <c r="M179" i="4" s="1"/>
  <c r="N179" i="4" a="1"/>
  <c r="N179" i="4" s="1"/>
  <c r="O179" i="4" a="1"/>
  <c r="O179" i="4" s="1"/>
  <c r="P179" i="4" a="1"/>
  <c r="P179" i="4" s="1"/>
  <c r="L180" i="4" a="1"/>
  <c r="L180" i="4" s="1"/>
  <c r="M180" i="4" a="1"/>
  <c r="M180" i="4" s="1"/>
  <c r="N180" i="4" a="1"/>
  <c r="N180" i="4" s="1"/>
  <c r="O180" i="4" a="1"/>
  <c r="O180" i="4" s="1"/>
  <c r="P180" i="4" a="1"/>
  <c r="P180" i="4" s="1"/>
  <c r="L181" i="4" a="1"/>
  <c r="L181" i="4" s="1"/>
  <c r="M181" i="4" a="1"/>
  <c r="M181" i="4" s="1"/>
  <c r="N181" i="4" a="1"/>
  <c r="N181" i="4" s="1"/>
  <c r="O181" i="4" a="1"/>
  <c r="O181" i="4" s="1"/>
  <c r="P181" i="4" a="1"/>
  <c r="P181" i="4" s="1"/>
  <c r="L182" i="4" a="1"/>
  <c r="L182" i="4" s="1"/>
  <c r="M182" i="4" a="1"/>
  <c r="M182" i="4" s="1"/>
  <c r="N182" i="4" a="1"/>
  <c r="N182" i="4" s="1"/>
  <c r="O182" i="4" a="1"/>
  <c r="O182" i="4" s="1"/>
  <c r="P182" i="4" a="1"/>
  <c r="P182" i="4" s="1"/>
  <c r="L183" i="4" a="1"/>
  <c r="L183" i="4" s="1"/>
  <c r="M183" i="4" a="1"/>
  <c r="M183" i="4" s="1"/>
  <c r="N183" i="4" a="1"/>
  <c r="N183" i="4" s="1"/>
  <c r="O183" i="4" a="1"/>
  <c r="O183" i="4" s="1"/>
  <c r="P183" i="4" a="1"/>
  <c r="P183" i="4" s="1"/>
  <c r="L184" i="4" a="1"/>
  <c r="L184" i="4" s="1"/>
  <c r="M184" i="4" a="1"/>
  <c r="M184" i="4" s="1"/>
  <c r="N184" i="4" a="1"/>
  <c r="N184" i="4" s="1"/>
  <c r="O184" i="4" a="1"/>
  <c r="O184" i="4" s="1"/>
  <c r="P184" i="4" a="1"/>
  <c r="P184" i="4" s="1"/>
  <c r="L185" i="4" a="1"/>
  <c r="L185" i="4" s="1"/>
  <c r="M185" i="4" a="1"/>
  <c r="M185" i="4" s="1"/>
  <c r="N185" i="4" a="1"/>
  <c r="N185" i="4" s="1"/>
  <c r="O185" i="4" a="1"/>
  <c r="O185" i="4" s="1"/>
  <c r="P185" i="4" a="1"/>
  <c r="P185" i="4" s="1"/>
  <c r="L186" i="4" a="1"/>
  <c r="L186" i="4" s="1"/>
  <c r="M186" i="4" a="1"/>
  <c r="M186" i="4" s="1"/>
  <c r="N186" i="4" a="1"/>
  <c r="N186" i="4" s="1"/>
  <c r="O186" i="4" a="1"/>
  <c r="O186" i="4" s="1"/>
  <c r="P186" i="4" a="1"/>
  <c r="P186" i="4" s="1"/>
  <c r="L187" i="4" a="1"/>
  <c r="L187" i="4" s="1"/>
  <c r="M187" i="4" a="1"/>
  <c r="M187" i="4" s="1"/>
  <c r="N187" i="4" a="1"/>
  <c r="N187" i="4" s="1"/>
  <c r="O187" i="4" a="1"/>
  <c r="O187" i="4" s="1"/>
  <c r="P187" i="4" a="1"/>
  <c r="P187" i="4" s="1"/>
  <c r="L188" i="4" a="1"/>
  <c r="L188" i="4" s="1"/>
  <c r="M188" i="4" a="1"/>
  <c r="M188" i="4" s="1"/>
  <c r="N188" i="4" a="1"/>
  <c r="N188" i="4" s="1"/>
  <c r="O188" i="4" a="1"/>
  <c r="O188" i="4" s="1"/>
  <c r="P188" i="4" a="1"/>
  <c r="P188" i="4" s="1"/>
  <c r="L189" i="4" a="1"/>
  <c r="L189" i="4" s="1"/>
  <c r="M189" i="4" a="1"/>
  <c r="M189" i="4" s="1"/>
  <c r="N189" i="4" a="1"/>
  <c r="N189" i="4" s="1"/>
  <c r="O189" i="4" a="1"/>
  <c r="O189" i="4" s="1"/>
  <c r="P189" i="4" a="1"/>
  <c r="P189" i="4" s="1"/>
  <c r="L190" i="4" a="1"/>
  <c r="L190" i="4" s="1"/>
  <c r="M190" i="4" a="1"/>
  <c r="M190" i="4" s="1"/>
  <c r="N190" i="4" a="1"/>
  <c r="N190" i="4" s="1"/>
  <c r="O190" i="4" a="1"/>
  <c r="O190" i="4" s="1"/>
  <c r="P190" i="4" a="1"/>
  <c r="P190" i="4" s="1"/>
  <c r="L191" i="4" a="1"/>
  <c r="L191" i="4" s="1"/>
  <c r="M191" i="4" a="1"/>
  <c r="M191" i="4" s="1"/>
  <c r="N191" i="4" a="1"/>
  <c r="N191" i="4" s="1"/>
  <c r="O191" i="4" a="1"/>
  <c r="O191" i="4" s="1"/>
  <c r="P191" i="4" a="1"/>
  <c r="P191" i="4" s="1"/>
  <c r="L192" i="4" a="1"/>
  <c r="L192" i="4" s="1"/>
  <c r="M192" i="4" a="1"/>
  <c r="M192" i="4" s="1"/>
  <c r="N192" i="4" a="1"/>
  <c r="N192" i="4" s="1"/>
  <c r="O192" i="4" a="1"/>
  <c r="O192" i="4" s="1"/>
  <c r="P192" i="4" a="1"/>
  <c r="P192" i="4" s="1"/>
  <c r="L193" i="4" a="1"/>
  <c r="L193" i="4" s="1"/>
  <c r="M193" i="4" a="1"/>
  <c r="M193" i="4" s="1"/>
  <c r="N193" i="4" a="1"/>
  <c r="N193" i="4" s="1"/>
  <c r="O193" i="4" a="1"/>
  <c r="O193" i="4" s="1"/>
  <c r="P193" i="4" a="1"/>
  <c r="P193" i="4" s="1"/>
  <c r="L194" i="4" a="1"/>
  <c r="L194" i="4" s="1"/>
  <c r="M194" i="4" a="1"/>
  <c r="M194" i="4" s="1"/>
  <c r="N194" i="4" a="1"/>
  <c r="N194" i="4" s="1"/>
  <c r="O194" i="4" a="1"/>
  <c r="O194" i="4" s="1"/>
  <c r="P194" i="4" a="1"/>
  <c r="P194" i="4" s="1"/>
  <c r="L195" i="4" a="1"/>
  <c r="L195" i="4" s="1"/>
  <c r="M195" i="4" a="1"/>
  <c r="M195" i="4" s="1"/>
  <c r="N195" i="4" a="1"/>
  <c r="N195" i="4" s="1"/>
  <c r="O195" i="4" a="1"/>
  <c r="O195" i="4" s="1"/>
  <c r="P195" i="4" a="1"/>
  <c r="P195" i="4" s="1"/>
  <c r="L196" i="4" a="1"/>
  <c r="L196" i="4" s="1"/>
  <c r="M196" i="4" a="1"/>
  <c r="M196" i="4" s="1"/>
  <c r="N196" i="4" a="1"/>
  <c r="N196" i="4" s="1"/>
  <c r="O196" i="4" a="1"/>
  <c r="O196" i="4" s="1"/>
  <c r="P196" i="4" a="1"/>
  <c r="P196" i="4" s="1"/>
  <c r="L197" i="4" a="1"/>
  <c r="L197" i="4" s="1"/>
  <c r="M197" i="4" a="1"/>
  <c r="M197" i="4" s="1"/>
  <c r="N197" i="4" a="1"/>
  <c r="N197" i="4" s="1"/>
  <c r="O197" i="4" a="1"/>
  <c r="O197" i="4" s="1"/>
  <c r="P197" i="4" a="1"/>
  <c r="P197" i="4" s="1"/>
  <c r="L198" i="4" a="1"/>
  <c r="L198" i="4" s="1"/>
  <c r="M198" i="4" a="1"/>
  <c r="M198" i="4" s="1"/>
  <c r="N198" i="4" a="1"/>
  <c r="N198" i="4" s="1"/>
  <c r="O198" i="4" a="1"/>
  <c r="O198" i="4" s="1"/>
  <c r="P198" i="4" a="1"/>
  <c r="P198" i="4" s="1"/>
  <c r="L199" i="4" a="1"/>
  <c r="L199" i="4" s="1"/>
  <c r="M199" i="4" a="1"/>
  <c r="M199" i="4" s="1"/>
  <c r="N199" i="4" a="1"/>
  <c r="N199" i="4" s="1"/>
  <c r="O199" i="4" a="1"/>
  <c r="O199" i="4" s="1"/>
  <c r="P199" i="4" a="1"/>
  <c r="P199" i="4" s="1"/>
  <c r="L200" i="4" a="1"/>
  <c r="L200" i="4" s="1"/>
  <c r="M200" i="4" a="1"/>
  <c r="M200" i="4" s="1"/>
  <c r="N200" i="4" a="1"/>
  <c r="N200" i="4" s="1"/>
  <c r="O200" i="4" a="1"/>
  <c r="O200" i="4" s="1"/>
  <c r="P200" i="4" a="1"/>
  <c r="P200" i="4" s="1"/>
  <c r="L201" i="4" a="1"/>
  <c r="L201" i="4" s="1"/>
  <c r="M201" i="4" a="1"/>
  <c r="M201" i="4" s="1"/>
  <c r="N201" i="4" a="1"/>
  <c r="N201" i="4" s="1"/>
  <c r="O201" i="4" a="1"/>
  <c r="O201" i="4" s="1"/>
  <c r="P201" i="4" a="1"/>
  <c r="P201" i="4" s="1"/>
  <c r="L202" i="4" a="1"/>
  <c r="L202" i="4" s="1"/>
  <c r="M202" i="4" a="1"/>
  <c r="M202" i="4" s="1"/>
  <c r="N202" i="4" a="1"/>
  <c r="N202" i="4" s="1"/>
  <c r="O202" i="4" a="1"/>
  <c r="O202" i="4" s="1"/>
  <c r="P202" i="4" a="1"/>
  <c r="P202" i="4" s="1"/>
  <c r="L203" i="4" a="1"/>
  <c r="L203" i="4" s="1"/>
  <c r="M203" i="4" a="1"/>
  <c r="M203" i="4" s="1"/>
  <c r="N203" i="4" a="1"/>
  <c r="N203" i="4" s="1"/>
  <c r="O203" i="4" a="1"/>
  <c r="O203" i="4" s="1"/>
  <c r="P203" i="4" a="1"/>
  <c r="P203" i="4" s="1"/>
  <c r="L204" i="4" a="1"/>
  <c r="L204" i="4" s="1"/>
  <c r="M204" i="4" a="1"/>
  <c r="M204" i="4" s="1"/>
  <c r="N204" i="4" a="1"/>
  <c r="N204" i="4" s="1"/>
  <c r="O204" i="4" a="1"/>
  <c r="O204" i="4" s="1"/>
  <c r="P204" i="4" a="1"/>
  <c r="P204" i="4" s="1"/>
  <c r="L205" i="4" a="1"/>
  <c r="L205" i="4" s="1"/>
  <c r="M205" i="4" a="1"/>
  <c r="M205" i="4" s="1"/>
  <c r="N205" i="4" a="1"/>
  <c r="N205" i="4" s="1"/>
  <c r="O205" i="4" a="1"/>
  <c r="O205" i="4" s="1"/>
  <c r="P205" i="4" a="1"/>
  <c r="P205" i="4" s="1"/>
  <c r="L206" i="4" a="1"/>
  <c r="L206" i="4" s="1"/>
  <c r="M206" i="4" a="1"/>
  <c r="M206" i="4" s="1"/>
  <c r="N206" i="4" a="1"/>
  <c r="N206" i="4" s="1"/>
  <c r="O206" i="4" a="1"/>
  <c r="O206" i="4" s="1"/>
  <c r="P206" i="4" a="1"/>
  <c r="P206" i="4" s="1"/>
  <c r="L207" i="4" a="1"/>
  <c r="L207" i="4" s="1"/>
  <c r="M207" i="4" a="1"/>
  <c r="M207" i="4" s="1"/>
  <c r="N207" i="4" a="1"/>
  <c r="N207" i="4" s="1"/>
  <c r="O207" i="4" a="1"/>
  <c r="O207" i="4" s="1"/>
  <c r="P207" i="4" a="1"/>
  <c r="P207" i="4" s="1"/>
  <c r="L208" i="4" a="1"/>
  <c r="L208" i="4" s="1"/>
  <c r="M208" i="4" a="1"/>
  <c r="M208" i="4" s="1"/>
  <c r="N208" i="4" a="1"/>
  <c r="N208" i="4" s="1"/>
  <c r="O208" i="4" a="1"/>
  <c r="O208" i="4" s="1"/>
  <c r="P208" i="4" a="1"/>
  <c r="P208" i="4" s="1"/>
  <c r="L209" i="4" a="1"/>
  <c r="L209" i="4" s="1"/>
  <c r="M209" i="4" a="1"/>
  <c r="M209" i="4" s="1"/>
  <c r="N209" i="4" a="1"/>
  <c r="N209" i="4" s="1"/>
  <c r="O209" i="4" a="1"/>
  <c r="O209" i="4" s="1"/>
  <c r="P209" i="4" a="1"/>
  <c r="P209" i="4" s="1"/>
  <c r="L210" i="4" a="1"/>
  <c r="L210" i="4" s="1"/>
  <c r="M210" i="4" a="1"/>
  <c r="M210" i="4" s="1"/>
  <c r="N210" i="4" a="1"/>
  <c r="N210" i="4" s="1"/>
  <c r="O210" i="4" a="1"/>
  <c r="O210" i="4" s="1"/>
  <c r="P210" i="4" a="1"/>
  <c r="P210" i="4" s="1"/>
  <c r="L211" i="4" a="1"/>
  <c r="L211" i="4" s="1"/>
  <c r="M211" i="4" a="1"/>
  <c r="M211" i="4" s="1"/>
  <c r="N211" i="4" a="1"/>
  <c r="N211" i="4" s="1"/>
  <c r="O211" i="4" a="1"/>
  <c r="O211" i="4" s="1"/>
  <c r="P211" i="4" a="1"/>
  <c r="P211" i="4" s="1"/>
  <c r="L212" i="4" a="1"/>
  <c r="L212" i="4" s="1"/>
  <c r="M212" i="4" a="1"/>
  <c r="M212" i="4" s="1"/>
  <c r="N212" i="4" a="1"/>
  <c r="N212" i="4" s="1"/>
  <c r="O212" i="4" a="1"/>
  <c r="O212" i="4" s="1"/>
  <c r="P212" i="4" a="1"/>
  <c r="P212" i="4" s="1"/>
  <c r="L213" i="4" a="1"/>
  <c r="L213" i="4" s="1"/>
  <c r="M213" i="4" a="1"/>
  <c r="M213" i="4" s="1"/>
  <c r="N213" i="4" a="1"/>
  <c r="N213" i="4" s="1"/>
  <c r="O213" i="4" a="1"/>
  <c r="O213" i="4" s="1"/>
  <c r="P213" i="4" a="1"/>
  <c r="P213" i="4" s="1"/>
  <c r="L214" i="4" a="1"/>
  <c r="L214" i="4" s="1"/>
  <c r="M214" i="4" a="1"/>
  <c r="M214" i="4" s="1"/>
  <c r="N214" i="4" a="1"/>
  <c r="N214" i="4" s="1"/>
  <c r="O214" i="4" a="1"/>
  <c r="O214" i="4" s="1"/>
  <c r="P214" i="4" a="1"/>
  <c r="P214" i="4" s="1"/>
  <c r="L215" i="4" a="1"/>
  <c r="L215" i="4" s="1"/>
  <c r="M215" i="4" a="1"/>
  <c r="M215" i="4" s="1"/>
  <c r="N215" i="4" a="1"/>
  <c r="N215" i="4" s="1"/>
  <c r="O215" i="4" a="1"/>
  <c r="O215" i="4" s="1"/>
  <c r="P215" i="4" a="1"/>
  <c r="P215" i="4" s="1"/>
  <c r="L216" i="4" a="1"/>
  <c r="L216" i="4" s="1"/>
  <c r="M216" i="4" a="1"/>
  <c r="M216" i="4" s="1"/>
  <c r="N216" i="4" a="1"/>
  <c r="N216" i="4" s="1"/>
  <c r="O216" i="4" a="1"/>
  <c r="O216" i="4" s="1"/>
  <c r="P216" i="4" a="1"/>
  <c r="P216" i="4" s="1"/>
  <c r="L217" i="4" a="1"/>
  <c r="L217" i="4" s="1"/>
  <c r="M217" i="4" a="1"/>
  <c r="M217" i="4" s="1"/>
  <c r="N217" i="4" a="1"/>
  <c r="N217" i="4" s="1"/>
  <c r="O217" i="4" a="1"/>
  <c r="O217" i="4" s="1"/>
  <c r="P217" i="4" a="1"/>
  <c r="P217" i="4" s="1"/>
  <c r="L218" i="4" a="1"/>
  <c r="L218" i="4" s="1"/>
  <c r="M218" i="4" a="1"/>
  <c r="M218" i="4" s="1"/>
  <c r="N218" i="4" a="1"/>
  <c r="N218" i="4" s="1"/>
  <c r="O218" i="4" a="1"/>
  <c r="O218" i="4" s="1"/>
  <c r="P218" i="4" a="1"/>
  <c r="P218" i="4" s="1"/>
  <c r="L219" i="4" a="1"/>
  <c r="L219" i="4" s="1"/>
  <c r="M219" i="4" a="1"/>
  <c r="M219" i="4" s="1"/>
  <c r="N219" i="4" a="1"/>
  <c r="N219" i="4" s="1"/>
  <c r="O219" i="4" a="1"/>
  <c r="O219" i="4" s="1"/>
  <c r="P219" i="4" a="1"/>
  <c r="P219" i="4" s="1"/>
  <c r="L220" i="4" a="1"/>
  <c r="L220" i="4" s="1"/>
  <c r="M220" i="4" a="1"/>
  <c r="M220" i="4" s="1"/>
  <c r="N220" i="4" a="1"/>
  <c r="N220" i="4" s="1"/>
  <c r="O220" i="4" a="1"/>
  <c r="O220" i="4" s="1"/>
  <c r="P220" i="4" a="1"/>
  <c r="P220" i="4" s="1"/>
  <c r="L221" i="4" a="1"/>
  <c r="L221" i="4" s="1"/>
  <c r="M221" i="4" a="1"/>
  <c r="M221" i="4" s="1"/>
  <c r="N221" i="4" a="1"/>
  <c r="N221" i="4" s="1"/>
  <c r="O221" i="4" a="1"/>
  <c r="O221" i="4" s="1"/>
  <c r="P221" i="4" a="1"/>
  <c r="P221" i="4" s="1"/>
  <c r="L222" i="4" a="1"/>
  <c r="L222" i="4" s="1"/>
  <c r="M222" i="4" a="1"/>
  <c r="M222" i="4" s="1"/>
  <c r="N222" i="4" a="1"/>
  <c r="N222" i="4" s="1"/>
  <c r="O222" i="4" a="1"/>
  <c r="O222" i="4" s="1"/>
  <c r="P222" i="4" a="1"/>
  <c r="P222" i="4" s="1"/>
  <c r="L223" i="4" a="1"/>
  <c r="L223" i="4" s="1"/>
  <c r="M223" i="4" a="1"/>
  <c r="M223" i="4" s="1"/>
  <c r="N223" i="4" a="1"/>
  <c r="N223" i="4" s="1"/>
  <c r="O223" i="4" a="1"/>
  <c r="O223" i="4" s="1"/>
  <c r="P223" i="4" a="1"/>
  <c r="P223" i="4" s="1"/>
  <c r="L224" i="4" a="1"/>
  <c r="L224" i="4" s="1"/>
  <c r="M224" i="4" a="1"/>
  <c r="M224" i="4" s="1"/>
  <c r="N224" i="4" a="1"/>
  <c r="N224" i="4" s="1"/>
  <c r="O224" i="4" a="1"/>
  <c r="O224" i="4" s="1"/>
  <c r="P224" i="4" a="1"/>
  <c r="P224" i="4" s="1"/>
  <c r="L225" i="4" a="1"/>
  <c r="L225" i="4" s="1"/>
  <c r="M225" i="4" a="1"/>
  <c r="M225" i="4" s="1"/>
  <c r="N225" i="4" a="1"/>
  <c r="N225" i="4" s="1"/>
  <c r="O225" i="4" a="1"/>
  <c r="O225" i="4" s="1"/>
  <c r="P225" i="4" a="1"/>
  <c r="P225" i="4" s="1"/>
  <c r="L226" i="4" a="1"/>
  <c r="L226" i="4" s="1"/>
  <c r="M226" i="4" a="1"/>
  <c r="M226" i="4" s="1"/>
  <c r="N226" i="4" a="1"/>
  <c r="N226" i="4" s="1"/>
  <c r="O226" i="4" a="1"/>
  <c r="O226" i="4" s="1"/>
  <c r="P226" i="4" a="1"/>
  <c r="P226" i="4" s="1"/>
  <c r="L227" i="4" a="1"/>
  <c r="L227" i="4" s="1"/>
  <c r="M227" i="4" a="1"/>
  <c r="M227" i="4" s="1"/>
  <c r="N227" i="4" a="1"/>
  <c r="N227" i="4" s="1"/>
  <c r="O227" i="4" a="1"/>
  <c r="O227" i="4" s="1"/>
  <c r="P227" i="4" a="1"/>
  <c r="P227" i="4" s="1"/>
  <c r="L228" i="4" a="1"/>
  <c r="L228" i="4" s="1"/>
  <c r="M228" i="4" a="1"/>
  <c r="M228" i="4" s="1"/>
  <c r="N228" i="4" a="1"/>
  <c r="N228" i="4" s="1"/>
  <c r="O228" i="4" a="1"/>
  <c r="O228" i="4" s="1"/>
  <c r="P228" i="4" a="1"/>
  <c r="P228" i="4" s="1"/>
  <c r="L229" i="4" a="1"/>
  <c r="L229" i="4" s="1"/>
  <c r="M229" i="4" a="1"/>
  <c r="M229" i="4" s="1"/>
  <c r="N229" i="4" a="1"/>
  <c r="N229" i="4" s="1"/>
  <c r="O229" i="4" a="1"/>
  <c r="O229" i="4" s="1"/>
  <c r="P229" i="4" a="1"/>
  <c r="P229" i="4" s="1"/>
  <c r="L230" i="4" a="1"/>
  <c r="L230" i="4" s="1"/>
  <c r="M230" i="4" a="1"/>
  <c r="M230" i="4" s="1"/>
  <c r="N230" i="4" a="1"/>
  <c r="N230" i="4" s="1"/>
  <c r="O230" i="4" a="1"/>
  <c r="O230" i="4" s="1"/>
  <c r="P230" i="4" a="1"/>
  <c r="P230" i="4" s="1"/>
  <c r="L231" i="4" a="1"/>
  <c r="L231" i="4" s="1"/>
  <c r="M231" i="4" a="1"/>
  <c r="M231" i="4" s="1"/>
  <c r="N231" i="4" a="1"/>
  <c r="N231" i="4" s="1"/>
  <c r="O231" i="4" a="1"/>
  <c r="O231" i="4" s="1"/>
  <c r="P231" i="4" a="1"/>
  <c r="P231" i="4" s="1"/>
  <c r="L232" i="4" a="1"/>
  <c r="L232" i="4" s="1"/>
  <c r="M232" i="4" a="1"/>
  <c r="M232" i="4" s="1"/>
  <c r="N232" i="4" a="1"/>
  <c r="N232" i="4" s="1"/>
  <c r="O232" i="4" a="1"/>
  <c r="O232" i="4" s="1"/>
  <c r="P232" i="4" a="1"/>
  <c r="P232" i="4" s="1"/>
  <c r="M233" i="4" a="1"/>
  <c r="M233" i="4" s="1"/>
  <c r="N233" i="4" a="1"/>
  <c r="N233" i="4" s="1"/>
  <c r="O233" i="4" a="1"/>
  <c r="O233" i="4" s="1"/>
  <c r="P233" i="4" a="1"/>
  <c r="P233" i="4" s="1"/>
  <c r="L234" i="4" a="1"/>
  <c r="L234" i="4" s="1"/>
  <c r="M234" i="4" a="1"/>
  <c r="M234" i="4" s="1"/>
  <c r="N234" i="4" a="1"/>
  <c r="N234" i="4" s="1"/>
  <c r="O234" i="4" a="1"/>
  <c r="O234" i="4" s="1"/>
  <c r="P234" i="4" a="1"/>
  <c r="P234" i="4" s="1"/>
  <c r="L235" i="4" a="1"/>
  <c r="L235" i="4" s="1"/>
  <c r="M235" i="4" a="1"/>
  <c r="M235" i="4" s="1"/>
  <c r="N235" i="4" a="1"/>
  <c r="N235" i="4" s="1"/>
  <c r="O235" i="4" a="1"/>
  <c r="O235" i="4" s="1"/>
  <c r="P235" i="4" a="1"/>
  <c r="P235" i="4" s="1"/>
  <c r="L236" i="4" a="1"/>
  <c r="L236" i="4" s="1"/>
  <c r="M236" i="4" a="1"/>
  <c r="M236" i="4" s="1"/>
  <c r="N236" i="4" a="1"/>
  <c r="N236" i="4" s="1"/>
  <c r="O236" i="4" a="1"/>
  <c r="O236" i="4" s="1"/>
  <c r="P236" i="4" a="1"/>
  <c r="P236" i="4" s="1"/>
  <c r="L237" i="4" a="1"/>
  <c r="L237" i="4" s="1"/>
  <c r="M237" i="4" a="1"/>
  <c r="M237" i="4" s="1"/>
  <c r="N237" i="4" a="1"/>
  <c r="N237" i="4" s="1"/>
  <c r="O237" i="4" a="1"/>
  <c r="O237" i="4" s="1"/>
  <c r="P237" i="4" a="1"/>
  <c r="P237" i="4" s="1"/>
  <c r="L238" i="4" a="1"/>
  <c r="L238" i="4" s="1"/>
  <c r="M238" i="4" a="1"/>
  <c r="M238" i="4" s="1"/>
  <c r="N238" i="4" a="1"/>
  <c r="N238" i="4" s="1"/>
  <c r="O238" i="4" a="1"/>
  <c r="O238" i="4" s="1"/>
  <c r="P238" i="4" a="1"/>
  <c r="P238" i="4" s="1"/>
  <c r="L9" i="4" a="1"/>
  <c r="L9" i="4" s="1"/>
  <c r="M9" i="4" a="1"/>
  <c r="M9" i="4" s="1"/>
  <c r="N9" i="4" a="1"/>
  <c r="N9" i="4" s="1"/>
  <c r="O9" i="4" a="1"/>
  <c r="O9" i="4" s="1"/>
  <c r="P9" i="4" a="1"/>
  <c r="P9" i="4" s="1"/>
  <c r="L10" i="4" a="1"/>
  <c r="L10" i="4" s="1"/>
  <c r="M10" i="4" a="1"/>
  <c r="M10" i="4" s="1"/>
  <c r="N10" i="4" a="1"/>
  <c r="N10" i="4" s="1"/>
  <c r="O10" i="4" a="1"/>
  <c r="O10" i="4" s="1"/>
  <c r="P10" i="4" a="1"/>
  <c r="P10" i="4" s="1"/>
  <c r="L11" i="4" a="1"/>
  <c r="L11" i="4" s="1"/>
  <c r="M11" i="4" a="1"/>
  <c r="M11" i="4" s="1"/>
  <c r="N11" i="4" a="1"/>
  <c r="N11" i="4" s="1"/>
  <c r="O11" i="4" a="1"/>
  <c r="O11" i="4" s="1"/>
  <c r="P11" i="4" a="1"/>
  <c r="P11" i="4" s="1"/>
  <c r="L12" i="4" a="1"/>
  <c r="L12" i="4" s="1"/>
  <c r="M12" i="4" a="1"/>
  <c r="M12" i="4" s="1"/>
  <c r="N12" i="4" a="1"/>
  <c r="N12" i="4" s="1"/>
  <c r="O12" i="4" a="1"/>
  <c r="O12" i="4" s="1"/>
  <c r="P12" i="4" a="1"/>
  <c r="P12" i="4" s="1"/>
  <c r="L13" i="4" a="1"/>
  <c r="L13" i="4" s="1"/>
  <c r="M13" i="4" a="1"/>
  <c r="M13" i="4" s="1"/>
  <c r="N13" i="4" a="1"/>
  <c r="N13" i="4" s="1"/>
  <c r="O13" i="4" a="1"/>
  <c r="O13" i="4" s="1"/>
  <c r="P13" i="4" a="1"/>
  <c r="P13" i="4" s="1"/>
  <c r="L14" i="4" a="1"/>
  <c r="L14" i="4" s="1"/>
  <c r="M14" i="4" a="1"/>
  <c r="M14" i="4" s="1"/>
  <c r="N14" i="4" a="1"/>
  <c r="N14" i="4" s="1"/>
  <c r="O14" i="4" a="1"/>
  <c r="O14" i="4" s="1"/>
  <c r="P14" i="4" a="1"/>
  <c r="P14" i="4" s="1"/>
  <c r="L15" i="4" a="1"/>
  <c r="L15" i="4" s="1"/>
  <c r="M15" i="4" a="1"/>
  <c r="M15" i="4" s="1"/>
  <c r="N15" i="4" a="1"/>
  <c r="N15" i="4" s="1"/>
  <c r="O15" i="4" a="1"/>
  <c r="O15" i="4" s="1"/>
  <c r="P15" i="4" a="1"/>
  <c r="P15" i="4" s="1"/>
  <c r="L16" i="4" a="1"/>
  <c r="L16" i="4" s="1"/>
  <c r="M16" i="4" a="1"/>
  <c r="M16" i="4" s="1"/>
  <c r="N16" i="4" a="1"/>
  <c r="N16" i="4" s="1"/>
  <c r="O16" i="4" a="1"/>
  <c r="O16" i="4" s="1"/>
  <c r="P16" i="4" a="1"/>
  <c r="P16" i="4" s="1"/>
  <c r="L17" i="4" a="1"/>
  <c r="L17" i="4" s="1"/>
  <c r="M17" i="4" a="1"/>
  <c r="M17" i="4" s="1"/>
  <c r="N17" i="4" a="1"/>
  <c r="N17" i="4" s="1"/>
  <c r="O17" i="4" a="1"/>
  <c r="O17" i="4" s="1"/>
  <c r="P17" i="4" a="1"/>
  <c r="P17" i="4" s="1"/>
  <c r="L18" i="4" a="1"/>
  <c r="L18" i="4" s="1"/>
  <c r="M18" i="4" a="1"/>
  <c r="M18" i="4" s="1"/>
  <c r="N18" i="4" a="1"/>
  <c r="N18" i="4" s="1"/>
  <c r="O18" i="4" a="1"/>
  <c r="O18" i="4" s="1"/>
  <c r="P18" i="4" a="1"/>
  <c r="P18" i="4" s="1"/>
  <c r="L19" i="4" a="1"/>
  <c r="L19" i="4" s="1"/>
  <c r="M19" i="4" a="1"/>
  <c r="M19" i="4" s="1"/>
  <c r="N19" i="4" a="1"/>
  <c r="N19" i="4" s="1"/>
  <c r="O19" i="4" a="1"/>
  <c r="O19" i="4" s="1"/>
  <c r="P19" i="4" a="1"/>
  <c r="P19" i="4" s="1"/>
  <c r="L20" i="4" a="1"/>
  <c r="L20" i="4" s="1"/>
  <c r="M20" i="4" a="1"/>
  <c r="M20" i="4" s="1"/>
  <c r="N20" i="4" a="1"/>
  <c r="N20" i="4" s="1"/>
  <c r="O20" i="4" a="1"/>
  <c r="O20" i="4" s="1"/>
  <c r="P20" i="4" a="1"/>
  <c r="P20" i="4" s="1"/>
  <c r="L21" i="4" a="1"/>
  <c r="L21" i="4" s="1"/>
  <c r="M21" i="4" a="1"/>
  <c r="M21" i="4" s="1"/>
  <c r="N21" i="4" a="1"/>
  <c r="N21" i="4" s="1"/>
  <c r="O21" i="4" a="1"/>
  <c r="O21" i="4" s="1"/>
  <c r="P21" i="4" a="1"/>
  <c r="P21" i="4" s="1"/>
  <c r="L22" i="4" a="1"/>
  <c r="L22" i="4" s="1"/>
  <c r="M22" i="4" a="1"/>
  <c r="M22" i="4" s="1"/>
  <c r="N22" i="4" a="1"/>
  <c r="N22" i="4" s="1"/>
  <c r="O22" i="4" a="1"/>
  <c r="O22" i="4" s="1"/>
  <c r="P22" i="4" a="1"/>
  <c r="P22" i="4" s="1"/>
  <c r="L23" i="4" a="1"/>
  <c r="L23" i="4" s="1"/>
  <c r="M23" i="4" a="1"/>
  <c r="M23" i="4" s="1"/>
  <c r="N23" i="4" a="1"/>
  <c r="N23" i="4" s="1"/>
  <c r="O23" i="4" a="1"/>
  <c r="O23" i="4" s="1"/>
  <c r="P23" i="4" a="1"/>
  <c r="P23" i="4" s="1"/>
  <c r="L24" i="4" a="1"/>
  <c r="L24" i="4" s="1"/>
  <c r="M24" i="4" a="1"/>
  <c r="M24" i="4" s="1"/>
  <c r="N24" i="4" a="1"/>
  <c r="N24" i="4" s="1"/>
  <c r="O24" i="4" a="1"/>
  <c r="O24" i="4" s="1"/>
  <c r="P24" i="4" a="1"/>
  <c r="P24" i="4" s="1"/>
  <c r="L25" i="4" a="1"/>
  <c r="L25" i="4" s="1"/>
  <c r="M25" i="4" a="1"/>
  <c r="M25" i="4" s="1"/>
  <c r="N25" i="4" a="1"/>
  <c r="N25" i="4" s="1"/>
  <c r="O25" i="4" a="1"/>
  <c r="O25" i="4" s="1"/>
  <c r="P25" i="4" a="1"/>
  <c r="P25" i="4" s="1"/>
  <c r="L26" i="4" a="1"/>
  <c r="L26" i="4" s="1"/>
  <c r="M26" i="4" a="1"/>
  <c r="M26" i="4" s="1"/>
  <c r="N26" i="4" a="1"/>
  <c r="N26" i="4" s="1"/>
  <c r="O26" i="4" a="1"/>
  <c r="O26" i="4" s="1"/>
  <c r="P26" i="4" a="1"/>
  <c r="P26" i="4" s="1"/>
  <c r="L27" i="4" a="1"/>
  <c r="L27" i="4" s="1"/>
  <c r="M27" i="4" a="1"/>
  <c r="M27" i="4" s="1"/>
  <c r="N27" i="4" a="1"/>
  <c r="N27" i="4" s="1"/>
  <c r="O27" i="4" a="1"/>
  <c r="O27" i="4" s="1"/>
  <c r="P27" i="4" a="1"/>
  <c r="P27" i="4" s="1"/>
  <c r="L28" i="4" a="1"/>
  <c r="L28" i="4" s="1"/>
  <c r="M28" i="4" a="1"/>
  <c r="M28" i="4" s="1"/>
  <c r="N28" i="4" a="1"/>
  <c r="N28" i="4" s="1"/>
  <c r="O28" i="4" a="1"/>
  <c r="O28" i="4" s="1"/>
  <c r="P28" i="4" a="1"/>
  <c r="P28" i="4" s="1"/>
  <c r="L29" i="4" a="1"/>
  <c r="L29" i="4" s="1"/>
  <c r="M29" i="4" a="1"/>
  <c r="M29" i="4" s="1"/>
  <c r="N29" i="4" a="1"/>
  <c r="N29" i="4" s="1"/>
  <c r="O29" i="4" a="1"/>
  <c r="O29" i="4" s="1"/>
  <c r="P29" i="4" a="1"/>
  <c r="P29" i="4" s="1"/>
  <c r="L30" i="4" a="1"/>
  <c r="L30" i="4" s="1"/>
  <c r="M30" i="4" a="1"/>
  <c r="M30" i="4" s="1"/>
  <c r="N30" i="4" a="1"/>
  <c r="N30" i="4" s="1"/>
  <c r="O30" i="4" a="1"/>
  <c r="O30" i="4" s="1"/>
  <c r="P30" i="4" a="1"/>
  <c r="P30" i="4" s="1"/>
  <c r="L31" i="4" a="1"/>
  <c r="L31" i="4" s="1"/>
  <c r="M31" i="4" a="1"/>
  <c r="M31" i="4" s="1"/>
  <c r="N31" i="4" a="1"/>
  <c r="N31" i="4" s="1"/>
  <c r="O31" i="4" a="1"/>
  <c r="O31" i="4" s="1"/>
  <c r="P31" i="4" a="1"/>
  <c r="P31" i="4" s="1"/>
  <c r="L32" i="4" a="1"/>
  <c r="L32" i="4" s="1"/>
  <c r="M32" i="4" a="1"/>
  <c r="M32" i="4" s="1"/>
  <c r="N32" i="4" a="1"/>
  <c r="N32" i="4" s="1"/>
  <c r="O32" i="4" a="1"/>
  <c r="O32" i="4" s="1"/>
  <c r="P32" i="4" a="1"/>
  <c r="P32" i="4" s="1"/>
  <c r="L33" i="4" a="1"/>
  <c r="L33" i="4" s="1"/>
  <c r="M33" i="4" a="1"/>
  <c r="M33" i="4" s="1"/>
  <c r="N33" i="4" a="1"/>
  <c r="N33" i="4" s="1"/>
  <c r="O33" i="4" a="1"/>
  <c r="O33" i="4" s="1"/>
  <c r="P33" i="4" a="1"/>
  <c r="P33" i="4" s="1"/>
  <c r="L34" i="4" a="1"/>
  <c r="L34" i="4" s="1"/>
  <c r="M34" i="4" a="1"/>
  <c r="M34" i="4" s="1"/>
  <c r="N34" i="4" a="1"/>
  <c r="N34" i="4" s="1"/>
  <c r="O34" i="4" a="1"/>
  <c r="O34" i="4" s="1"/>
  <c r="P34" i="4" a="1"/>
  <c r="P34" i="4" s="1"/>
  <c r="L35" i="4" a="1"/>
  <c r="L35" i="4" s="1"/>
  <c r="M35" i="4" a="1"/>
  <c r="M35" i="4" s="1"/>
  <c r="N35" i="4" a="1"/>
  <c r="N35" i="4" s="1"/>
  <c r="O35" i="4" a="1"/>
  <c r="O35" i="4" s="1"/>
  <c r="P35" i="4" a="1"/>
  <c r="P35" i="4" s="1"/>
  <c r="L36" i="4" a="1"/>
  <c r="L36" i="4" s="1"/>
  <c r="M36" i="4" a="1"/>
  <c r="M36" i="4" s="1"/>
  <c r="N36" i="4" a="1"/>
  <c r="N36" i="4" s="1"/>
  <c r="O36" i="4" a="1"/>
  <c r="O36" i="4" s="1"/>
  <c r="P36" i="4" a="1"/>
  <c r="P36" i="4" s="1"/>
  <c r="L37" i="4" a="1"/>
  <c r="L37" i="4" s="1"/>
  <c r="M37" i="4" a="1"/>
  <c r="M37" i="4" s="1"/>
  <c r="N37" i="4" a="1"/>
  <c r="N37" i="4" s="1"/>
  <c r="O37" i="4" a="1"/>
  <c r="O37" i="4" s="1"/>
  <c r="P37" i="4" a="1"/>
  <c r="P37" i="4" s="1"/>
  <c r="L38" i="4" a="1"/>
  <c r="L38" i="4" s="1"/>
  <c r="M38" i="4" a="1"/>
  <c r="M38" i="4" s="1"/>
  <c r="N38" i="4" a="1"/>
  <c r="N38" i="4" s="1"/>
  <c r="O38" i="4" a="1"/>
  <c r="O38" i="4" s="1"/>
  <c r="P38" i="4" a="1"/>
  <c r="P38" i="4" s="1"/>
  <c r="L39" i="4" a="1"/>
  <c r="L39" i="4" s="1"/>
  <c r="M39" i="4" a="1"/>
  <c r="M39" i="4" s="1"/>
  <c r="N39" i="4" a="1"/>
  <c r="N39" i="4" s="1"/>
  <c r="O39" i="4" a="1"/>
  <c r="O39" i="4" s="1"/>
  <c r="P39" i="4" a="1"/>
  <c r="P39" i="4" s="1"/>
  <c r="L40" i="4" a="1"/>
  <c r="L40" i="4" s="1"/>
  <c r="M40" i="4" a="1"/>
  <c r="M40" i="4" s="1"/>
  <c r="N40" i="4" a="1"/>
  <c r="N40" i="4" s="1"/>
  <c r="O40" i="4" a="1"/>
  <c r="O40" i="4" s="1"/>
  <c r="P40" i="4" a="1"/>
  <c r="P40" i="4" s="1"/>
  <c r="L41" i="4" a="1"/>
  <c r="L41" i="4" s="1"/>
  <c r="M41" i="4" a="1"/>
  <c r="M41" i="4" s="1"/>
  <c r="N41" i="4" a="1"/>
  <c r="N41" i="4" s="1"/>
  <c r="O41" i="4" a="1"/>
  <c r="O41" i="4" s="1"/>
  <c r="P41" i="4" a="1"/>
  <c r="P41" i="4" s="1"/>
  <c r="L42" i="4" a="1"/>
  <c r="L42" i="4" s="1"/>
  <c r="M42" i="4" a="1"/>
  <c r="M42" i="4" s="1"/>
  <c r="N42" i="4" a="1"/>
  <c r="N42" i="4" s="1"/>
  <c r="O42" i="4" a="1"/>
  <c r="O42" i="4" s="1"/>
  <c r="P42" i="4" a="1"/>
  <c r="P42" i="4" s="1"/>
  <c r="L43" i="4" a="1"/>
  <c r="L43" i="4" s="1"/>
  <c r="M43" i="4" a="1"/>
  <c r="M43" i="4" s="1"/>
  <c r="N43" i="4" a="1"/>
  <c r="N43" i="4" s="1"/>
  <c r="O43" i="4" a="1"/>
  <c r="O43" i="4" s="1"/>
  <c r="P43" i="4" a="1"/>
  <c r="P43" i="4" s="1"/>
  <c r="L44" i="4" a="1"/>
  <c r="L44" i="4" s="1"/>
  <c r="M44" i="4" a="1"/>
  <c r="M44" i="4" s="1"/>
  <c r="N44" i="4" a="1"/>
  <c r="N44" i="4" s="1"/>
  <c r="O44" i="4" a="1"/>
  <c r="O44" i="4" s="1"/>
  <c r="P44" i="4" a="1"/>
  <c r="P44" i="4" s="1"/>
  <c r="L45" i="4" a="1"/>
  <c r="L45" i="4" s="1"/>
  <c r="M45" i="4" a="1"/>
  <c r="M45" i="4" s="1"/>
  <c r="N45" i="4" a="1"/>
  <c r="N45" i="4" s="1"/>
  <c r="O45" i="4" a="1"/>
  <c r="O45" i="4" s="1"/>
  <c r="P45" i="4" a="1"/>
  <c r="P45" i="4" s="1"/>
  <c r="L46" i="4" a="1"/>
  <c r="L46" i="4" s="1"/>
  <c r="M46" i="4" a="1"/>
  <c r="M46" i="4" s="1"/>
  <c r="N46" i="4" a="1"/>
  <c r="N46" i="4" s="1"/>
  <c r="O46" i="4" a="1"/>
  <c r="O46" i="4" s="1"/>
  <c r="P46" i="4" a="1"/>
  <c r="P46" i="4" s="1"/>
  <c r="L47" i="4" a="1"/>
  <c r="L47" i="4" s="1"/>
  <c r="M47" i="4" a="1"/>
  <c r="M47" i="4" s="1"/>
  <c r="N47" i="4" a="1"/>
  <c r="N47" i="4" s="1"/>
  <c r="O47" i="4" a="1"/>
  <c r="O47" i="4" s="1"/>
  <c r="P47" i="4" a="1"/>
  <c r="P47" i="4" s="1"/>
  <c r="L48" i="4" a="1"/>
  <c r="L48" i="4" s="1"/>
  <c r="M48" i="4" a="1"/>
  <c r="M48" i="4" s="1"/>
  <c r="N48" i="4" a="1"/>
  <c r="N48" i="4" s="1"/>
  <c r="O48" i="4" a="1"/>
  <c r="O48" i="4" s="1"/>
  <c r="P48" i="4" a="1"/>
  <c r="P48" i="4" s="1"/>
  <c r="L49" i="4" a="1"/>
  <c r="L49" i="4" s="1"/>
  <c r="M49" i="4" a="1"/>
  <c r="M49" i="4" s="1"/>
  <c r="N49" i="4" a="1"/>
  <c r="N49" i="4" s="1"/>
  <c r="O49" i="4" a="1"/>
  <c r="O49" i="4" s="1"/>
  <c r="P49" i="4" a="1"/>
  <c r="P49" i="4" s="1"/>
  <c r="L50" i="4" a="1"/>
  <c r="L50" i="4" s="1"/>
  <c r="M50" i="4" a="1"/>
  <c r="M50" i="4" s="1"/>
  <c r="N50" i="4" a="1"/>
  <c r="N50" i="4" s="1"/>
  <c r="O50" i="4" a="1"/>
  <c r="O50" i="4" s="1"/>
  <c r="P50" i="4" a="1"/>
  <c r="P50" i="4" s="1"/>
  <c r="L51" i="4" a="1"/>
  <c r="L51" i="4" s="1"/>
  <c r="M51" i="4" a="1"/>
  <c r="M51" i="4" s="1"/>
  <c r="N51" i="4" a="1"/>
  <c r="N51" i="4" s="1"/>
  <c r="O51" i="4" a="1"/>
  <c r="O51" i="4" s="1"/>
  <c r="P51" i="4" a="1"/>
  <c r="P51" i="4" s="1"/>
  <c r="L52" i="4" a="1"/>
  <c r="L52" i="4" s="1"/>
  <c r="M52" i="4" a="1"/>
  <c r="M52" i="4" s="1"/>
  <c r="N52" i="4" a="1"/>
  <c r="N52" i="4" s="1"/>
  <c r="O52" i="4" a="1"/>
  <c r="O52" i="4" s="1"/>
  <c r="P52" i="4" a="1"/>
  <c r="P52" i="4" s="1"/>
  <c r="L53" i="4" a="1"/>
  <c r="L53" i="4" s="1"/>
  <c r="M53" i="4" a="1"/>
  <c r="M53" i="4" s="1"/>
  <c r="N53" i="4" a="1"/>
  <c r="N53" i="4" s="1"/>
  <c r="O53" i="4" a="1"/>
  <c r="O53" i="4" s="1"/>
  <c r="P53" i="4" a="1"/>
  <c r="P53" i="4" s="1"/>
  <c r="L54" i="4" a="1"/>
  <c r="L54" i="4" s="1"/>
  <c r="M54" i="4" a="1"/>
  <c r="M54" i="4" s="1"/>
  <c r="N54" i="4" a="1"/>
  <c r="N54" i="4" s="1"/>
  <c r="O54" i="4" a="1"/>
  <c r="O54" i="4" s="1"/>
  <c r="P54" i="4" a="1"/>
  <c r="P54" i="4" s="1"/>
  <c r="L55" i="4" a="1"/>
  <c r="L55" i="4" s="1"/>
  <c r="M55" i="4" a="1"/>
  <c r="M55" i="4" s="1"/>
  <c r="N55" i="4" a="1"/>
  <c r="N55" i="4" s="1"/>
  <c r="O55" i="4" a="1"/>
  <c r="O55" i="4" s="1"/>
  <c r="P55" i="4" a="1"/>
  <c r="P55" i="4" s="1"/>
  <c r="L56" i="4" a="1"/>
  <c r="L56" i="4" s="1"/>
  <c r="M56" i="4" a="1"/>
  <c r="M56" i="4" s="1"/>
  <c r="N56" i="4" a="1"/>
  <c r="N56" i="4" s="1"/>
  <c r="O56" i="4" a="1"/>
  <c r="O56" i="4" s="1"/>
  <c r="P56" i="4" a="1"/>
  <c r="P56" i="4" s="1"/>
  <c r="L57" i="4" a="1"/>
  <c r="L57" i="4" s="1"/>
  <c r="M57" i="4" a="1"/>
  <c r="M57" i="4" s="1"/>
  <c r="N57" i="4" a="1"/>
  <c r="N57" i="4" s="1"/>
  <c r="O57" i="4" a="1"/>
  <c r="O57" i="4" s="1"/>
  <c r="P57" i="4" a="1"/>
  <c r="P57" i="4" s="1"/>
  <c r="L58" i="4" a="1"/>
  <c r="L58" i="4" s="1"/>
  <c r="M58" i="4" a="1"/>
  <c r="M58" i="4" s="1"/>
  <c r="N58" i="4" a="1"/>
  <c r="N58" i="4" s="1"/>
  <c r="O58" i="4" a="1"/>
  <c r="O58" i="4" s="1"/>
  <c r="P58" i="4" a="1"/>
  <c r="P58" i="4" s="1"/>
  <c r="L59" i="4" a="1"/>
  <c r="L59" i="4" s="1"/>
  <c r="M59" i="4" a="1"/>
  <c r="M59" i="4" s="1"/>
  <c r="N59" i="4" a="1"/>
  <c r="N59" i="4" s="1"/>
  <c r="O59" i="4" a="1"/>
  <c r="O59" i="4" s="1"/>
  <c r="P59" i="4" a="1"/>
  <c r="P59" i="4" s="1"/>
  <c r="L60" i="4" a="1"/>
  <c r="L60" i="4" s="1"/>
  <c r="M60" i="4" a="1"/>
  <c r="M60" i="4" s="1"/>
  <c r="N60" i="4" a="1"/>
  <c r="N60" i="4" s="1"/>
  <c r="O60" i="4" a="1"/>
  <c r="O60" i="4" s="1"/>
  <c r="P60" i="4" a="1"/>
  <c r="P60" i="4" s="1"/>
  <c r="L61" i="4" a="1"/>
  <c r="L61" i="4" s="1"/>
  <c r="M61" i="4" a="1"/>
  <c r="M61" i="4" s="1"/>
  <c r="N61" i="4" a="1"/>
  <c r="N61" i="4" s="1"/>
  <c r="O61" i="4" a="1"/>
  <c r="O61" i="4" s="1"/>
  <c r="P61" i="4" a="1"/>
  <c r="P61" i="4" s="1"/>
  <c r="L62" i="4" a="1"/>
  <c r="L62" i="4" s="1"/>
  <c r="M62" i="4" a="1"/>
  <c r="M62" i="4" s="1"/>
  <c r="N62" i="4" a="1"/>
  <c r="N62" i="4" s="1"/>
  <c r="O62" i="4" a="1"/>
  <c r="O62" i="4" s="1"/>
  <c r="P62" i="4" a="1"/>
  <c r="P62" i="4" s="1"/>
  <c r="L63" i="4" a="1"/>
  <c r="L63" i="4" s="1"/>
  <c r="M63" i="4" a="1"/>
  <c r="M63" i="4" s="1"/>
  <c r="N63" i="4" a="1"/>
  <c r="N63" i="4" s="1"/>
  <c r="O63" i="4" a="1"/>
  <c r="O63" i="4" s="1"/>
  <c r="P63" i="4" a="1"/>
  <c r="P63" i="4" s="1"/>
  <c r="L64" i="4" a="1"/>
  <c r="L64" i="4" s="1"/>
  <c r="M64" i="4" a="1"/>
  <c r="M64" i="4" s="1"/>
  <c r="N64" i="4" a="1"/>
  <c r="N64" i="4" s="1"/>
  <c r="O64" i="4" a="1"/>
  <c r="O64" i="4" s="1"/>
  <c r="P64" i="4" a="1"/>
  <c r="P64" i="4" s="1"/>
  <c r="L65" i="4" a="1"/>
  <c r="L65" i="4" s="1"/>
  <c r="M65" i="4" a="1"/>
  <c r="M65" i="4" s="1"/>
  <c r="N65" i="4" a="1"/>
  <c r="N65" i="4" s="1"/>
  <c r="O65" i="4" a="1"/>
  <c r="O65" i="4" s="1"/>
  <c r="P65" i="4" a="1"/>
  <c r="P65" i="4" s="1"/>
  <c r="L66" i="4" a="1"/>
  <c r="L66" i="4" s="1"/>
  <c r="M66" i="4" a="1"/>
  <c r="M66" i="4" s="1"/>
  <c r="N66" i="4" a="1"/>
  <c r="N66" i="4" s="1"/>
  <c r="O66" i="4" a="1"/>
  <c r="O66" i="4" s="1"/>
  <c r="P66" i="4" a="1"/>
  <c r="P66" i="4" s="1"/>
  <c r="L67" i="4" a="1"/>
  <c r="L67" i="4" s="1"/>
  <c r="M67" i="4" a="1"/>
  <c r="M67" i="4" s="1"/>
  <c r="N67" i="4" a="1"/>
  <c r="N67" i="4" s="1"/>
  <c r="O67" i="4" a="1"/>
  <c r="O67" i="4" s="1"/>
  <c r="P67" i="4" a="1"/>
  <c r="P67" i="4" s="1"/>
  <c r="L68" i="4" a="1"/>
  <c r="L68" i="4" s="1"/>
  <c r="M68" i="4" a="1"/>
  <c r="M68" i="4" s="1"/>
  <c r="N68" i="4" a="1"/>
  <c r="N68" i="4" s="1"/>
  <c r="O68" i="4" a="1"/>
  <c r="O68" i="4" s="1"/>
  <c r="P68" i="4" a="1"/>
  <c r="P68" i="4" s="1"/>
  <c r="L69" i="4" a="1"/>
  <c r="L69" i="4" s="1"/>
  <c r="M69" i="4" a="1"/>
  <c r="M69" i="4" s="1"/>
  <c r="N69" i="4" a="1"/>
  <c r="N69" i="4" s="1"/>
  <c r="O69" i="4" a="1"/>
  <c r="O69" i="4" s="1"/>
  <c r="P69" i="4" a="1"/>
  <c r="P69" i="4" s="1"/>
  <c r="L70" i="4" a="1"/>
  <c r="L70" i="4" s="1"/>
  <c r="M70" i="4" a="1"/>
  <c r="M70" i="4" s="1"/>
  <c r="N70" i="4" a="1"/>
  <c r="N70" i="4" s="1"/>
  <c r="O70" i="4" a="1"/>
  <c r="O70" i="4" s="1"/>
  <c r="P70" i="4" a="1"/>
  <c r="P70" i="4" s="1"/>
  <c r="L71" i="4" a="1"/>
  <c r="L71" i="4" s="1"/>
  <c r="M71" i="4" a="1"/>
  <c r="M71" i="4" s="1"/>
  <c r="N71" i="4" a="1"/>
  <c r="N71" i="4" s="1"/>
  <c r="O71" i="4" a="1"/>
  <c r="O71" i="4" s="1"/>
  <c r="P71" i="4" a="1"/>
  <c r="P71" i="4" s="1"/>
  <c r="L72" i="4" a="1"/>
  <c r="L72" i="4" s="1"/>
  <c r="M72" i="4" a="1"/>
  <c r="M72" i="4" s="1"/>
  <c r="N72" i="4" a="1"/>
  <c r="N72" i="4" s="1"/>
  <c r="O72" i="4" a="1"/>
  <c r="O72" i="4" s="1"/>
  <c r="P72" i="4" a="1"/>
  <c r="P72" i="4" s="1"/>
  <c r="L73" i="4" a="1"/>
  <c r="L73" i="4" s="1"/>
  <c r="M73" i="4" a="1"/>
  <c r="M73" i="4" s="1"/>
  <c r="N73" i="4" a="1"/>
  <c r="N73" i="4" s="1"/>
  <c r="O73" i="4" a="1"/>
  <c r="O73" i="4" s="1"/>
  <c r="P73" i="4" a="1"/>
  <c r="P73" i="4" s="1"/>
  <c r="L74" i="4" a="1"/>
  <c r="L74" i="4" s="1"/>
  <c r="M74" i="4" a="1"/>
  <c r="M74" i="4" s="1"/>
  <c r="N74" i="4" a="1"/>
  <c r="N74" i="4" s="1"/>
  <c r="O74" i="4" a="1"/>
  <c r="O74" i="4" s="1"/>
  <c r="P74" i="4" a="1"/>
  <c r="P74" i="4" s="1"/>
  <c r="L75" i="4" a="1"/>
  <c r="L75" i="4" s="1"/>
  <c r="M75" i="4" a="1"/>
  <c r="M75" i="4" s="1"/>
  <c r="N75" i="4" a="1"/>
  <c r="N75" i="4" s="1"/>
  <c r="O75" i="4" a="1"/>
  <c r="O75" i="4" s="1"/>
  <c r="P75" i="4" a="1"/>
  <c r="P75" i="4" s="1"/>
  <c r="L76" i="4" a="1"/>
  <c r="L76" i="4" s="1"/>
  <c r="M76" i="4" a="1"/>
  <c r="M76" i="4" s="1"/>
  <c r="N76" i="4" a="1"/>
  <c r="N76" i="4" s="1"/>
  <c r="O76" i="4" a="1"/>
  <c r="O76" i="4" s="1"/>
  <c r="P76" i="4" a="1"/>
  <c r="P76" i="4" s="1"/>
  <c r="L77" i="4" a="1"/>
  <c r="L77" i="4" s="1"/>
  <c r="M77" i="4" a="1"/>
  <c r="M77" i="4" s="1"/>
  <c r="N77" i="4" a="1"/>
  <c r="N77" i="4" s="1"/>
  <c r="O77" i="4" a="1"/>
  <c r="O77" i="4" s="1"/>
  <c r="P77" i="4" a="1"/>
  <c r="P77" i="4" s="1"/>
  <c r="L78" i="4" a="1"/>
  <c r="L78" i="4" s="1"/>
  <c r="M78" i="4" a="1"/>
  <c r="M78" i="4" s="1"/>
  <c r="N78" i="4" a="1"/>
  <c r="N78" i="4" s="1"/>
  <c r="O78" i="4" a="1"/>
  <c r="O78" i="4" s="1"/>
  <c r="P78" i="4" a="1"/>
  <c r="P78" i="4" s="1"/>
  <c r="L79" i="4" a="1"/>
  <c r="L79" i="4" s="1"/>
  <c r="M79" i="4" a="1"/>
  <c r="M79" i="4" s="1"/>
  <c r="N79" i="4" a="1"/>
  <c r="N79" i="4" s="1"/>
  <c r="O79" i="4" a="1"/>
  <c r="O79" i="4" s="1"/>
  <c r="P79" i="4" a="1"/>
  <c r="P79" i="4" s="1"/>
  <c r="L80" i="4" a="1"/>
  <c r="L80" i="4" s="1"/>
  <c r="M80" i="4" a="1"/>
  <c r="M80" i="4" s="1"/>
  <c r="N80" i="4" a="1"/>
  <c r="N80" i="4" s="1"/>
  <c r="O80" i="4" a="1"/>
  <c r="O80" i="4" s="1"/>
  <c r="P80" i="4" a="1"/>
  <c r="P80" i="4" s="1"/>
  <c r="L81" i="4" a="1"/>
  <c r="L81" i="4" s="1"/>
  <c r="M81" i="4" a="1"/>
  <c r="M81" i="4" s="1"/>
  <c r="N81" i="4" a="1"/>
  <c r="N81" i="4" s="1"/>
  <c r="O81" i="4" a="1"/>
  <c r="O81" i="4" s="1"/>
  <c r="P81" i="4" a="1"/>
  <c r="P81" i="4" s="1"/>
  <c r="L82" i="4" a="1"/>
  <c r="L82" i="4" s="1"/>
  <c r="M82" i="4" a="1"/>
  <c r="M82" i="4" s="1"/>
  <c r="N82" i="4" a="1"/>
  <c r="N82" i="4" s="1"/>
  <c r="O82" i="4" a="1"/>
  <c r="O82" i="4" s="1"/>
  <c r="P82" i="4" a="1"/>
  <c r="P82" i="4" s="1"/>
  <c r="L83" i="4" a="1"/>
  <c r="L83" i="4" s="1"/>
  <c r="M83" i="4" a="1"/>
  <c r="M83" i="4" s="1"/>
  <c r="N83" i="4" a="1"/>
  <c r="N83" i="4" s="1"/>
  <c r="O83" i="4" a="1"/>
  <c r="O83" i="4" s="1"/>
  <c r="P83" i="4" a="1"/>
  <c r="P83" i="4" s="1"/>
  <c r="L84" i="4" a="1"/>
  <c r="L84" i="4" s="1"/>
  <c r="M84" i="4" a="1"/>
  <c r="M84" i="4" s="1"/>
  <c r="N84" i="4" a="1"/>
  <c r="N84" i="4" s="1"/>
  <c r="O84" i="4" a="1"/>
  <c r="O84" i="4" s="1"/>
  <c r="P84" i="4" a="1"/>
  <c r="P84" i="4" s="1"/>
  <c r="L85" i="4" a="1"/>
  <c r="L85" i="4" s="1"/>
  <c r="M85" i="4" a="1"/>
  <c r="M85" i="4" s="1"/>
  <c r="N85" i="4" a="1"/>
  <c r="N85" i="4" s="1"/>
  <c r="O85" i="4" a="1"/>
  <c r="O85" i="4" s="1"/>
  <c r="P85" i="4" a="1"/>
  <c r="P85" i="4" s="1"/>
  <c r="L86" i="4" a="1"/>
  <c r="L86" i="4" s="1"/>
  <c r="M86" i="4" a="1"/>
  <c r="M86" i="4" s="1"/>
  <c r="N86" i="4" a="1"/>
  <c r="N86" i="4" s="1"/>
  <c r="O86" i="4" a="1"/>
  <c r="O86" i="4" s="1"/>
  <c r="P86" i="4" a="1"/>
  <c r="P86" i="4" s="1"/>
  <c r="L87" i="4" a="1"/>
  <c r="L87" i="4" s="1"/>
  <c r="M87" i="4" a="1"/>
  <c r="M87" i="4" s="1"/>
  <c r="N87" i="4" a="1"/>
  <c r="N87" i="4" s="1"/>
  <c r="O87" i="4" a="1"/>
  <c r="O87" i="4" s="1"/>
  <c r="P87" i="4" a="1"/>
  <c r="P87" i="4" s="1"/>
  <c r="L88" i="4" a="1"/>
  <c r="L88" i="4" s="1"/>
  <c r="M88" i="4" a="1"/>
  <c r="M88" i="4" s="1"/>
  <c r="N88" i="4" a="1"/>
  <c r="N88" i="4" s="1"/>
  <c r="O88" i="4" a="1"/>
  <c r="O88" i="4" s="1"/>
  <c r="P88" i="4" a="1"/>
  <c r="P88" i="4" s="1"/>
  <c r="L89" i="4" a="1"/>
  <c r="L89" i="4" s="1"/>
  <c r="M89" i="4" a="1"/>
  <c r="M89" i="4" s="1"/>
  <c r="N89" i="4" a="1"/>
  <c r="N89" i="4" s="1"/>
  <c r="O89" i="4" a="1"/>
  <c r="O89" i="4" s="1"/>
  <c r="P89" i="4" a="1"/>
  <c r="P89" i="4" s="1"/>
  <c r="L90" i="4" a="1"/>
  <c r="L90" i="4" s="1"/>
  <c r="M90" i="4" a="1"/>
  <c r="M90" i="4" s="1"/>
  <c r="N90" i="4" a="1"/>
  <c r="N90" i="4" s="1"/>
  <c r="O90" i="4" a="1"/>
  <c r="O90" i="4" s="1"/>
  <c r="P90" i="4" a="1"/>
  <c r="P90" i="4" s="1"/>
  <c r="L91" i="4" a="1"/>
  <c r="L91" i="4" s="1"/>
  <c r="M91" i="4" a="1"/>
  <c r="M91" i="4" s="1"/>
  <c r="N91" i="4" a="1"/>
  <c r="N91" i="4" s="1"/>
  <c r="O91" i="4" a="1"/>
  <c r="O91" i="4" s="1"/>
  <c r="P91" i="4" a="1"/>
  <c r="P91" i="4" s="1"/>
  <c r="L92" i="4" a="1"/>
  <c r="L92" i="4" s="1"/>
  <c r="M92" i="4" a="1"/>
  <c r="M92" i="4" s="1"/>
  <c r="N92" i="4" a="1"/>
  <c r="N92" i="4" s="1"/>
  <c r="O92" i="4" a="1"/>
  <c r="O92" i="4" s="1"/>
  <c r="P92" i="4" a="1"/>
  <c r="P92" i="4" s="1"/>
  <c r="L93" i="4" a="1"/>
  <c r="L93" i="4" s="1"/>
  <c r="M93" i="4" a="1"/>
  <c r="M93" i="4" s="1"/>
  <c r="N93" i="4" a="1"/>
  <c r="N93" i="4" s="1"/>
  <c r="O93" i="4" a="1"/>
  <c r="O93" i="4" s="1"/>
  <c r="P93" i="4" a="1"/>
  <c r="P93" i="4" s="1"/>
  <c r="L94" i="4" a="1"/>
  <c r="L94" i="4" s="1"/>
  <c r="M94" i="4" a="1"/>
  <c r="M94" i="4" s="1"/>
  <c r="N94" i="4" a="1"/>
  <c r="N94" i="4" s="1"/>
  <c r="O94" i="4" a="1"/>
  <c r="O94" i="4" s="1"/>
  <c r="P94" i="4" a="1"/>
  <c r="P94" i="4" s="1"/>
  <c r="L95" i="4" a="1"/>
  <c r="L95" i="4" s="1"/>
  <c r="M95" i="4" a="1"/>
  <c r="M95" i="4" s="1"/>
  <c r="N95" i="4" a="1"/>
  <c r="N95" i="4" s="1"/>
  <c r="O95" i="4" a="1"/>
  <c r="O95" i="4" s="1"/>
  <c r="P95" i="4" a="1"/>
  <c r="P95" i="4" s="1"/>
  <c r="L96" i="4" a="1"/>
  <c r="L96" i="4" s="1"/>
  <c r="M96" i="4" a="1"/>
  <c r="M96" i="4" s="1"/>
  <c r="N96" i="4" a="1"/>
  <c r="N96" i="4" s="1"/>
  <c r="O96" i="4" a="1"/>
  <c r="O96" i="4" s="1"/>
  <c r="P96" i="4" a="1"/>
  <c r="P96" i="4" s="1"/>
  <c r="L97" i="4" a="1"/>
  <c r="L97" i="4" s="1"/>
  <c r="M97" i="4" a="1"/>
  <c r="M97" i="4" s="1"/>
  <c r="N97" i="4" a="1"/>
  <c r="N97" i="4" s="1"/>
  <c r="O97" i="4" a="1"/>
  <c r="O97" i="4" s="1"/>
  <c r="P97" i="4" a="1"/>
  <c r="P97" i="4" s="1"/>
  <c r="L98" i="4" a="1"/>
  <c r="L98" i="4" s="1"/>
  <c r="M98" i="4" a="1"/>
  <c r="M98" i="4" s="1"/>
  <c r="N98" i="4" a="1"/>
  <c r="N98" i="4" s="1"/>
  <c r="O98" i="4" a="1"/>
  <c r="O98" i="4" s="1"/>
  <c r="P98" i="4" a="1"/>
  <c r="P98" i="4" s="1"/>
  <c r="L99" i="4" a="1"/>
  <c r="L99" i="4" s="1"/>
  <c r="M99" i="4" a="1"/>
  <c r="M99" i="4" s="1"/>
  <c r="N99" i="4" a="1"/>
  <c r="N99" i="4" s="1"/>
  <c r="O99" i="4" a="1"/>
  <c r="O99" i="4" s="1"/>
  <c r="P99" i="4" a="1"/>
  <c r="P99" i="4" s="1"/>
  <c r="L100" i="4" a="1"/>
  <c r="L100" i="4" s="1"/>
  <c r="M100" i="4" a="1"/>
  <c r="M100" i="4" s="1"/>
  <c r="N100" i="4" a="1"/>
  <c r="N100" i="4" s="1"/>
  <c r="O100" i="4" a="1"/>
  <c r="O100" i="4" s="1"/>
  <c r="P100" i="4" a="1"/>
  <c r="P100" i="4" s="1"/>
  <c r="L101" i="4" a="1"/>
  <c r="L101" i="4" s="1"/>
  <c r="M101" i="4" a="1"/>
  <c r="M101" i="4" s="1"/>
  <c r="N101" i="4" a="1"/>
  <c r="N101" i="4" s="1"/>
  <c r="O101" i="4" a="1"/>
  <c r="O101" i="4" s="1"/>
  <c r="P101" i="4" a="1"/>
  <c r="P101" i="4" s="1"/>
  <c r="L102" i="4" a="1"/>
  <c r="L102" i="4" s="1"/>
  <c r="M102" i="4" a="1"/>
  <c r="M102" i="4" s="1"/>
  <c r="N102" i="4" a="1"/>
  <c r="N102" i="4" s="1"/>
  <c r="O102" i="4" a="1"/>
  <c r="O102" i="4" s="1"/>
  <c r="P102" i="4" a="1"/>
  <c r="P102" i="4" s="1"/>
  <c r="L103" i="4" a="1"/>
  <c r="L103" i="4" s="1"/>
  <c r="M103" i="4" a="1"/>
  <c r="M103" i="4" s="1"/>
  <c r="N103" i="4" a="1"/>
  <c r="N103" i="4" s="1"/>
  <c r="O103" i="4" a="1"/>
  <c r="O103" i="4" s="1"/>
  <c r="P103" i="4" a="1"/>
  <c r="P103" i="4" s="1"/>
  <c r="L104" i="4" a="1"/>
  <c r="L104" i="4" s="1"/>
  <c r="M104" i="4" a="1"/>
  <c r="M104" i="4" s="1"/>
  <c r="N104" i="4" a="1"/>
  <c r="N104" i="4" s="1"/>
  <c r="O104" i="4" a="1"/>
  <c r="O104" i="4" s="1"/>
  <c r="P104" i="4" a="1"/>
  <c r="P104" i="4" s="1"/>
  <c r="L105" i="4" a="1"/>
  <c r="L105" i="4" s="1"/>
  <c r="M105" i="4" a="1"/>
  <c r="M105" i="4" s="1"/>
  <c r="N105" i="4" a="1"/>
  <c r="N105" i="4" s="1"/>
  <c r="O105" i="4" a="1"/>
  <c r="O105" i="4" s="1"/>
  <c r="P105" i="4" a="1"/>
  <c r="P105" i="4" s="1"/>
  <c r="L106" i="4" a="1"/>
  <c r="L106" i="4" s="1"/>
  <c r="M106" i="4" a="1"/>
  <c r="M106" i="4" s="1"/>
  <c r="N106" i="4" a="1"/>
  <c r="N106" i="4" s="1"/>
  <c r="O106" i="4" a="1"/>
  <c r="O106" i="4" s="1"/>
  <c r="P106" i="4" a="1"/>
  <c r="P106" i="4" s="1"/>
  <c r="L107" i="4" a="1"/>
  <c r="L107" i="4" s="1"/>
  <c r="M107" i="4" a="1"/>
  <c r="M107" i="4" s="1"/>
  <c r="N107" i="4" a="1"/>
  <c r="N107" i="4" s="1"/>
  <c r="O107" i="4" a="1"/>
  <c r="O107" i="4" s="1"/>
  <c r="P107" i="4" a="1"/>
  <c r="P107" i="4" s="1"/>
  <c r="L108" i="4" a="1"/>
  <c r="L108" i="4" s="1"/>
  <c r="M108" i="4" a="1"/>
  <c r="M108" i="4" s="1"/>
  <c r="N108" i="4" a="1"/>
  <c r="N108" i="4" s="1"/>
  <c r="O108" i="4" a="1"/>
  <c r="O108" i="4" s="1"/>
  <c r="P108" i="4" a="1"/>
  <c r="P108" i="4" s="1"/>
  <c r="L109" i="4" a="1"/>
  <c r="L109" i="4" s="1"/>
  <c r="M109" i="4" a="1"/>
  <c r="M109" i="4" s="1"/>
  <c r="N109" i="4" a="1"/>
  <c r="N109" i="4" s="1"/>
  <c r="O109" i="4" a="1"/>
  <c r="O109" i="4" s="1"/>
  <c r="P109" i="4" a="1"/>
  <c r="P109" i="4" s="1"/>
  <c r="L110" i="4" a="1"/>
  <c r="L110" i="4" s="1"/>
  <c r="M110" i="4" a="1"/>
  <c r="M110" i="4" s="1"/>
  <c r="N110" i="4" a="1"/>
  <c r="N110" i="4" s="1"/>
  <c r="O110" i="4" a="1"/>
  <c r="O110" i="4" s="1"/>
  <c r="P110" i="4" a="1"/>
  <c r="P110" i="4" s="1"/>
  <c r="L111" i="4" a="1"/>
  <c r="L111" i="4" s="1"/>
  <c r="M111" i="4" a="1"/>
  <c r="M111" i="4" s="1"/>
  <c r="N111" i="4" a="1"/>
  <c r="N111" i="4" s="1"/>
  <c r="O111" i="4" a="1"/>
  <c r="O111" i="4" s="1"/>
  <c r="P111" i="4" a="1"/>
  <c r="P111" i="4" s="1"/>
  <c r="L112" i="4" a="1"/>
  <c r="L112" i="4" s="1"/>
  <c r="M112" i="4" a="1"/>
  <c r="M112" i="4" s="1"/>
  <c r="N112" i="4" a="1"/>
  <c r="N112" i="4" s="1"/>
  <c r="O112" i="4" a="1"/>
  <c r="O112" i="4" s="1"/>
  <c r="P112" i="4" a="1"/>
  <c r="P112" i="4" s="1"/>
  <c r="L113" i="4" a="1"/>
  <c r="L113" i="4" s="1"/>
  <c r="M113" i="4" a="1"/>
  <c r="M113" i="4" s="1"/>
  <c r="N113" i="4" a="1"/>
  <c r="N113" i="4" s="1"/>
  <c r="O113" i="4" a="1"/>
  <c r="O113" i="4" s="1"/>
  <c r="P113" i="4" a="1"/>
  <c r="P113" i="4" s="1"/>
  <c r="L114" i="4" a="1"/>
  <c r="L114" i="4" s="1"/>
  <c r="M114" i="4" a="1"/>
  <c r="M114" i="4" s="1"/>
  <c r="N114" i="4" a="1"/>
  <c r="N114" i="4" s="1"/>
  <c r="O114" i="4" a="1"/>
  <c r="O114" i="4" s="1"/>
  <c r="P114" i="4" a="1"/>
  <c r="P114" i="4" s="1"/>
  <c r="L115" i="4" a="1"/>
  <c r="L115" i="4" s="1"/>
  <c r="M115" i="4" a="1"/>
  <c r="M115" i="4" s="1"/>
  <c r="N115" i="4" a="1"/>
  <c r="N115" i="4" s="1"/>
  <c r="O115" i="4" a="1"/>
  <c r="O115" i="4" s="1"/>
  <c r="P115" i="4" a="1"/>
  <c r="P115" i="4" s="1"/>
  <c r="L116" i="4" a="1"/>
  <c r="L116" i="4" s="1"/>
  <c r="M116" i="4" a="1"/>
  <c r="M116" i="4" s="1"/>
  <c r="N116" i="4" a="1"/>
  <c r="N116" i="4" s="1"/>
  <c r="O116" i="4" a="1"/>
  <c r="O116" i="4" s="1"/>
  <c r="P116" i="4" a="1"/>
  <c r="P116" i="4" s="1"/>
  <c r="L117" i="4" a="1"/>
  <c r="L117" i="4" s="1"/>
  <c r="M117" i="4" a="1"/>
  <c r="M117" i="4" s="1"/>
  <c r="N117" i="4" a="1"/>
  <c r="N117" i="4" s="1"/>
  <c r="O117" i="4" a="1"/>
  <c r="O117" i="4" s="1"/>
  <c r="P117" i="4" a="1"/>
  <c r="P117" i="4" s="1"/>
  <c r="L118" i="4" a="1"/>
  <c r="L118" i="4" s="1"/>
  <c r="M118" i="4" a="1"/>
  <c r="M118" i="4" s="1"/>
  <c r="N118" i="4" a="1"/>
  <c r="N118" i="4" s="1"/>
  <c r="O118" i="4" a="1"/>
  <c r="O118" i="4" s="1"/>
  <c r="P118" i="4" a="1"/>
  <c r="P118" i="4" s="1"/>
  <c r="L119" i="4" a="1"/>
  <c r="L119" i="4" s="1"/>
  <c r="M119" i="4" a="1"/>
  <c r="M119" i="4" s="1"/>
  <c r="N119" i="4" a="1"/>
  <c r="N119" i="4" s="1"/>
  <c r="O119" i="4" a="1"/>
  <c r="O119" i="4" s="1"/>
  <c r="P119" i="4" a="1"/>
  <c r="P119" i="4" s="1"/>
  <c r="L120" i="4" a="1"/>
  <c r="L120" i="4" s="1"/>
  <c r="M120" i="4" a="1"/>
  <c r="M120" i="4" s="1"/>
  <c r="N120" i="4" a="1"/>
  <c r="N120" i="4" s="1"/>
  <c r="O120" i="4" a="1"/>
  <c r="O120" i="4" s="1"/>
  <c r="P120" i="4" a="1"/>
  <c r="P120" i="4" s="1"/>
  <c r="L121" i="4" a="1"/>
  <c r="L121" i="4" s="1"/>
  <c r="M121" i="4" a="1"/>
  <c r="M121" i="4" s="1"/>
  <c r="N121" i="4" a="1"/>
  <c r="N121" i="4" s="1"/>
  <c r="O121" i="4" a="1"/>
  <c r="O121" i="4" s="1"/>
  <c r="P121" i="4" a="1"/>
  <c r="P121" i="4" s="1"/>
  <c r="L122" i="4" a="1"/>
  <c r="L122" i="4" s="1"/>
  <c r="M122" i="4" a="1"/>
  <c r="M122" i="4" s="1"/>
  <c r="N122" i="4" a="1"/>
  <c r="N122" i="4" s="1"/>
  <c r="O122" i="4" a="1"/>
  <c r="O122" i="4" s="1"/>
  <c r="P122" i="4" a="1"/>
  <c r="P122" i="4" s="1"/>
  <c r="L123" i="4" a="1"/>
  <c r="L123" i="4" s="1"/>
  <c r="M123" i="4" a="1"/>
  <c r="M123" i="4" s="1"/>
  <c r="N123" i="4" a="1"/>
  <c r="N123" i="4" s="1"/>
  <c r="O123" i="4" a="1"/>
  <c r="O123" i="4" s="1"/>
  <c r="P123" i="4" a="1"/>
  <c r="P123" i="4" s="1"/>
  <c r="L124" i="4" a="1"/>
  <c r="L124" i="4" s="1"/>
  <c r="M124" i="4" a="1"/>
  <c r="M124" i="4" s="1"/>
  <c r="N124" i="4" a="1"/>
  <c r="N124" i="4" s="1"/>
  <c r="O124" i="4" a="1"/>
  <c r="O124" i="4" s="1"/>
  <c r="P124" i="4" a="1"/>
  <c r="P124" i="4" s="1"/>
  <c r="L125" i="4" a="1"/>
  <c r="L125" i="4" s="1"/>
  <c r="M125" i="4" a="1"/>
  <c r="M125" i="4" s="1"/>
  <c r="N125" i="4" a="1"/>
  <c r="N125" i="4" s="1"/>
  <c r="O125" i="4" a="1"/>
  <c r="O125" i="4" s="1"/>
  <c r="P125" i="4" a="1"/>
  <c r="P125" i="4" s="1"/>
  <c r="M6" i="5" a="1"/>
  <c r="M6" i="5" s="1"/>
  <c r="N8" i="4" a="1"/>
  <c r="N8" i="4" s="1"/>
  <c r="O8" i="4" a="1"/>
  <c r="O8" i="4" s="1"/>
  <c r="P8" i="4" a="1"/>
  <c r="P8" i="4" s="1"/>
  <c r="M8" i="4" a="1"/>
  <c r="M8" i="4" s="1"/>
  <c r="L8" i="4" a="1"/>
  <c r="L8" i="4" s="1"/>
  <c r="M13" i="3" a="1"/>
  <c r="M13" i="3" s="1"/>
  <c r="M14" i="3" a="1"/>
  <c r="M14" i="3" s="1"/>
  <c r="M15" i="3" a="1"/>
  <c r="M15" i="3" s="1"/>
  <c r="M17" i="3" a="1"/>
  <c r="M17" i="3" s="1"/>
  <c r="M18" i="3" a="1"/>
  <c r="M18" i="3" s="1"/>
  <c r="M19" i="3" a="1"/>
  <c r="M19" i="3" s="1"/>
  <c r="M20" i="3" a="1"/>
  <c r="M20" i="3" s="1"/>
  <c r="M21" i="3" a="1"/>
  <c r="M21" i="3" s="1"/>
  <c r="M22" i="3" a="1"/>
  <c r="M22" i="3" s="1"/>
  <c r="M23" i="3" a="1"/>
  <c r="M23" i="3" s="1"/>
  <c r="M24" i="3" a="1"/>
  <c r="M24" i="3" s="1"/>
  <c r="M25" i="3" a="1"/>
  <c r="M25" i="3" s="1"/>
  <c r="M26" i="3" a="1"/>
  <c r="M26" i="3" s="1"/>
  <c r="M27" i="3" a="1"/>
  <c r="M27" i="3" s="1"/>
  <c r="M28" i="3" a="1"/>
  <c r="M28" i="3" s="1"/>
  <c r="M29" i="3" a="1"/>
  <c r="M29" i="3" s="1"/>
  <c r="M30" i="3" a="1"/>
  <c r="M30" i="3" s="1"/>
  <c r="M31" i="3" a="1"/>
  <c r="M31" i="3" s="1"/>
  <c r="M32" i="3" a="1"/>
  <c r="M32" i="3" s="1"/>
  <c r="M33" i="3" a="1"/>
  <c r="M33" i="3" s="1"/>
  <c r="M34" i="3" a="1"/>
  <c r="M34" i="3" s="1"/>
  <c r="M35" i="3" a="1"/>
  <c r="M35" i="3" s="1"/>
  <c r="M36" i="3" a="1"/>
  <c r="M36" i="3" s="1"/>
  <c r="M37" i="3" a="1"/>
  <c r="M37" i="3" s="1"/>
  <c r="M38" i="3" a="1"/>
  <c r="M38" i="3" s="1"/>
  <c r="M39" i="3" a="1"/>
  <c r="M39" i="3" s="1"/>
  <c r="M40" i="3" a="1"/>
  <c r="M40" i="3" s="1"/>
  <c r="M41" i="3" a="1"/>
  <c r="M41" i="3" s="1"/>
  <c r="M42" i="3" a="1"/>
  <c r="M42" i="3" s="1"/>
  <c r="M43" i="3" a="1"/>
  <c r="M43" i="3" s="1"/>
  <c r="M44" i="3" a="1"/>
  <c r="M44" i="3" s="1"/>
  <c r="M45" i="3" a="1"/>
  <c r="M45" i="3" s="1"/>
  <c r="M46" i="3" a="1"/>
  <c r="M46" i="3" s="1"/>
  <c r="M47" i="3" a="1"/>
  <c r="M47" i="3" s="1"/>
  <c r="M48" i="3" a="1"/>
  <c r="M48" i="3" s="1"/>
  <c r="M49" i="3" a="1"/>
  <c r="M49" i="3" s="1"/>
  <c r="M50" i="3" a="1"/>
  <c r="M50" i="3" s="1"/>
  <c r="M51" i="3" a="1"/>
  <c r="M51" i="3" s="1"/>
  <c r="M52" i="3" a="1"/>
  <c r="M52" i="3" s="1"/>
  <c r="M53" i="3" a="1"/>
  <c r="M53" i="3" s="1"/>
  <c r="M54" i="3" a="1"/>
  <c r="M54" i="3" s="1"/>
  <c r="M55" i="3" a="1"/>
  <c r="M55" i="3" s="1"/>
  <c r="M56" i="3" a="1"/>
  <c r="M56" i="3" s="1"/>
  <c r="M57" i="3" a="1"/>
  <c r="M57" i="3" s="1"/>
  <c r="M58" i="3" a="1"/>
  <c r="M58" i="3" s="1"/>
  <c r="M59" i="3" a="1"/>
  <c r="M59" i="3" s="1"/>
  <c r="M60" i="3" a="1"/>
  <c r="M60" i="3" s="1"/>
  <c r="M61" i="3" a="1"/>
  <c r="M61" i="3" s="1"/>
  <c r="M62" i="3" a="1"/>
  <c r="M62" i="3" s="1"/>
  <c r="M63" i="3" a="1"/>
  <c r="M63" i="3" s="1"/>
  <c r="M64" i="3" a="1"/>
  <c r="M64" i="3" s="1"/>
  <c r="M65" i="3" a="1"/>
  <c r="M65" i="3" s="1"/>
  <c r="M66" i="3" a="1"/>
  <c r="M66" i="3" s="1"/>
  <c r="M67" i="3" a="1"/>
  <c r="M67" i="3" s="1"/>
  <c r="M68" i="3" a="1"/>
  <c r="M68" i="3" s="1"/>
  <c r="M69" i="3" a="1"/>
  <c r="M69" i="3" s="1"/>
  <c r="M70" i="3" a="1"/>
  <c r="M70" i="3" s="1"/>
  <c r="M71" i="3" a="1"/>
  <c r="M71" i="3" s="1"/>
  <c r="M72" i="3" a="1"/>
  <c r="M72" i="3" s="1"/>
  <c r="M73" i="3" a="1"/>
  <c r="M73" i="3" s="1"/>
  <c r="M74" i="3" a="1"/>
  <c r="M74" i="3" s="1"/>
  <c r="M75" i="3" a="1"/>
  <c r="M75" i="3" s="1"/>
  <c r="M76" i="3" a="1"/>
  <c r="M76" i="3" s="1"/>
  <c r="M77" i="3" a="1"/>
  <c r="M77" i="3" s="1"/>
  <c r="M78" i="3" a="1"/>
  <c r="M78" i="3" s="1"/>
  <c r="M79" i="3" a="1"/>
  <c r="M79" i="3" s="1"/>
  <c r="M80" i="3" a="1"/>
  <c r="M80" i="3" s="1"/>
  <c r="M81" i="3" a="1"/>
  <c r="M81" i="3" s="1"/>
  <c r="M82" i="3" a="1"/>
  <c r="M82" i="3" s="1"/>
  <c r="M83" i="3" a="1"/>
  <c r="M83" i="3" s="1"/>
  <c r="M84" i="3" a="1"/>
  <c r="M84" i="3" s="1"/>
  <c r="M85" i="3" a="1"/>
  <c r="M85" i="3" s="1"/>
  <c r="M86" i="3" a="1"/>
  <c r="M86" i="3" s="1"/>
  <c r="M87" i="3" a="1"/>
  <c r="M87" i="3" s="1"/>
  <c r="M88" i="3" a="1"/>
  <c r="M88" i="3" s="1"/>
  <c r="M89" i="3" a="1"/>
  <c r="M89" i="3" s="1"/>
  <c r="M90" i="3" a="1"/>
  <c r="M90" i="3" s="1"/>
  <c r="M91" i="3" a="1"/>
  <c r="M91" i="3" s="1"/>
  <c r="M92" i="3" a="1"/>
  <c r="M92" i="3" s="1"/>
  <c r="M93" i="3" a="1"/>
  <c r="M93" i="3" s="1"/>
  <c r="M94" i="3" a="1"/>
  <c r="M94" i="3" s="1"/>
  <c r="M95" i="3" a="1"/>
  <c r="M95" i="3" s="1"/>
  <c r="M96" i="3" a="1"/>
  <c r="M96" i="3" s="1"/>
  <c r="M97" i="3" a="1"/>
  <c r="M97" i="3" s="1"/>
  <c r="M98" i="3" a="1"/>
  <c r="M98" i="3" s="1"/>
  <c r="M99" i="3" a="1"/>
  <c r="M99" i="3" s="1"/>
  <c r="M100" i="3" a="1"/>
  <c r="M100" i="3" s="1"/>
  <c r="M101" i="3" a="1"/>
  <c r="M101" i="3" s="1"/>
  <c r="M102" i="3" a="1"/>
  <c r="M102" i="3" s="1"/>
  <c r="M103" i="3" a="1"/>
  <c r="M103" i="3" s="1"/>
  <c r="M104" i="3" a="1"/>
  <c r="M104" i="3" s="1"/>
  <c r="M105" i="3" a="1"/>
  <c r="M105" i="3" s="1"/>
  <c r="M106" i="3" a="1"/>
  <c r="M106" i="3" s="1"/>
  <c r="M107" i="3" a="1"/>
  <c r="M107" i="3" s="1"/>
  <c r="M108" i="3" a="1"/>
  <c r="M108" i="3" s="1"/>
  <c r="M109" i="3" a="1"/>
  <c r="M109" i="3" s="1"/>
  <c r="M110" i="3" a="1"/>
  <c r="M110" i="3" s="1"/>
  <c r="M111" i="3" a="1"/>
  <c r="M111" i="3" s="1"/>
  <c r="M112" i="3" a="1"/>
  <c r="M112" i="3" s="1"/>
  <c r="M113" i="3" a="1"/>
  <c r="M113" i="3" s="1"/>
  <c r="M114" i="3" a="1"/>
  <c r="M114" i="3" s="1"/>
  <c r="M115" i="3" a="1"/>
  <c r="M115" i="3" s="1"/>
  <c r="M116" i="3" a="1"/>
  <c r="M116" i="3" s="1"/>
  <c r="M117" i="3" a="1"/>
  <c r="M117" i="3" s="1"/>
  <c r="M118" i="3" a="1"/>
  <c r="M118" i="3" s="1"/>
  <c r="M119" i="3" a="1"/>
  <c r="M119" i="3" s="1"/>
  <c r="M120" i="3" a="1"/>
  <c r="M120" i="3" s="1"/>
  <c r="M121" i="3" a="1"/>
  <c r="M121" i="3" s="1"/>
  <c r="M122" i="3" a="1"/>
  <c r="M122" i="3" s="1"/>
  <c r="M123" i="3" a="1"/>
  <c r="M123" i="3" s="1"/>
  <c r="M124" i="3" a="1"/>
  <c r="M124" i="3" s="1"/>
  <c r="M125" i="3" a="1"/>
  <c r="M125" i="3" s="1"/>
  <c r="M126" i="3" a="1"/>
  <c r="M126" i="3" s="1"/>
  <c r="M127" i="3" a="1"/>
  <c r="M127" i="3" s="1"/>
  <c r="M128" i="3" a="1"/>
  <c r="M128" i="3" s="1"/>
  <c r="M129" i="3" a="1"/>
  <c r="M129" i="3" s="1"/>
  <c r="M130" i="3" a="1"/>
  <c r="M130" i="3" s="1"/>
  <c r="M131" i="3" a="1"/>
  <c r="M131" i="3" s="1"/>
  <c r="M132" i="3" a="1"/>
  <c r="M132" i="3" s="1"/>
  <c r="M133" i="3" a="1"/>
  <c r="M133" i="3" s="1"/>
  <c r="M134" i="3" a="1"/>
  <c r="M134" i="3" s="1"/>
  <c r="M135" i="3" a="1"/>
  <c r="M135" i="3" s="1"/>
  <c r="M136" i="3" a="1"/>
  <c r="M136" i="3" s="1"/>
  <c r="M137" i="3" a="1"/>
  <c r="M137" i="3" s="1"/>
  <c r="M138" i="3" a="1"/>
  <c r="M138" i="3" s="1"/>
  <c r="M139" i="3" a="1"/>
  <c r="M139" i="3" s="1"/>
  <c r="M140" i="3" a="1"/>
  <c r="M140" i="3" s="1"/>
  <c r="M141" i="3" a="1"/>
  <c r="M141" i="3" s="1"/>
  <c r="M142" i="3" a="1"/>
  <c r="M142" i="3" s="1"/>
  <c r="M143" i="3" a="1"/>
  <c r="M143" i="3" s="1"/>
  <c r="M144" i="3" a="1"/>
  <c r="M144" i="3" s="1"/>
  <c r="M145" i="3" a="1"/>
  <c r="M145" i="3" s="1"/>
  <c r="M146" i="3" a="1"/>
  <c r="M146" i="3" s="1"/>
  <c r="M147" i="3" a="1"/>
  <c r="M147" i="3" s="1"/>
  <c r="M148" i="3" a="1"/>
  <c r="M148" i="3" s="1"/>
  <c r="M149" i="3" a="1"/>
  <c r="M149" i="3" s="1"/>
  <c r="M150" i="3" a="1"/>
  <c r="M150" i="3" s="1"/>
  <c r="M151" i="3" a="1"/>
  <c r="M151" i="3" s="1"/>
  <c r="M152" i="3" a="1"/>
  <c r="M152" i="3" s="1"/>
  <c r="M153" i="3" a="1"/>
  <c r="M153" i="3" s="1"/>
  <c r="M154" i="3" a="1"/>
  <c r="M154" i="3" s="1"/>
  <c r="M155" i="3" a="1"/>
  <c r="M155" i="3" s="1"/>
  <c r="M156" i="3" a="1"/>
  <c r="M156" i="3" s="1"/>
  <c r="M157" i="3" a="1"/>
  <c r="M157" i="3" s="1"/>
  <c r="M158" i="3" a="1"/>
  <c r="M158" i="3" s="1"/>
  <c r="M159" i="3" a="1"/>
  <c r="M159" i="3" s="1"/>
  <c r="M160" i="3" a="1"/>
  <c r="M160" i="3" s="1"/>
  <c r="M161" i="3" a="1"/>
  <c r="M161" i="3" s="1"/>
  <c r="M162" i="3" a="1"/>
  <c r="M162" i="3" s="1"/>
  <c r="M163" i="3" a="1"/>
  <c r="M163" i="3" s="1"/>
  <c r="M164" i="3" a="1"/>
  <c r="M164" i="3" s="1"/>
  <c r="M165" i="3" a="1"/>
  <c r="M165" i="3" s="1"/>
  <c r="M166" i="3" a="1"/>
  <c r="M166" i="3" s="1"/>
  <c r="M167" i="3" a="1"/>
  <c r="M167" i="3" s="1"/>
  <c r="M168" i="3" a="1"/>
  <c r="M168" i="3" s="1"/>
  <c r="M169" i="3" a="1"/>
  <c r="M169" i="3" s="1"/>
  <c r="M170" i="3" a="1"/>
  <c r="M170" i="3" s="1"/>
  <c r="M171" i="3" a="1"/>
  <c r="M171" i="3" s="1"/>
  <c r="M172" i="3" a="1"/>
  <c r="M172" i="3" s="1"/>
  <c r="M173" i="3" a="1"/>
  <c r="M173" i="3" s="1"/>
  <c r="M174" i="3" a="1"/>
  <c r="M174" i="3" s="1"/>
  <c r="M175" i="3" a="1"/>
  <c r="M175" i="3" s="1"/>
  <c r="M176" i="3" a="1"/>
  <c r="M176" i="3" s="1"/>
  <c r="M177" i="3" a="1"/>
  <c r="M177" i="3" s="1"/>
  <c r="M178" i="3" a="1"/>
  <c r="M178" i="3" s="1"/>
  <c r="M179" i="3" a="1"/>
  <c r="M179" i="3" s="1"/>
  <c r="M180" i="3" a="1"/>
  <c r="M180" i="3" s="1"/>
  <c r="M181" i="3" a="1"/>
  <c r="M181" i="3" s="1"/>
  <c r="M182" i="3" a="1"/>
  <c r="M182" i="3" s="1"/>
  <c r="M183" i="3" a="1"/>
  <c r="M183" i="3" s="1"/>
  <c r="M184" i="3" a="1"/>
  <c r="M184" i="3" s="1"/>
  <c r="M185" i="3" a="1"/>
  <c r="M185" i="3" s="1"/>
  <c r="M186" i="3" a="1"/>
  <c r="M186" i="3" s="1"/>
  <c r="M187" i="3" a="1"/>
  <c r="M187" i="3" s="1"/>
  <c r="M188" i="3" a="1"/>
  <c r="M188" i="3" s="1"/>
  <c r="M189" i="3" a="1"/>
  <c r="M189" i="3" s="1"/>
  <c r="M190" i="3" a="1"/>
  <c r="M190" i="3" s="1"/>
  <c r="M191" i="3" a="1"/>
  <c r="M191" i="3" s="1"/>
  <c r="M192" i="3" a="1"/>
  <c r="M192" i="3" s="1"/>
  <c r="M193" i="3" a="1"/>
  <c r="M193" i="3" s="1"/>
  <c r="M194" i="3" a="1"/>
  <c r="M194" i="3" s="1"/>
  <c r="M195" i="3" a="1"/>
  <c r="M195" i="3" s="1"/>
  <c r="M196" i="3" a="1"/>
  <c r="M196" i="3" s="1"/>
  <c r="M197" i="3" a="1"/>
  <c r="M197" i="3" s="1"/>
  <c r="M12" i="3" a="1"/>
  <c r="M12" i="3" s="1"/>
  <c r="J5" i="48" a="1"/>
  <c r="J5" i="48" s="1"/>
  <c r="L5" i="48" a="1"/>
  <c r="L5" i="48" s="1"/>
  <c r="M5" i="48" a="1"/>
  <c r="M5" i="48" s="1"/>
  <c r="N5" i="48" a="1"/>
  <c r="N5" i="48" s="1"/>
  <c r="O5" i="48" a="1"/>
  <c r="O5" i="48" s="1"/>
  <c r="P5" i="48" a="1"/>
  <c r="P5" i="48" s="1"/>
  <c r="J6" i="48" a="1"/>
  <c r="J6" i="48" s="1"/>
  <c r="L6" i="48" a="1"/>
  <c r="L6" i="48" s="1"/>
  <c r="M6" i="48" a="1"/>
  <c r="M6" i="48" s="1"/>
  <c r="N6" i="48" a="1"/>
  <c r="N6" i="48" s="1"/>
  <c r="O6" i="48" a="1"/>
  <c r="O6" i="48" s="1"/>
  <c r="P6" i="48" a="1"/>
  <c r="P6" i="48" s="1"/>
  <c r="J7" i="48" a="1"/>
  <c r="J7" i="48" s="1"/>
  <c r="L7" i="48" a="1"/>
  <c r="L7" i="48" s="1"/>
  <c r="M7" i="48" a="1"/>
  <c r="M7" i="48" s="1"/>
  <c r="N7" i="48" a="1"/>
  <c r="N7" i="48" s="1"/>
  <c r="O7" i="48" a="1"/>
  <c r="O7" i="48" s="1"/>
  <c r="P7" i="48" a="1"/>
  <c r="P7" i="48" s="1"/>
  <c r="J8" i="48" a="1"/>
  <c r="J8" i="48" s="1"/>
  <c r="L8" i="48" a="1"/>
  <c r="L8" i="48" s="1"/>
  <c r="M8" i="48" a="1"/>
  <c r="M8" i="48" s="1"/>
  <c r="N8" i="48" a="1"/>
  <c r="N8" i="48" s="1"/>
  <c r="O8" i="48" a="1"/>
  <c r="O8" i="48" s="1"/>
  <c r="P8" i="48" a="1"/>
  <c r="P8" i="48" s="1"/>
  <c r="J9" i="48" a="1"/>
  <c r="J9" i="48" s="1"/>
  <c r="L9" i="48" a="1"/>
  <c r="L9" i="48" s="1"/>
  <c r="M9" i="48" a="1"/>
  <c r="M9" i="48" s="1"/>
  <c r="N9" i="48" a="1"/>
  <c r="N9" i="48" s="1"/>
  <c r="O9" i="48" a="1"/>
  <c r="O9" i="48" s="1"/>
  <c r="P9" i="48" a="1"/>
  <c r="P9" i="48" s="1"/>
  <c r="J10" i="48" a="1"/>
  <c r="J10" i="48" s="1"/>
  <c r="L10" i="48" a="1"/>
  <c r="L10" i="48" s="1"/>
  <c r="M10" i="48" a="1"/>
  <c r="M10" i="48" s="1"/>
  <c r="N10" i="48" a="1"/>
  <c r="N10" i="48" s="1"/>
  <c r="O10" i="48" a="1"/>
  <c r="O10" i="48" s="1"/>
  <c r="P10" i="48" a="1"/>
  <c r="P10" i="48" s="1"/>
  <c r="J11" i="48" a="1"/>
  <c r="J11" i="48" s="1"/>
  <c r="L11" i="48" a="1"/>
  <c r="L11" i="48" s="1"/>
  <c r="M11" i="48" a="1"/>
  <c r="M11" i="48" s="1"/>
  <c r="N11" i="48" a="1"/>
  <c r="N11" i="48" s="1"/>
  <c r="O11" i="48" a="1"/>
  <c r="O11" i="48" s="1"/>
  <c r="P11" i="48" a="1"/>
  <c r="P11" i="48" s="1"/>
  <c r="J12" i="48" a="1"/>
  <c r="J12" i="48" s="1"/>
  <c r="L12" i="48" a="1"/>
  <c r="L12" i="48" s="1"/>
  <c r="M12" i="48" a="1"/>
  <c r="M12" i="48" s="1"/>
  <c r="N12" i="48" a="1"/>
  <c r="N12" i="48" s="1"/>
  <c r="O12" i="48" a="1"/>
  <c r="O12" i="48" s="1"/>
  <c r="P12" i="48" a="1"/>
  <c r="P12" i="48" s="1"/>
  <c r="J13" i="48" a="1"/>
  <c r="J13" i="48" s="1"/>
  <c r="L13" i="48" a="1"/>
  <c r="L13" i="48" s="1"/>
  <c r="M13" i="48" a="1"/>
  <c r="M13" i="48" s="1"/>
  <c r="N13" i="48" a="1"/>
  <c r="N13" i="48" s="1"/>
  <c r="O13" i="48" a="1"/>
  <c r="O13" i="48" s="1"/>
  <c r="P13" i="48" a="1"/>
  <c r="P13" i="48" s="1"/>
  <c r="J14" i="48" a="1"/>
  <c r="J14" i="48" s="1"/>
  <c r="L14" i="48" a="1"/>
  <c r="L14" i="48" s="1"/>
  <c r="M14" i="48" a="1"/>
  <c r="M14" i="48" s="1"/>
  <c r="N14" i="48" a="1"/>
  <c r="N14" i="48" s="1"/>
  <c r="O14" i="48" a="1"/>
  <c r="O14" i="48" s="1"/>
  <c r="P14" i="48" a="1"/>
  <c r="P14" i="48" s="1"/>
  <c r="J15" i="48" a="1"/>
  <c r="J15" i="48" s="1"/>
  <c r="L15" i="48" a="1"/>
  <c r="L15" i="48" s="1"/>
  <c r="M15" i="48" a="1"/>
  <c r="M15" i="48" s="1"/>
  <c r="N15" i="48" a="1"/>
  <c r="N15" i="48" s="1"/>
  <c r="O15" i="48" a="1"/>
  <c r="O15" i="48" s="1"/>
  <c r="P15" i="48" a="1"/>
  <c r="P15" i="48" s="1"/>
  <c r="J16" i="48" a="1"/>
  <c r="J16" i="48" s="1"/>
  <c r="L16" i="48" a="1"/>
  <c r="L16" i="48" s="1"/>
  <c r="M16" i="48" a="1"/>
  <c r="M16" i="48" s="1"/>
  <c r="N16" i="48" a="1"/>
  <c r="N16" i="48" s="1"/>
  <c r="O16" i="48" a="1"/>
  <c r="O16" i="48" s="1"/>
  <c r="P16" i="48" a="1"/>
  <c r="P16" i="48" s="1"/>
  <c r="J17" i="48" a="1"/>
  <c r="J17" i="48" s="1"/>
  <c r="L17" i="48" a="1"/>
  <c r="L17" i="48" s="1"/>
  <c r="M17" i="48" a="1"/>
  <c r="M17" i="48" s="1"/>
  <c r="N17" i="48" a="1"/>
  <c r="N17" i="48" s="1"/>
  <c r="O17" i="48" a="1"/>
  <c r="O17" i="48" s="1"/>
  <c r="P17" i="48" a="1"/>
  <c r="P17" i="48" s="1"/>
  <c r="J18" i="48" a="1"/>
  <c r="J18" i="48" s="1"/>
  <c r="L18" i="48" a="1"/>
  <c r="L18" i="48" s="1"/>
  <c r="M18" i="48" a="1"/>
  <c r="M18" i="48" s="1"/>
  <c r="N18" i="48" a="1"/>
  <c r="N18" i="48" s="1"/>
  <c r="O18" i="48" a="1"/>
  <c r="O18" i="48" s="1"/>
  <c r="P18" i="48" a="1"/>
  <c r="P18" i="48" s="1"/>
  <c r="J19" i="48" a="1"/>
  <c r="J19" i="48" s="1"/>
  <c r="L19" i="48" a="1"/>
  <c r="L19" i="48" s="1"/>
  <c r="M19" i="48" a="1"/>
  <c r="M19" i="48" s="1"/>
  <c r="N19" i="48" a="1"/>
  <c r="N19" i="48" s="1"/>
  <c r="O19" i="48" a="1"/>
  <c r="O19" i="48" s="1"/>
  <c r="P19" i="48" a="1"/>
  <c r="P19" i="48" s="1"/>
  <c r="J20" i="48" a="1"/>
  <c r="J20" i="48" s="1"/>
  <c r="L20" i="48" a="1"/>
  <c r="L20" i="48" s="1"/>
  <c r="M20" i="48" a="1"/>
  <c r="M20" i="48" s="1"/>
  <c r="N20" i="48" a="1"/>
  <c r="N20" i="48" s="1"/>
  <c r="O20" i="48" a="1"/>
  <c r="O20" i="48" s="1"/>
  <c r="P20" i="48" a="1"/>
  <c r="P20" i="48" s="1"/>
  <c r="J21" i="48" a="1"/>
  <c r="J21" i="48" s="1"/>
  <c r="L21" i="48" a="1"/>
  <c r="L21" i="48" s="1"/>
  <c r="M21" i="48" a="1"/>
  <c r="M21" i="48" s="1"/>
  <c r="N21" i="48" a="1"/>
  <c r="N21" i="48" s="1"/>
  <c r="O21" i="48" a="1"/>
  <c r="O21" i="48" s="1"/>
  <c r="P21" i="48" a="1"/>
  <c r="P21" i="48" s="1"/>
  <c r="J22" i="48" a="1"/>
  <c r="J22" i="48" s="1"/>
  <c r="L22" i="48" a="1"/>
  <c r="L22" i="48" s="1"/>
  <c r="M22" i="48" a="1"/>
  <c r="M22" i="48" s="1"/>
  <c r="N22" i="48" a="1"/>
  <c r="N22" i="48" s="1"/>
  <c r="O22" i="48" a="1"/>
  <c r="O22" i="48" s="1"/>
  <c r="P22" i="48" a="1"/>
  <c r="P22" i="48" s="1"/>
  <c r="J23" i="48" a="1"/>
  <c r="J23" i="48" s="1"/>
  <c r="L23" i="48" a="1"/>
  <c r="L23" i="48" s="1"/>
  <c r="M23" i="48" a="1"/>
  <c r="M23" i="48" s="1"/>
  <c r="N23" i="48" a="1"/>
  <c r="N23" i="48" s="1"/>
  <c r="O23" i="48" a="1"/>
  <c r="O23" i="48" s="1"/>
  <c r="P23" i="48" a="1"/>
  <c r="P23" i="48" s="1"/>
  <c r="J24" i="48" a="1"/>
  <c r="J24" i="48" s="1"/>
  <c r="L24" i="48" a="1"/>
  <c r="L24" i="48" s="1"/>
  <c r="M24" i="48" a="1"/>
  <c r="M24" i="48" s="1"/>
  <c r="N24" i="48" a="1"/>
  <c r="N24" i="48" s="1"/>
  <c r="O24" i="48" a="1"/>
  <c r="O24" i="48" s="1"/>
  <c r="P24" i="48" a="1"/>
  <c r="P24" i="48" s="1"/>
  <c r="J25" i="48" a="1"/>
  <c r="J25" i="48" s="1"/>
  <c r="L25" i="48" a="1"/>
  <c r="L25" i="48" s="1"/>
  <c r="M25" i="48" a="1"/>
  <c r="M25" i="48" s="1"/>
  <c r="N25" i="48" a="1"/>
  <c r="N25" i="48" s="1"/>
  <c r="O25" i="48" a="1"/>
  <c r="O25" i="48" s="1"/>
  <c r="P25" i="48" a="1"/>
  <c r="P25" i="48" s="1"/>
  <c r="J26" i="48" a="1"/>
  <c r="J26" i="48" s="1"/>
  <c r="L26" i="48" a="1"/>
  <c r="L26" i="48" s="1"/>
  <c r="M26" i="48" a="1"/>
  <c r="M26" i="48" s="1"/>
  <c r="N26" i="48" a="1"/>
  <c r="N26" i="48" s="1"/>
  <c r="O26" i="48" a="1"/>
  <c r="O26" i="48" s="1"/>
  <c r="P26" i="48" a="1"/>
  <c r="P26" i="48" s="1"/>
  <c r="J27" i="48" a="1"/>
  <c r="J27" i="48" s="1"/>
  <c r="L27" i="48" a="1"/>
  <c r="L27" i="48" s="1"/>
  <c r="M27" i="48" a="1"/>
  <c r="M27" i="48" s="1"/>
  <c r="N27" i="48" a="1"/>
  <c r="N27" i="48" s="1"/>
  <c r="O27" i="48" a="1"/>
  <c r="O27" i="48" s="1"/>
  <c r="P27" i="48" a="1"/>
  <c r="P27" i="48" s="1"/>
  <c r="J28" i="48" a="1"/>
  <c r="J28" i="48" s="1"/>
  <c r="L28" i="48" a="1"/>
  <c r="L28" i="48" s="1"/>
  <c r="M28" i="48" a="1"/>
  <c r="M28" i="48" s="1"/>
  <c r="N28" i="48" a="1"/>
  <c r="N28" i="48" s="1"/>
  <c r="O28" i="48" a="1"/>
  <c r="O28" i="48" s="1"/>
  <c r="P28" i="48" a="1"/>
  <c r="P28" i="48" s="1"/>
  <c r="J29" i="48" a="1"/>
  <c r="J29" i="48" s="1"/>
  <c r="L29" i="48" a="1"/>
  <c r="L29" i="48" s="1"/>
  <c r="M29" i="48" a="1"/>
  <c r="M29" i="48" s="1"/>
  <c r="N29" i="48" a="1"/>
  <c r="N29" i="48" s="1"/>
  <c r="O29" i="48" a="1"/>
  <c r="O29" i="48" s="1"/>
  <c r="P29" i="48" a="1"/>
  <c r="P29" i="48" s="1"/>
  <c r="J30" i="48" a="1"/>
  <c r="J30" i="48" s="1"/>
  <c r="L30" i="48" a="1"/>
  <c r="L30" i="48" s="1"/>
  <c r="M30" i="48" a="1"/>
  <c r="M30" i="48" s="1"/>
  <c r="N30" i="48" a="1"/>
  <c r="N30" i="48" s="1"/>
  <c r="O30" i="48" a="1"/>
  <c r="O30" i="48" s="1"/>
  <c r="P30" i="48" a="1"/>
  <c r="P30" i="48" s="1"/>
  <c r="J31" i="48" a="1"/>
  <c r="J31" i="48" s="1"/>
  <c r="L31" i="48" a="1"/>
  <c r="L31" i="48" s="1"/>
  <c r="M31" i="48" a="1"/>
  <c r="M31" i="48" s="1"/>
  <c r="N31" i="48" a="1"/>
  <c r="N31" i="48" s="1"/>
  <c r="O31" i="48" a="1"/>
  <c r="O31" i="48" s="1"/>
  <c r="P31" i="48" a="1"/>
  <c r="P31" i="48" s="1"/>
  <c r="J32" i="48" a="1"/>
  <c r="J32" i="48" s="1"/>
  <c r="L32" i="48" a="1"/>
  <c r="L32" i="48" s="1"/>
  <c r="M32" i="48" a="1"/>
  <c r="M32" i="48" s="1"/>
  <c r="N32" i="48" a="1"/>
  <c r="N32" i="48" s="1"/>
  <c r="O32" i="48" a="1"/>
  <c r="O32" i="48" s="1"/>
  <c r="P32" i="48" a="1"/>
  <c r="P32" i="48" s="1"/>
  <c r="J33" i="48" a="1"/>
  <c r="J33" i="48" s="1"/>
  <c r="L33" i="48" a="1"/>
  <c r="L33" i="48" s="1"/>
  <c r="M33" i="48" a="1"/>
  <c r="M33" i="48" s="1"/>
  <c r="N33" i="48" a="1"/>
  <c r="N33" i="48" s="1"/>
  <c r="O33" i="48" a="1"/>
  <c r="O33" i="48" s="1"/>
  <c r="P33" i="48" a="1"/>
  <c r="P33" i="48" s="1"/>
  <c r="J34" i="48" a="1"/>
  <c r="J34" i="48" s="1"/>
  <c r="L34" i="48" a="1"/>
  <c r="L34" i="48" s="1"/>
  <c r="M34" i="48" a="1"/>
  <c r="M34" i="48" s="1"/>
  <c r="N34" i="48" a="1"/>
  <c r="N34" i="48" s="1"/>
  <c r="O34" i="48" a="1"/>
  <c r="O34" i="48" s="1"/>
  <c r="P34" i="48" a="1"/>
  <c r="P34" i="48" s="1"/>
  <c r="J35" i="48" a="1"/>
  <c r="J35" i="48" s="1"/>
  <c r="L35" i="48" a="1"/>
  <c r="L35" i="48" s="1"/>
  <c r="M35" i="48" a="1"/>
  <c r="M35" i="48" s="1"/>
  <c r="N35" i="48" a="1"/>
  <c r="N35" i="48" s="1"/>
  <c r="O35" i="48" a="1"/>
  <c r="O35" i="48" s="1"/>
  <c r="P35" i="48" a="1"/>
  <c r="P35" i="48" s="1"/>
  <c r="J36" i="48" a="1"/>
  <c r="J36" i="48" s="1"/>
  <c r="L36" i="48" a="1"/>
  <c r="L36" i="48" s="1"/>
  <c r="M36" i="48" a="1"/>
  <c r="M36" i="48" s="1"/>
  <c r="N36" i="48" a="1"/>
  <c r="N36" i="48" s="1"/>
  <c r="O36" i="48" a="1"/>
  <c r="O36" i="48" s="1"/>
  <c r="P36" i="48" a="1"/>
  <c r="P36" i="48" s="1"/>
  <c r="J37" i="48" a="1"/>
  <c r="J37" i="48" s="1"/>
  <c r="L37" i="48" a="1"/>
  <c r="L37" i="48" s="1"/>
  <c r="M37" i="48" a="1"/>
  <c r="M37" i="48" s="1"/>
  <c r="N37" i="48" a="1"/>
  <c r="N37" i="48" s="1"/>
  <c r="O37" i="48" a="1"/>
  <c r="O37" i="48" s="1"/>
  <c r="P37" i="48" a="1"/>
  <c r="P37" i="48" s="1"/>
  <c r="J38" i="48" a="1"/>
  <c r="J38" i="48" s="1"/>
  <c r="L38" i="48" a="1"/>
  <c r="L38" i="48" s="1"/>
  <c r="M38" i="48" a="1"/>
  <c r="M38" i="48" s="1"/>
  <c r="N38" i="48" a="1"/>
  <c r="N38" i="48" s="1"/>
  <c r="O38" i="48" a="1"/>
  <c r="O38" i="48" s="1"/>
  <c r="P38" i="48" a="1"/>
  <c r="P38" i="48" s="1"/>
  <c r="J39" i="48" a="1"/>
  <c r="J39" i="48" s="1"/>
  <c r="L39" i="48" a="1"/>
  <c r="L39" i="48" s="1"/>
  <c r="M39" i="48" a="1"/>
  <c r="M39" i="48" s="1"/>
  <c r="N39" i="48" a="1"/>
  <c r="N39" i="48" s="1"/>
  <c r="O39" i="48" a="1"/>
  <c r="O39" i="48" s="1"/>
  <c r="P39" i="48" a="1"/>
  <c r="P39" i="48" s="1"/>
  <c r="J40" i="48" a="1"/>
  <c r="J40" i="48" s="1"/>
  <c r="L40" i="48" a="1"/>
  <c r="L40" i="48" s="1"/>
  <c r="M40" i="48" a="1"/>
  <c r="M40" i="48" s="1"/>
  <c r="N40" i="48" a="1"/>
  <c r="N40" i="48" s="1"/>
  <c r="O40" i="48" a="1"/>
  <c r="O40" i="48" s="1"/>
  <c r="P40" i="48" a="1"/>
  <c r="P40" i="48" s="1"/>
  <c r="J41" i="48" a="1"/>
  <c r="J41" i="48" s="1"/>
  <c r="L41" i="48" a="1"/>
  <c r="L41" i="48" s="1"/>
  <c r="M41" i="48" a="1"/>
  <c r="M41" i="48" s="1"/>
  <c r="N41" i="48" a="1"/>
  <c r="N41" i="48" s="1"/>
  <c r="O41" i="48" a="1"/>
  <c r="O41" i="48" s="1"/>
  <c r="P41" i="48" a="1"/>
  <c r="P41" i="48" s="1"/>
  <c r="J42" i="48" a="1"/>
  <c r="J42" i="48" s="1"/>
  <c r="L42" i="48" a="1"/>
  <c r="L42" i="48" s="1"/>
  <c r="M42" i="48" a="1"/>
  <c r="M42" i="48" s="1"/>
  <c r="N42" i="48" a="1"/>
  <c r="N42" i="48" s="1"/>
  <c r="O42" i="48" a="1"/>
  <c r="O42" i="48" s="1"/>
  <c r="P42" i="48" a="1"/>
  <c r="P42" i="48" s="1"/>
  <c r="J43" i="48" a="1"/>
  <c r="J43" i="48" s="1"/>
  <c r="L43" i="48" a="1"/>
  <c r="L43" i="48" s="1"/>
  <c r="M43" i="48" a="1"/>
  <c r="M43" i="48" s="1"/>
  <c r="N43" i="48" a="1"/>
  <c r="N43" i="48" s="1"/>
  <c r="O43" i="48" a="1"/>
  <c r="O43" i="48" s="1"/>
  <c r="P43" i="48" a="1"/>
  <c r="P43" i="48" s="1"/>
  <c r="J44" i="48" a="1"/>
  <c r="J44" i="48" s="1"/>
  <c r="L44" i="48" a="1"/>
  <c r="L44" i="48" s="1"/>
  <c r="M44" i="48" a="1"/>
  <c r="M44" i="48" s="1"/>
  <c r="N44" i="48" a="1"/>
  <c r="N44" i="48" s="1"/>
  <c r="O44" i="48" a="1"/>
  <c r="O44" i="48" s="1"/>
  <c r="P44" i="48" a="1"/>
  <c r="P44" i="48" s="1"/>
  <c r="J45" i="48" a="1"/>
  <c r="J45" i="48" s="1"/>
  <c r="L45" i="48" a="1"/>
  <c r="L45" i="48" s="1"/>
  <c r="M45" i="48" a="1"/>
  <c r="M45" i="48" s="1"/>
  <c r="N45" i="48" a="1"/>
  <c r="N45" i="48" s="1"/>
  <c r="O45" i="48" a="1"/>
  <c r="O45" i="48" s="1"/>
  <c r="P45" i="48" a="1"/>
  <c r="P45" i="48" s="1"/>
  <c r="J46" i="48" a="1"/>
  <c r="J46" i="48" s="1"/>
  <c r="L46" i="48" a="1"/>
  <c r="L46" i="48" s="1"/>
  <c r="M46" i="48" a="1"/>
  <c r="M46" i="48" s="1"/>
  <c r="N46" i="48" a="1"/>
  <c r="N46" i="48" s="1"/>
  <c r="O46" i="48" a="1"/>
  <c r="O46" i="48" s="1"/>
  <c r="P46" i="48" a="1"/>
  <c r="P46" i="48" s="1"/>
  <c r="J47" i="48" a="1"/>
  <c r="J47" i="48" s="1"/>
  <c r="L47" i="48" a="1"/>
  <c r="L47" i="48" s="1"/>
  <c r="M47" i="48" a="1"/>
  <c r="M47" i="48" s="1"/>
  <c r="N47" i="48" a="1"/>
  <c r="N47" i="48" s="1"/>
  <c r="O47" i="48" a="1"/>
  <c r="O47" i="48" s="1"/>
  <c r="P47" i="48" a="1"/>
  <c r="P47" i="48" s="1"/>
  <c r="J48" i="48" a="1"/>
  <c r="J48" i="48" s="1"/>
  <c r="L48" i="48" a="1"/>
  <c r="L48" i="48" s="1"/>
  <c r="M48" i="48" a="1"/>
  <c r="M48" i="48" s="1"/>
  <c r="N48" i="48" a="1"/>
  <c r="N48" i="48" s="1"/>
  <c r="O48" i="48" a="1"/>
  <c r="O48" i="48" s="1"/>
  <c r="P48" i="48" a="1"/>
  <c r="P48" i="48" s="1"/>
  <c r="J49" i="48" a="1"/>
  <c r="J49" i="48" s="1"/>
  <c r="L49" i="48" a="1"/>
  <c r="L49" i="48" s="1"/>
  <c r="M49" i="48" a="1"/>
  <c r="M49" i="48" s="1"/>
  <c r="N49" i="48" a="1"/>
  <c r="N49" i="48" s="1"/>
  <c r="O49" i="48" a="1"/>
  <c r="O49" i="48" s="1"/>
  <c r="P49" i="48" a="1"/>
  <c r="P49" i="48" s="1"/>
  <c r="J50" i="48" a="1"/>
  <c r="J50" i="48" s="1"/>
  <c r="L50" i="48" a="1"/>
  <c r="L50" i="48" s="1"/>
  <c r="M50" i="48" a="1"/>
  <c r="M50" i="48" s="1"/>
  <c r="N50" i="48" a="1"/>
  <c r="N50" i="48" s="1"/>
  <c r="O50" i="48" a="1"/>
  <c r="O50" i="48" s="1"/>
  <c r="P50" i="48" a="1"/>
  <c r="P50" i="48" s="1"/>
  <c r="J51" i="48" a="1"/>
  <c r="J51" i="48" s="1"/>
  <c r="L51" i="48" a="1"/>
  <c r="L51" i="48" s="1"/>
  <c r="M51" i="48" a="1"/>
  <c r="M51" i="48" s="1"/>
  <c r="N51" i="48" a="1"/>
  <c r="N51" i="48" s="1"/>
  <c r="O51" i="48" a="1"/>
  <c r="O51" i="48" s="1"/>
  <c r="P51" i="48" a="1"/>
  <c r="P51" i="48" s="1"/>
  <c r="J52" i="48" a="1"/>
  <c r="J52" i="48" s="1"/>
  <c r="L52" i="48" a="1"/>
  <c r="L52" i="48" s="1"/>
  <c r="M52" i="48" a="1"/>
  <c r="M52" i="48" s="1"/>
  <c r="N52" i="48" a="1"/>
  <c r="N52" i="48" s="1"/>
  <c r="O52" i="48" a="1"/>
  <c r="O52" i="48" s="1"/>
  <c r="P52" i="48" a="1"/>
  <c r="P52" i="48" s="1"/>
  <c r="J53" i="48" a="1"/>
  <c r="J53" i="48" s="1"/>
  <c r="L53" i="48" a="1"/>
  <c r="L53" i="48" s="1"/>
  <c r="M53" i="48" a="1"/>
  <c r="M53" i="48" s="1"/>
  <c r="N53" i="48" a="1"/>
  <c r="N53" i="48" s="1"/>
  <c r="O53" i="48" a="1"/>
  <c r="O53" i="48" s="1"/>
  <c r="P53" i="48" a="1"/>
  <c r="P53" i="48" s="1"/>
  <c r="J54" i="48" a="1"/>
  <c r="J54" i="48" s="1"/>
  <c r="L54" i="48" a="1"/>
  <c r="L54" i="48" s="1"/>
  <c r="M54" i="48" a="1"/>
  <c r="M54" i="48" s="1"/>
  <c r="N54" i="48" a="1"/>
  <c r="N54" i="48" s="1"/>
  <c r="O54" i="48" a="1"/>
  <c r="O54" i="48" s="1"/>
  <c r="P54" i="48" a="1"/>
  <c r="P54" i="48" s="1"/>
  <c r="J55" i="48" a="1"/>
  <c r="J55" i="48" s="1"/>
  <c r="L55" i="48" a="1"/>
  <c r="L55" i="48" s="1"/>
  <c r="M55" i="48" a="1"/>
  <c r="M55" i="48" s="1"/>
  <c r="N55" i="48" a="1"/>
  <c r="N55" i="48" s="1"/>
  <c r="O55" i="48" a="1"/>
  <c r="O55" i="48" s="1"/>
  <c r="P55" i="48" a="1"/>
  <c r="P55" i="48" s="1"/>
  <c r="J56" i="48" a="1"/>
  <c r="J56" i="48" s="1"/>
  <c r="L56" i="48" a="1"/>
  <c r="L56" i="48" s="1"/>
  <c r="M56" i="48" a="1"/>
  <c r="M56" i="48" s="1"/>
  <c r="N56" i="48" a="1"/>
  <c r="N56" i="48" s="1"/>
  <c r="O56" i="48" a="1"/>
  <c r="O56" i="48" s="1"/>
  <c r="P56" i="48" a="1"/>
  <c r="P56" i="48" s="1"/>
  <c r="J57" i="48" a="1"/>
  <c r="J57" i="48" s="1"/>
  <c r="L57" i="48" a="1"/>
  <c r="L57" i="48" s="1"/>
  <c r="M57" i="48" a="1"/>
  <c r="M57" i="48" s="1"/>
  <c r="N57" i="48" a="1"/>
  <c r="N57" i="48" s="1"/>
  <c r="O57" i="48" a="1"/>
  <c r="O57" i="48" s="1"/>
  <c r="P57" i="48" a="1"/>
  <c r="P57" i="48" s="1"/>
  <c r="J58" i="48" a="1"/>
  <c r="J58" i="48" s="1"/>
  <c r="L58" i="48" a="1"/>
  <c r="L58" i="48" s="1"/>
  <c r="M58" i="48" a="1"/>
  <c r="M58" i="48" s="1"/>
  <c r="N58" i="48" a="1"/>
  <c r="N58" i="48" s="1"/>
  <c r="O58" i="48" a="1"/>
  <c r="O58" i="48" s="1"/>
  <c r="P58" i="48" a="1"/>
  <c r="P58" i="48" s="1"/>
  <c r="J59" i="48" a="1"/>
  <c r="J59" i="48" s="1"/>
  <c r="L59" i="48" a="1"/>
  <c r="L59" i="48" s="1"/>
  <c r="M59" i="48" a="1"/>
  <c r="M59" i="48" s="1"/>
  <c r="N59" i="48" a="1"/>
  <c r="N59" i="48" s="1"/>
  <c r="O59" i="48" a="1"/>
  <c r="O59" i="48" s="1"/>
  <c r="P59" i="48" a="1"/>
  <c r="P59" i="48" s="1"/>
  <c r="J60" i="48" a="1"/>
  <c r="J60" i="48" s="1"/>
  <c r="L60" i="48" a="1"/>
  <c r="L60" i="48" s="1"/>
  <c r="M60" i="48" a="1"/>
  <c r="M60" i="48" s="1"/>
  <c r="N60" i="48" a="1"/>
  <c r="N60" i="48" s="1"/>
  <c r="O60" i="48" a="1"/>
  <c r="O60" i="48" s="1"/>
  <c r="P60" i="48" a="1"/>
  <c r="P60" i="48" s="1"/>
  <c r="J61" i="48" a="1"/>
  <c r="J61" i="48" s="1"/>
  <c r="L61" i="48" a="1"/>
  <c r="L61" i="48" s="1"/>
  <c r="M61" i="48" a="1"/>
  <c r="M61" i="48" s="1"/>
  <c r="N61" i="48" a="1"/>
  <c r="N61" i="48" s="1"/>
  <c r="O61" i="48" a="1"/>
  <c r="O61" i="48" s="1"/>
  <c r="P61" i="48" a="1"/>
  <c r="P61" i="48" s="1"/>
  <c r="J62" i="48" a="1"/>
  <c r="J62" i="48" s="1"/>
  <c r="L62" i="48" a="1"/>
  <c r="L62" i="48" s="1"/>
  <c r="M62" i="48" a="1"/>
  <c r="M62" i="48" s="1"/>
  <c r="N62" i="48" a="1"/>
  <c r="N62" i="48" s="1"/>
  <c r="O62" i="48" a="1"/>
  <c r="O62" i="48" s="1"/>
  <c r="P62" i="48" a="1"/>
  <c r="P62" i="48" s="1"/>
  <c r="J63" i="48" a="1"/>
  <c r="J63" i="48" s="1"/>
  <c r="L63" i="48" a="1"/>
  <c r="L63" i="48" s="1"/>
  <c r="M63" i="48" a="1"/>
  <c r="M63" i="48" s="1"/>
  <c r="N63" i="48" a="1"/>
  <c r="N63" i="48" s="1"/>
  <c r="O63" i="48" a="1"/>
  <c r="O63" i="48" s="1"/>
  <c r="P63" i="48" a="1"/>
  <c r="P63" i="48" s="1"/>
  <c r="J64" i="48" a="1"/>
  <c r="J64" i="48" s="1"/>
  <c r="L64" i="48" a="1"/>
  <c r="L64" i="48" s="1"/>
  <c r="M64" i="48" a="1"/>
  <c r="M64" i="48" s="1"/>
  <c r="N64" i="48" a="1"/>
  <c r="N64" i="48" s="1"/>
  <c r="O64" i="48" a="1"/>
  <c r="O64" i="48" s="1"/>
  <c r="P64" i="48" a="1"/>
  <c r="P64" i="48" s="1"/>
  <c r="J65" i="48" a="1"/>
  <c r="J65" i="48" s="1"/>
  <c r="L65" i="48" a="1"/>
  <c r="L65" i="48" s="1"/>
  <c r="M65" i="48" a="1"/>
  <c r="M65" i="48" s="1"/>
  <c r="N65" i="48" a="1"/>
  <c r="N65" i="48" s="1"/>
  <c r="O65" i="48" a="1"/>
  <c r="O65" i="48" s="1"/>
  <c r="P65" i="48" a="1"/>
  <c r="P65" i="48" s="1"/>
  <c r="J66" i="48" a="1"/>
  <c r="J66" i="48" s="1"/>
  <c r="L66" i="48" a="1"/>
  <c r="L66" i="48" s="1"/>
  <c r="M66" i="48" a="1"/>
  <c r="M66" i="48" s="1"/>
  <c r="N66" i="48" a="1"/>
  <c r="N66" i="48" s="1"/>
  <c r="O66" i="48" a="1"/>
  <c r="O66" i="48" s="1"/>
  <c r="P66" i="48" a="1"/>
  <c r="P66" i="48" s="1"/>
  <c r="J67" i="48" a="1"/>
  <c r="J67" i="48" s="1"/>
  <c r="L67" i="48" a="1"/>
  <c r="L67" i="48" s="1"/>
  <c r="M67" i="48" a="1"/>
  <c r="M67" i="48" s="1"/>
  <c r="N67" i="48" a="1"/>
  <c r="N67" i="48" s="1"/>
  <c r="O67" i="48" a="1"/>
  <c r="O67" i="48" s="1"/>
  <c r="P67" i="48" a="1"/>
  <c r="P67" i="48" s="1"/>
  <c r="J68" i="48" a="1"/>
  <c r="J68" i="48" s="1"/>
  <c r="L68" i="48" a="1"/>
  <c r="L68" i="48" s="1"/>
  <c r="M68" i="48" a="1"/>
  <c r="M68" i="48" s="1"/>
  <c r="N68" i="48" a="1"/>
  <c r="N68" i="48" s="1"/>
  <c r="O68" i="48" a="1"/>
  <c r="O68" i="48" s="1"/>
  <c r="P68" i="48" a="1"/>
  <c r="P68" i="48" s="1"/>
  <c r="J69" i="48" a="1"/>
  <c r="J69" i="48" s="1"/>
  <c r="L69" i="48" a="1"/>
  <c r="L69" i="48" s="1"/>
  <c r="M69" i="48" a="1"/>
  <c r="M69" i="48" s="1"/>
  <c r="N69" i="48" a="1"/>
  <c r="N69" i="48" s="1"/>
  <c r="O69" i="48" a="1"/>
  <c r="O69" i="48" s="1"/>
  <c r="P69" i="48" a="1"/>
  <c r="P69" i="48" s="1"/>
  <c r="J70" i="48" a="1"/>
  <c r="J70" i="48" s="1"/>
  <c r="L70" i="48" a="1"/>
  <c r="L70" i="48" s="1"/>
  <c r="M70" i="48" a="1"/>
  <c r="M70" i="48" s="1"/>
  <c r="N70" i="48" a="1"/>
  <c r="N70" i="48" s="1"/>
  <c r="O70" i="48" a="1"/>
  <c r="O70" i="48" s="1"/>
  <c r="P70" i="48" a="1"/>
  <c r="P70" i="48" s="1"/>
  <c r="J71" i="48" a="1"/>
  <c r="J71" i="48" s="1"/>
  <c r="L71" i="48" a="1"/>
  <c r="L71" i="48" s="1"/>
  <c r="M71" i="48" a="1"/>
  <c r="M71" i="48" s="1"/>
  <c r="N71" i="48" a="1"/>
  <c r="N71" i="48" s="1"/>
  <c r="O71" i="48" a="1"/>
  <c r="O71" i="48" s="1"/>
  <c r="P71" i="48" a="1"/>
  <c r="P71" i="48" s="1"/>
  <c r="J72" i="48" a="1"/>
  <c r="J72" i="48" s="1"/>
  <c r="L72" i="48" a="1"/>
  <c r="L72" i="48" s="1"/>
  <c r="M72" i="48" a="1"/>
  <c r="M72" i="48" s="1"/>
  <c r="N72" i="48" a="1"/>
  <c r="N72" i="48" s="1"/>
  <c r="O72" i="48" a="1"/>
  <c r="O72" i="48" s="1"/>
  <c r="P72" i="48" a="1"/>
  <c r="P72" i="48" s="1"/>
  <c r="J73" i="48" a="1"/>
  <c r="J73" i="48" s="1"/>
  <c r="L73" i="48" a="1"/>
  <c r="L73" i="48" s="1"/>
  <c r="M73" i="48" a="1"/>
  <c r="M73" i="48" s="1"/>
  <c r="N73" i="48" a="1"/>
  <c r="N73" i="48" s="1"/>
  <c r="O73" i="48" a="1"/>
  <c r="O73" i="48" s="1"/>
  <c r="P73" i="48" a="1"/>
  <c r="P73" i="48" s="1"/>
  <c r="J74" i="48" a="1"/>
  <c r="J74" i="48" s="1"/>
  <c r="L74" i="48" a="1"/>
  <c r="L74" i="48" s="1"/>
  <c r="M74" i="48" a="1"/>
  <c r="M74" i="48" s="1"/>
  <c r="N74" i="48" a="1"/>
  <c r="N74" i="48" s="1"/>
  <c r="O74" i="48" a="1"/>
  <c r="O74" i="48" s="1"/>
  <c r="P74" i="48" a="1"/>
  <c r="P74" i="48" s="1"/>
  <c r="J75" i="48" a="1"/>
  <c r="J75" i="48" s="1"/>
  <c r="L75" i="48" a="1"/>
  <c r="L75" i="48" s="1"/>
  <c r="M75" i="48" a="1"/>
  <c r="M75" i="48" s="1"/>
  <c r="N75" i="48" a="1"/>
  <c r="N75" i="48" s="1"/>
  <c r="O75" i="48" a="1"/>
  <c r="O75" i="48" s="1"/>
  <c r="P75" i="48" a="1"/>
  <c r="P75" i="48" s="1"/>
  <c r="J76" i="48" a="1"/>
  <c r="J76" i="48" s="1"/>
  <c r="L76" i="48" a="1"/>
  <c r="L76" i="48" s="1"/>
  <c r="M76" i="48" a="1"/>
  <c r="M76" i="48" s="1"/>
  <c r="N76" i="48" a="1"/>
  <c r="N76" i="48" s="1"/>
  <c r="O76" i="48" a="1"/>
  <c r="O76" i="48" s="1"/>
  <c r="P76" i="48" a="1"/>
  <c r="P76" i="48" s="1"/>
  <c r="J77" i="48" a="1"/>
  <c r="J77" i="48" s="1"/>
  <c r="L77" i="48" a="1"/>
  <c r="L77" i="48" s="1"/>
  <c r="M77" i="48" a="1"/>
  <c r="M77" i="48" s="1"/>
  <c r="N77" i="48" a="1"/>
  <c r="N77" i="48" s="1"/>
  <c r="O77" i="48" a="1"/>
  <c r="O77" i="48" s="1"/>
  <c r="P77" i="48" a="1"/>
  <c r="P77" i="48" s="1"/>
  <c r="J78" i="48" a="1"/>
  <c r="J78" i="48" s="1"/>
  <c r="L78" i="48" a="1"/>
  <c r="L78" i="48" s="1"/>
  <c r="M78" i="48" a="1"/>
  <c r="M78" i="48" s="1"/>
  <c r="N78" i="48" a="1"/>
  <c r="N78" i="48" s="1"/>
  <c r="O78" i="48" a="1"/>
  <c r="O78" i="48" s="1"/>
  <c r="P78" i="48" a="1"/>
  <c r="P78" i="48" s="1"/>
  <c r="J79" i="48" a="1"/>
  <c r="J79" i="48" s="1"/>
  <c r="L79" i="48" a="1"/>
  <c r="L79" i="48" s="1"/>
  <c r="M79" i="48" a="1"/>
  <c r="M79" i="48" s="1"/>
  <c r="N79" i="48" a="1"/>
  <c r="N79" i="48" s="1"/>
  <c r="O79" i="48" a="1"/>
  <c r="O79" i="48" s="1"/>
  <c r="P79" i="48" a="1"/>
  <c r="P79" i="48" s="1"/>
  <c r="J80" i="48" a="1"/>
  <c r="J80" i="48" s="1"/>
  <c r="L80" i="48" a="1"/>
  <c r="L80" i="48" s="1"/>
  <c r="M80" i="48" a="1"/>
  <c r="M80" i="48" s="1"/>
  <c r="N80" i="48" a="1"/>
  <c r="N80" i="48" s="1"/>
  <c r="O80" i="48" a="1"/>
  <c r="O80" i="48" s="1"/>
  <c r="P80" i="48" a="1"/>
  <c r="P80" i="48" s="1"/>
  <c r="J81" i="48" a="1"/>
  <c r="J81" i="48" s="1"/>
  <c r="L81" i="48" a="1"/>
  <c r="L81" i="48" s="1"/>
  <c r="M81" i="48" a="1"/>
  <c r="M81" i="48" s="1"/>
  <c r="N81" i="48" a="1"/>
  <c r="N81" i="48" s="1"/>
  <c r="O81" i="48" a="1"/>
  <c r="O81" i="48" s="1"/>
  <c r="P81" i="48" a="1"/>
  <c r="P81" i="48" s="1"/>
  <c r="J82" i="48" a="1"/>
  <c r="J82" i="48" s="1"/>
  <c r="L82" i="48" a="1"/>
  <c r="L82" i="48" s="1"/>
  <c r="M82" i="48" a="1"/>
  <c r="M82" i="48" s="1"/>
  <c r="N82" i="48" a="1"/>
  <c r="N82" i="48" s="1"/>
  <c r="O82" i="48" a="1"/>
  <c r="O82" i="48" s="1"/>
  <c r="P82" i="48" a="1"/>
  <c r="P82" i="48" s="1"/>
  <c r="J83" i="48" a="1"/>
  <c r="J83" i="48" s="1"/>
  <c r="L83" i="48" a="1"/>
  <c r="L83" i="48" s="1"/>
  <c r="M83" i="48" a="1"/>
  <c r="M83" i="48" s="1"/>
  <c r="N83" i="48" a="1"/>
  <c r="N83" i="48" s="1"/>
  <c r="O83" i="48" a="1"/>
  <c r="O83" i="48" s="1"/>
  <c r="P83" i="48" a="1"/>
  <c r="P83" i="48" s="1"/>
  <c r="J84" i="48" a="1"/>
  <c r="J84" i="48" s="1"/>
  <c r="L84" i="48" a="1"/>
  <c r="L84" i="48" s="1"/>
  <c r="M84" i="48" a="1"/>
  <c r="M84" i="48" s="1"/>
  <c r="N84" i="48" a="1"/>
  <c r="N84" i="48" s="1"/>
  <c r="O84" i="48" a="1"/>
  <c r="O84" i="48" s="1"/>
  <c r="P84" i="48" a="1"/>
  <c r="P84" i="48" s="1"/>
  <c r="J85" i="48" a="1"/>
  <c r="J85" i="48" s="1"/>
  <c r="L85" i="48" a="1"/>
  <c r="L85" i="48" s="1"/>
  <c r="M85" i="48" a="1"/>
  <c r="M85" i="48" s="1"/>
  <c r="N85" i="48" a="1"/>
  <c r="N85" i="48" s="1"/>
  <c r="O85" i="48" a="1"/>
  <c r="O85" i="48" s="1"/>
  <c r="P85" i="48" a="1"/>
  <c r="P85" i="48" s="1"/>
  <c r="J86" i="48" a="1"/>
  <c r="J86" i="48" s="1"/>
  <c r="L86" i="48" a="1"/>
  <c r="L86" i="48" s="1"/>
  <c r="M86" i="48" a="1"/>
  <c r="M86" i="48" s="1"/>
  <c r="N86" i="48" a="1"/>
  <c r="N86" i="48" s="1"/>
  <c r="O86" i="48" a="1"/>
  <c r="O86" i="48" s="1"/>
  <c r="P86" i="48" a="1"/>
  <c r="P86" i="48" s="1"/>
  <c r="J87" i="48" a="1"/>
  <c r="J87" i="48" s="1"/>
  <c r="L87" i="48" a="1"/>
  <c r="L87" i="48" s="1"/>
  <c r="M87" i="48" a="1"/>
  <c r="M87" i="48" s="1"/>
  <c r="N87" i="48" a="1"/>
  <c r="N87" i="48" s="1"/>
  <c r="O87" i="48" a="1"/>
  <c r="O87" i="48" s="1"/>
  <c r="P87" i="48" a="1"/>
  <c r="P87" i="48" s="1"/>
  <c r="J88" i="48" a="1"/>
  <c r="J88" i="48" s="1"/>
  <c r="L88" i="48" a="1"/>
  <c r="L88" i="48" s="1"/>
  <c r="M88" i="48" a="1"/>
  <c r="M88" i="48" s="1"/>
  <c r="N88" i="48" a="1"/>
  <c r="N88" i="48" s="1"/>
  <c r="O88" i="48" a="1"/>
  <c r="O88" i="48" s="1"/>
  <c r="P88" i="48" a="1"/>
  <c r="P88" i="48" s="1"/>
  <c r="J89" i="48" a="1"/>
  <c r="J89" i="48" s="1"/>
  <c r="L89" i="48" a="1"/>
  <c r="L89" i="48" s="1"/>
  <c r="M89" i="48" a="1"/>
  <c r="M89" i="48" s="1"/>
  <c r="N89" i="48" a="1"/>
  <c r="N89" i="48" s="1"/>
  <c r="O89" i="48" a="1"/>
  <c r="O89" i="48" s="1"/>
  <c r="P89" i="48" a="1"/>
  <c r="P89" i="48" s="1"/>
  <c r="J90" i="48" a="1"/>
  <c r="J90" i="48" s="1"/>
  <c r="L90" i="48" a="1"/>
  <c r="L90" i="48" s="1"/>
  <c r="M90" i="48" a="1"/>
  <c r="M90" i="48" s="1"/>
  <c r="N90" i="48" a="1"/>
  <c r="N90" i="48" s="1"/>
  <c r="O90" i="48" a="1"/>
  <c r="O90" i="48" s="1"/>
  <c r="P90" i="48" a="1"/>
  <c r="P90" i="48" s="1"/>
  <c r="J91" i="48" a="1"/>
  <c r="J91" i="48" s="1"/>
  <c r="L91" i="48" a="1"/>
  <c r="L91" i="48" s="1"/>
  <c r="M91" i="48" a="1"/>
  <c r="M91" i="48" s="1"/>
  <c r="N91" i="48" a="1"/>
  <c r="N91" i="48" s="1"/>
  <c r="O91" i="48" a="1"/>
  <c r="O91" i="48" s="1"/>
  <c r="P91" i="48" a="1"/>
  <c r="P91" i="48" s="1"/>
  <c r="J92" i="48" a="1"/>
  <c r="J92" i="48" s="1"/>
  <c r="L92" i="48" a="1"/>
  <c r="L92" i="48" s="1"/>
  <c r="M92" i="48" a="1"/>
  <c r="M92" i="48" s="1"/>
  <c r="N92" i="48" a="1"/>
  <c r="N92" i="48" s="1"/>
  <c r="O92" i="48" a="1"/>
  <c r="O92" i="48" s="1"/>
  <c r="P92" i="48" a="1"/>
  <c r="P92" i="48" s="1"/>
  <c r="J93" i="48" a="1"/>
  <c r="J93" i="48" s="1"/>
  <c r="L93" i="48" a="1"/>
  <c r="L93" i="48" s="1"/>
  <c r="M93" i="48" a="1"/>
  <c r="M93" i="48" s="1"/>
  <c r="N93" i="48" a="1"/>
  <c r="N93" i="48" s="1"/>
  <c r="O93" i="48" a="1"/>
  <c r="O93" i="48" s="1"/>
  <c r="P93" i="48" a="1"/>
  <c r="P93" i="48" s="1"/>
  <c r="J94" i="48" a="1"/>
  <c r="J94" i="48" s="1"/>
  <c r="L94" i="48" a="1"/>
  <c r="L94" i="48" s="1"/>
  <c r="M94" i="48" a="1"/>
  <c r="M94" i="48" s="1"/>
  <c r="N94" i="48" a="1"/>
  <c r="N94" i="48" s="1"/>
  <c r="O94" i="48" a="1"/>
  <c r="O94" i="48" s="1"/>
  <c r="P94" i="48" a="1"/>
  <c r="P94" i="48" s="1"/>
  <c r="J95" i="48" a="1"/>
  <c r="J95" i="48" s="1"/>
  <c r="L95" i="48" a="1"/>
  <c r="L95" i="48" s="1"/>
  <c r="M95" i="48" a="1"/>
  <c r="M95" i="48" s="1"/>
  <c r="N95" i="48" a="1"/>
  <c r="N95" i="48" s="1"/>
  <c r="O95" i="48" a="1"/>
  <c r="O95" i="48" s="1"/>
  <c r="P95" i="48" a="1"/>
  <c r="P95" i="48" s="1"/>
  <c r="J96" i="48" a="1"/>
  <c r="J96" i="48" s="1"/>
  <c r="L96" i="48" a="1"/>
  <c r="L96" i="48" s="1"/>
  <c r="M96" i="48" a="1"/>
  <c r="M96" i="48" s="1"/>
  <c r="N96" i="48" a="1"/>
  <c r="N96" i="48" s="1"/>
  <c r="O96" i="48" a="1"/>
  <c r="O96" i="48" s="1"/>
  <c r="P96" i="48" a="1"/>
  <c r="P96" i="48" s="1"/>
  <c r="J97" i="48" a="1"/>
  <c r="J97" i="48" s="1"/>
  <c r="L97" i="48" a="1"/>
  <c r="L97" i="48" s="1"/>
  <c r="M97" i="48" a="1"/>
  <c r="M97" i="48" s="1"/>
  <c r="N97" i="48" a="1"/>
  <c r="N97" i="48" s="1"/>
  <c r="O97" i="48" a="1"/>
  <c r="O97" i="48" s="1"/>
  <c r="P97" i="48" a="1"/>
  <c r="P97" i="48" s="1"/>
  <c r="J98" i="48" a="1"/>
  <c r="J98" i="48" s="1"/>
  <c r="L98" i="48" a="1"/>
  <c r="L98" i="48" s="1"/>
  <c r="M98" i="48" a="1"/>
  <c r="M98" i="48" s="1"/>
  <c r="N98" i="48" a="1"/>
  <c r="N98" i="48" s="1"/>
  <c r="O98" i="48" a="1"/>
  <c r="O98" i="48" s="1"/>
  <c r="P98" i="48" a="1"/>
  <c r="P98" i="48" s="1"/>
  <c r="J99" i="48" a="1"/>
  <c r="J99" i="48" s="1"/>
  <c r="L99" i="48" a="1"/>
  <c r="L99" i="48" s="1"/>
  <c r="M99" i="48" a="1"/>
  <c r="M99" i="48" s="1"/>
  <c r="N99" i="48" a="1"/>
  <c r="N99" i="48" s="1"/>
  <c r="O99" i="48" a="1"/>
  <c r="O99" i="48" s="1"/>
  <c r="P99" i="48" a="1"/>
  <c r="P99" i="48" s="1"/>
  <c r="J100" i="48" a="1"/>
  <c r="J100" i="48" s="1"/>
  <c r="L100" i="48" a="1"/>
  <c r="L100" i="48" s="1"/>
  <c r="M100" i="48" a="1"/>
  <c r="M100" i="48" s="1"/>
  <c r="N100" i="48" a="1"/>
  <c r="N100" i="48" s="1"/>
  <c r="O100" i="48" a="1"/>
  <c r="O100" i="48" s="1"/>
  <c r="P100" i="48" a="1"/>
  <c r="P100" i="48" s="1"/>
  <c r="J101" i="48" a="1"/>
  <c r="J101" i="48" s="1"/>
  <c r="L101" i="48" a="1"/>
  <c r="L101" i="48" s="1"/>
  <c r="M101" i="48" a="1"/>
  <c r="M101" i="48" s="1"/>
  <c r="N101" i="48" a="1"/>
  <c r="N101" i="48" s="1"/>
  <c r="O101" i="48" a="1"/>
  <c r="O101" i="48" s="1"/>
  <c r="P101" i="48" a="1"/>
  <c r="P101" i="48" s="1"/>
  <c r="J102" i="48" a="1"/>
  <c r="J102" i="48" s="1"/>
  <c r="L102" i="48" a="1"/>
  <c r="L102" i="48" s="1"/>
  <c r="M102" i="48" a="1"/>
  <c r="M102" i="48" s="1"/>
  <c r="N102" i="48" a="1"/>
  <c r="N102" i="48" s="1"/>
  <c r="O102" i="48" a="1"/>
  <c r="O102" i="48" s="1"/>
  <c r="P102" i="48" a="1"/>
  <c r="P102" i="48" s="1"/>
  <c r="J103" i="48" a="1"/>
  <c r="J103" i="48" s="1"/>
  <c r="L103" i="48" a="1"/>
  <c r="L103" i="48" s="1"/>
  <c r="M103" i="48" a="1"/>
  <c r="M103" i="48" s="1"/>
  <c r="N103" i="48" a="1"/>
  <c r="N103" i="48" s="1"/>
  <c r="O103" i="48" a="1"/>
  <c r="O103" i="48" s="1"/>
  <c r="P103" i="48" a="1"/>
  <c r="P103" i="48" s="1"/>
  <c r="J104" i="48" a="1"/>
  <c r="J104" i="48" s="1"/>
  <c r="L104" i="48" a="1"/>
  <c r="L104" i="48" s="1"/>
  <c r="M104" i="48" a="1"/>
  <c r="M104" i="48" s="1"/>
  <c r="N104" i="48" a="1"/>
  <c r="N104" i="48" s="1"/>
  <c r="O104" i="48" a="1"/>
  <c r="O104" i="48" s="1"/>
  <c r="P104" i="48" a="1"/>
  <c r="P104" i="48" s="1"/>
  <c r="J105" i="48" a="1"/>
  <c r="J105" i="48" s="1"/>
  <c r="L105" i="48" a="1"/>
  <c r="L105" i="48" s="1"/>
  <c r="M105" i="48" a="1"/>
  <c r="M105" i="48" s="1"/>
  <c r="N105" i="48" a="1"/>
  <c r="N105" i="48" s="1"/>
  <c r="O105" i="48" a="1"/>
  <c r="O105" i="48" s="1"/>
  <c r="P105" i="48" a="1"/>
  <c r="P105" i="48" s="1"/>
  <c r="J106" i="48" a="1"/>
  <c r="J106" i="48" s="1"/>
  <c r="L106" i="48" a="1"/>
  <c r="L106" i="48" s="1"/>
  <c r="M106" i="48" a="1"/>
  <c r="M106" i="48" s="1"/>
  <c r="N106" i="48" a="1"/>
  <c r="N106" i="48" s="1"/>
  <c r="O106" i="48" a="1"/>
  <c r="O106" i="48" s="1"/>
  <c r="P106" i="48" a="1"/>
  <c r="P106" i="48" s="1"/>
  <c r="J107" i="48" a="1"/>
  <c r="J107" i="48" s="1"/>
  <c r="L107" i="48" a="1"/>
  <c r="L107" i="48" s="1"/>
  <c r="M107" i="48" a="1"/>
  <c r="M107" i="48" s="1"/>
  <c r="N107" i="48" a="1"/>
  <c r="N107" i="48" s="1"/>
  <c r="O107" i="48" a="1"/>
  <c r="O107" i="48" s="1"/>
  <c r="P107" i="48" a="1"/>
  <c r="P107" i="48" s="1"/>
  <c r="J108" i="48" a="1"/>
  <c r="J108" i="48" s="1"/>
  <c r="L108" i="48" a="1"/>
  <c r="L108" i="48" s="1"/>
  <c r="M108" i="48" a="1"/>
  <c r="M108" i="48" s="1"/>
  <c r="N108" i="48" a="1"/>
  <c r="N108" i="48" s="1"/>
  <c r="O108" i="48" a="1"/>
  <c r="O108" i="48" s="1"/>
  <c r="P108" i="48" a="1"/>
  <c r="P108" i="48" s="1"/>
  <c r="J109" i="48" a="1"/>
  <c r="J109" i="48" s="1"/>
  <c r="L109" i="48" a="1"/>
  <c r="L109" i="48" s="1"/>
  <c r="M109" i="48" a="1"/>
  <c r="M109" i="48" s="1"/>
  <c r="N109" i="48" a="1"/>
  <c r="N109" i="48" s="1"/>
  <c r="O109" i="48" a="1"/>
  <c r="O109" i="48" s="1"/>
  <c r="P109" i="48" a="1"/>
  <c r="P109" i="48" s="1"/>
  <c r="J110" i="48" a="1"/>
  <c r="J110" i="48" s="1"/>
  <c r="L110" i="48" a="1"/>
  <c r="L110" i="48" s="1"/>
  <c r="M110" i="48" a="1"/>
  <c r="M110" i="48" s="1"/>
  <c r="N110" i="48" a="1"/>
  <c r="N110" i="48" s="1"/>
  <c r="O110" i="48" a="1"/>
  <c r="O110" i="48" s="1"/>
  <c r="P110" i="48" a="1"/>
  <c r="P110" i="48" s="1"/>
  <c r="J111" i="48" a="1"/>
  <c r="J111" i="48" s="1"/>
  <c r="L111" i="48" a="1"/>
  <c r="L111" i="48" s="1"/>
  <c r="M111" i="48" a="1"/>
  <c r="M111" i="48" s="1"/>
  <c r="N111" i="48" a="1"/>
  <c r="N111" i="48" s="1"/>
  <c r="O111" i="48" a="1"/>
  <c r="O111" i="48" s="1"/>
  <c r="P111" i="48" a="1"/>
  <c r="P111" i="48" s="1"/>
  <c r="J112" i="48" a="1"/>
  <c r="J112" i="48" s="1"/>
  <c r="L112" i="48" a="1"/>
  <c r="L112" i="48" s="1"/>
  <c r="M112" i="48" a="1"/>
  <c r="M112" i="48" s="1"/>
  <c r="N112" i="48" a="1"/>
  <c r="N112" i="48" s="1"/>
  <c r="O112" i="48" a="1"/>
  <c r="O112" i="48" s="1"/>
  <c r="P112" i="48" a="1"/>
  <c r="P112" i="48" s="1"/>
  <c r="J113" i="48" a="1"/>
  <c r="J113" i="48" s="1"/>
  <c r="L113" i="48" a="1"/>
  <c r="L113" i="48" s="1"/>
  <c r="M113" i="48" a="1"/>
  <c r="M113" i="48" s="1"/>
  <c r="N113" i="48" a="1"/>
  <c r="N113" i="48" s="1"/>
  <c r="O113" i="48" a="1"/>
  <c r="O113" i="48" s="1"/>
  <c r="P113" i="48" a="1"/>
  <c r="P113" i="48" s="1"/>
  <c r="J114" i="48" a="1"/>
  <c r="J114" i="48" s="1"/>
  <c r="L114" i="48" a="1"/>
  <c r="L114" i="48" s="1"/>
  <c r="M114" i="48" a="1"/>
  <c r="M114" i="48" s="1"/>
  <c r="N114" i="48" a="1"/>
  <c r="N114" i="48" s="1"/>
  <c r="O114" i="48" a="1"/>
  <c r="O114" i="48" s="1"/>
  <c r="P114" i="48" a="1"/>
  <c r="P114" i="48" s="1"/>
  <c r="J115" i="48" a="1"/>
  <c r="J115" i="48" s="1"/>
  <c r="L115" i="48" a="1"/>
  <c r="L115" i="48" s="1"/>
  <c r="M115" i="48" a="1"/>
  <c r="M115" i="48" s="1"/>
  <c r="N115" i="48" a="1"/>
  <c r="N115" i="48" s="1"/>
  <c r="O115" i="48" a="1"/>
  <c r="O115" i="48" s="1"/>
  <c r="P115" i="48" a="1"/>
  <c r="P115" i="48" s="1"/>
  <c r="J116" i="48" a="1"/>
  <c r="J116" i="48" s="1"/>
  <c r="L116" i="48" a="1"/>
  <c r="L116" i="48" s="1"/>
  <c r="M116" i="48" a="1"/>
  <c r="M116" i="48" s="1"/>
  <c r="N116" i="48" a="1"/>
  <c r="N116" i="48" s="1"/>
  <c r="O116" i="48" a="1"/>
  <c r="O116" i="48" s="1"/>
  <c r="P116" i="48" a="1"/>
  <c r="P116" i="48" s="1"/>
  <c r="J117" i="48" a="1"/>
  <c r="J117" i="48" s="1"/>
  <c r="L117" i="48" a="1"/>
  <c r="L117" i="48" s="1"/>
  <c r="M117" i="48" a="1"/>
  <c r="M117" i="48" s="1"/>
  <c r="N117" i="48" a="1"/>
  <c r="N117" i="48" s="1"/>
  <c r="O117" i="48" a="1"/>
  <c r="O117" i="48" s="1"/>
  <c r="P117" i="48" a="1"/>
  <c r="P117" i="48" s="1"/>
  <c r="J118" i="48" a="1"/>
  <c r="J118" i="48" s="1"/>
  <c r="L118" i="48" a="1"/>
  <c r="L118" i="48" s="1"/>
  <c r="M118" i="48" a="1"/>
  <c r="M118" i="48" s="1"/>
  <c r="N118" i="48" a="1"/>
  <c r="N118" i="48" s="1"/>
  <c r="O118" i="48" a="1"/>
  <c r="O118" i="48" s="1"/>
  <c r="P118" i="48" a="1"/>
  <c r="P118" i="48" s="1"/>
  <c r="J119" i="48" a="1"/>
  <c r="J119" i="48" s="1"/>
  <c r="L119" i="48" a="1"/>
  <c r="L119" i="48" s="1"/>
  <c r="M119" i="48" a="1"/>
  <c r="M119" i="48" s="1"/>
  <c r="N119" i="48" a="1"/>
  <c r="N119" i="48" s="1"/>
  <c r="O119" i="48" a="1"/>
  <c r="O119" i="48" s="1"/>
  <c r="P119" i="48" a="1"/>
  <c r="P119" i="48" s="1"/>
  <c r="J120" i="48" a="1"/>
  <c r="J120" i="48" s="1"/>
  <c r="L120" i="48" a="1"/>
  <c r="L120" i="48" s="1"/>
  <c r="M120" i="48" a="1"/>
  <c r="M120" i="48" s="1"/>
  <c r="N120" i="48" a="1"/>
  <c r="N120" i="48" s="1"/>
  <c r="O120" i="48" a="1"/>
  <c r="O120" i="48" s="1"/>
  <c r="P120" i="48" a="1"/>
  <c r="P120" i="48" s="1"/>
  <c r="J121" i="48" a="1"/>
  <c r="J121" i="48" s="1"/>
  <c r="L121" i="48" a="1"/>
  <c r="L121" i="48" s="1"/>
  <c r="M121" i="48" a="1"/>
  <c r="M121" i="48" s="1"/>
  <c r="N121" i="48" a="1"/>
  <c r="N121" i="48" s="1"/>
  <c r="O121" i="48" a="1"/>
  <c r="O121" i="48" s="1"/>
  <c r="P121" i="48" a="1"/>
  <c r="P121" i="48" s="1"/>
  <c r="J122" i="48" a="1"/>
  <c r="J122" i="48" s="1"/>
  <c r="L122" i="48" a="1"/>
  <c r="L122" i="48" s="1"/>
  <c r="M122" i="48" a="1"/>
  <c r="M122" i="48" s="1"/>
  <c r="N122" i="48" a="1"/>
  <c r="N122" i="48" s="1"/>
  <c r="O122" i="48" a="1"/>
  <c r="O122" i="48" s="1"/>
  <c r="P122" i="48" a="1"/>
  <c r="P122" i="48" s="1"/>
  <c r="J123" i="48" a="1"/>
  <c r="J123" i="48" s="1"/>
  <c r="L123" i="48" a="1"/>
  <c r="L123" i="48" s="1"/>
  <c r="M123" i="48" a="1"/>
  <c r="M123" i="48" s="1"/>
  <c r="N123" i="48" a="1"/>
  <c r="N123" i="48" s="1"/>
  <c r="O123" i="48" a="1"/>
  <c r="O123" i="48" s="1"/>
  <c r="P123" i="48" a="1"/>
  <c r="P123" i="48" s="1"/>
  <c r="J124" i="48" a="1"/>
  <c r="J124" i="48" s="1"/>
  <c r="L124" i="48" a="1"/>
  <c r="L124" i="48" s="1"/>
  <c r="M124" i="48" a="1"/>
  <c r="M124" i="48" s="1"/>
  <c r="N124" i="48" a="1"/>
  <c r="N124" i="48" s="1"/>
  <c r="O124" i="48" a="1"/>
  <c r="O124" i="48" s="1"/>
  <c r="P124" i="48" a="1"/>
  <c r="P124" i="48" s="1"/>
  <c r="J125" i="48" a="1"/>
  <c r="J125" i="48" s="1"/>
  <c r="L125" i="48" a="1"/>
  <c r="L125" i="48" s="1"/>
  <c r="M125" i="48" a="1"/>
  <c r="M125" i="48" s="1"/>
  <c r="N125" i="48" a="1"/>
  <c r="N125" i="48" s="1"/>
  <c r="O125" i="48" a="1"/>
  <c r="O125" i="48" s="1"/>
  <c r="P125" i="48" a="1"/>
  <c r="P125" i="48" s="1"/>
  <c r="J126" i="48" a="1"/>
  <c r="J126" i="48" s="1"/>
  <c r="L126" i="48" a="1"/>
  <c r="L126" i="48" s="1"/>
  <c r="M126" i="48" a="1"/>
  <c r="M126" i="48" s="1"/>
  <c r="N126" i="48" a="1"/>
  <c r="N126" i="48" s="1"/>
  <c r="O126" i="48" a="1"/>
  <c r="O126" i="48" s="1"/>
  <c r="P126" i="48" a="1"/>
  <c r="P126" i="48" s="1"/>
  <c r="J127" i="48" a="1"/>
  <c r="J127" i="48" s="1"/>
  <c r="L127" i="48" a="1"/>
  <c r="L127" i="48" s="1"/>
  <c r="M127" i="48" a="1"/>
  <c r="M127" i="48" s="1"/>
  <c r="N127" i="48" a="1"/>
  <c r="N127" i="48" s="1"/>
  <c r="O127" i="48" a="1"/>
  <c r="O127" i="48" s="1"/>
  <c r="P127" i="48" a="1"/>
  <c r="P127" i="48" s="1"/>
  <c r="J128" i="48" a="1"/>
  <c r="J128" i="48" s="1"/>
  <c r="L128" i="48" a="1"/>
  <c r="L128" i="48" s="1"/>
  <c r="M128" i="48" a="1"/>
  <c r="M128" i="48" s="1"/>
  <c r="N128" i="48" a="1"/>
  <c r="N128" i="48" s="1"/>
  <c r="O128" i="48" a="1"/>
  <c r="O128" i="48" s="1"/>
  <c r="P128" i="48" a="1"/>
  <c r="P128" i="48" s="1"/>
  <c r="J129" i="48" a="1"/>
  <c r="J129" i="48" s="1"/>
  <c r="L129" i="48" a="1"/>
  <c r="L129" i="48" s="1"/>
  <c r="M129" i="48" a="1"/>
  <c r="M129" i="48" s="1"/>
  <c r="N129" i="48" a="1"/>
  <c r="N129" i="48" s="1"/>
  <c r="O129" i="48" a="1"/>
  <c r="O129" i="48" s="1"/>
  <c r="P129" i="48" a="1"/>
  <c r="P129" i="48" s="1"/>
  <c r="J130" i="48" a="1"/>
  <c r="J130" i="48" s="1"/>
  <c r="L130" i="48" a="1"/>
  <c r="L130" i="48" s="1"/>
  <c r="M130" i="48" a="1"/>
  <c r="M130" i="48" s="1"/>
  <c r="N130" i="48" a="1"/>
  <c r="N130" i="48" s="1"/>
  <c r="O130" i="48" a="1"/>
  <c r="O130" i="48" s="1"/>
  <c r="P130" i="48" a="1"/>
  <c r="P130" i="48" s="1"/>
  <c r="J131" i="48" a="1"/>
  <c r="J131" i="48" s="1"/>
  <c r="L131" i="48" a="1"/>
  <c r="L131" i="48" s="1"/>
  <c r="M131" i="48" a="1"/>
  <c r="M131" i="48" s="1"/>
  <c r="N131" i="48" a="1"/>
  <c r="N131" i="48" s="1"/>
  <c r="O131" i="48" a="1"/>
  <c r="O131" i="48" s="1"/>
  <c r="P131" i="48" a="1"/>
  <c r="P131" i="48" s="1"/>
  <c r="J132" i="48" a="1"/>
  <c r="J132" i="48" s="1"/>
  <c r="L132" i="48" a="1"/>
  <c r="L132" i="48" s="1"/>
  <c r="M132" i="48" a="1"/>
  <c r="M132" i="48" s="1"/>
  <c r="N132" i="48" a="1"/>
  <c r="N132" i="48" s="1"/>
  <c r="O132" i="48" a="1"/>
  <c r="O132" i="48" s="1"/>
  <c r="P132" i="48" a="1"/>
  <c r="P132" i="48" s="1"/>
  <c r="J133" i="48" a="1"/>
  <c r="J133" i="48" s="1"/>
  <c r="L133" i="48" a="1"/>
  <c r="L133" i="48" s="1"/>
  <c r="M133" i="48" a="1"/>
  <c r="M133" i="48" s="1"/>
  <c r="N133" i="48" a="1"/>
  <c r="N133" i="48" s="1"/>
  <c r="O133" i="48" a="1"/>
  <c r="O133" i="48" s="1"/>
  <c r="P133" i="48" a="1"/>
  <c r="P133" i="48" s="1"/>
  <c r="J134" i="48" a="1"/>
  <c r="J134" i="48" s="1"/>
  <c r="L134" i="48" a="1"/>
  <c r="L134" i="48" s="1"/>
  <c r="M134" i="48" a="1"/>
  <c r="M134" i="48" s="1"/>
  <c r="N134" i="48" a="1"/>
  <c r="N134" i="48" s="1"/>
  <c r="O134" i="48" a="1"/>
  <c r="O134" i="48" s="1"/>
  <c r="P134" i="48" a="1"/>
  <c r="P134" i="48" s="1"/>
  <c r="J135" i="48" a="1"/>
  <c r="J135" i="48" s="1"/>
  <c r="L135" i="48" a="1"/>
  <c r="L135" i="48" s="1"/>
  <c r="M135" i="48" a="1"/>
  <c r="M135" i="48" s="1"/>
  <c r="N135" i="48" a="1"/>
  <c r="N135" i="48" s="1"/>
  <c r="O135" i="48" a="1"/>
  <c r="O135" i="48" s="1"/>
  <c r="P135" i="48" a="1"/>
  <c r="P135" i="48" s="1"/>
  <c r="J136" i="48" a="1"/>
  <c r="J136" i="48" s="1"/>
  <c r="L136" i="48" a="1"/>
  <c r="L136" i="48" s="1"/>
  <c r="M136" i="48" a="1"/>
  <c r="M136" i="48" s="1"/>
  <c r="N136" i="48" a="1"/>
  <c r="N136" i="48" s="1"/>
  <c r="O136" i="48" a="1"/>
  <c r="O136" i="48" s="1"/>
  <c r="P136" i="48" a="1"/>
  <c r="P136" i="48" s="1"/>
  <c r="J137" i="48" a="1"/>
  <c r="J137" i="48" s="1"/>
  <c r="L137" i="48" a="1"/>
  <c r="L137" i="48" s="1"/>
  <c r="M137" i="48" a="1"/>
  <c r="M137" i="48" s="1"/>
  <c r="N137" i="48" a="1"/>
  <c r="N137" i="48" s="1"/>
  <c r="O137" i="48" a="1"/>
  <c r="O137" i="48" s="1"/>
  <c r="P137" i="48" a="1"/>
  <c r="P137" i="48" s="1"/>
  <c r="J138" i="48" a="1"/>
  <c r="J138" i="48" s="1"/>
  <c r="L138" i="48" a="1"/>
  <c r="L138" i="48" s="1"/>
  <c r="M138" i="48" a="1"/>
  <c r="M138" i="48" s="1"/>
  <c r="N138" i="48" a="1"/>
  <c r="N138" i="48" s="1"/>
  <c r="O138" i="48" a="1"/>
  <c r="O138" i="48" s="1"/>
  <c r="P138" i="48" a="1"/>
  <c r="P138" i="48" s="1"/>
  <c r="J139" i="48" a="1"/>
  <c r="J139" i="48" s="1"/>
  <c r="L139" i="48" a="1"/>
  <c r="L139" i="48" s="1"/>
  <c r="M139" i="48" a="1"/>
  <c r="M139" i="48" s="1"/>
  <c r="N139" i="48" a="1"/>
  <c r="N139" i="48" s="1"/>
  <c r="O139" i="48" a="1"/>
  <c r="O139" i="48" s="1"/>
  <c r="P139" i="48" a="1"/>
  <c r="P139" i="48" s="1"/>
  <c r="J140" i="48" a="1"/>
  <c r="J140" i="48" s="1"/>
  <c r="L140" i="48" a="1"/>
  <c r="L140" i="48" s="1"/>
  <c r="M140" i="48" a="1"/>
  <c r="M140" i="48" s="1"/>
  <c r="N140" i="48" a="1"/>
  <c r="N140" i="48" s="1"/>
  <c r="O140" i="48" a="1"/>
  <c r="O140" i="48" s="1"/>
  <c r="P140" i="48" a="1"/>
  <c r="P140" i="48" s="1"/>
  <c r="J141" i="48" a="1"/>
  <c r="J141" i="48" s="1"/>
  <c r="L141" i="48" a="1"/>
  <c r="L141" i="48" s="1"/>
  <c r="M141" i="48" a="1"/>
  <c r="M141" i="48" s="1"/>
  <c r="N141" i="48" a="1"/>
  <c r="N141" i="48" s="1"/>
  <c r="O141" i="48" a="1"/>
  <c r="O141" i="48" s="1"/>
  <c r="P141" i="48" a="1"/>
  <c r="P141" i="48" s="1"/>
  <c r="J142" i="48" a="1"/>
  <c r="J142" i="48" s="1"/>
  <c r="L142" i="48" a="1"/>
  <c r="L142" i="48" s="1"/>
  <c r="M142" i="48" a="1"/>
  <c r="M142" i="48" s="1"/>
  <c r="N142" i="48" a="1"/>
  <c r="N142" i="48" s="1"/>
  <c r="O142" i="48" a="1"/>
  <c r="O142" i="48" s="1"/>
  <c r="P142" i="48" a="1"/>
  <c r="P142" i="48" s="1"/>
  <c r="J143" i="48" a="1"/>
  <c r="J143" i="48" s="1"/>
  <c r="L143" i="48" a="1"/>
  <c r="L143" i="48" s="1"/>
  <c r="M143" i="48" a="1"/>
  <c r="M143" i="48" s="1"/>
  <c r="N143" i="48" a="1"/>
  <c r="N143" i="48" s="1"/>
  <c r="O143" i="48" a="1"/>
  <c r="O143" i="48" s="1"/>
  <c r="P143" i="48" a="1"/>
  <c r="P143" i="48" s="1"/>
  <c r="J144" i="48" a="1"/>
  <c r="J144" i="48" s="1"/>
  <c r="L144" i="48" a="1"/>
  <c r="L144" i="48" s="1"/>
  <c r="M144" i="48" a="1"/>
  <c r="M144" i="48" s="1"/>
  <c r="N144" i="48" a="1"/>
  <c r="N144" i="48" s="1"/>
  <c r="O144" i="48" a="1"/>
  <c r="O144" i="48" s="1"/>
  <c r="P144" i="48" a="1"/>
  <c r="P144" i="48" s="1"/>
  <c r="J145" i="48" a="1"/>
  <c r="J145" i="48" s="1"/>
  <c r="L145" i="48" a="1"/>
  <c r="L145" i="48" s="1"/>
  <c r="M145" i="48" a="1"/>
  <c r="M145" i="48" s="1"/>
  <c r="N145" i="48" a="1"/>
  <c r="N145" i="48" s="1"/>
  <c r="O145" i="48" a="1"/>
  <c r="O145" i="48" s="1"/>
  <c r="P145" i="48" a="1"/>
  <c r="P145" i="48" s="1"/>
  <c r="J146" i="48" a="1"/>
  <c r="J146" i="48" s="1"/>
  <c r="L146" i="48" a="1"/>
  <c r="L146" i="48" s="1"/>
  <c r="M146" i="48" a="1"/>
  <c r="M146" i="48" s="1"/>
  <c r="N146" i="48" a="1"/>
  <c r="N146" i="48" s="1"/>
  <c r="O146" i="48" a="1"/>
  <c r="O146" i="48" s="1"/>
  <c r="P146" i="48" a="1"/>
  <c r="P146" i="48" s="1"/>
  <c r="J147" i="48" a="1"/>
  <c r="J147" i="48" s="1"/>
  <c r="L147" i="48" a="1"/>
  <c r="L147" i="48" s="1"/>
  <c r="M147" i="48" a="1"/>
  <c r="M147" i="48" s="1"/>
  <c r="N147" i="48" a="1"/>
  <c r="N147" i="48" s="1"/>
  <c r="O147" i="48" a="1"/>
  <c r="O147" i="48" s="1"/>
  <c r="P147" i="48" a="1"/>
  <c r="P147" i="48" s="1"/>
  <c r="J148" i="48" a="1"/>
  <c r="J148" i="48" s="1"/>
  <c r="L148" i="48" a="1"/>
  <c r="L148" i="48" s="1"/>
  <c r="M148" i="48" a="1"/>
  <c r="M148" i="48" s="1"/>
  <c r="N148" i="48" a="1"/>
  <c r="N148" i="48" s="1"/>
  <c r="O148" i="48" a="1"/>
  <c r="O148" i="48" s="1"/>
  <c r="P148" i="48" a="1"/>
  <c r="P148" i="48" s="1"/>
  <c r="J149" i="48" a="1"/>
  <c r="J149" i="48" s="1"/>
  <c r="L149" i="48" a="1"/>
  <c r="L149" i="48" s="1"/>
  <c r="M149" i="48" a="1"/>
  <c r="M149" i="48" s="1"/>
  <c r="N149" i="48" a="1"/>
  <c r="N149" i="48" s="1"/>
  <c r="O149" i="48" a="1"/>
  <c r="O149" i="48" s="1"/>
  <c r="P149" i="48" a="1"/>
  <c r="P149" i="48" s="1"/>
  <c r="J150" i="48" a="1"/>
  <c r="J150" i="48" s="1"/>
  <c r="L150" i="48" a="1"/>
  <c r="L150" i="48" s="1"/>
  <c r="M150" i="48" a="1"/>
  <c r="M150" i="48" s="1"/>
  <c r="N150" i="48" a="1"/>
  <c r="N150" i="48" s="1"/>
  <c r="O150" i="48" a="1"/>
  <c r="O150" i="48" s="1"/>
  <c r="P150" i="48" a="1"/>
  <c r="P150" i="48" s="1"/>
  <c r="J151" i="48" a="1"/>
  <c r="J151" i="48" s="1"/>
  <c r="L151" i="48" a="1"/>
  <c r="L151" i="48" s="1"/>
  <c r="M151" i="48" a="1"/>
  <c r="M151" i="48" s="1"/>
  <c r="N151" i="48" a="1"/>
  <c r="N151" i="48" s="1"/>
  <c r="O151" i="48" a="1"/>
  <c r="O151" i="48" s="1"/>
  <c r="P151" i="48" a="1"/>
  <c r="P151" i="48" s="1"/>
  <c r="J152" i="48" a="1"/>
  <c r="J152" i="48" s="1"/>
  <c r="L152" i="48" a="1"/>
  <c r="L152" i="48" s="1"/>
  <c r="M152" i="48" a="1"/>
  <c r="M152" i="48" s="1"/>
  <c r="N152" i="48" a="1"/>
  <c r="N152" i="48" s="1"/>
  <c r="O152" i="48" a="1"/>
  <c r="O152" i="48" s="1"/>
  <c r="P152" i="48" a="1"/>
  <c r="P152" i="48" s="1"/>
  <c r="J153" i="48" a="1"/>
  <c r="J153" i="48" s="1"/>
  <c r="L153" i="48" a="1"/>
  <c r="L153" i="48" s="1"/>
  <c r="M153" i="48" a="1"/>
  <c r="M153" i="48" s="1"/>
  <c r="N153" i="48" a="1"/>
  <c r="N153" i="48" s="1"/>
  <c r="O153" i="48" a="1"/>
  <c r="O153" i="48" s="1"/>
  <c r="P153" i="48" a="1"/>
  <c r="P153" i="48" s="1"/>
  <c r="J154" i="48" a="1"/>
  <c r="J154" i="48" s="1"/>
  <c r="L154" i="48" a="1"/>
  <c r="L154" i="48" s="1"/>
  <c r="M154" i="48" a="1"/>
  <c r="M154" i="48" s="1"/>
  <c r="N154" i="48" a="1"/>
  <c r="N154" i="48" s="1"/>
  <c r="O154" i="48" a="1"/>
  <c r="O154" i="48" s="1"/>
  <c r="P154" i="48" a="1"/>
  <c r="P154" i="48" s="1"/>
  <c r="J155" i="48" a="1"/>
  <c r="J155" i="48" s="1"/>
  <c r="L155" i="48" a="1"/>
  <c r="L155" i="48" s="1"/>
  <c r="M155" i="48" a="1"/>
  <c r="M155" i="48" s="1"/>
  <c r="N155" i="48" a="1"/>
  <c r="N155" i="48" s="1"/>
  <c r="O155" i="48" a="1"/>
  <c r="O155" i="48" s="1"/>
  <c r="P155" i="48" a="1"/>
  <c r="P155" i="48" s="1"/>
  <c r="J156" i="48" a="1"/>
  <c r="J156" i="48" s="1"/>
  <c r="L156" i="48" a="1"/>
  <c r="L156" i="48" s="1"/>
  <c r="M156" i="48" a="1"/>
  <c r="M156" i="48" s="1"/>
  <c r="N156" i="48" a="1"/>
  <c r="N156" i="48" s="1"/>
  <c r="O156" i="48" a="1"/>
  <c r="O156" i="48" s="1"/>
  <c r="P156" i="48" a="1"/>
  <c r="P156" i="48" s="1"/>
  <c r="J157" i="48" a="1"/>
  <c r="J157" i="48" s="1"/>
  <c r="L157" i="48" a="1"/>
  <c r="L157" i="48" s="1"/>
  <c r="M157" i="48" a="1"/>
  <c r="M157" i="48" s="1"/>
  <c r="N157" i="48" a="1"/>
  <c r="N157" i="48" s="1"/>
  <c r="O157" i="48" a="1"/>
  <c r="O157" i="48" s="1"/>
  <c r="P157" i="48" a="1"/>
  <c r="P157" i="48" s="1"/>
  <c r="J158" i="48" a="1"/>
  <c r="J158" i="48" s="1"/>
  <c r="L158" i="48" a="1"/>
  <c r="L158" i="48" s="1"/>
  <c r="M158" i="48" a="1"/>
  <c r="M158" i="48" s="1"/>
  <c r="N158" i="48" a="1"/>
  <c r="N158" i="48" s="1"/>
  <c r="O158" i="48" a="1"/>
  <c r="O158" i="48" s="1"/>
  <c r="P158" i="48" a="1"/>
  <c r="P158" i="48" s="1"/>
  <c r="J159" i="48" a="1"/>
  <c r="J159" i="48" s="1"/>
  <c r="L159" i="48" a="1"/>
  <c r="L159" i="48" s="1"/>
  <c r="M159" i="48" a="1"/>
  <c r="M159" i="48" s="1"/>
  <c r="N159" i="48" a="1"/>
  <c r="N159" i="48" s="1"/>
  <c r="O159" i="48" a="1"/>
  <c r="O159" i="48" s="1"/>
  <c r="P159" i="48" a="1"/>
  <c r="P159" i="48" s="1"/>
  <c r="J160" i="48" a="1"/>
  <c r="J160" i="48" s="1"/>
  <c r="L160" i="48" a="1"/>
  <c r="L160" i="48" s="1"/>
  <c r="M160" i="48" a="1"/>
  <c r="M160" i="48" s="1"/>
  <c r="N160" i="48" a="1"/>
  <c r="N160" i="48" s="1"/>
  <c r="O160" i="48" a="1"/>
  <c r="O160" i="48" s="1"/>
  <c r="P160" i="48" a="1"/>
  <c r="P160" i="48" s="1"/>
  <c r="J161" i="48" a="1"/>
  <c r="J161" i="48" s="1"/>
  <c r="L161" i="48" a="1"/>
  <c r="L161" i="48" s="1"/>
  <c r="M161" i="48" a="1"/>
  <c r="M161" i="48" s="1"/>
  <c r="N161" i="48" a="1"/>
  <c r="N161" i="48" s="1"/>
  <c r="O161" i="48" a="1"/>
  <c r="O161" i="48" s="1"/>
  <c r="P161" i="48" a="1"/>
  <c r="P161" i="48" s="1"/>
  <c r="J162" i="48" a="1"/>
  <c r="J162" i="48" s="1"/>
  <c r="L162" i="48" a="1"/>
  <c r="L162" i="48" s="1"/>
  <c r="M162" i="48" a="1"/>
  <c r="M162" i="48" s="1"/>
  <c r="N162" i="48" a="1"/>
  <c r="N162" i="48" s="1"/>
  <c r="O162" i="48" a="1"/>
  <c r="O162" i="48" s="1"/>
  <c r="P162" i="48" a="1"/>
  <c r="P162" i="48" s="1"/>
  <c r="J163" i="48" a="1"/>
  <c r="J163" i="48" s="1"/>
  <c r="L163" i="48" a="1"/>
  <c r="L163" i="48" s="1"/>
  <c r="M163" i="48" a="1"/>
  <c r="M163" i="48" s="1"/>
  <c r="N163" i="48" a="1"/>
  <c r="N163" i="48" s="1"/>
  <c r="O163" i="48" a="1"/>
  <c r="O163" i="48" s="1"/>
  <c r="P163" i="48" a="1"/>
  <c r="P163" i="48" s="1"/>
  <c r="J164" i="48" a="1"/>
  <c r="J164" i="48" s="1"/>
  <c r="L164" i="48" a="1"/>
  <c r="L164" i="48" s="1"/>
  <c r="M164" i="48" a="1"/>
  <c r="M164" i="48" s="1"/>
  <c r="N164" i="48" a="1"/>
  <c r="N164" i="48" s="1"/>
  <c r="O164" i="48" a="1"/>
  <c r="O164" i="48" s="1"/>
  <c r="P164" i="48" a="1"/>
  <c r="P164" i="48" s="1"/>
  <c r="J165" i="48" a="1"/>
  <c r="J165" i="48" s="1"/>
  <c r="L165" i="48" a="1"/>
  <c r="L165" i="48" s="1"/>
  <c r="M165" i="48" a="1"/>
  <c r="M165" i="48" s="1"/>
  <c r="N165" i="48" a="1"/>
  <c r="N165" i="48" s="1"/>
  <c r="O165" i="48" a="1"/>
  <c r="O165" i="48" s="1"/>
  <c r="P165" i="48" a="1"/>
  <c r="P165" i="48" s="1"/>
  <c r="J166" i="48" a="1"/>
  <c r="J166" i="48" s="1"/>
  <c r="L166" i="48" a="1"/>
  <c r="L166" i="48" s="1"/>
  <c r="M166" i="48" a="1"/>
  <c r="M166" i="48" s="1"/>
  <c r="N166" i="48" a="1"/>
  <c r="N166" i="48" s="1"/>
  <c r="O166" i="48" a="1"/>
  <c r="O166" i="48" s="1"/>
  <c r="P166" i="48" a="1"/>
  <c r="P166" i="48" s="1"/>
  <c r="J167" i="48" a="1"/>
  <c r="J167" i="48" s="1"/>
  <c r="L167" i="48" a="1"/>
  <c r="L167" i="48" s="1"/>
  <c r="M167" i="48" a="1"/>
  <c r="M167" i="48" s="1"/>
  <c r="N167" i="48" a="1"/>
  <c r="N167" i="48" s="1"/>
  <c r="O167" i="48" a="1"/>
  <c r="O167" i="48" s="1"/>
  <c r="P167" i="48" a="1"/>
  <c r="P167" i="48" s="1"/>
  <c r="J168" i="48" a="1"/>
  <c r="J168" i="48" s="1"/>
  <c r="L168" i="48" a="1"/>
  <c r="L168" i="48" s="1"/>
  <c r="M168" i="48" a="1"/>
  <c r="M168" i="48" s="1"/>
  <c r="N168" i="48" a="1"/>
  <c r="N168" i="48" s="1"/>
  <c r="O168" i="48" a="1"/>
  <c r="O168" i="48" s="1"/>
  <c r="P168" i="48" a="1"/>
  <c r="P168" i="48" s="1"/>
  <c r="J169" i="48" a="1"/>
  <c r="J169" i="48" s="1"/>
  <c r="L169" i="48" a="1"/>
  <c r="L169" i="48" s="1"/>
  <c r="M169" i="48" a="1"/>
  <c r="M169" i="48" s="1"/>
  <c r="N169" i="48" a="1"/>
  <c r="N169" i="48" s="1"/>
  <c r="O169" i="48" a="1"/>
  <c r="O169" i="48" s="1"/>
  <c r="P169" i="48" a="1"/>
  <c r="P169" i="48" s="1"/>
  <c r="J170" i="48" a="1"/>
  <c r="J170" i="48" s="1"/>
  <c r="L170" i="48" a="1"/>
  <c r="L170" i="48" s="1"/>
  <c r="M170" i="48" a="1"/>
  <c r="M170" i="48" s="1"/>
  <c r="N170" i="48" a="1"/>
  <c r="N170" i="48" s="1"/>
  <c r="O170" i="48" a="1"/>
  <c r="O170" i="48" s="1"/>
  <c r="P170" i="48" a="1"/>
  <c r="P170" i="48" s="1"/>
  <c r="J171" i="48" a="1"/>
  <c r="J171" i="48" s="1"/>
  <c r="L171" i="48" a="1"/>
  <c r="L171" i="48" s="1"/>
  <c r="M171" i="48" a="1"/>
  <c r="M171" i="48" s="1"/>
  <c r="N171" i="48" a="1"/>
  <c r="N171" i="48" s="1"/>
  <c r="O171" i="48" a="1"/>
  <c r="O171" i="48" s="1"/>
  <c r="P171" i="48" a="1"/>
  <c r="P171" i="48" s="1"/>
  <c r="J172" i="48" a="1"/>
  <c r="J172" i="48" s="1"/>
  <c r="L172" i="48" a="1"/>
  <c r="L172" i="48" s="1"/>
  <c r="M172" i="48" a="1"/>
  <c r="M172" i="48" s="1"/>
  <c r="N172" i="48" a="1"/>
  <c r="N172" i="48" s="1"/>
  <c r="O172" i="48" a="1"/>
  <c r="O172" i="48" s="1"/>
  <c r="P172" i="48" a="1"/>
  <c r="P172" i="48" s="1"/>
  <c r="J173" i="48" a="1"/>
  <c r="J173" i="48" s="1"/>
  <c r="L173" i="48" a="1"/>
  <c r="L173" i="48" s="1"/>
  <c r="M173" i="48" a="1"/>
  <c r="M173" i="48" s="1"/>
  <c r="N173" i="48" a="1"/>
  <c r="N173" i="48" s="1"/>
  <c r="O173" i="48" a="1"/>
  <c r="O173" i="48" s="1"/>
  <c r="P173" i="48" a="1"/>
  <c r="P173" i="48" s="1"/>
  <c r="J174" i="48" a="1"/>
  <c r="J174" i="48" s="1"/>
  <c r="L174" i="48" a="1"/>
  <c r="L174" i="48" s="1"/>
  <c r="M174" i="48" a="1"/>
  <c r="M174" i="48" s="1"/>
  <c r="N174" i="48" a="1"/>
  <c r="N174" i="48" s="1"/>
  <c r="O174" i="48" a="1"/>
  <c r="O174" i="48" s="1"/>
  <c r="P174" i="48" a="1"/>
  <c r="P174" i="48" s="1"/>
  <c r="J175" i="48" a="1"/>
  <c r="J175" i="48" s="1"/>
  <c r="L175" i="48" a="1"/>
  <c r="L175" i="48" s="1"/>
  <c r="M175" i="48" a="1"/>
  <c r="M175" i="48" s="1"/>
  <c r="N175" i="48" a="1"/>
  <c r="N175" i="48" s="1"/>
  <c r="O175" i="48" a="1"/>
  <c r="O175" i="48" s="1"/>
  <c r="P175" i="48" a="1"/>
  <c r="P175" i="48" s="1"/>
  <c r="J176" i="48" a="1"/>
  <c r="J176" i="48" s="1"/>
  <c r="L176" i="48" a="1"/>
  <c r="L176" i="48" s="1"/>
  <c r="M176" i="48" a="1"/>
  <c r="M176" i="48" s="1"/>
  <c r="N176" i="48" a="1"/>
  <c r="N176" i="48" s="1"/>
  <c r="O176" i="48" a="1"/>
  <c r="O176" i="48" s="1"/>
  <c r="P176" i="48" a="1"/>
  <c r="P176" i="48" s="1"/>
  <c r="J177" i="48" a="1"/>
  <c r="J177" i="48" s="1"/>
  <c r="L177" i="48" a="1"/>
  <c r="L177" i="48" s="1"/>
  <c r="M177" i="48" a="1"/>
  <c r="M177" i="48" s="1"/>
  <c r="N177" i="48" a="1"/>
  <c r="N177" i="48" s="1"/>
  <c r="O177" i="48" a="1"/>
  <c r="O177" i="48" s="1"/>
  <c r="P177" i="48" a="1"/>
  <c r="P177" i="48" s="1"/>
  <c r="J178" i="48" a="1"/>
  <c r="J178" i="48" s="1"/>
  <c r="L178" i="48" a="1"/>
  <c r="L178" i="48" s="1"/>
  <c r="M178" i="48" a="1"/>
  <c r="M178" i="48" s="1"/>
  <c r="N178" i="48" a="1"/>
  <c r="N178" i="48" s="1"/>
  <c r="O178" i="48" a="1"/>
  <c r="O178" i="48" s="1"/>
  <c r="P178" i="48" a="1"/>
  <c r="P178" i="48" s="1"/>
  <c r="J179" i="48" a="1"/>
  <c r="J179" i="48" s="1"/>
  <c r="L179" i="48" a="1"/>
  <c r="L179" i="48" s="1"/>
  <c r="M179" i="48" a="1"/>
  <c r="M179" i="48" s="1"/>
  <c r="N179" i="48" a="1"/>
  <c r="N179" i="48" s="1"/>
  <c r="O179" i="48" a="1"/>
  <c r="O179" i="48" s="1"/>
  <c r="P179" i="48" a="1"/>
  <c r="P179" i="48" s="1"/>
  <c r="J180" i="48" a="1"/>
  <c r="J180" i="48" s="1"/>
  <c r="L180" i="48" a="1"/>
  <c r="L180" i="48" s="1"/>
  <c r="M180" i="48" a="1"/>
  <c r="M180" i="48" s="1"/>
  <c r="N180" i="48" a="1"/>
  <c r="N180" i="48" s="1"/>
  <c r="O180" i="48" a="1"/>
  <c r="O180" i="48" s="1"/>
  <c r="P180" i="48" a="1"/>
  <c r="P180" i="48" s="1"/>
  <c r="J181" i="48" a="1"/>
  <c r="J181" i="48" s="1"/>
  <c r="L181" i="48" a="1"/>
  <c r="L181" i="48" s="1"/>
  <c r="M181" i="48" a="1"/>
  <c r="M181" i="48" s="1"/>
  <c r="N181" i="48" a="1"/>
  <c r="N181" i="48" s="1"/>
  <c r="O181" i="48" a="1"/>
  <c r="O181" i="48" s="1"/>
  <c r="P181" i="48" a="1"/>
  <c r="P181" i="48" s="1"/>
  <c r="J182" i="48" a="1"/>
  <c r="J182" i="48" s="1"/>
  <c r="L182" i="48" a="1"/>
  <c r="L182" i="48" s="1"/>
  <c r="M182" i="48" a="1"/>
  <c r="M182" i="48" s="1"/>
  <c r="N182" i="48" a="1"/>
  <c r="N182" i="48" s="1"/>
  <c r="O182" i="48" a="1"/>
  <c r="O182" i="48" s="1"/>
  <c r="P182" i="48" a="1"/>
  <c r="P182" i="48" s="1"/>
  <c r="J183" i="48" a="1"/>
  <c r="J183" i="48" s="1"/>
  <c r="L183" i="48" a="1"/>
  <c r="L183" i="48" s="1"/>
  <c r="M183" i="48" a="1"/>
  <c r="M183" i="48" s="1"/>
  <c r="N183" i="48" a="1"/>
  <c r="N183" i="48" s="1"/>
  <c r="O183" i="48" a="1"/>
  <c r="O183" i="48" s="1"/>
  <c r="P183" i="48" a="1"/>
  <c r="P183" i="48" s="1"/>
  <c r="J184" i="48" a="1"/>
  <c r="J184" i="48" s="1"/>
  <c r="L184" i="48" a="1"/>
  <c r="L184" i="48" s="1"/>
  <c r="M184" i="48" a="1"/>
  <c r="M184" i="48" s="1"/>
  <c r="N184" i="48" a="1"/>
  <c r="N184" i="48" s="1"/>
  <c r="O184" i="48" a="1"/>
  <c r="O184" i="48" s="1"/>
  <c r="P184" i="48" a="1"/>
  <c r="P184" i="48" s="1"/>
  <c r="J185" i="48" a="1"/>
  <c r="J185" i="48" s="1"/>
  <c r="L185" i="48" a="1"/>
  <c r="L185" i="48" s="1"/>
  <c r="M185" i="48" a="1"/>
  <c r="M185" i="48" s="1"/>
  <c r="N185" i="48" a="1"/>
  <c r="N185" i="48" s="1"/>
  <c r="O185" i="48" a="1"/>
  <c r="O185" i="48" s="1"/>
  <c r="P185" i="48" a="1"/>
  <c r="P185" i="48" s="1"/>
  <c r="J186" i="48" a="1"/>
  <c r="J186" i="48" s="1"/>
  <c r="L186" i="48" a="1"/>
  <c r="L186" i="48" s="1"/>
  <c r="M186" i="48" a="1"/>
  <c r="M186" i="48" s="1"/>
  <c r="N186" i="48" a="1"/>
  <c r="N186" i="48" s="1"/>
  <c r="O186" i="48" a="1"/>
  <c r="O186" i="48" s="1"/>
  <c r="P186" i="48" a="1"/>
  <c r="P186" i="48" s="1"/>
  <c r="J187" i="48" a="1"/>
  <c r="J187" i="48" s="1"/>
  <c r="L187" i="48" a="1"/>
  <c r="L187" i="48" s="1"/>
  <c r="M187" i="48" a="1"/>
  <c r="M187" i="48" s="1"/>
  <c r="N187" i="48" a="1"/>
  <c r="N187" i="48" s="1"/>
  <c r="O187" i="48" a="1"/>
  <c r="O187" i="48" s="1"/>
  <c r="P187" i="48" a="1"/>
  <c r="P187" i="48" s="1"/>
  <c r="J188" i="48" a="1"/>
  <c r="J188" i="48" s="1"/>
  <c r="L188" i="48" a="1"/>
  <c r="L188" i="48" s="1"/>
  <c r="M188" i="48" a="1"/>
  <c r="M188" i="48" s="1"/>
  <c r="N188" i="48" a="1"/>
  <c r="N188" i="48" s="1"/>
  <c r="O188" i="48" a="1"/>
  <c r="O188" i="48" s="1"/>
  <c r="P188" i="48" a="1"/>
  <c r="P188" i="48" s="1"/>
  <c r="J189" i="48" a="1"/>
  <c r="J189" i="48" s="1"/>
  <c r="L189" i="48" a="1"/>
  <c r="L189" i="48" s="1"/>
  <c r="M189" i="48" a="1"/>
  <c r="M189" i="48" s="1"/>
  <c r="N189" i="48" a="1"/>
  <c r="N189" i="48" s="1"/>
  <c r="O189" i="48" a="1"/>
  <c r="O189" i="48" s="1"/>
  <c r="P189" i="48" a="1"/>
  <c r="P189" i="48" s="1"/>
  <c r="J190" i="48" a="1"/>
  <c r="J190" i="48" s="1"/>
  <c r="L190" i="48" a="1"/>
  <c r="L190" i="48" s="1"/>
  <c r="M190" i="48" a="1"/>
  <c r="M190" i="48" s="1"/>
  <c r="N190" i="48" a="1"/>
  <c r="N190" i="48" s="1"/>
  <c r="O190" i="48" a="1"/>
  <c r="O190" i="48" s="1"/>
  <c r="P190" i="48" a="1"/>
  <c r="P190" i="48" s="1"/>
  <c r="J191" i="48" a="1"/>
  <c r="J191" i="48" s="1"/>
  <c r="L191" i="48" a="1"/>
  <c r="L191" i="48" s="1"/>
  <c r="M191" i="48" a="1"/>
  <c r="M191" i="48" s="1"/>
  <c r="N191" i="48" a="1"/>
  <c r="N191" i="48" s="1"/>
  <c r="O191" i="48" a="1"/>
  <c r="O191" i="48" s="1"/>
  <c r="P191" i="48" a="1"/>
  <c r="P191" i="48" s="1"/>
  <c r="J192" i="48" a="1"/>
  <c r="J192" i="48" s="1"/>
  <c r="L192" i="48" a="1"/>
  <c r="L192" i="48" s="1"/>
  <c r="M192" i="48" a="1"/>
  <c r="M192" i="48" s="1"/>
  <c r="N192" i="48" a="1"/>
  <c r="N192" i="48" s="1"/>
  <c r="O192" i="48" a="1"/>
  <c r="O192" i="48" s="1"/>
  <c r="P192" i="48" a="1"/>
  <c r="P192" i="48" s="1"/>
  <c r="J193" i="48" a="1"/>
  <c r="J193" i="48" s="1"/>
  <c r="L193" i="48" a="1"/>
  <c r="L193" i="48" s="1"/>
  <c r="M193" i="48" a="1"/>
  <c r="M193" i="48" s="1"/>
  <c r="N193" i="48" a="1"/>
  <c r="N193" i="48" s="1"/>
  <c r="O193" i="48" a="1"/>
  <c r="O193" i="48" s="1"/>
  <c r="P193" i="48" a="1"/>
  <c r="P193" i="48" s="1"/>
  <c r="J194" i="48" a="1"/>
  <c r="J194" i="48" s="1"/>
  <c r="L194" i="48" a="1"/>
  <c r="L194" i="48" s="1"/>
  <c r="M194" i="48" a="1"/>
  <c r="M194" i="48" s="1"/>
  <c r="N194" i="48" a="1"/>
  <c r="N194" i="48" s="1"/>
  <c r="O194" i="48" a="1"/>
  <c r="O194" i="48" s="1"/>
  <c r="P194" i="48" a="1"/>
  <c r="P194" i="48" s="1"/>
  <c r="J195" i="48" a="1"/>
  <c r="J195" i="48" s="1"/>
  <c r="L195" i="48" a="1"/>
  <c r="L195" i="48" s="1"/>
  <c r="M195" i="48" a="1"/>
  <c r="M195" i="48" s="1"/>
  <c r="N195" i="48" a="1"/>
  <c r="N195" i="48" s="1"/>
  <c r="O195" i="48" a="1"/>
  <c r="O195" i="48" s="1"/>
  <c r="P195" i="48" a="1"/>
  <c r="P195" i="48" s="1"/>
  <c r="J196" i="48" a="1"/>
  <c r="J196" i="48" s="1"/>
  <c r="L196" i="48" a="1"/>
  <c r="L196" i="48" s="1"/>
  <c r="M196" i="48" a="1"/>
  <c r="M196" i="48" s="1"/>
  <c r="N196" i="48" a="1"/>
  <c r="N196" i="48" s="1"/>
  <c r="O196" i="48" a="1"/>
  <c r="O196" i="48" s="1"/>
  <c r="P196" i="48" a="1"/>
  <c r="P196" i="48" s="1"/>
  <c r="J197" i="48" a="1"/>
  <c r="J197" i="48" s="1"/>
  <c r="L197" i="48" a="1"/>
  <c r="L197" i="48" s="1"/>
  <c r="M197" i="48" a="1"/>
  <c r="M197" i="48" s="1"/>
  <c r="N197" i="48" a="1"/>
  <c r="N197" i="48" s="1"/>
  <c r="O197" i="48" a="1"/>
  <c r="O197" i="48" s="1"/>
  <c r="P197" i="48" a="1"/>
  <c r="P197" i="48" s="1"/>
  <c r="J198" i="48" a="1"/>
  <c r="J198" i="48" s="1"/>
  <c r="L198" i="48" a="1"/>
  <c r="L198" i="48" s="1"/>
  <c r="M198" i="48" a="1"/>
  <c r="M198" i="48" s="1"/>
  <c r="N198" i="48" a="1"/>
  <c r="N198" i="48" s="1"/>
  <c r="O198" i="48" a="1"/>
  <c r="O198" i="48" s="1"/>
  <c r="P198" i="48" a="1"/>
  <c r="P198" i="48" s="1"/>
  <c r="J199" i="48" a="1"/>
  <c r="J199" i="48" s="1"/>
  <c r="L199" i="48" a="1"/>
  <c r="L199" i="48" s="1"/>
  <c r="M199" i="48" a="1"/>
  <c r="M199" i="48" s="1"/>
  <c r="N199" i="48" a="1"/>
  <c r="N199" i="48" s="1"/>
  <c r="O199" i="48" a="1"/>
  <c r="O199" i="48" s="1"/>
  <c r="P199" i="48" a="1"/>
  <c r="P199" i="48" s="1"/>
  <c r="J200" i="48" a="1"/>
  <c r="J200" i="48" s="1"/>
  <c r="L200" i="48" a="1"/>
  <c r="L200" i="48" s="1"/>
  <c r="M200" i="48" a="1"/>
  <c r="M200" i="48" s="1"/>
  <c r="N200" i="48" a="1"/>
  <c r="N200" i="48" s="1"/>
  <c r="O200" i="48" a="1"/>
  <c r="O200" i="48" s="1"/>
  <c r="P200" i="48" a="1"/>
  <c r="P200" i="48" s="1"/>
  <c r="J201" i="48" a="1"/>
  <c r="J201" i="48" s="1"/>
  <c r="L201" i="48" a="1"/>
  <c r="L201" i="48" s="1"/>
  <c r="M201" i="48" a="1"/>
  <c r="M201" i="48" s="1"/>
  <c r="N201" i="48" a="1"/>
  <c r="N201" i="48" s="1"/>
  <c r="O201" i="48" a="1"/>
  <c r="O201" i="48" s="1"/>
  <c r="P201" i="48" a="1"/>
  <c r="P201" i="48" s="1"/>
  <c r="J202" i="48" a="1"/>
  <c r="J202" i="48" s="1"/>
  <c r="L202" i="48" a="1"/>
  <c r="L202" i="48" s="1"/>
  <c r="M202" i="48" a="1"/>
  <c r="M202" i="48" s="1"/>
  <c r="N202" i="48" a="1"/>
  <c r="N202" i="48" s="1"/>
  <c r="O202" i="48" a="1"/>
  <c r="O202" i="48" s="1"/>
  <c r="P202" i="48" a="1"/>
  <c r="P202" i="48" s="1"/>
  <c r="J203" i="48" a="1"/>
  <c r="J203" i="48" s="1"/>
  <c r="L203" i="48" a="1"/>
  <c r="L203" i="48" s="1"/>
  <c r="M203" i="48" a="1"/>
  <c r="M203" i="48" s="1"/>
  <c r="N203" i="48" a="1"/>
  <c r="N203" i="48" s="1"/>
  <c r="O203" i="48" a="1"/>
  <c r="O203" i="48" s="1"/>
  <c r="P203" i="48" a="1"/>
  <c r="P203" i="48" s="1"/>
  <c r="J204" i="48" a="1"/>
  <c r="J204" i="48" s="1"/>
  <c r="L204" i="48" a="1"/>
  <c r="L204" i="48" s="1"/>
  <c r="M204" i="48" a="1"/>
  <c r="M204" i="48" s="1"/>
  <c r="N204" i="48" a="1"/>
  <c r="N204" i="48" s="1"/>
  <c r="O204" i="48" a="1"/>
  <c r="O204" i="48" s="1"/>
  <c r="P204" i="48" a="1"/>
  <c r="P204" i="48" s="1"/>
  <c r="J205" i="48" a="1"/>
  <c r="J205" i="48" s="1"/>
  <c r="L205" i="48" a="1"/>
  <c r="L205" i="48" s="1"/>
  <c r="M205" i="48" a="1"/>
  <c r="M205" i="48" s="1"/>
  <c r="N205" i="48" a="1"/>
  <c r="N205" i="48" s="1"/>
  <c r="O205" i="48" a="1"/>
  <c r="O205" i="48" s="1"/>
  <c r="P205" i="48" a="1"/>
  <c r="P205" i="48" s="1"/>
  <c r="J206" i="48" a="1"/>
  <c r="J206" i="48" s="1"/>
  <c r="L206" i="48" a="1"/>
  <c r="L206" i="48" s="1"/>
  <c r="M206" i="48" a="1"/>
  <c r="M206" i="48" s="1"/>
  <c r="N206" i="48" a="1"/>
  <c r="N206" i="48" s="1"/>
  <c r="O206" i="48" a="1"/>
  <c r="O206" i="48" s="1"/>
  <c r="P206" i="48" a="1"/>
  <c r="P206" i="48" s="1"/>
  <c r="J207" i="48" a="1"/>
  <c r="J207" i="48" s="1"/>
  <c r="L207" i="48" a="1"/>
  <c r="L207" i="48" s="1"/>
  <c r="M207" i="48" a="1"/>
  <c r="M207" i="48" s="1"/>
  <c r="N207" i="48" a="1"/>
  <c r="N207" i="48" s="1"/>
  <c r="O207" i="48" a="1"/>
  <c r="O207" i="48" s="1"/>
  <c r="P207" i="48" a="1"/>
  <c r="P207" i="48" s="1"/>
  <c r="J208" i="48" a="1"/>
  <c r="J208" i="48" s="1"/>
  <c r="L208" i="48" a="1"/>
  <c r="L208" i="48" s="1"/>
  <c r="M208" i="48" a="1"/>
  <c r="M208" i="48" s="1"/>
  <c r="N208" i="48" a="1"/>
  <c r="N208" i="48" s="1"/>
  <c r="O208" i="48" a="1"/>
  <c r="O208" i="48" s="1"/>
  <c r="P208" i="48" a="1"/>
  <c r="P208" i="48" s="1"/>
  <c r="J209" i="48" a="1"/>
  <c r="J209" i="48" s="1"/>
  <c r="L209" i="48" a="1"/>
  <c r="L209" i="48" s="1"/>
  <c r="M209" i="48" a="1"/>
  <c r="M209" i="48" s="1"/>
  <c r="N209" i="48" a="1"/>
  <c r="N209" i="48" s="1"/>
  <c r="O209" i="48" a="1"/>
  <c r="O209" i="48" s="1"/>
  <c r="P209" i="48" a="1"/>
  <c r="P209" i="48" s="1"/>
  <c r="J210" i="48" a="1"/>
  <c r="J210" i="48" s="1"/>
  <c r="L210" i="48" a="1"/>
  <c r="L210" i="48" s="1"/>
  <c r="M210" i="48" a="1"/>
  <c r="M210" i="48" s="1"/>
  <c r="N210" i="48" a="1"/>
  <c r="N210" i="48" s="1"/>
  <c r="O210" i="48" a="1"/>
  <c r="O210" i="48" s="1"/>
  <c r="P210" i="48" a="1"/>
  <c r="P210" i="48" s="1"/>
  <c r="J211" i="48" a="1"/>
  <c r="J211" i="48" s="1"/>
  <c r="L211" i="48" a="1"/>
  <c r="L211" i="48" s="1"/>
  <c r="M211" i="48" a="1"/>
  <c r="M211" i="48" s="1"/>
  <c r="N211" i="48" a="1"/>
  <c r="N211" i="48" s="1"/>
  <c r="O211" i="48" a="1"/>
  <c r="O211" i="48" s="1"/>
  <c r="P211" i="48" a="1"/>
  <c r="P211" i="48" s="1"/>
  <c r="J212" i="48" a="1"/>
  <c r="J212" i="48" s="1"/>
  <c r="L212" i="48" a="1"/>
  <c r="L212" i="48" s="1"/>
  <c r="M212" i="48" a="1"/>
  <c r="M212" i="48" s="1"/>
  <c r="N212" i="48" a="1"/>
  <c r="N212" i="48" s="1"/>
  <c r="O212" i="48" a="1"/>
  <c r="O212" i="48" s="1"/>
  <c r="P212" i="48" a="1"/>
  <c r="P212" i="48" s="1"/>
  <c r="J213" i="48" a="1"/>
  <c r="J213" i="48" s="1"/>
  <c r="L213" i="48" a="1"/>
  <c r="L213" i="48" s="1"/>
  <c r="M213" i="48" a="1"/>
  <c r="M213" i="48" s="1"/>
  <c r="N213" i="48" a="1"/>
  <c r="N213" i="48" s="1"/>
  <c r="O213" i="48" a="1"/>
  <c r="O213" i="48" s="1"/>
  <c r="P213" i="48" a="1"/>
  <c r="P213" i="48" s="1"/>
  <c r="J214" i="48" a="1"/>
  <c r="J214" i="48" s="1"/>
  <c r="L214" i="48" a="1"/>
  <c r="L214" i="48" s="1"/>
  <c r="M214" i="48" a="1"/>
  <c r="M214" i="48" s="1"/>
  <c r="N214" i="48" a="1"/>
  <c r="N214" i="48" s="1"/>
  <c r="O214" i="48" a="1"/>
  <c r="O214" i="48" s="1"/>
  <c r="P214" i="48" a="1"/>
  <c r="P214" i="48" s="1"/>
  <c r="J215" i="48" a="1"/>
  <c r="J215" i="48" s="1"/>
  <c r="L215" i="48" a="1"/>
  <c r="L215" i="48" s="1"/>
  <c r="M215" i="48" a="1"/>
  <c r="M215" i="48" s="1"/>
  <c r="N215" i="48" a="1"/>
  <c r="N215" i="48" s="1"/>
  <c r="O215" i="48" a="1"/>
  <c r="O215" i="48" s="1"/>
  <c r="P215" i="48" a="1"/>
  <c r="P215" i="48" s="1"/>
  <c r="J216" i="48" a="1"/>
  <c r="J216" i="48" s="1"/>
  <c r="L216" i="48" a="1"/>
  <c r="L216" i="48" s="1"/>
  <c r="M216" i="48" a="1"/>
  <c r="M216" i="48" s="1"/>
  <c r="N216" i="48" a="1"/>
  <c r="N216" i="48" s="1"/>
  <c r="O216" i="48" a="1"/>
  <c r="O216" i="48" s="1"/>
  <c r="P216" i="48" a="1"/>
  <c r="P216" i="48" s="1"/>
  <c r="J217" i="48" a="1"/>
  <c r="J217" i="48" s="1"/>
  <c r="L217" i="48" a="1"/>
  <c r="L217" i="48" s="1"/>
  <c r="M217" i="48" a="1"/>
  <c r="M217" i="48" s="1"/>
  <c r="N217" i="48" a="1"/>
  <c r="N217" i="48" s="1"/>
  <c r="O217" i="48" a="1"/>
  <c r="O217" i="48" s="1"/>
  <c r="P217" i="48" a="1"/>
  <c r="P217" i="48" s="1"/>
  <c r="J218" i="48" a="1"/>
  <c r="J218" i="48" s="1"/>
  <c r="L218" i="48" a="1"/>
  <c r="L218" i="48" s="1"/>
  <c r="M218" i="48" a="1"/>
  <c r="M218" i="48" s="1"/>
  <c r="N218" i="48" a="1"/>
  <c r="N218" i="48" s="1"/>
  <c r="O218" i="48" a="1"/>
  <c r="O218" i="48" s="1"/>
  <c r="P218" i="48" a="1"/>
  <c r="P218" i="48" s="1"/>
  <c r="J219" i="48" a="1"/>
  <c r="J219" i="48" s="1"/>
  <c r="L219" i="48" a="1"/>
  <c r="L219" i="48" s="1"/>
  <c r="M219" i="48" a="1"/>
  <c r="M219" i="48" s="1"/>
  <c r="N219" i="48" a="1"/>
  <c r="N219" i="48" s="1"/>
  <c r="O219" i="48" a="1"/>
  <c r="O219" i="48" s="1"/>
  <c r="P219" i="48" a="1"/>
  <c r="P219" i="48" s="1"/>
  <c r="J220" i="48" a="1"/>
  <c r="J220" i="48" s="1"/>
  <c r="L220" i="48" a="1"/>
  <c r="L220" i="48" s="1"/>
  <c r="M220" i="48" a="1"/>
  <c r="M220" i="48" s="1"/>
  <c r="N220" i="48" a="1"/>
  <c r="N220" i="48" s="1"/>
  <c r="O220" i="48" a="1"/>
  <c r="O220" i="48" s="1"/>
  <c r="P220" i="48" a="1"/>
  <c r="P220" i="48" s="1"/>
  <c r="J221" i="48" a="1"/>
  <c r="J221" i="48" s="1"/>
  <c r="L221" i="48" a="1"/>
  <c r="L221" i="48" s="1"/>
  <c r="M221" i="48" a="1"/>
  <c r="M221" i="48" s="1"/>
  <c r="N221" i="48" a="1"/>
  <c r="N221" i="48" s="1"/>
  <c r="O221" i="48" a="1"/>
  <c r="O221" i="48" s="1"/>
  <c r="P221" i="48" a="1"/>
  <c r="P221" i="48" s="1"/>
  <c r="J222" i="48" a="1"/>
  <c r="J222" i="48" s="1"/>
  <c r="L222" i="48" a="1"/>
  <c r="L222" i="48" s="1"/>
  <c r="M222" i="48" a="1"/>
  <c r="M222" i="48" s="1"/>
  <c r="N222" i="48" a="1"/>
  <c r="N222" i="48" s="1"/>
  <c r="O222" i="48" a="1"/>
  <c r="O222" i="48" s="1"/>
  <c r="P222" i="48" a="1"/>
  <c r="P222" i="48" s="1"/>
  <c r="J223" i="48" a="1"/>
  <c r="J223" i="48" s="1"/>
  <c r="L223" i="48" a="1"/>
  <c r="L223" i="48" s="1"/>
  <c r="M223" i="48" a="1"/>
  <c r="M223" i="48" s="1"/>
  <c r="N223" i="48" a="1"/>
  <c r="N223" i="48" s="1"/>
  <c r="O223" i="48" a="1"/>
  <c r="O223" i="48" s="1"/>
  <c r="P223" i="48" a="1"/>
  <c r="P223" i="48" s="1"/>
  <c r="J224" i="48" a="1"/>
  <c r="J224" i="48" s="1"/>
  <c r="L224" i="48" a="1"/>
  <c r="L224" i="48" s="1"/>
  <c r="M224" i="48" a="1"/>
  <c r="M224" i="48" s="1"/>
  <c r="N224" i="48" a="1"/>
  <c r="N224" i="48" s="1"/>
  <c r="O224" i="48" a="1"/>
  <c r="O224" i="48" s="1"/>
  <c r="P224" i="48" a="1"/>
  <c r="P224" i="48" s="1"/>
  <c r="J225" i="48" a="1"/>
  <c r="J225" i="48" s="1"/>
  <c r="L225" i="48" a="1"/>
  <c r="L225" i="48" s="1"/>
  <c r="M225" i="48" a="1"/>
  <c r="M225" i="48" s="1"/>
  <c r="N225" i="48" a="1"/>
  <c r="N225" i="48" s="1"/>
  <c r="O225" i="48" a="1"/>
  <c r="O225" i="48" s="1"/>
  <c r="P225" i="48" a="1"/>
  <c r="P225" i="48" s="1"/>
  <c r="J226" i="48" a="1"/>
  <c r="J226" i="48" s="1"/>
  <c r="L226" i="48" a="1"/>
  <c r="L226" i="48" s="1"/>
  <c r="M226" i="48" a="1"/>
  <c r="M226" i="48" s="1"/>
  <c r="N226" i="48" a="1"/>
  <c r="N226" i="48" s="1"/>
  <c r="O226" i="48" a="1"/>
  <c r="O226" i="48" s="1"/>
  <c r="P226" i="48" a="1"/>
  <c r="P226" i="48" s="1"/>
  <c r="J227" i="48" a="1"/>
  <c r="J227" i="48" s="1"/>
  <c r="L227" i="48" a="1"/>
  <c r="L227" i="48" s="1"/>
  <c r="M227" i="48" a="1"/>
  <c r="M227" i="48" s="1"/>
  <c r="N227" i="48" a="1"/>
  <c r="N227" i="48" s="1"/>
  <c r="O227" i="48" a="1"/>
  <c r="O227" i="48" s="1"/>
  <c r="P227" i="48" a="1"/>
  <c r="P227" i="48" s="1"/>
  <c r="J228" i="48" a="1"/>
  <c r="J228" i="48" s="1"/>
  <c r="L228" i="48" a="1"/>
  <c r="L228" i="48" s="1"/>
  <c r="M228" i="48" a="1"/>
  <c r="M228" i="48" s="1"/>
  <c r="N228" i="48" a="1"/>
  <c r="N228" i="48" s="1"/>
  <c r="O228" i="48" a="1"/>
  <c r="O228" i="48" s="1"/>
  <c r="P228" i="48" a="1"/>
  <c r="P228" i="48" s="1"/>
  <c r="J229" i="48" a="1"/>
  <c r="J229" i="48" s="1"/>
  <c r="L229" i="48" a="1"/>
  <c r="L229" i="48" s="1"/>
  <c r="M229" i="48" a="1"/>
  <c r="M229" i="48" s="1"/>
  <c r="N229" i="48" a="1"/>
  <c r="N229" i="48" s="1"/>
  <c r="O229" i="48" a="1"/>
  <c r="O229" i="48" s="1"/>
  <c r="P229" i="48" a="1"/>
  <c r="P229" i="48" s="1"/>
  <c r="J230" i="48" a="1"/>
  <c r="J230" i="48" s="1"/>
  <c r="L230" i="48" a="1"/>
  <c r="L230" i="48" s="1"/>
  <c r="M230" i="48" a="1"/>
  <c r="M230" i="48" s="1"/>
  <c r="N230" i="48" a="1"/>
  <c r="N230" i="48" s="1"/>
  <c r="O230" i="48" a="1"/>
  <c r="O230" i="48" s="1"/>
  <c r="P230" i="48" a="1"/>
  <c r="P230" i="48" s="1"/>
  <c r="J231" i="48" a="1"/>
  <c r="J231" i="48" s="1"/>
  <c r="L231" i="48" a="1"/>
  <c r="L231" i="48" s="1"/>
  <c r="M231" i="48" a="1"/>
  <c r="M231" i="48" s="1"/>
  <c r="N231" i="48" a="1"/>
  <c r="N231" i="48" s="1"/>
  <c r="O231" i="48" a="1"/>
  <c r="O231" i="48" s="1"/>
  <c r="P231" i="48" a="1"/>
  <c r="P231" i="48" s="1"/>
  <c r="J232" i="48" a="1"/>
  <c r="J232" i="48" s="1"/>
  <c r="L232" i="48" a="1"/>
  <c r="L232" i="48" s="1"/>
  <c r="M232" i="48" a="1"/>
  <c r="M232" i="48" s="1"/>
  <c r="N232" i="48" a="1"/>
  <c r="N232" i="48" s="1"/>
  <c r="O232" i="48" a="1"/>
  <c r="O232" i="48" s="1"/>
  <c r="P232" i="48" a="1"/>
  <c r="P232" i="48" s="1"/>
  <c r="J233" i="48" a="1"/>
  <c r="J233" i="48" s="1"/>
  <c r="L233" i="48" a="1"/>
  <c r="L233" i="48" s="1"/>
  <c r="M233" i="48" a="1"/>
  <c r="M233" i="48" s="1"/>
  <c r="N233" i="48" a="1"/>
  <c r="N233" i="48" s="1"/>
  <c r="O233" i="48" a="1"/>
  <c r="O233" i="48" s="1"/>
  <c r="P233" i="48" a="1"/>
  <c r="P233" i="48" s="1"/>
  <c r="J234" i="48" a="1"/>
  <c r="J234" i="48" s="1"/>
  <c r="L234" i="48" a="1"/>
  <c r="L234" i="48" s="1"/>
  <c r="M234" i="48" a="1"/>
  <c r="M234" i="48" s="1"/>
  <c r="N234" i="48" a="1"/>
  <c r="N234" i="48" s="1"/>
  <c r="O234" i="48" a="1"/>
  <c r="O234" i="48" s="1"/>
  <c r="P234" i="48" a="1"/>
  <c r="P234" i="48" s="1"/>
  <c r="J235" i="48" a="1"/>
  <c r="J235" i="48" s="1"/>
  <c r="L235" i="48" a="1"/>
  <c r="L235" i="48" s="1"/>
  <c r="M235" i="48" a="1"/>
  <c r="M235" i="48" s="1"/>
  <c r="N235" i="48" a="1"/>
  <c r="N235" i="48" s="1"/>
  <c r="O235" i="48" a="1"/>
  <c r="O235" i="48" s="1"/>
  <c r="P235" i="48" a="1"/>
  <c r="P235" i="48" s="1"/>
  <c r="J236" i="48" a="1"/>
  <c r="J236" i="48" s="1"/>
  <c r="L236" i="48" a="1"/>
  <c r="L236" i="48" s="1"/>
  <c r="M236" i="48" a="1"/>
  <c r="M236" i="48" s="1"/>
  <c r="N236" i="48" a="1"/>
  <c r="N236" i="48" s="1"/>
  <c r="O236" i="48" a="1"/>
  <c r="O236" i="48" s="1"/>
  <c r="P236" i="48" a="1"/>
  <c r="P236" i="48" s="1"/>
  <c r="J237" i="48" a="1"/>
  <c r="J237" i="48" s="1"/>
  <c r="L237" i="48" a="1"/>
  <c r="L237" i="48" s="1"/>
  <c r="M237" i="48" a="1"/>
  <c r="M237" i="48" s="1"/>
  <c r="N237" i="48" a="1"/>
  <c r="N237" i="48" s="1"/>
  <c r="O237" i="48" a="1"/>
  <c r="O237" i="48" s="1"/>
  <c r="P237" i="48" a="1"/>
  <c r="P237" i="48" s="1"/>
  <c r="J238" i="48" a="1"/>
  <c r="J238" i="48" s="1"/>
  <c r="L238" i="48" a="1"/>
  <c r="L238" i="48" s="1"/>
  <c r="M238" i="48" a="1"/>
  <c r="M238" i="48" s="1"/>
  <c r="N238" i="48" a="1"/>
  <c r="N238" i="48" s="1"/>
  <c r="O238" i="48" a="1"/>
  <c r="O238" i="48" s="1"/>
  <c r="P238" i="48" a="1"/>
  <c r="P238" i="48" s="1"/>
  <c r="J239" i="48" a="1"/>
  <c r="J239" i="48" s="1"/>
  <c r="L239" i="48" a="1"/>
  <c r="L239" i="48" s="1"/>
  <c r="M239" i="48" a="1"/>
  <c r="M239" i="48" s="1"/>
  <c r="N239" i="48" a="1"/>
  <c r="N239" i="48" s="1"/>
  <c r="O239" i="48" a="1"/>
  <c r="O239" i="48" s="1"/>
  <c r="P239" i="48" a="1"/>
  <c r="P239" i="48" s="1"/>
  <c r="J240" i="48" a="1"/>
  <c r="J240" i="48" s="1"/>
  <c r="L240" i="48" a="1"/>
  <c r="L240" i="48" s="1"/>
  <c r="M240" i="48" a="1"/>
  <c r="M240" i="48" s="1"/>
  <c r="N240" i="48" a="1"/>
  <c r="N240" i="48" s="1"/>
  <c r="O240" i="48" a="1"/>
  <c r="O240" i="48" s="1"/>
  <c r="P240" i="48" a="1"/>
  <c r="P240" i="48" s="1"/>
  <c r="J241" i="48" a="1"/>
  <c r="J241" i="48" s="1"/>
  <c r="L241" i="48" a="1"/>
  <c r="L241" i="48" s="1"/>
  <c r="M241" i="48" a="1"/>
  <c r="M241" i="48" s="1"/>
  <c r="N241" i="48" a="1"/>
  <c r="N241" i="48" s="1"/>
  <c r="O241" i="48" a="1"/>
  <c r="O241" i="48" s="1"/>
  <c r="P241" i="48" a="1"/>
  <c r="P241" i="48" s="1"/>
  <c r="J242" i="48" a="1"/>
  <c r="J242" i="48" s="1"/>
  <c r="L242" i="48" a="1"/>
  <c r="L242" i="48" s="1"/>
  <c r="M242" i="48" a="1"/>
  <c r="M242" i="48" s="1"/>
  <c r="N242" i="48" a="1"/>
  <c r="N242" i="48" s="1"/>
  <c r="O242" i="48" a="1"/>
  <c r="O242" i="48" s="1"/>
  <c r="P242" i="48" a="1"/>
  <c r="P242" i="48" s="1"/>
  <c r="J243" i="48" a="1"/>
  <c r="J243" i="48" s="1"/>
  <c r="L243" i="48" a="1"/>
  <c r="L243" i="48" s="1"/>
  <c r="M243" i="48" a="1"/>
  <c r="M243" i="48" s="1"/>
  <c r="N243" i="48" a="1"/>
  <c r="N243" i="48" s="1"/>
  <c r="O243" i="48" a="1"/>
  <c r="O243" i="48" s="1"/>
  <c r="P243" i="48" a="1"/>
  <c r="P243" i="48" s="1"/>
  <c r="M4" i="48" a="1"/>
  <c r="M4" i="48" s="1"/>
  <c r="N4" i="48" a="1"/>
  <c r="N4" i="48" s="1"/>
  <c r="O4" i="48" a="1"/>
  <c r="O4" i="48" s="1"/>
  <c r="P4" i="48" a="1"/>
  <c r="P4" i="48" s="1"/>
  <c r="L4" i="48" a="1"/>
  <c r="L4" i="48" s="1"/>
  <c r="J4" i="48" a="1"/>
  <c r="J4" i="48" s="1"/>
  <c r="K157" i="6"/>
  <c r="K87" i="6"/>
  <c r="K25" i="6"/>
  <c r="K74" i="6"/>
  <c r="H121" i="6"/>
  <c r="K152" i="6"/>
  <c r="H138" i="6"/>
  <c r="H154" i="6"/>
  <c r="H189" i="6"/>
  <c r="K26" i="6"/>
  <c r="K183" i="6"/>
  <c r="K40" i="6"/>
  <c r="K204" i="6"/>
  <c r="K200" i="6"/>
  <c r="H141" i="6"/>
  <c r="K165" i="6"/>
  <c r="K104" i="6"/>
  <c r="K55" i="6"/>
  <c r="K168" i="6"/>
  <c r="H15" i="6"/>
  <c r="K10" i="6"/>
  <c r="H37" i="6"/>
  <c r="K208" i="6"/>
  <c r="H23" i="6"/>
  <c r="H159" i="6"/>
  <c r="H52" i="6"/>
  <c r="K52" i="6"/>
  <c r="K176" i="6"/>
  <c r="H152" i="6"/>
  <c r="K214" i="6"/>
  <c r="K51" i="6"/>
  <c r="K223" i="6"/>
  <c r="H157" i="6"/>
  <c r="K94" i="6"/>
  <c r="K80" i="6"/>
  <c r="H199" i="6"/>
  <c r="K186" i="6"/>
  <c r="K71" i="6"/>
  <c r="H136" i="6"/>
  <c r="K47" i="6"/>
  <c r="K102" i="6"/>
  <c r="K179" i="6"/>
  <c r="H123" i="6"/>
  <c r="H186" i="6"/>
  <c r="K120" i="6"/>
  <c r="K93" i="6"/>
  <c r="H146" i="6"/>
  <c r="K188" i="6"/>
  <c r="K88" i="6"/>
  <c r="H71" i="6"/>
  <c r="K201" i="6"/>
  <c r="K194" i="6"/>
  <c r="H204" i="6"/>
  <c r="K108" i="6"/>
  <c r="H47" i="6"/>
  <c r="H139" i="6"/>
  <c r="H104" i="6"/>
  <c r="K148" i="6"/>
  <c r="K164" i="6"/>
  <c r="H143" i="6"/>
  <c r="K143" i="6"/>
  <c r="K59" i="6"/>
  <c r="H97" i="6"/>
  <c r="H87" i="6"/>
  <c r="H89" i="6"/>
  <c r="K89" i="6"/>
  <c r="H76" i="6"/>
  <c r="K115" i="6"/>
  <c r="K220" i="6"/>
  <c r="K85" i="6"/>
  <c r="H178" i="6"/>
  <c r="H24" i="6"/>
  <c r="K66" i="6"/>
  <c r="K56" i="6"/>
  <c r="K166" i="6"/>
  <c r="K142" i="6"/>
  <c r="H17" i="6"/>
  <c r="H160" i="6"/>
  <c r="K177" i="6"/>
  <c r="H22" i="6"/>
  <c r="H51" i="6"/>
  <c r="K64" i="6"/>
  <c r="K167" i="6"/>
  <c r="H167" i="6"/>
  <c r="H166" i="6"/>
  <c r="H180" i="6"/>
  <c r="K180" i="6"/>
  <c r="K107" i="6"/>
  <c r="H25" i="6"/>
  <c r="K103" i="6"/>
  <c r="K131" i="6"/>
  <c r="K174" i="6"/>
  <c r="H168" i="6"/>
  <c r="H162" i="6"/>
  <c r="K162" i="6"/>
  <c r="K195" i="6"/>
  <c r="K211" i="6"/>
  <c r="H69" i="6"/>
  <c r="H165" i="6"/>
  <c r="H26" i="6"/>
  <c r="H214" i="6"/>
  <c r="H45" i="6"/>
  <c r="K45" i="6"/>
  <c r="H93" i="6"/>
  <c r="H13" i="6"/>
  <c r="H188" i="6"/>
  <c r="K218" i="6"/>
  <c r="H59" i="6"/>
  <c r="H88" i="6"/>
  <c r="H155" i="6"/>
  <c r="H10" i="6"/>
  <c r="H56" i="6"/>
  <c r="K113" i="6"/>
  <c r="H14" i="6"/>
  <c r="H80" i="6"/>
  <c r="K34" i="6"/>
  <c r="K210" i="6"/>
  <c r="H74" i="6"/>
  <c r="H220" i="6"/>
  <c r="K50" i="6"/>
  <c r="H94" i="6"/>
  <c r="H19" i="6"/>
  <c r="K19" i="6"/>
  <c r="H148" i="6"/>
  <c r="K58" i="6"/>
  <c r="H218" i="6"/>
  <c r="K33" i="6"/>
  <c r="H132" i="6"/>
  <c r="K75" i="6"/>
  <c r="K86" i="6"/>
  <c r="H161" i="6"/>
  <c r="H191" i="6"/>
  <c r="K70" i="6"/>
  <c r="K197" i="6"/>
  <c r="H140" i="6"/>
  <c r="H211" i="6"/>
  <c r="H115" i="6"/>
  <c r="K213" i="6"/>
  <c r="K67" i="6"/>
  <c r="K49" i="6"/>
  <c r="H108" i="6"/>
  <c r="K18" i="6"/>
  <c r="H224" i="6"/>
  <c r="H176" i="6"/>
  <c r="K205" i="6"/>
  <c r="K212" i="6"/>
  <c r="K81" i="6"/>
  <c r="H133" i="6"/>
  <c r="H98" i="6"/>
  <c r="H210" i="6"/>
  <c r="H73" i="6"/>
  <c r="K42" i="6"/>
  <c r="H206" i="6"/>
  <c r="K61" i="6"/>
  <c r="H124" i="6"/>
  <c r="H223" i="6"/>
  <c r="H30" i="6"/>
  <c r="K222" i="6"/>
  <c r="H54" i="6"/>
  <c r="K54" i="6"/>
  <c r="H201" i="6"/>
  <c r="H170" i="6"/>
  <c r="K170" i="6"/>
  <c r="K41" i="6"/>
  <c r="K127" i="6"/>
  <c r="K84" i="6"/>
  <c r="H174" i="6"/>
  <c r="K149" i="6"/>
  <c r="K129" i="6"/>
  <c r="H177" i="6"/>
  <c r="K203" i="6"/>
  <c r="H127" i="6"/>
  <c r="K221" i="6"/>
  <c r="H68" i="6"/>
  <c r="K68" i="6"/>
  <c r="K173" i="6"/>
  <c r="H84" i="6"/>
  <c r="H70" i="6"/>
  <c r="H103" i="6"/>
  <c r="H213" i="6"/>
  <c r="K225" i="6"/>
  <c r="H208" i="6"/>
  <c r="K219" i="6"/>
  <c r="H205" i="6"/>
  <c r="K28" i="6"/>
  <c r="H34" i="6"/>
  <c r="K39" i="6"/>
  <c r="H212" i="6"/>
  <c r="H81" i="6"/>
  <c r="K147" i="6"/>
  <c r="K192" i="6"/>
  <c r="H158" i="6"/>
  <c r="K44" i="6"/>
  <c r="H195" i="6"/>
  <c r="K78" i="6"/>
  <c r="H198" i="6"/>
  <c r="K198" i="6"/>
  <c r="K150" i="6"/>
  <c r="H92" i="6"/>
  <c r="H64" i="6"/>
  <c r="H193" i="6"/>
  <c r="K193" i="6"/>
  <c r="H183" i="6"/>
  <c r="H171" i="6"/>
  <c r="H172" i="6"/>
  <c r="K172" i="6"/>
  <c r="K175" i="6"/>
  <c r="H175" i="6"/>
  <c r="H202" i="6"/>
  <c r="K202" i="6"/>
  <c r="H86" i="6"/>
  <c r="H207" i="6"/>
  <c r="H197" i="6"/>
  <c r="H122" i="6"/>
  <c r="H67" i="6"/>
  <c r="H43" i="6"/>
  <c r="K43" i="6"/>
  <c r="K163" i="6"/>
  <c r="K128" i="6"/>
  <c r="H41" i="6"/>
  <c r="H95" i="6"/>
  <c r="H91" i="6"/>
  <c r="K91" i="6"/>
  <c r="H192" i="6"/>
  <c r="H129" i="6"/>
  <c r="H126" i="6"/>
  <c r="K126" i="6"/>
  <c r="H53" i="6"/>
  <c r="K53" i="6"/>
  <c r="H65" i="6"/>
  <c r="K65" i="6"/>
  <c r="H182" i="6"/>
  <c r="K182" i="6"/>
  <c r="H110" i="6"/>
  <c r="K110" i="6"/>
  <c r="H181" i="6"/>
  <c r="K181" i="6"/>
  <c r="K11" i="6"/>
  <c r="H63" i="6"/>
  <c r="H164" i="6"/>
  <c r="H33" i="6"/>
  <c r="H150" i="6"/>
  <c r="H21" i="6"/>
  <c r="K21" i="6"/>
  <c r="H203" i="6"/>
  <c r="H75" i="6"/>
  <c r="H151" i="6"/>
  <c r="H222" i="6"/>
  <c r="K62" i="6"/>
  <c r="H79" i="6"/>
  <c r="K79" i="6"/>
  <c r="H120" i="6"/>
  <c r="H58" i="6"/>
  <c r="H39" i="6"/>
  <c r="H16" i="6"/>
  <c r="H187" i="6"/>
  <c r="K187" i="6"/>
  <c r="H36" i="6"/>
  <c r="H107" i="6"/>
  <c r="H38" i="6"/>
  <c r="K38" i="6"/>
  <c r="H82" i="6"/>
  <c r="K82" i="6"/>
  <c r="K32" i="6"/>
  <c r="K209" i="6"/>
  <c r="H200" i="6"/>
  <c r="H28" i="6"/>
  <c r="H113" i="6"/>
  <c r="K215" i="6"/>
  <c r="H90" i="6"/>
  <c r="K90" i="6"/>
  <c r="H125" i="6"/>
  <c r="K125" i="6"/>
  <c r="H221" i="6"/>
  <c r="H12" i="6"/>
  <c r="K12" i="6"/>
  <c r="H114" i="6"/>
  <c r="K114" i="6"/>
  <c r="H144" i="6"/>
  <c r="K144" i="6"/>
  <c r="H62" i="6"/>
  <c r="H77" i="6"/>
  <c r="K77" i="6"/>
  <c r="H215" i="6"/>
  <c r="H32" i="6"/>
  <c r="H49" i="6"/>
  <c r="K217" i="6"/>
  <c r="H128" i="6"/>
  <c r="H185" i="6"/>
  <c r="K185" i="6"/>
  <c r="H111" i="6"/>
  <c r="K111" i="6"/>
  <c r="H55" i="6"/>
  <c r="K60" i="6"/>
  <c r="K112" i="6"/>
  <c r="K196" i="6"/>
  <c r="K48" i="6"/>
  <c r="H102" i="6"/>
  <c r="K184" i="6"/>
  <c r="H61" i="6"/>
  <c r="H66" i="6"/>
  <c r="K57" i="6"/>
  <c r="K109" i="6"/>
  <c r="H29" i="6"/>
  <c r="K130" i="6"/>
  <c r="H31" i="6"/>
  <c r="H50" i="6"/>
  <c r="H11" i="6"/>
  <c r="H18" i="6"/>
  <c r="H153" i="6"/>
  <c r="K153" i="6"/>
  <c r="H147" i="6"/>
  <c r="H27" i="6"/>
  <c r="K27" i="6"/>
  <c r="H20" i="6"/>
  <c r="H156" i="6"/>
  <c r="K156" i="6"/>
  <c r="H209" i="6"/>
  <c r="H131" i="6"/>
  <c r="H72" i="6"/>
  <c r="K72" i="6"/>
  <c r="H78" i="6"/>
  <c r="H40" i="6"/>
  <c r="H173" i="6"/>
  <c r="H216" i="6"/>
  <c r="K216" i="6"/>
  <c r="H163" i="6"/>
  <c r="H44" i="6"/>
  <c r="H83" i="6"/>
  <c r="K83" i="6"/>
  <c r="H60" i="6"/>
  <c r="H112" i="6"/>
  <c r="H196" i="6"/>
  <c r="H48" i="6"/>
  <c r="H179" i="6"/>
  <c r="H184" i="6"/>
  <c r="H142" i="6"/>
  <c r="H149" i="6"/>
  <c r="H57" i="6"/>
  <c r="H109" i="6"/>
  <c r="H42" i="6"/>
  <c r="H35" i="6"/>
  <c r="K35" i="6"/>
  <c r="H135" i="6"/>
  <c r="H217" i="6"/>
  <c r="H130" i="6"/>
  <c r="H85" i="6"/>
  <c r="H225" i="6"/>
  <c r="H219" i="6"/>
  <c r="H134" i="6"/>
  <c r="H46" i="6"/>
  <c r="K46" i="6"/>
  <c r="H169" i="6"/>
  <c r="K169" i="6"/>
  <c r="H194" i="6"/>
  <c r="I62" i="63"/>
  <c r="L62" i="63" s="1"/>
  <c r="I61" i="63"/>
  <c r="L61" i="63" s="1"/>
</calcChain>
</file>

<file path=xl/comments1.xml><?xml version="1.0" encoding="utf-8"?>
<comments xmlns="http://schemas.openxmlformats.org/spreadsheetml/2006/main">
  <authors>
    <author>alex</author>
  </authors>
  <commentList>
    <comment ref="H61" authorId="0">
      <text>
        <r>
          <rPr>
            <b/>
            <sz val="8"/>
            <color indexed="81"/>
            <rFont val="Tahoma"/>
            <family val="2"/>
          </rPr>
          <t>ISER:</t>
        </r>
        <r>
          <rPr>
            <sz val="8"/>
            <color indexed="81"/>
            <rFont val="Tahoma"/>
            <family val="2"/>
          </rPr>
          <t xml:space="preserve">
This figure is not a typo. It is unusally high because it records sales by utilities such as Chugach to industrial custormers.</t>
        </r>
      </text>
    </comment>
  </commentList>
</comments>
</file>

<file path=xl/sharedStrings.xml><?xml version="1.0" encoding="utf-8"?>
<sst xmlns="http://schemas.openxmlformats.org/spreadsheetml/2006/main" count="16280" uniqueCount="1203">
  <si>
    <t>Utility Name</t>
  </si>
  <si>
    <t>Plant Name</t>
  </si>
  <si>
    <t>Community</t>
  </si>
  <si>
    <t>Wind Turbine</t>
  </si>
  <si>
    <t>Source</t>
  </si>
  <si>
    <t>AEA Energy Region</t>
  </si>
  <si>
    <t>Census Region</t>
  </si>
  <si>
    <t>Sum of Values=Total Disposition</t>
  </si>
  <si>
    <t>Hydroelectric</t>
  </si>
  <si>
    <t>Coal</t>
  </si>
  <si>
    <t>Wind</t>
  </si>
  <si>
    <t>Residential</t>
  </si>
  <si>
    <t>Commercial</t>
  </si>
  <si>
    <t>Other</t>
  </si>
  <si>
    <t>Total</t>
  </si>
  <si>
    <t>Revenue ($000)</t>
  </si>
  <si>
    <t>Sales (MWh)</t>
  </si>
  <si>
    <t>Customers (Accounts)</t>
  </si>
  <si>
    <t>Net Generation MMBtu</t>
  </si>
  <si>
    <t>Total Fuel MMBtu</t>
  </si>
  <si>
    <t>Notes</t>
  </si>
  <si>
    <t>Estimated Fuel Consumption MMBtu</t>
  </si>
  <si>
    <t>Oil</t>
  </si>
  <si>
    <t>Gas</t>
  </si>
  <si>
    <t>Hydro</t>
  </si>
  <si>
    <t>Gas (Mcf)</t>
  </si>
  <si>
    <t>Coal (Short Tons)</t>
  </si>
  <si>
    <t>Akhiok, City of</t>
  </si>
  <si>
    <t>Akhiok</t>
  </si>
  <si>
    <t>Akiachak Native Community</t>
  </si>
  <si>
    <t>Akiachak</t>
  </si>
  <si>
    <t>Akiak City Council</t>
  </si>
  <si>
    <t>Akiak</t>
  </si>
  <si>
    <t>Akutan, City of</t>
  </si>
  <si>
    <t>Akutan</t>
  </si>
  <si>
    <t>Annex Creek</t>
  </si>
  <si>
    <t>Juneau</t>
  </si>
  <si>
    <t>Auke Bay</t>
  </si>
  <si>
    <t>Gold Creek</t>
  </si>
  <si>
    <t>Lake Dorothy</t>
  </si>
  <si>
    <t>Lemon Creek</t>
  </si>
  <si>
    <t>Salmon Creek 1</t>
  </si>
  <si>
    <t>Snettisham</t>
  </si>
  <si>
    <t>Alaska Power &amp; Telephone Company</t>
  </si>
  <si>
    <t>Allakaket</t>
  </si>
  <si>
    <t>Bettles</t>
  </si>
  <si>
    <t>Chistochina</t>
  </si>
  <si>
    <t>Coffman Cove</t>
  </si>
  <si>
    <t>Craig</t>
  </si>
  <si>
    <t>Viking</t>
  </si>
  <si>
    <t>Haines</t>
  </si>
  <si>
    <t>Healy Lake</t>
  </si>
  <si>
    <t>Hollis</t>
  </si>
  <si>
    <t>Hydaburg</t>
  </si>
  <si>
    <t>Klawock</t>
  </si>
  <si>
    <t>Mentasta Lake</t>
  </si>
  <si>
    <t>Naukati Bay</t>
  </si>
  <si>
    <t>Northway</t>
  </si>
  <si>
    <t>Black Bear Lake</t>
  </si>
  <si>
    <t>South Fork</t>
  </si>
  <si>
    <t>Skagway</t>
  </si>
  <si>
    <t>Slana</t>
  </si>
  <si>
    <t>Tetlin</t>
  </si>
  <si>
    <t>False Island</t>
  </si>
  <si>
    <t>Tok</t>
  </si>
  <si>
    <t>Whale Pass</t>
  </si>
  <si>
    <t>Alakanuk</t>
  </si>
  <si>
    <t>Ambler</t>
  </si>
  <si>
    <t>Anvik</t>
  </si>
  <si>
    <t>Brevig Mission</t>
  </si>
  <si>
    <t>Chevak</t>
  </si>
  <si>
    <t>Eek</t>
  </si>
  <si>
    <t>Elim</t>
  </si>
  <si>
    <t>Emmonak</t>
  </si>
  <si>
    <t>Gambell</t>
  </si>
  <si>
    <t>Goodnews Bay</t>
  </si>
  <si>
    <t>Grayling</t>
  </si>
  <si>
    <t>Holy Cross</t>
  </si>
  <si>
    <t>Hooper Bay</t>
  </si>
  <si>
    <t>Huslia</t>
  </si>
  <si>
    <t>Kaltag</t>
  </si>
  <si>
    <t>Kasigluk</t>
  </si>
  <si>
    <t>Kiana</t>
  </si>
  <si>
    <t>Kivalina</t>
  </si>
  <si>
    <t>Kotlik</t>
  </si>
  <si>
    <t>Koyuk</t>
  </si>
  <si>
    <t>Lower Kalskag</t>
  </si>
  <si>
    <t>Marshall</t>
  </si>
  <si>
    <t>Mekoryuk</t>
  </si>
  <si>
    <t>Minto</t>
  </si>
  <si>
    <t>Mountain Village</t>
  </si>
  <si>
    <t>New Stuyahok</t>
  </si>
  <si>
    <t>Nightmute</t>
  </si>
  <si>
    <t>Noatak</t>
  </si>
  <si>
    <t>Noorvik</t>
  </si>
  <si>
    <t>Nulato</t>
  </si>
  <si>
    <t>Nunapitchuk</t>
  </si>
  <si>
    <t>Old Harbor</t>
  </si>
  <si>
    <t>Pilot Station</t>
  </si>
  <si>
    <t>Pitkas Point</t>
  </si>
  <si>
    <t>Quinhagak</t>
  </si>
  <si>
    <t>Russian Mission</t>
  </si>
  <si>
    <t>Saint Michael</t>
  </si>
  <si>
    <t>Savoonga</t>
  </si>
  <si>
    <t>Scammon Bay</t>
  </si>
  <si>
    <t>Selawik</t>
  </si>
  <si>
    <t>Shageluk</t>
  </si>
  <si>
    <t>Shaktoolik</t>
  </si>
  <si>
    <t>Shishmaref</t>
  </si>
  <si>
    <t>Shungnak</t>
  </si>
  <si>
    <t>Stebbins</t>
  </si>
  <si>
    <t>Teller</t>
  </si>
  <si>
    <t>Togiak</t>
  </si>
  <si>
    <t>Toksook Bay</t>
  </si>
  <si>
    <t>Tununak</t>
  </si>
  <si>
    <t>Upper Kalskag</t>
  </si>
  <si>
    <t>Wales</t>
  </si>
  <si>
    <t>Alutiiq Power Company</t>
  </si>
  <si>
    <t>Karluk</t>
  </si>
  <si>
    <t>Anchorage Municipal Light &amp; Power</t>
  </si>
  <si>
    <t>Anchorage 1</t>
  </si>
  <si>
    <t>Anchorage</t>
  </si>
  <si>
    <t>George M Sullivan Generation Plant 2</t>
  </si>
  <si>
    <t>Aniak Light &amp; Power</t>
  </si>
  <si>
    <t>Aniak</t>
  </si>
  <si>
    <t>Arctic Village Electric Company</t>
  </si>
  <si>
    <t>Arctic Village</t>
  </si>
  <si>
    <t>Atka, City of</t>
  </si>
  <si>
    <t>Atka</t>
  </si>
  <si>
    <t>Atmautluak Tribal Utilities</t>
  </si>
  <si>
    <t>Atmautluak</t>
  </si>
  <si>
    <t>Aurora Energy LLC Chena</t>
  </si>
  <si>
    <t>Fairbanks</t>
  </si>
  <si>
    <t>Barrow</t>
  </si>
  <si>
    <t>Beaver Joint Utilities</t>
  </si>
  <si>
    <t>Beaver</t>
  </si>
  <si>
    <t>Bethel</t>
  </si>
  <si>
    <t>Birch Creek Village Electric</t>
  </si>
  <si>
    <t>Birch Creek</t>
  </si>
  <si>
    <t>Buckland, City of</t>
  </si>
  <si>
    <t>Buckland</t>
  </si>
  <si>
    <t>Chalkyitsik Village Council</t>
  </si>
  <si>
    <t>Chalkyitsik</t>
  </si>
  <si>
    <t>Chenega Ira Council</t>
  </si>
  <si>
    <t>Chenega Bay</t>
  </si>
  <si>
    <t>Chignik Lagoon Power Utility</t>
  </si>
  <si>
    <t>Chignik Lagoon</t>
  </si>
  <si>
    <t>Chignik Lake Electric Utility</t>
  </si>
  <si>
    <t>Chignik Lake</t>
  </si>
  <si>
    <t>Chignik, City of</t>
  </si>
  <si>
    <t>Chignik</t>
  </si>
  <si>
    <t>Chitina Electric Inc</t>
  </si>
  <si>
    <t>Chitina</t>
  </si>
  <si>
    <t>Chugach Electric Assn Inc</t>
  </si>
  <si>
    <t>International</t>
  </si>
  <si>
    <t>Bernice Lake</t>
  </si>
  <si>
    <t>Nikiski</t>
  </si>
  <si>
    <t>Beluga</t>
  </si>
  <si>
    <t>Railbelt</t>
  </si>
  <si>
    <t>Cooper Lake</t>
  </si>
  <si>
    <t>Circle Electric Utility</t>
  </si>
  <si>
    <t>Circle</t>
  </si>
  <si>
    <t>Clark's Point, City of</t>
  </si>
  <si>
    <t>Clark's Point</t>
  </si>
  <si>
    <t>Copper Valley Elec Assn Inc</t>
  </si>
  <si>
    <t>Glennallen</t>
  </si>
  <si>
    <t>Solomon Gulch</t>
  </si>
  <si>
    <t>Valdez</t>
  </si>
  <si>
    <t>Valdez Cogen</t>
  </si>
  <si>
    <t>Cordova</t>
  </si>
  <si>
    <t>Diomede</t>
  </si>
  <si>
    <t>Egegik Light &amp; Power Co</t>
  </si>
  <si>
    <t>Egegik</t>
  </si>
  <si>
    <t>Ekwok</t>
  </si>
  <si>
    <t>Elfin Cove Utility Commission</t>
  </si>
  <si>
    <t>Elfin Cove</t>
  </si>
  <si>
    <t>False Pass, City of</t>
  </si>
  <si>
    <t>False Pass</t>
  </si>
  <si>
    <t>G &amp; K Inc</t>
  </si>
  <si>
    <t>Cold Bay</t>
  </si>
  <si>
    <t>Galena, City of</t>
  </si>
  <si>
    <t>Galena</t>
  </si>
  <si>
    <t>Gold Country Energy</t>
  </si>
  <si>
    <t>Central</t>
  </si>
  <si>
    <t>Golden Valley Elec Assn Inc</t>
  </si>
  <si>
    <t>Delta Power</t>
  </si>
  <si>
    <t>Healy</t>
  </si>
  <si>
    <t>North Pole</t>
  </si>
  <si>
    <t>Golovin Power Utilities</t>
  </si>
  <si>
    <t>Golovin</t>
  </si>
  <si>
    <t>Gustavus Electric Co</t>
  </si>
  <si>
    <t>Gustavus</t>
  </si>
  <si>
    <t>Fort Yukon</t>
  </si>
  <si>
    <t>Homer Electric Assn Inc</t>
  </si>
  <si>
    <t>Nikiski Co-Generation</t>
  </si>
  <si>
    <t>Seldovia</t>
  </si>
  <si>
    <t>Hughes Power &amp; Light</t>
  </si>
  <si>
    <t>Hughes</t>
  </si>
  <si>
    <t>Igiugig Electric Company</t>
  </si>
  <si>
    <t>Igiugig</t>
  </si>
  <si>
    <t>I-N-N Electric Coop, Inc</t>
  </si>
  <si>
    <t>Inside Passage Electric</t>
  </si>
  <si>
    <t>Angoon</t>
  </si>
  <si>
    <t>Chilkat Valley</t>
  </si>
  <si>
    <t>Hoonah</t>
  </si>
  <si>
    <t>Kake</t>
  </si>
  <si>
    <t>Klukwan</t>
  </si>
  <si>
    <t>Ipnatchiaq Electric Company</t>
  </si>
  <si>
    <t>Deering</t>
  </si>
  <si>
    <t>Ketchikan Public Utilities</t>
  </si>
  <si>
    <t>Beaver Falls</t>
  </si>
  <si>
    <t>Ketchikan</t>
  </si>
  <si>
    <t>S W Bailey</t>
  </si>
  <si>
    <t>Silvis</t>
  </si>
  <si>
    <t>Swan Lake</t>
  </si>
  <si>
    <t>King Cove, City of</t>
  </si>
  <si>
    <t>King Cove</t>
  </si>
  <si>
    <t>Kipnuk Light Plant</t>
  </si>
  <si>
    <t>Kipnuk</t>
  </si>
  <si>
    <t>Kobuk Valley Electric Company</t>
  </si>
  <si>
    <t>Kobuk</t>
  </si>
  <si>
    <t>Kodiak Electric Assn Inc</t>
  </si>
  <si>
    <t>Kodiak</t>
  </si>
  <si>
    <t>Nymans Plant</t>
  </si>
  <si>
    <t>Pillar Mountain</t>
  </si>
  <si>
    <t>Terror Lake</t>
  </si>
  <si>
    <t>Port Lions</t>
  </si>
  <si>
    <t>Kokhanok Village Council</t>
  </si>
  <si>
    <t>Kokhanok</t>
  </si>
  <si>
    <t>Kotzebue Electric Association</t>
  </si>
  <si>
    <t>Kotzebue</t>
  </si>
  <si>
    <t>Koyukuk, City of</t>
  </si>
  <si>
    <t>Koyukuk</t>
  </si>
  <si>
    <t>Kwethluk Incorporated</t>
  </si>
  <si>
    <t>Kwethluk</t>
  </si>
  <si>
    <t>Kwigillingok</t>
  </si>
  <si>
    <t>Larsen Bay Utility Company</t>
  </si>
  <si>
    <t>Larsen Bay</t>
  </si>
  <si>
    <t>Levelock Electrical Coop</t>
  </si>
  <si>
    <t>Levelock</t>
  </si>
  <si>
    <t>Lime Village Electric Utility</t>
  </si>
  <si>
    <t>Lime Village</t>
  </si>
  <si>
    <t>Manokotak Power Company</t>
  </si>
  <si>
    <t>Manokotak</t>
  </si>
  <si>
    <t>McGrath</t>
  </si>
  <si>
    <t>Metlakatla Power &amp; Light</t>
  </si>
  <si>
    <t>Centennial</t>
  </si>
  <si>
    <t>Metlakatla</t>
  </si>
  <si>
    <t>Chester Lake</t>
  </si>
  <si>
    <t>Purple Lake</t>
  </si>
  <si>
    <t>Middle Kuskokwim Electric</t>
  </si>
  <si>
    <t>Chuathbaluk</t>
  </si>
  <si>
    <t>Crooked Creek</t>
  </si>
  <si>
    <t>Red Devil</t>
  </si>
  <si>
    <t>Sleetmute</t>
  </si>
  <si>
    <t>Stony River</t>
  </si>
  <si>
    <t>Minchumina Power Company</t>
  </si>
  <si>
    <t>Lake Minchumina</t>
  </si>
  <si>
    <t>Naknek Electric Association</t>
  </si>
  <si>
    <t>Naknek</t>
  </si>
  <si>
    <t>Napakiak Ircinraq</t>
  </si>
  <si>
    <t>Napakiak</t>
  </si>
  <si>
    <t>Napaskiak Electric Utility</t>
  </si>
  <si>
    <t>Napaskiak</t>
  </si>
  <si>
    <t>Naterkaq Light Plant</t>
  </si>
  <si>
    <t>Chefornak</t>
  </si>
  <si>
    <t>Native Village of Perryville</t>
  </si>
  <si>
    <t>Perryville</t>
  </si>
  <si>
    <t>Nelson Lagoon Electrical Coop</t>
  </si>
  <si>
    <t>Nelson Lagoon</t>
  </si>
  <si>
    <t>New Koliganek Village Council</t>
  </si>
  <si>
    <t>Koliganek</t>
  </si>
  <si>
    <t>Nikolai, City of</t>
  </si>
  <si>
    <t>Nikolai</t>
  </si>
  <si>
    <t>Nome Joint Utility Systems</t>
  </si>
  <si>
    <t>Snake River</t>
  </si>
  <si>
    <t>Nome</t>
  </si>
  <si>
    <t>North Slope Borough Power &amp; Light</t>
  </si>
  <si>
    <t>Anaktuvuk Pass</t>
  </si>
  <si>
    <t>Atqasuk</t>
  </si>
  <si>
    <t>Kaktovik</t>
  </si>
  <si>
    <t>Nuiqsut</t>
  </si>
  <si>
    <t>Point Hope</t>
  </si>
  <si>
    <t>Point Lay</t>
  </si>
  <si>
    <t>Wainwright</t>
  </si>
  <si>
    <t>Nunam Iqua Electric Company</t>
  </si>
  <si>
    <t>Nunam Iqua</t>
  </si>
  <si>
    <t>Dillingham</t>
  </si>
  <si>
    <t>Ouzinkie, City of</t>
  </si>
  <si>
    <t>Ouzinkie</t>
  </si>
  <si>
    <t>Pedro Bay Village Council</t>
  </si>
  <si>
    <t>Pedro Bay</t>
  </si>
  <si>
    <t>Pelican Utility</t>
  </si>
  <si>
    <t>Pelican</t>
  </si>
  <si>
    <t>Petersburg, City of</t>
  </si>
  <si>
    <t>Petersburg</t>
  </si>
  <si>
    <t>Pilot Point Electric Utility</t>
  </si>
  <si>
    <t>Pilot Point</t>
  </si>
  <si>
    <t>Platinum, City of</t>
  </si>
  <si>
    <t>Platinum</t>
  </si>
  <si>
    <t>Port Heiden Utilities</t>
  </si>
  <si>
    <t>Port Heiden</t>
  </si>
  <si>
    <t>Puvurnaq Power Company</t>
  </si>
  <si>
    <t>Kongiganak</t>
  </si>
  <si>
    <t>Rampart Village Council</t>
  </si>
  <si>
    <t>Rampart</t>
  </si>
  <si>
    <t>Ruby, City of</t>
  </si>
  <si>
    <t>Ruby</t>
  </si>
  <si>
    <t>Saint George, City of</t>
  </si>
  <si>
    <t>Saint George</t>
  </si>
  <si>
    <t>Seward, City of</t>
  </si>
  <si>
    <t>Seward</t>
  </si>
  <si>
    <t>Bradley Lake</t>
  </si>
  <si>
    <t>Blue Lake</t>
  </si>
  <si>
    <t>Sitka</t>
  </si>
  <si>
    <t>Green Lake</t>
  </si>
  <si>
    <t>Jarvis Street</t>
  </si>
  <si>
    <t>Southeast Alaska Power Agency</t>
  </si>
  <si>
    <t>Tyee Lake</t>
  </si>
  <si>
    <t>10 Mile</t>
  </si>
  <si>
    <t>Saint Paul</t>
  </si>
  <si>
    <t>Stevens Village Ira Council</t>
  </si>
  <si>
    <t>Stevens Village</t>
  </si>
  <si>
    <t>Takotna Community Assoc Inc</t>
  </si>
  <si>
    <t>Takotna</t>
  </si>
  <si>
    <t>Tanalian Electric Cooperative</t>
  </si>
  <si>
    <t>Port Alsworth</t>
  </si>
  <si>
    <t>Tanana</t>
  </si>
  <si>
    <t>Tatitlek Village Ira Council</t>
  </si>
  <si>
    <t>Tatitlek</t>
  </si>
  <si>
    <t>Adak</t>
  </si>
  <si>
    <t>TDX Corporation</t>
  </si>
  <si>
    <t>Sand Point</t>
  </si>
  <si>
    <t>TDX Manley Generating LLC</t>
  </si>
  <si>
    <t>Manley Hot Springs</t>
  </si>
  <si>
    <t>Tenakee Springs, City of</t>
  </si>
  <si>
    <t>Tenakee Springs</t>
  </si>
  <si>
    <t>Tuluksak Traditional</t>
  </si>
  <si>
    <t>Tuluksak</t>
  </si>
  <si>
    <t>Tuntutuliak Community</t>
  </si>
  <si>
    <t>Tuntutuliak</t>
  </si>
  <si>
    <t>Twin Hills Village Council</t>
  </si>
  <si>
    <t>Twin Hills</t>
  </si>
  <si>
    <t>Umnak Power Company</t>
  </si>
  <si>
    <t>Nikolski</t>
  </si>
  <si>
    <t>Unalakleet</t>
  </si>
  <si>
    <t>Ungusraq Power Company</t>
  </si>
  <si>
    <t>Newtok</t>
  </si>
  <si>
    <t>Venetie Village Electric</t>
  </si>
  <si>
    <t>Venetie</t>
  </si>
  <si>
    <t>White Mountain, City of</t>
  </si>
  <si>
    <t>White Mountain</t>
  </si>
  <si>
    <t>Wrangell, City of</t>
  </si>
  <si>
    <t>Wrangell</t>
  </si>
  <si>
    <t>Yakutat Power Inc</t>
  </si>
  <si>
    <t>Yakutat</t>
  </si>
  <si>
    <t>PCE</t>
  </si>
  <si>
    <t>AKHIK</t>
  </si>
  <si>
    <t>SC</t>
  </si>
  <si>
    <t>Kodiak Island</t>
  </si>
  <si>
    <t>Koniag</t>
  </si>
  <si>
    <t>AKIANCE</t>
  </si>
  <si>
    <t>SW</t>
  </si>
  <si>
    <t>Lower Yukon-Kuskokwim</t>
  </si>
  <si>
    <t>Bethel (CA)</t>
  </si>
  <si>
    <t>Calista</t>
  </si>
  <si>
    <t>AKIA</t>
  </si>
  <si>
    <t>AKUT</t>
  </si>
  <si>
    <t>Aleutians</t>
  </si>
  <si>
    <t>Aleutians East</t>
  </si>
  <si>
    <t>Aleut</t>
  </si>
  <si>
    <t>AEL&amp;P</t>
  </si>
  <si>
    <t>SE</t>
  </si>
  <si>
    <t>Southeast</t>
  </si>
  <si>
    <t>Sealaska</t>
  </si>
  <si>
    <t>YU</t>
  </si>
  <si>
    <t>Yukon-Koyukuk/Upper Tanana</t>
  </si>
  <si>
    <t>Yukon-Koyukuk (CA)</t>
  </si>
  <si>
    <t>Doyon</t>
  </si>
  <si>
    <t>Copper River/Chugach</t>
  </si>
  <si>
    <t>Valdez-Cordova (CA)</t>
  </si>
  <si>
    <t>Ahtna</t>
  </si>
  <si>
    <t>Prince of Wales-Hyder (CA)</t>
  </si>
  <si>
    <t>Southeast Fairbanks (CA)</t>
  </si>
  <si>
    <t>Dyon</t>
  </si>
  <si>
    <t>ALASVEC</t>
  </si>
  <si>
    <t>Wade Hampton (CA)</t>
  </si>
  <si>
    <t>AN</t>
  </si>
  <si>
    <t>Northwest Arctic</t>
  </si>
  <si>
    <t>NANA</t>
  </si>
  <si>
    <t>Bering Straits</t>
  </si>
  <si>
    <t>Nome (CA)</t>
  </si>
  <si>
    <t>Bristol Bay</t>
  </si>
  <si>
    <t>Dillingham (CA)</t>
  </si>
  <si>
    <t>ALUTPC</t>
  </si>
  <si>
    <t>ML&amp;P</t>
  </si>
  <si>
    <t>Cook Inlet</t>
  </si>
  <si>
    <t>ANIALPC</t>
  </si>
  <si>
    <t>Aleutians West (CA)</t>
  </si>
  <si>
    <t>ATMATU</t>
  </si>
  <si>
    <t>Fairbanks North Star</t>
  </si>
  <si>
    <t>North Slope</t>
  </si>
  <si>
    <t>Arctic Slope</t>
  </si>
  <si>
    <t>BEAVJU</t>
  </si>
  <si>
    <t>BETHUC</t>
  </si>
  <si>
    <t>BUCK</t>
  </si>
  <si>
    <t>CHALVC</t>
  </si>
  <si>
    <t>CHENVC</t>
  </si>
  <si>
    <t>Chugach</t>
  </si>
  <si>
    <t>CHIGLPU</t>
  </si>
  <si>
    <t>Lake and Peninsula</t>
  </si>
  <si>
    <t>CHIGLEU</t>
  </si>
  <si>
    <t>CHIG</t>
  </si>
  <si>
    <t>CHITE</t>
  </si>
  <si>
    <t>Kenai Peninsula</t>
  </si>
  <si>
    <t>CVEA</t>
  </si>
  <si>
    <t>CORDEC</t>
  </si>
  <si>
    <t>DIOMJU</t>
  </si>
  <si>
    <t>EGEGLP</t>
  </si>
  <si>
    <t>EKWO</t>
  </si>
  <si>
    <t>ELFICEU</t>
  </si>
  <si>
    <t>Hoonah-Angoon (CA)</t>
  </si>
  <si>
    <t>FALSPE</t>
  </si>
  <si>
    <t>GALE</t>
  </si>
  <si>
    <t>GVEA</t>
  </si>
  <si>
    <t>Denali</t>
  </si>
  <si>
    <t>GOLOPU</t>
  </si>
  <si>
    <t>GUSTE</t>
  </si>
  <si>
    <t>HEA</t>
  </si>
  <si>
    <t>HUGHPL</t>
  </si>
  <si>
    <t>IGIUEC</t>
  </si>
  <si>
    <t>INSIPEC</t>
  </si>
  <si>
    <t>Petersburg (CA)</t>
  </si>
  <si>
    <t>KPU</t>
  </si>
  <si>
    <t>Ketchikan Gateway</t>
  </si>
  <si>
    <t>KINGC</t>
  </si>
  <si>
    <t>KIPNLP</t>
  </si>
  <si>
    <t>KOBUVEC</t>
  </si>
  <si>
    <t>KEA</t>
  </si>
  <si>
    <t>KOKHVC</t>
  </si>
  <si>
    <t>KOTZEA</t>
  </si>
  <si>
    <t>KOYU</t>
  </si>
  <si>
    <t>KWET</t>
  </si>
  <si>
    <t>KWIGPC</t>
  </si>
  <si>
    <t>LARSBUC</t>
  </si>
  <si>
    <t>LEVEEC</t>
  </si>
  <si>
    <t>LIMEVTC</t>
  </si>
  <si>
    <t>MANOPC</t>
  </si>
  <si>
    <t>MCGRLP</t>
  </si>
  <si>
    <t>MP&amp;L</t>
  </si>
  <si>
    <t>MIDDKEC</t>
  </si>
  <si>
    <t>NAKNEA</t>
  </si>
  <si>
    <t>NAPAC</t>
  </si>
  <si>
    <t>NAPAEU</t>
  </si>
  <si>
    <t>NATELP</t>
  </si>
  <si>
    <t>PERR</t>
  </si>
  <si>
    <t>NELSLEC</t>
  </si>
  <si>
    <t>NEWKVC</t>
  </si>
  <si>
    <t>NIKO</t>
  </si>
  <si>
    <t>NORTSB</t>
  </si>
  <si>
    <t>NUNAIEC</t>
  </si>
  <si>
    <t>OUZI</t>
  </si>
  <si>
    <t>PEDRBV</t>
  </si>
  <si>
    <t>PETERSBURG</t>
  </si>
  <si>
    <t>PILOPEU</t>
  </si>
  <si>
    <t>PLAT</t>
  </si>
  <si>
    <t>PUVUPC</t>
  </si>
  <si>
    <t>RUBY</t>
  </si>
  <si>
    <t>SEWARD</t>
  </si>
  <si>
    <t>SITKA</t>
  </si>
  <si>
    <t>STPMEU</t>
  </si>
  <si>
    <t>STEVVIC</t>
  </si>
  <si>
    <t>TAKOC</t>
  </si>
  <si>
    <t>TANAEC</t>
  </si>
  <si>
    <t>TATIVIC</t>
  </si>
  <si>
    <t>TDXA</t>
  </si>
  <si>
    <t>TDXC</t>
  </si>
  <si>
    <t>TENAS</t>
  </si>
  <si>
    <t>TULUTPU</t>
  </si>
  <si>
    <t>TUNTCSA</t>
  </si>
  <si>
    <t>TWINHVC</t>
  </si>
  <si>
    <t>UMNAP</t>
  </si>
  <si>
    <t>UNGUPC</t>
  </si>
  <si>
    <t>VENEVE</t>
  </si>
  <si>
    <t>WHITMU</t>
  </si>
  <si>
    <t>WRANGELL</t>
  </si>
  <si>
    <t>YAKUP</t>
  </si>
  <si>
    <t>Matanuska Electric Association</t>
  </si>
  <si>
    <t>Deadhorse</t>
  </si>
  <si>
    <t>MEA</t>
  </si>
  <si>
    <t>Dutch Harbor</t>
  </si>
  <si>
    <t>Unalaska Power Module</t>
  </si>
  <si>
    <t>Unalaska</t>
  </si>
  <si>
    <t>Eagle</t>
  </si>
  <si>
    <t>Newhalen</t>
  </si>
  <si>
    <t>Tazimina</t>
  </si>
  <si>
    <t>Certificate</t>
  </si>
  <si>
    <t>Region</t>
  </si>
  <si>
    <t>Active</t>
  </si>
  <si>
    <t>Yes</t>
  </si>
  <si>
    <t>No</t>
  </si>
  <si>
    <t>Kalskag</t>
  </si>
  <si>
    <t>Bethel Utilities Corporation</t>
  </si>
  <si>
    <t>CENTEI</t>
  </si>
  <si>
    <t>CIRCU</t>
  </si>
  <si>
    <t>Orca</t>
  </si>
  <si>
    <t>Power Creek</t>
  </si>
  <si>
    <t>IPNAEC</t>
  </si>
  <si>
    <t>TMG</t>
  </si>
  <si>
    <t>Mcgrath Light &amp; Power</t>
  </si>
  <si>
    <t>Tanana Power Company Inc</t>
  </si>
  <si>
    <t>Region: AN=Arctic Northwest, SE=South East, SC=South Central, SW=SouthWest, YU=Yukon</t>
  </si>
  <si>
    <t>PORTHU</t>
  </si>
  <si>
    <t>Palmer</t>
  </si>
  <si>
    <t>INN</t>
  </si>
  <si>
    <t>UNALASKA</t>
  </si>
  <si>
    <t>Community Feature ID</t>
  </si>
  <si>
    <t>Community Longitude</t>
  </si>
  <si>
    <t>Goat Lake</t>
  </si>
  <si>
    <t>Kasidaya Creek</t>
  </si>
  <si>
    <t>Falls Creek</t>
  </si>
  <si>
    <t>Sheldon Point</t>
  </si>
  <si>
    <t>Blind Slough</t>
  </si>
  <si>
    <t>Alaska Electric Light &amp; Power Company</t>
  </si>
  <si>
    <t>Alaska Village Electric Cooperative</t>
  </si>
  <si>
    <t>AURORA</t>
  </si>
  <si>
    <t>CLARKS POI</t>
  </si>
  <si>
    <t>G&amp;K</t>
  </si>
  <si>
    <t>NOME</t>
  </si>
  <si>
    <t>NETCI</t>
  </si>
  <si>
    <t>ST. GEORGE</t>
  </si>
  <si>
    <t>TPC</t>
  </si>
  <si>
    <t>UVEC</t>
  </si>
  <si>
    <t>Cordova Electric Cooperative</t>
  </si>
  <si>
    <t>Eklutna Lake</t>
  </si>
  <si>
    <t>Gwitchyaa Zhee Utilities Company</t>
  </si>
  <si>
    <t>Nushagak Electric Cooperative</t>
  </si>
  <si>
    <t>Unalakleet Valley Electric Cooperative</t>
  </si>
  <si>
    <t>Saint Mary's</t>
  </si>
  <si>
    <t>TDX North Slope Generating Company</t>
  </si>
  <si>
    <t>Matanuska Susitna</t>
  </si>
  <si>
    <t>(2) CA=Combined Cycle, Steam Part; CT=Combined Cycle Combustion, Turbine Part; IC=Internal Combustion Engine; GT=Gas Turbine; ST=Steam Turbine; HY=Hydraulic Turbine; WT=Wind Turbine</t>
  </si>
  <si>
    <t>UtilityName</t>
  </si>
  <si>
    <t>CommunityName</t>
  </si>
  <si>
    <t>$/kWh</t>
  </si>
  <si>
    <t>DFO</t>
  </si>
  <si>
    <t>IC</t>
  </si>
  <si>
    <t>Residential Rate ($/kWh)</t>
  </si>
  <si>
    <t>PCE reimbursment rate ($/kWh)</t>
  </si>
  <si>
    <t>Residential Rate after PCE ($/kWh)</t>
  </si>
  <si>
    <t>Percent PCE reimbursment</t>
  </si>
  <si>
    <t>PCE Community</t>
  </si>
  <si>
    <t>Native Corporation Region</t>
  </si>
  <si>
    <t>AKEPS Region</t>
  </si>
  <si>
    <t>YES</t>
  </si>
  <si>
    <t>Net Generation MWh</t>
  </si>
  <si>
    <r>
      <t>Emission Factor (kg CO</t>
    </r>
    <r>
      <rPr>
        <b/>
        <vertAlign val="subscript"/>
        <sz val="11"/>
        <color theme="1"/>
        <rFont val="Calibri"/>
        <family val="2"/>
        <scheme val="minor"/>
      </rPr>
      <t>2</t>
    </r>
    <r>
      <rPr>
        <b/>
        <sz val="11"/>
        <color theme="1"/>
        <rFont val="Calibri"/>
        <family val="2"/>
        <scheme val="minor"/>
      </rPr>
      <t>/MMBtu)</t>
    </r>
  </si>
  <si>
    <r>
      <t>CO</t>
    </r>
    <r>
      <rPr>
        <b/>
        <vertAlign val="subscript"/>
        <sz val="11"/>
        <color theme="1"/>
        <rFont val="Calibri"/>
        <family val="2"/>
        <scheme val="minor"/>
      </rPr>
      <t>2</t>
    </r>
    <r>
      <rPr>
        <b/>
        <sz val="11"/>
        <color theme="1"/>
        <rFont val="Calibri"/>
        <family val="2"/>
        <scheme val="minor"/>
      </rPr>
      <t xml:space="preserve"> Metric Tons from Fuel</t>
    </r>
  </si>
  <si>
    <t>EIA</t>
  </si>
  <si>
    <t>Thorne Bay Plant</t>
  </si>
  <si>
    <t>GT</t>
  </si>
  <si>
    <t>SUB</t>
  </si>
  <si>
    <t>ST</t>
  </si>
  <si>
    <t>JF</t>
  </si>
  <si>
    <t>NG</t>
  </si>
  <si>
    <t>RFO</t>
  </si>
  <si>
    <t>WC</t>
  </si>
  <si>
    <t>CT</t>
  </si>
  <si>
    <t>CA</t>
  </si>
  <si>
    <t>Homer</t>
  </si>
  <si>
    <t>Barrow Utilities &amp; Electric Cooperative Inc.</t>
  </si>
  <si>
    <t>Receives power from Craig via intertie.</t>
  </si>
  <si>
    <t>Receives power from Slana via intertie.</t>
  </si>
  <si>
    <t>Provides power to Alatna via intertie. Data includes Alatna's information.</t>
  </si>
  <si>
    <t>Provides power to Evansville via intertie. Data includes Evansville's information.</t>
  </si>
  <si>
    <t>Provides power to Aleknagik via intertie. Data includes Aleknagik's information.</t>
  </si>
  <si>
    <t>Provides power to Eagle Village via intertie. Data includes Eagle Village's information.</t>
  </si>
  <si>
    <t>Power produced at the Tazimina hydroelectric project and the Newhalen plant is shared by Iliamna, Newhalen and Nondalton. Newhalen's information is included in Nondalton's data.</t>
  </si>
  <si>
    <t>Power produced at the Tazimina hydroelectric project and the Newhalen plant is shared by Iliamna, Newhalen and Nondalton. Iliamna's information is included in Nondalton's data.</t>
  </si>
  <si>
    <t>Provides power to South Naknek and King Salmon via intertie. Data includes South Naknek's and King Salmon's information.</t>
  </si>
  <si>
    <t>Provides power to Hollis, Klawock, Thorne Bay/Kasaan and Hydaburg via intertie.</t>
  </si>
  <si>
    <t>NO</t>
  </si>
  <si>
    <t>Available in the internet at:</t>
  </si>
  <si>
    <t>Created by:</t>
  </si>
  <si>
    <t>Institute for Social and Economic Research, University of Alaska Anchorage</t>
  </si>
  <si>
    <t>Created for:</t>
  </si>
  <si>
    <t>The Alaska Energy Authority</t>
  </si>
  <si>
    <t>Published:</t>
  </si>
  <si>
    <t>Main Sources of Data:</t>
  </si>
  <si>
    <t>Energy Information Administration</t>
  </si>
  <si>
    <t>Alaska Energy Authority</t>
  </si>
  <si>
    <t>http://www.akenergyauthority.org/</t>
  </si>
  <si>
    <t>Content:</t>
  </si>
  <si>
    <t>Summary Tables</t>
  </si>
  <si>
    <t>Detailed Tables</t>
  </si>
  <si>
    <t>Installed Capacity</t>
  </si>
  <si>
    <t>Net Generation and Disposition</t>
  </si>
  <si>
    <t>Revenue, Customers and Prices</t>
  </si>
  <si>
    <t>Electric Utility Historical Tables</t>
  </si>
  <si>
    <t>Power Cost Equalization Program Data , Calendar Year 2011</t>
  </si>
  <si>
    <t>Internal Combustion</t>
  </si>
  <si>
    <t>Abbr.</t>
  </si>
  <si>
    <t>AEA</t>
  </si>
  <si>
    <t>(2) Net Wheeled Power is the reported net volume of electricity transmitted over an electric utility's system for compensation, which the electric utility received from one system and delivered to another system.</t>
  </si>
  <si>
    <t>Community Name</t>
  </si>
  <si>
    <t>Purchased Power</t>
  </si>
  <si>
    <r>
      <t>Net Wheeled Power</t>
    </r>
    <r>
      <rPr>
        <b/>
        <vertAlign val="superscript"/>
        <sz val="11"/>
        <color theme="1"/>
        <rFont val="Calibri"/>
        <family val="2"/>
        <scheme val="minor"/>
      </rPr>
      <t>(2)</t>
    </r>
  </si>
  <si>
    <t>Total Disposition</t>
  </si>
  <si>
    <t>Sales to Consumers</t>
  </si>
  <si>
    <t>Sales for Resale</t>
  </si>
  <si>
    <t>Furnished without Payment</t>
  </si>
  <si>
    <t>Reciprocating Internal Combustion</t>
  </si>
  <si>
    <t>Station Service Consumption</t>
  </si>
  <si>
    <t>Gross Generation</t>
  </si>
  <si>
    <t>Sources: EIA Form 923</t>
  </si>
  <si>
    <t>Bradley Lake generation - Reporting to EIA is based on ownership of the generating plant or who operates the plant depending on the survey form. The Alaska Energy Authority owns Bradley Lake; however it is operated by Homer Electric Association.</t>
  </si>
  <si>
    <t>Note: this table only includes net generation from fossil fuels. Hydroelectric and wind generation are not included.</t>
  </si>
  <si>
    <t>HAGO</t>
  </si>
  <si>
    <r>
      <t>Fuel Type</t>
    </r>
    <r>
      <rPr>
        <b/>
        <vertAlign val="superscript"/>
        <sz val="11"/>
        <color theme="1"/>
        <rFont val="Calibri"/>
        <family val="2"/>
        <scheme val="minor"/>
      </rPr>
      <t>(1)</t>
    </r>
  </si>
  <si>
    <r>
      <t>Fuel Use</t>
    </r>
    <r>
      <rPr>
        <b/>
        <vertAlign val="superscript"/>
        <sz val="11"/>
        <color theme="1"/>
        <rFont val="Calibri"/>
        <family val="2"/>
        <scheme val="minor"/>
      </rPr>
      <t>(3)</t>
    </r>
  </si>
  <si>
    <r>
      <t>Prime Mover</t>
    </r>
    <r>
      <rPr>
        <b/>
        <vertAlign val="superscript"/>
        <sz val="11"/>
        <color theme="1"/>
        <rFont val="Calibri"/>
        <family val="2"/>
        <scheme val="minor"/>
      </rPr>
      <t>(2)</t>
    </r>
  </si>
  <si>
    <t>(2) CA=Combined Cycle, steam part; CT=Combined Cycle, turbine part; GT=Gas Turbine; IC=Internal Combustion Engine; ST= Steam Turbine; OT=Other.</t>
  </si>
  <si>
    <t>kWh per Gallon-Mcf-Short tons</t>
  </si>
  <si>
    <t>Source: EIA Form 923 or PCE</t>
  </si>
  <si>
    <t>Fuel Cost ($) per kWh</t>
  </si>
  <si>
    <t>Avg. Cost ($) per Gallon (PCE only)</t>
  </si>
  <si>
    <r>
      <t>Efficiency</t>
    </r>
    <r>
      <rPr>
        <b/>
        <vertAlign val="superscript"/>
        <sz val="11"/>
        <color theme="1"/>
        <rFont val="Calibri"/>
        <family val="2"/>
        <scheme val="minor"/>
      </rPr>
      <t>(3)</t>
    </r>
  </si>
  <si>
    <r>
      <t>Fuel Use</t>
    </r>
    <r>
      <rPr>
        <b/>
        <vertAlign val="superscript"/>
        <sz val="11"/>
        <color theme="1"/>
        <rFont val="Calibri"/>
        <family val="2"/>
        <scheme val="minor"/>
      </rPr>
      <t>(4)</t>
    </r>
  </si>
  <si>
    <t>Sales  (MWh)</t>
  </si>
  <si>
    <t>Source: EIA Form 861 or PCE</t>
  </si>
  <si>
    <t>Revenue ($) per Customer</t>
  </si>
  <si>
    <t xml:space="preserve">Bradley Lake generation - Reporting to EIA is based on ownership of the generating plant or who operates the plant depending on the survey form. The Alaska Energy Authority owns Bradley Lake; however it is operated by Homer Electric Association.  </t>
  </si>
  <si>
    <t>Generation from Bradley Lake is shared among Chugach, AML&amp;P, HEA, MEA, Seward Electric and GVEA</t>
  </si>
  <si>
    <t>Saint Paul Municipal Electric</t>
  </si>
  <si>
    <t>Provides power to Northway Village via intertie. Data includes Northway Village's information.</t>
  </si>
  <si>
    <t>(3) Little distillate fuel electric generation occurs in the U.S. outside of Alaska and Hawaii. Hence, the national average is largely driven by Hawaiian efficiencies which are on average lower than Alaska.</t>
  </si>
  <si>
    <t>Note: Revenue for PCE data was calculated by multiplying Sales (MWh) by the average rate $/KWh. PCE data does not include average cents per kwh for commercial or other categories, the residential rate is assumed.</t>
  </si>
  <si>
    <t>Unalaska, City of</t>
  </si>
  <si>
    <t>Sitka, City &amp; Borough of</t>
  </si>
  <si>
    <t>Banner Peak Wind Farm</t>
  </si>
  <si>
    <t>Diomede Joint Utilities</t>
  </si>
  <si>
    <t>Kwigillingok Power Company</t>
  </si>
  <si>
    <t>Alaska Environmental LLC</t>
  </si>
  <si>
    <t>Community Latitude</t>
  </si>
  <si>
    <t>Provides power to Oscarville and sells power to Napakiak Ircinraq via intertie. Data includes Oscarville's information.</t>
  </si>
  <si>
    <t>Used by Facility</t>
  </si>
  <si>
    <r>
      <t xml:space="preserve">Total Capacity, kW </t>
    </r>
    <r>
      <rPr>
        <b/>
        <vertAlign val="superscript"/>
        <sz val="11"/>
        <color theme="1"/>
        <rFont val="Calibri"/>
        <family val="2"/>
        <scheme val="minor"/>
      </rPr>
      <t>(1)</t>
    </r>
  </si>
  <si>
    <t>AEA-Wind Report</t>
  </si>
  <si>
    <t>EIA-F923</t>
  </si>
  <si>
    <t>Craig, Klawock, Hollis, Hydaburg, Thorne Bay, Kasaan, Coffman Cove</t>
  </si>
  <si>
    <t>Haines, Covenant Life, Skagway</t>
  </si>
  <si>
    <t>Haines, Skagway</t>
  </si>
  <si>
    <t>AEA-Hydro Report</t>
  </si>
  <si>
    <t>EIA-F923, AEA-Wind Report</t>
  </si>
  <si>
    <t>EIA-F923, AEA Wind Report</t>
  </si>
  <si>
    <t>AWWU Conduit</t>
  </si>
  <si>
    <t>Glennallen, Valdez</t>
  </si>
  <si>
    <t>Humpback Creek</t>
  </si>
  <si>
    <t>Iliamna, Newhalen, Nondalton</t>
  </si>
  <si>
    <t>Wrangell, Petersburg, Ketchikan</t>
  </si>
  <si>
    <t>EIA-F923, AEA-Hydro Report</t>
  </si>
  <si>
    <t>Utility/IPP Name</t>
  </si>
  <si>
    <t>EIA final data files from survey forms 860, 861 and 923.</t>
  </si>
  <si>
    <t>http://www.eia.gov/electricity/data/eia923/</t>
  </si>
  <si>
    <t>http://www.eia.gov/electricity/data/eia860/index.html</t>
  </si>
  <si>
    <t>http://www.eia.gov/electricity/data/eia861/index.html</t>
  </si>
  <si>
    <t>Alaska Environmental</t>
  </si>
  <si>
    <t>Plant is also know as Delta Wind. Alaska Environmental LLC is an independent power producer that sells all its power to GVEA.</t>
  </si>
  <si>
    <t>Aurora Energy</t>
  </si>
  <si>
    <t xml:space="preserve"> Aurora Energy LLC is an independent power producer that sells all its power to GVEA.</t>
  </si>
  <si>
    <t>New plant</t>
  </si>
  <si>
    <t>Banner Wind, LLC</t>
  </si>
  <si>
    <t>Banner Wind, LLC. is an independent power proucer, who sells all its power to Nome Joint Utility Systems.</t>
  </si>
  <si>
    <t>PCE Eligible Active</t>
  </si>
  <si>
    <t>PCE Eligible Inactive</t>
  </si>
  <si>
    <t>PCE Ineligible</t>
  </si>
  <si>
    <t>Intertied</t>
  </si>
  <si>
    <t>Utility Regulatory Status</t>
  </si>
  <si>
    <t>Allakaket, Alatna</t>
  </si>
  <si>
    <t>Bethel, Oscarville</t>
  </si>
  <si>
    <t>Bettles, Evansville</t>
  </si>
  <si>
    <t>Thorne Bay, Kasaan</t>
  </si>
  <si>
    <t>Naknek, King Salmon, South Naknek</t>
  </si>
  <si>
    <t>Northway, Northway Village</t>
  </si>
  <si>
    <t>Dot Lake, Dot Lake Village</t>
  </si>
  <si>
    <t>Tok, Tanacross</t>
  </si>
  <si>
    <t>Eagle, Eagle Village</t>
  </si>
  <si>
    <t>Dillingham, Aleknagik</t>
  </si>
  <si>
    <t>Part of the Alaska Power Company's grid on Prince of Wales Island.</t>
  </si>
  <si>
    <t>Receives power from Tok via intertie. For fuel use and cost information please refer to Tok.</t>
  </si>
  <si>
    <t>Part of the Alaska Power Company's grid in the Upper Lynn Canal service area.</t>
  </si>
  <si>
    <t>Part of the Alaska Power Company's grid on Prince of Wales Island. Receives power from Craig. Refer to Craig for fuel use and cost.</t>
  </si>
  <si>
    <t>Provides power to Nunapitchuk via intertie.  Fuel use and cost includes Nunapitchuk's information.</t>
  </si>
  <si>
    <t>Receives power from Chilkat Valley via intertie. Chilkat Valley purchases power from AP&amp;T.</t>
  </si>
  <si>
    <t>Receives power from (Upper) Kalskag via intertie. For fuel use and cost, please refer to (Upper) Kalskag.</t>
  </si>
  <si>
    <t>Purchases power from Bethel Utilities Corporation</t>
  </si>
  <si>
    <t>Receives power from Toksook Bay via intertie. For fuel use and cost, please refer to Toksook Bay.</t>
  </si>
  <si>
    <t>Receives power from Kasigluk. Please refer to Kasigluk for fuel use and cost.</t>
  </si>
  <si>
    <t>Receives power from Saint Mary's via intertie. For fuel use and cost, please refer to Saint Mary's.</t>
  </si>
  <si>
    <t>Provides power to Andreafsky and Pitkas Point via intertie. Includes Andreafsky's information. Fuel use and cost also includes Pitkas Point.</t>
  </si>
  <si>
    <t>Part of the Alaska Power Company's grid on Prince of Wales Island. Receives power from Craig. Refer to Craig for fuel use and cost. Includes data for Kaasan.</t>
  </si>
  <si>
    <t>Provides power to Tanacross, Tetlin and Dot Lake via intertie. Includes Tanacross' information. Fuel use and cost also includes Tetlin's and Dot Lake's information.</t>
  </si>
  <si>
    <t>Provides power to Nightmute and Tununak via intertie. Fuel use and cost includes Nightmute's and Tununak's information.</t>
  </si>
  <si>
    <t>Provides power to Klukwan via intertie. Power is purchased from AP&amp;T.</t>
  </si>
  <si>
    <t>Part of the Alaska Power Company's grid on Prince of Wales Island. Provides to Hollis, Hydaburg, Klawock, Thorne Bay and Kaasan.</t>
  </si>
  <si>
    <t>Receives power form Tok via intertie. Dot Lake's data includes Dot Lake Village's information. For fuel use and cost information, please refer to Tok.</t>
  </si>
  <si>
    <t>Plant is also referred to as Lutak. Part of the Alaska Power Company's grid in the Upper Lynn Canal service area.</t>
  </si>
  <si>
    <t>Plant is also referred to as Dewey Lake. Part of the Alaska Power Company's grid in the Upper Lynn Canal service area.</t>
  </si>
  <si>
    <t>Southern Energy Inc (SEI) owned this facility for most of 2011. IPEC bought the 10 Mile plant in October, 2011. Prior to t he purchase SEI wholesale all power to IPEC. All IPEC comminities have a postage stamp rate. Part of the Alaska Power Company's grid in the Upper Lynn Canal service area.</t>
  </si>
  <si>
    <t>Provides power to Chistochina via intertie. Includes Chistochina's fuel use and fuel cost.</t>
  </si>
  <si>
    <t/>
  </si>
  <si>
    <r>
      <t>Net Generation</t>
    </r>
    <r>
      <rPr>
        <b/>
        <vertAlign val="superscript"/>
        <sz val="11"/>
        <color theme="1"/>
        <rFont val="Calibri"/>
        <family val="2"/>
        <scheme val="minor"/>
      </rPr>
      <t>(1)</t>
    </r>
  </si>
  <si>
    <t>(1) For communities that have PCE listed as data source, the value listed is gross generation.</t>
  </si>
  <si>
    <t>(3) Energy Loss includes the total amount of electricity lost from transmission, distribution, and/or unaccounted for.</t>
  </si>
  <si>
    <r>
      <t>Source</t>
    </r>
    <r>
      <rPr>
        <b/>
        <vertAlign val="superscript"/>
        <sz val="11"/>
        <color theme="1"/>
        <rFont val="Calibri"/>
        <family val="2"/>
        <scheme val="minor"/>
      </rPr>
      <t>(4)</t>
    </r>
  </si>
  <si>
    <t>(4) The PCE program does not track heat content of fuel; the value shown is the estimated heat content published by EIA for DFO.</t>
  </si>
  <si>
    <t>PCE Utility/Community</t>
  </si>
  <si>
    <r>
      <t xml:space="preserve">Total Net Generation </t>
    </r>
    <r>
      <rPr>
        <b/>
        <vertAlign val="superscript"/>
        <sz val="11"/>
        <color theme="1"/>
        <rFont val="Calibri"/>
        <family val="2"/>
        <scheme val="minor"/>
      </rPr>
      <t>(1)</t>
    </r>
  </si>
  <si>
    <t>AEA-Village Assessment</t>
  </si>
  <si>
    <t>AEA-Village Assessment, AEA Wind Report</t>
  </si>
  <si>
    <t>AKENV</t>
  </si>
  <si>
    <t>Includes Unalaska Power Module and Dutch Harbor plants</t>
  </si>
  <si>
    <t>EIA, PCE</t>
  </si>
  <si>
    <t>ALASPCA</t>
  </si>
  <si>
    <t>ATKA</t>
  </si>
  <si>
    <t>GWITZU</t>
  </si>
  <si>
    <t>CEA</t>
  </si>
  <si>
    <t>Utility Type</t>
  </si>
  <si>
    <t>Public Electric Utility</t>
  </si>
  <si>
    <t>Private Electric Utility</t>
  </si>
  <si>
    <t>Electric Co-op</t>
  </si>
  <si>
    <t>Row Labels</t>
  </si>
  <si>
    <t>Grand Total</t>
  </si>
  <si>
    <t>Sum of Total Capacity, kW (1)</t>
  </si>
  <si>
    <t>Sum of Internal Combustion</t>
  </si>
  <si>
    <t>Sum of Hydroelectric</t>
  </si>
  <si>
    <t>Sum of Wind Turbine</t>
  </si>
  <si>
    <t>by AEA Energy Regions</t>
  </si>
  <si>
    <t>Summer 2011 (April - September)</t>
  </si>
  <si>
    <t>Effective Rate</t>
  </si>
  <si>
    <t>Min</t>
  </si>
  <si>
    <t>Mean</t>
  </si>
  <si>
    <t>Max</t>
  </si>
  <si>
    <t>$0.10 - $0.19</t>
  </si>
  <si>
    <t>$0.20 - $0.29</t>
  </si>
  <si>
    <t>$0.30 - $0.39</t>
  </si>
  <si>
    <t>$0.40 - $0.49</t>
  </si>
  <si>
    <t>$0.50 - $0.59</t>
  </si>
  <si>
    <t>Winter 2011 (October - March)</t>
  </si>
  <si>
    <t>Percent of Total</t>
  </si>
  <si>
    <t>(Mcf)</t>
  </si>
  <si>
    <t>(Short Tons)</t>
  </si>
  <si>
    <t>Total (Physical Units)</t>
  </si>
  <si>
    <t>Conversion Factor</t>
  </si>
  <si>
    <t>Total MMBtu</t>
  </si>
  <si>
    <t>Percent of  Total</t>
  </si>
  <si>
    <t>Sales</t>
  </si>
  <si>
    <t>Revenue</t>
  </si>
  <si>
    <t>Customers</t>
  </si>
  <si>
    <t>Reciprocating Internal Combustion Engine</t>
  </si>
  <si>
    <t>Prime Mover</t>
  </si>
  <si>
    <t>Total kW</t>
  </si>
  <si>
    <t>Count of PCE</t>
  </si>
  <si>
    <t>Column Labels</t>
  </si>
  <si>
    <t>Independent Power Producer</t>
  </si>
  <si>
    <t>Net Generation</t>
  </si>
  <si>
    <t>PCE Eligible Communities</t>
  </si>
  <si>
    <t>Alatna</t>
  </si>
  <si>
    <t>Alcan Border</t>
  </si>
  <si>
    <t>Covenant Life</t>
  </si>
  <si>
    <t>Dot Lake</t>
  </si>
  <si>
    <t>Dot Lake Village</t>
  </si>
  <si>
    <t>Eagle Village</t>
  </si>
  <si>
    <t>Evansville</t>
  </si>
  <si>
    <t>Kasaan</t>
  </si>
  <si>
    <t>Loring</t>
  </si>
  <si>
    <t>Mosquito Lake</t>
  </si>
  <si>
    <t>New Allakaket</t>
  </si>
  <si>
    <t>Northway Junction</t>
  </si>
  <si>
    <t>Northway Village</t>
  </si>
  <si>
    <t>Tanacross</t>
  </si>
  <si>
    <t>Thorne Bay</t>
  </si>
  <si>
    <t>Receives power from Shungnak via intertie. For fuel use and cost, please refer to Shungnak. On July 1, 2012, AVEC took over operations in Kobuk.</t>
  </si>
  <si>
    <t>Douglas</t>
  </si>
  <si>
    <t>Andreafsky</t>
  </si>
  <si>
    <t>Oscarville</t>
  </si>
  <si>
    <t>Cooper Landing</t>
  </si>
  <si>
    <t>Girdwood</t>
  </si>
  <si>
    <t>Hope</t>
  </si>
  <si>
    <t>Moose Pass</t>
  </si>
  <si>
    <t>Point Possession</t>
  </si>
  <si>
    <t>Sunrise</t>
  </si>
  <si>
    <t>Tyonek</t>
  </si>
  <si>
    <t>Whittier</t>
  </si>
  <si>
    <t>Bear Creek</t>
  </si>
  <si>
    <t>Crown Point</t>
  </si>
  <si>
    <t>Lowell Point</t>
  </si>
  <si>
    <t>Primrose</t>
  </si>
  <si>
    <t>Copper Center</t>
  </si>
  <si>
    <t>Copperville</t>
  </si>
  <si>
    <t>Gakona</t>
  </si>
  <si>
    <t>Gulkana</t>
  </si>
  <si>
    <t>Kenny Lake</t>
  </si>
  <si>
    <t>Mendeltna</t>
  </si>
  <si>
    <t>Nabesna</t>
  </si>
  <si>
    <t>Nelchina</t>
  </si>
  <si>
    <t>Silver Springs</t>
  </si>
  <si>
    <t>Tazlina</t>
  </si>
  <si>
    <t>Tolsona</t>
  </si>
  <si>
    <t>Tonsina</t>
  </si>
  <si>
    <t>Willow Creek</t>
  </si>
  <si>
    <t>Eyak</t>
  </si>
  <si>
    <t>Anderson</t>
  </si>
  <si>
    <t>Badger</t>
  </si>
  <si>
    <t>Big Delta</t>
  </si>
  <si>
    <t>Cantwell</t>
  </si>
  <si>
    <t>Chena Ridge</t>
  </si>
  <si>
    <t>College</t>
  </si>
  <si>
    <t>Delta Junction</t>
  </si>
  <si>
    <t>Deltana</t>
  </si>
  <si>
    <t>Ester</t>
  </si>
  <si>
    <t>Farmers Loop</t>
  </si>
  <si>
    <t>Four Mile Road</t>
  </si>
  <si>
    <t>Fox</t>
  </si>
  <si>
    <t>Goldstream</t>
  </si>
  <si>
    <t>Harding-Birch Lakes</t>
  </si>
  <si>
    <t>McKinley Park</t>
  </si>
  <si>
    <t>Moose Creek</t>
  </si>
  <si>
    <t>Nenana</t>
  </si>
  <si>
    <t>Pleasant Valley</t>
  </si>
  <si>
    <t>Salcha</t>
  </si>
  <si>
    <t>South Van Horn</t>
  </si>
  <si>
    <t>Steele Creek</t>
  </si>
  <si>
    <t>Two Rivers</t>
  </si>
  <si>
    <t>Anchor Point</t>
  </si>
  <si>
    <t>Clam Gulch</t>
  </si>
  <si>
    <t>Cohoe</t>
  </si>
  <si>
    <t>Diamond Ridge</t>
  </si>
  <si>
    <t>Fox River</t>
  </si>
  <si>
    <t>Fritz Creek</t>
  </si>
  <si>
    <t>Funny River</t>
  </si>
  <si>
    <t>Halibut Cove</t>
  </si>
  <si>
    <t>Happy Valley</t>
  </si>
  <si>
    <t>Jakolof Bay</t>
  </si>
  <si>
    <t>Kachemak</t>
  </si>
  <si>
    <t>Kalifornsky</t>
  </si>
  <si>
    <t>Kasilof</t>
  </si>
  <si>
    <t>Kenai</t>
  </si>
  <si>
    <t>Nanwalek</t>
  </si>
  <si>
    <t>Nikolaevsk</t>
  </si>
  <si>
    <t>Ninilchik</t>
  </si>
  <si>
    <t>Port Graham</t>
  </si>
  <si>
    <t>Ridgeway</t>
  </si>
  <si>
    <t>Salamatof</t>
  </si>
  <si>
    <t>Soldotna</t>
  </si>
  <si>
    <t>Sterling</t>
  </si>
  <si>
    <t>Big Lake</t>
  </si>
  <si>
    <t>Buffalo Soapstone</t>
  </si>
  <si>
    <t>Butte</t>
  </si>
  <si>
    <t>Chase</t>
  </si>
  <si>
    <t>Chickaloon</t>
  </si>
  <si>
    <t>Eklutna</t>
  </si>
  <si>
    <t>Farm Loop</t>
  </si>
  <si>
    <t>Fishhook</t>
  </si>
  <si>
    <t>Gateway</t>
  </si>
  <si>
    <t>Glacier View</t>
  </si>
  <si>
    <t>Houston</t>
  </si>
  <si>
    <t>Knik River</t>
  </si>
  <si>
    <t>Lake Louise</t>
  </si>
  <si>
    <t>Lakes</t>
  </si>
  <si>
    <t>Lazy Mountain</t>
  </si>
  <si>
    <t>Meadow Lakes</t>
  </si>
  <si>
    <t>Petersville</t>
  </si>
  <si>
    <t>Point MacKenzie</t>
  </si>
  <si>
    <t>Susitna North</t>
  </si>
  <si>
    <t>Sutton-Alpine</t>
  </si>
  <si>
    <t>Talkeetna</t>
  </si>
  <si>
    <t>Tanaina</t>
  </si>
  <si>
    <t>Trapper Creek</t>
  </si>
  <si>
    <t>Wasilla</t>
  </si>
  <si>
    <t>Willow</t>
  </si>
  <si>
    <t>Nondalton</t>
  </si>
  <si>
    <t>Chiniak</t>
  </si>
  <si>
    <t>Kodiak Station</t>
  </si>
  <si>
    <t>Womens Bay</t>
  </si>
  <si>
    <t>King Salmon</t>
  </si>
  <si>
    <t>South Naknek</t>
  </si>
  <si>
    <t>Aleknagik</t>
  </si>
  <si>
    <t>Eagle River</t>
  </si>
  <si>
    <t>Chugiak</t>
  </si>
  <si>
    <t>Knik, Fairview</t>
  </si>
  <si>
    <t>Nome Joint Utility Systems, Banner Wind LLC</t>
  </si>
  <si>
    <t>Whitestone</t>
  </si>
  <si>
    <t>Anchorage Municipal Light &amp; Power, Chugach Electric Assn Inc</t>
  </si>
  <si>
    <t>Golden Valley Elec Assn Inc, Aurora Energy LLC Chena</t>
  </si>
  <si>
    <t>Sum of Total Net Generation (1)</t>
  </si>
  <si>
    <t>Sum of Oil</t>
  </si>
  <si>
    <t>Sum of Hydro</t>
  </si>
  <si>
    <t>Sum of Wind</t>
  </si>
  <si>
    <t>Sum of Gas</t>
  </si>
  <si>
    <t>Sum of Coal</t>
  </si>
  <si>
    <t>Consistency Check</t>
  </si>
  <si>
    <t>Sum of Gas (Mcf)</t>
  </si>
  <si>
    <t>Sum of Coal (Short Tons)</t>
  </si>
  <si>
    <t>Fuel Use</t>
  </si>
  <si>
    <t>Sum of Sales (MWh)</t>
  </si>
  <si>
    <t>Sum of Sales  (MWh)</t>
  </si>
  <si>
    <t>Sum of Sales (MWh)2</t>
  </si>
  <si>
    <t>Sum of Sales (MWh)3</t>
  </si>
  <si>
    <t>Sum of Revenue ($000)</t>
  </si>
  <si>
    <t>Sum of Revenue ($000)2</t>
  </si>
  <si>
    <t>Sum of Revenue ($000)3</t>
  </si>
  <si>
    <t>Sum of Revenue ($000)4</t>
  </si>
  <si>
    <t>Sum of Customers (Accounts)</t>
  </si>
  <si>
    <t>Sum of Customers (Accounts)2</t>
  </si>
  <si>
    <t>Sum of Customers (Accounts)3</t>
  </si>
  <si>
    <t>Sum of Customers (Accounts)4</t>
  </si>
  <si>
    <t>Iliamna</t>
  </si>
  <si>
    <t>Matanuska-Susitna</t>
  </si>
  <si>
    <t>1) Data before 2001 from the Alaska Energy Statistis Report 2003</t>
  </si>
  <si>
    <t>2) Data from 2002-2008 from EIA Annual Electric Generator data file.</t>
  </si>
  <si>
    <t xml:space="preserve">*Wind data entries have been modified to reflect the best available wind data from the Alaska Energy Authority. Installed wind capacity is defined here as commissioned turbines. Installed wind capacity in 2009 was 8,754kW; 11,924 kW in 2010 and 13,189 kW as of February of 2011. </t>
  </si>
  <si>
    <t>Year</t>
  </si>
  <si>
    <t>Statewide Total</t>
  </si>
  <si>
    <t>Internal Combustion (diesel, piston)</t>
  </si>
  <si>
    <t>Net Capacity</t>
  </si>
  <si>
    <t>% of Statewide Total</t>
  </si>
  <si>
    <t>1) Data before 2001 from the Alaska Energy Statistics Report 2003</t>
  </si>
  <si>
    <t>a) From AK Electric Power Statistics 1960-1973</t>
  </si>
  <si>
    <t>b) From AK Electric Power Statistics 1974</t>
  </si>
  <si>
    <t>c) From AK Electric Power Statistics 1960-1993</t>
  </si>
  <si>
    <t>d) Data before 1996 from prior AK Power Statistics reports.</t>
  </si>
  <si>
    <t>e) Data from 1996-2000 from EIA historic tables.</t>
  </si>
  <si>
    <t>f) Data from 2002-2008 not consistent with prior years due to changes in reporting and utilities that failed to report to EIA.</t>
  </si>
  <si>
    <t>g) Utility totals from 1962 to 1972 and from 1977 to 1979 added to the table published in 2003. Data regarding regional details not available.</t>
  </si>
  <si>
    <t>Arctic</t>
  </si>
  <si>
    <t>South Central</t>
  </si>
  <si>
    <t>South East</t>
  </si>
  <si>
    <t>South West</t>
  </si>
  <si>
    <t>Yukon</t>
  </si>
  <si>
    <t>2,g</t>
  </si>
  <si>
    <t>1,a</t>
  </si>
  <si>
    <t>1,b</t>
  </si>
  <si>
    <t>1,c</t>
  </si>
  <si>
    <t>1,d</t>
  </si>
  <si>
    <t>1,e</t>
  </si>
  <si>
    <t>2,f</t>
  </si>
  <si>
    <t>1) Data before 2001 from the Alaska Energy Statistics Report 2003.</t>
  </si>
  <si>
    <t>a) From AK Electric Power Statistics (AKEPS) 1960-1973; Hydro generation not included.</t>
  </si>
  <si>
    <t>b) From AKEPS 1960-1970.</t>
  </si>
  <si>
    <t>c) From AKEPS 1960-2001.</t>
  </si>
  <si>
    <t>d) Data from 1996-2000 from EIA historic tables.</t>
  </si>
  <si>
    <t>e) Monthly data was not collected in 1985, so 1984 and 1986 figures were averaged to arrive at estimated 1985 figures.</t>
  </si>
  <si>
    <t xml:space="preserve">g) Even though wind installed capacity has been present in Alaska since 1997, there is little data regarding total net generation from wind turbines. </t>
  </si>
  <si>
    <t>1,c,e</t>
  </si>
  <si>
    <t>a) From AK Power Survey, 1976; Arctic value is "Remainder", inclusive of the Arctic, North-West and South-West.</t>
  </si>
  <si>
    <t>b) Barrow Natural Gas values missing for 1996.</t>
  </si>
  <si>
    <t>c) Data from 1996-2000 from EIA historic tables.</t>
  </si>
  <si>
    <t>2) Data from 2002-2008 from EIA Annual Electric Utility data file.</t>
  </si>
  <si>
    <t>d) Data from 2002-2008 not consistent with prior years due to changes in reporting and utilities that failed to report to EIA.</t>
  </si>
  <si>
    <t>1,b,c</t>
  </si>
  <si>
    <t>2,d</t>
  </si>
  <si>
    <t>1) Data before 2001 from the Alaska Energy Statistis Report 2003.</t>
  </si>
  <si>
    <t>a) "Other" category for cost/kWh not listed before 1985</t>
  </si>
  <si>
    <t>b) Total sales, revenue, and customers may exceed the sum of Residential and Commercial/Industrial. This is due to the addition of accounts which do not fit into these two classes. These figures do not include sale for resale.</t>
  </si>
  <si>
    <t>c)Data from 1996-2000 from EIA historical tables.</t>
  </si>
  <si>
    <t>2) Data from 2002-2008 from EIA Annual Electric Utility data file</t>
  </si>
  <si>
    <t>NOTE: Industrial sales, revenue and rates are included under the commercial category unitl 2009; in 2010 they're included under the 'other' category.</t>
  </si>
  <si>
    <t>Commercial and Industrial</t>
  </si>
  <si>
    <t>Customers (accounts)</t>
  </si>
  <si>
    <t>a)"Other" category  for cost/kwh not listed before 1985</t>
  </si>
  <si>
    <t xml:space="preserve">b) Total sales, revenue, and customers may exceed the the sum of Residential and Commercial/Industrial. This is due to the addition of accounts which do not fit into these two classes. These figures do not include sale for resale. </t>
  </si>
  <si>
    <t>NOTE: Industrial sales, revenue and rates are included under the commercial category unitl 2009; in 2010 they're included under the 'other' category. Averages are weigthed.</t>
  </si>
  <si>
    <t>Sales per Customer (kWh)</t>
  </si>
  <si>
    <t>Revenue per Customer</t>
  </si>
  <si>
    <t>Rate per kWh (cents)</t>
  </si>
  <si>
    <t>2) Data from 2002-2008 from EIA Annual Electric Generator data file; not consistent with prior years due to changes in reporting and utilities that failed to report to EIA.</t>
  </si>
  <si>
    <t>a) Data from 1996-2000 from EIA historic tables are not consistent with prior years due to changes in reporting and utilities that failed to report to EIA.</t>
  </si>
  <si>
    <t>b) Data before 1996 from prior Alaska Energy Power Statistics reports.</t>
  </si>
  <si>
    <t>3) Figures 2009 and fordward are based on the Energy Statistics publication, including data from EIA and PCE. Data not consistent with prior years due to changes in methodology.</t>
  </si>
  <si>
    <r>
      <t xml:space="preserve">4) Starting in 2011, the following categories are aggregated under the heading 'Turbines': gas and steam turbines as well as combined cycle systems. For detail information regarding prime mover and fuel type used at each plant, please refer to Table 2.4a.
</t>
    </r>
    <r>
      <rPr>
        <b/>
        <i/>
        <sz val="10"/>
        <color theme="1"/>
        <rFont val="Calibri"/>
        <family val="2"/>
        <scheme val="minor"/>
      </rPr>
      <t>Turbines:</t>
    </r>
    <r>
      <rPr>
        <i/>
        <sz val="10"/>
        <color theme="1"/>
        <rFont val="Calibri"/>
        <family val="2"/>
        <scheme val="minor"/>
      </rPr>
      <t xml:space="preserve">
     Gas Turbine (combustion-turbine) produces electricity by passing hot gases produced from combustion of natural gas or distillate oil through the turbine. 
     Steam turbine (fossil-fueled) the fuel is burned in a boiler to produce steam; the steam turns the turbine to produce electricity. 
     Combined Cycle generators produce electricity from otherwise lost waste heat exiting from one or more gas (combustion) turbines. The exiting heat is routed to a conventional boiler or to a heat recovery steam generator for utilization by a steam turbine in the production of electricity. This process increases the efficiency of the electric generating unit. 
</t>
    </r>
    <r>
      <rPr>
        <b/>
        <i/>
        <sz val="10"/>
        <color theme="1"/>
        <rFont val="Calibri"/>
        <family val="2"/>
        <scheme val="minor"/>
      </rPr>
      <t>Internal Combustion Reciprocating Engine</t>
    </r>
    <r>
      <rPr>
        <i/>
        <sz val="10"/>
        <color theme="1"/>
        <rFont val="Calibri"/>
        <family val="2"/>
        <scheme val="minor"/>
      </rPr>
      <t xml:space="preserve"> (diesel) generators have cylinders in which the combustion of fuel takes place and the engine provides mechanical energy to drive the generator to produce electricity. 
</t>
    </r>
    <r>
      <rPr>
        <b/>
        <i/>
        <sz val="10"/>
        <color theme="1"/>
        <rFont val="Calibri"/>
        <family val="2"/>
        <scheme val="minor"/>
      </rPr>
      <t>Hydroelectric</t>
    </r>
    <r>
      <rPr>
        <i/>
        <sz val="10"/>
        <color theme="1"/>
        <rFont val="Calibri"/>
        <family val="2"/>
        <scheme val="minor"/>
      </rPr>
      <t xml:space="preserve"> power is produced from flowing water that spins a turbine connected to a generator. 
</t>
    </r>
    <r>
      <rPr>
        <b/>
        <i/>
        <sz val="10"/>
        <color theme="1"/>
        <rFont val="Calibri"/>
        <family val="2"/>
        <scheme val="minor"/>
      </rPr>
      <t>Wind turbine</t>
    </r>
    <r>
      <rPr>
        <i/>
        <sz val="10"/>
        <color theme="1"/>
        <rFont val="Calibri"/>
        <family val="2"/>
        <scheme val="minor"/>
      </rPr>
      <t xml:space="preserve"> produces electricity by converting kinetic energy into mechanical energy to drive electric power generators.  </t>
    </r>
  </si>
  <si>
    <t>3)Figures for 2009 and forward are based on the Energy Statistics publication, including data from EIA and PCE. Data not consistent with prior years due to changes in methodology.</t>
  </si>
  <si>
    <t>Commercial*</t>
  </si>
  <si>
    <t>*If 'Other' category is blank, but 'Commercial' category is available, the 'Commercial' category includes both Commercial and Industrial sectors.</t>
  </si>
  <si>
    <t>3)Figures for 2009 and fordward are based on the Energy Statistics publication, including data from EIA and PCE. Data not consistent with prior years due to changes in methodology.</t>
  </si>
  <si>
    <t>If 'Community Name' is blank, it indicates that the Utility serves multiple communities. For a full list of the communities served by each utility, please refer to the 'Community List' worksheet.</t>
  </si>
  <si>
    <t>Percentage Residential Consumption Eligible for PCE</t>
  </si>
  <si>
    <t>Not regulated</t>
  </si>
  <si>
    <t>Regulated</t>
  </si>
  <si>
    <t>Regulated, rate exemption</t>
  </si>
  <si>
    <t>Utility Acronym</t>
  </si>
  <si>
    <t>Craig, Klawock</t>
  </si>
  <si>
    <t>Kasigluk, Nunapitchuk</t>
  </si>
  <si>
    <t>Saint Mary's, Andreafsky, Pitkas Point</t>
  </si>
  <si>
    <t>Shungnak, Kobuk</t>
  </si>
  <si>
    <t>Slana, Chistochina</t>
  </si>
  <si>
    <t>Toksook Bay, Nightmute, Tununak</t>
  </si>
  <si>
    <t>Kalskag, Lower Kalskag</t>
  </si>
  <si>
    <t>Provides power to Lower Kalskag via intertie. Fuel use and cost data includes information for Lower Kalskag.</t>
  </si>
  <si>
    <t>Wind Net Generation</t>
  </si>
  <si>
    <t>MWh</t>
  </si>
  <si>
    <t>kwh/cust</t>
  </si>
  <si>
    <t>CO2</t>
  </si>
  <si>
    <t>Sum of CO2 Metric Tons from Fuel</t>
  </si>
  <si>
    <t>Fossil Fuel Turbines</t>
  </si>
  <si>
    <t>Sum of Fossil Fuel Turbines</t>
  </si>
  <si>
    <t>Sum of Reciprocating Internal Combustion</t>
  </si>
  <si>
    <t>Region Total</t>
  </si>
  <si>
    <t>Percent of Statewide Total</t>
  </si>
  <si>
    <t>Percent of  Statewide Total</t>
  </si>
  <si>
    <t>kWh Use per Customer</t>
  </si>
  <si>
    <t>Regional Total</t>
  </si>
  <si>
    <t>Count of Residential Rate ($/kWh)</t>
  </si>
  <si>
    <t>Rates</t>
  </si>
  <si>
    <t>PCE &amp; rate&gt;0.22c/kwh</t>
  </si>
  <si>
    <t>PCE &amp; rate&gt;0.14c/kwh</t>
  </si>
  <si>
    <t>Total # Communities</t>
  </si>
  <si>
    <t>PCE?</t>
  </si>
  <si>
    <t>AEA Hydro Program Manager</t>
  </si>
  <si>
    <t>FERC</t>
  </si>
  <si>
    <t>EIA-F860</t>
  </si>
  <si>
    <t>AEA Wind Program Manager</t>
  </si>
  <si>
    <t>AEA Village Assessment</t>
  </si>
  <si>
    <t>McRoberts Creek</t>
  </si>
  <si>
    <t>Less than $0.19</t>
  </si>
  <si>
    <t>More than $0.60</t>
  </si>
  <si>
    <t>No. of PCE Communities</t>
  </si>
  <si>
    <t>Average Residential Rate</t>
  </si>
  <si>
    <t>Average PCE Rate</t>
  </si>
  <si>
    <t>Average Effective Rate</t>
  </si>
  <si>
    <t>Average Percentage of Residential Consumption Eligible for PCE</t>
  </si>
  <si>
    <t>Table 1.a   Communities Participating in Power Cost Equalization Program, 2011</t>
  </si>
  <si>
    <t>kWh per Customer per Month</t>
  </si>
  <si>
    <t>Figures</t>
  </si>
  <si>
    <r>
      <t>(4) Some PCE communities fail to report 12 months of the year, sometimes even if a report is submitted some data points may be missing. The values presented in this table are based on 12 months of data, missing values have been imputed. For a detail explanation of the imputation process</t>
    </r>
    <r>
      <rPr>
        <i/>
        <sz val="10"/>
        <rFont val="Calibri"/>
        <family val="2"/>
        <scheme val="minor"/>
      </rPr>
      <t>, please refer to the accompanying report.</t>
    </r>
  </si>
  <si>
    <r>
      <t>Unaccountable /Energy Loss</t>
    </r>
    <r>
      <rPr>
        <b/>
        <vertAlign val="superscript"/>
        <sz val="11"/>
        <color theme="1"/>
        <rFont val="Calibri"/>
        <family val="2"/>
        <scheme val="minor"/>
      </rPr>
      <t>(3)</t>
    </r>
  </si>
  <si>
    <t>Sources: EIA Form 861 or PCE program data</t>
  </si>
  <si>
    <t>Sources: EIA Form 923, Schedule 5 part B or PCE program Data</t>
  </si>
  <si>
    <t>(1) Gross generation minus the parasitic station load (i.e. station use); may be negative if the station service load exceeded the gross electrical generation. This may be the case for stand-by generators. Please note that net generation is not defined as electric power sold.</t>
  </si>
  <si>
    <t>Note: The column labeled Fossil Fuel Turbines include, gas and steam turbines as well as combined cycle systems. For detail information regarding prime mover and fuel type used at each plant, please refer to Table 2.4a.
Fossil Fuel Turbines:
     Gas Turbine (combustion-turbine) produces electricity by passing hot gases produced from combustion of natural gas or distillate oil through the turbine. 
     Steam turbine (fossil-fueled) the fuel is burned in a boiler to produce steam; the steam turns the turbine to produce electricity. 
     Combined Cycle generators produce electricity from otherwise lost waste heat exiting from one or more gas (combustion) turbines. The exiting heat is routed to a conventional boiler or to a heat recovery steam generator for utilization by a steam turbine in the production of electricity. This process increases the efficiency of the electric generating unit. 
Internal Combustion Reciprocating Engine (diesel) generators have cylinders in which the combustion of fuel takes place and the engine provides mechanical energy to drive the generator to produce electricity. 
Hydroelectric power is produced from flowing water that spins a turbine connected to a electricity generator. 
Wind turbine produces electricity by converting kinetic energy into mechanical energy to drive electric power generators.</t>
  </si>
  <si>
    <r>
      <t xml:space="preserve">(1) The column labeled Fossil Fuel Turbines include, gas and steam turbines as well as combined cycle systems. For detail information regarding prime mover and fuel type used at each plant, please refer to Table 2.4a.
</t>
    </r>
    <r>
      <rPr>
        <b/>
        <sz val="10"/>
        <color theme="1"/>
        <rFont val="Calibri"/>
        <family val="2"/>
        <scheme val="minor"/>
      </rPr>
      <t>Fossil Fuel Turbines</t>
    </r>
    <r>
      <rPr>
        <sz val="10"/>
        <color theme="1"/>
        <rFont val="Calibri"/>
        <family val="2"/>
        <scheme val="minor"/>
      </rPr>
      <t xml:space="preserve">:
     </t>
    </r>
    <r>
      <rPr>
        <b/>
        <i/>
        <sz val="10"/>
        <color theme="1"/>
        <rFont val="Calibri"/>
        <family val="2"/>
        <scheme val="minor"/>
      </rPr>
      <t>Gas Turbine</t>
    </r>
    <r>
      <rPr>
        <sz val="10"/>
        <color theme="1"/>
        <rFont val="Calibri"/>
        <family val="2"/>
        <scheme val="minor"/>
      </rPr>
      <t xml:space="preserve"> (combustion-turbine) produces electricity by passing hot gases produced from combustion of natural gas or distillate oil through the turbine.
     </t>
    </r>
    <r>
      <rPr>
        <b/>
        <i/>
        <sz val="10"/>
        <color theme="1"/>
        <rFont val="Calibri"/>
        <family val="2"/>
        <scheme val="minor"/>
      </rPr>
      <t>Steam turbine</t>
    </r>
    <r>
      <rPr>
        <sz val="10"/>
        <color theme="1"/>
        <rFont val="Calibri"/>
        <family val="2"/>
        <scheme val="minor"/>
      </rPr>
      <t xml:space="preserve"> (fossil-fueled) the fuel is burned in a boiler to produce steam; the steam turns the turbine to produce electricity. 
    </t>
    </r>
    <r>
      <rPr>
        <b/>
        <i/>
        <sz val="10"/>
        <color theme="1"/>
        <rFont val="Calibri"/>
        <family val="2"/>
        <scheme val="minor"/>
      </rPr>
      <t xml:space="preserve"> Combined Cycle </t>
    </r>
    <r>
      <rPr>
        <sz val="10"/>
        <color theme="1"/>
        <rFont val="Calibri"/>
        <family val="2"/>
        <scheme val="minor"/>
      </rPr>
      <t xml:space="preserve">generators produce electricity from otherwise lost waste heat exiting from one or more gas (combustion) turbines. The exiting heat is routed to a conventional boiler or to a heat recovery steam generator for utilization by a steam turbine in the production of electricity. This process increases the efficiency of the electric generating unit. 
</t>
    </r>
    <r>
      <rPr>
        <b/>
        <sz val="10"/>
        <color theme="1"/>
        <rFont val="Calibri"/>
        <family val="2"/>
        <scheme val="minor"/>
      </rPr>
      <t>Internal Combustion Reciprocating Engine</t>
    </r>
    <r>
      <rPr>
        <sz val="10"/>
        <color theme="1"/>
        <rFont val="Calibri"/>
        <family val="2"/>
        <scheme val="minor"/>
      </rPr>
      <t xml:space="preserve"> (diesel) generators have cylinders in which the combustion of fuel takes place and the engine provides mechanical energy to drive the generator to produce electricity. 
</t>
    </r>
    <r>
      <rPr>
        <b/>
        <sz val="10"/>
        <color theme="1"/>
        <rFont val="Calibri"/>
        <family val="2"/>
        <scheme val="minor"/>
      </rPr>
      <t>Hydroelectric</t>
    </r>
    <r>
      <rPr>
        <sz val="10"/>
        <color theme="1"/>
        <rFont val="Calibri"/>
        <family val="2"/>
        <scheme val="minor"/>
      </rPr>
      <t xml:space="preserve"> power is produced from flowing water that spins a turbine connected to a electricity generator. 
</t>
    </r>
    <r>
      <rPr>
        <b/>
        <sz val="10"/>
        <color theme="1"/>
        <rFont val="Calibri"/>
        <family val="2"/>
        <scheme val="minor"/>
      </rPr>
      <t>Wind turbine</t>
    </r>
    <r>
      <rPr>
        <sz val="10"/>
        <color theme="1"/>
        <rFont val="Calibri"/>
        <family val="2"/>
        <scheme val="minor"/>
      </rPr>
      <t xml:space="preserve"> produces electricity by converting kinetic energy into mechanical energy to drive electric power generators.  
If 'Community Name' is blank, it indicates that the Utility serves multiple communities. For a full list of the communities served by each utility, please refer to the 'Community List' worksheet.</t>
    </r>
  </si>
  <si>
    <r>
      <t xml:space="preserve">(1) The column labeled Fossil Fuel Turbines include, gas and steam turbines as well as combined cycle systems. For detail information regarding prime mover and fuel type used at each plant, please refer to Table 2.4a.
</t>
    </r>
    <r>
      <rPr>
        <b/>
        <sz val="10"/>
        <color theme="1"/>
        <rFont val="Calibri"/>
        <family val="2"/>
        <scheme val="minor"/>
      </rPr>
      <t>Fossil Fuel Turbines</t>
    </r>
    <r>
      <rPr>
        <sz val="10"/>
        <color theme="1"/>
        <rFont val="Calibri"/>
        <family val="2"/>
        <scheme val="minor"/>
      </rPr>
      <t xml:space="preserve">:
     </t>
    </r>
    <r>
      <rPr>
        <b/>
        <i/>
        <sz val="10"/>
        <color theme="1"/>
        <rFont val="Calibri"/>
        <family val="2"/>
        <scheme val="minor"/>
      </rPr>
      <t>Gas Turbine</t>
    </r>
    <r>
      <rPr>
        <sz val="10"/>
        <color theme="1"/>
        <rFont val="Calibri"/>
        <family val="2"/>
        <scheme val="minor"/>
      </rPr>
      <t xml:space="preserve"> (combustion-turbine) produces electricity by passing hot gases produced from combustion of natural gas or distillate oil through the turbine. 
     </t>
    </r>
    <r>
      <rPr>
        <b/>
        <i/>
        <sz val="10"/>
        <color theme="1"/>
        <rFont val="Calibri"/>
        <family val="2"/>
        <scheme val="minor"/>
      </rPr>
      <t>Steam turbine</t>
    </r>
    <r>
      <rPr>
        <sz val="10"/>
        <color theme="1"/>
        <rFont val="Calibri"/>
        <family val="2"/>
        <scheme val="minor"/>
      </rPr>
      <t xml:space="preserve"> (fossil-fueled) the fuel is burned in a boiler to produce steam; the steam turns the turbine to produce electricity. 
    </t>
    </r>
    <r>
      <rPr>
        <b/>
        <i/>
        <sz val="10"/>
        <color theme="1"/>
        <rFont val="Calibri"/>
        <family val="2"/>
        <scheme val="minor"/>
      </rPr>
      <t xml:space="preserve"> Combined Cycle </t>
    </r>
    <r>
      <rPr>
        <sz val="10"/>
        <color theme="1"/>
        <rFont val="Calibri"/>
        <family val="2"/>
        <scheme val="minor"/>
      </rPr>
      <t xml:space="preserve">generators produce electricity from otherwise lost waste heat exiting from one or more gas (combustion) turbines. The exiting heat is routed to a conventional boiler or to a heat recovery steam generator for utilization by a steam turbine in the production of electricity. This process increases the efficiency of the electric generating unit. 
</t>
    </r>
    <r>
      <rPr>
        <b/>
        <sz val="10"/>
        <color theme="1"/>
        <rFont val="Calibri"/>
        <family val="2"/>
        <scheme val="minor"/>
      </rPr>
      <t>Internal Combustion Reciprocating Engine</t>
    </r>
    <r>
      <rPr>
        <sz val="10"/>
        <color theme="1"/>
        <rFont val="Calibri"/>
        <family val="2"/>
        <scheme val="minor"/>
      </rPr>
      <t xml:space="preserve"> (diesel) generators have cylinders in which the combustion of fuel takes place and the engine provides mechanical energy to drive the generator to produce electricity. 
</t>
    </r>
    <r>
      <rPr>
        <b/>
        <sz val="10"/>
        <color theme="1"/>
        <rFont val="Calibri"/>
        <family val="2"/>
        <scheme val="minor"/>
      </rPr>
      <t>Hydroelectric</t>
    </r>
    <r>
      <rPr>
        <sz val="10"/>
        <color theme="1"/>
        <rFont val="Calibri"/>
        <family val="2"/>
        <scheme val="minor"/>
      </rPr>
      <t xml:space="preserve"> power is produced from flowing water that spins a turbine connected to a generator. 
</t>
    </r>
    <r>
      <rPr>
        <b/>
        <sz val="10"/>
        <color theme="1"/>
        <rFont val="Calibri"/>
        <family val="2"/>
        <scheme val="minor"/>
      </rPr>
      <t>Wind turbine</t>
    </r>
    <r>
      <rPr>
        <sz val="10"/>
        <color theme="1"/>
        <rFont val="Calibri"/>
        <family val="2"/>
        <scheme val="minor"/>
      </rPr>
      <t xml:space="preserve"> produces electricity by converting kinetic energy into mechanical energy to drive electric power generators.
If 'Community Name' is blank, it indicates that the Utility serves multiple communities. For a full list of the communities served by each utility, please refer to the 'Community List' worksheet.</t>
    </r>
  </si>
  <si>
    <t>The Alaska Power Company recorded 777 MWh in sales for resale to Inside Passage Electric Cooperative, Inc. this sales are not included in the table.</t>
  </si>
  <si>
    <t>If 'Community Name' is blank, it indicates that the Utility serves multiple communities. For a full list of the communities served by each utility, please refer to the 'Community List' worksheet. 
Blank cells indicate missing values.</t>
  </si>
  <si>
    <t>Source: Mathematical estimates based on EIA Form 861 or rates reported by the utility to the PCE program.
If 'Community Name' is blank, it indicates that the Utility serves multiple communities. For a full list of the communities served by each utility, please refer to the 'Community List' worksheet.</t>
  </si>
  <si>
    <t>% Eligible Active in PCE program</t>
  </si>
  <si>
    <t>AEA - Village Assessment preliminary dataset.</t>
  </si>
  <si>
    <t>Figure 3.2    Installed Capacity by Region (kW), 2011</t>
  </si>
  <si>
    <t>Figure 3.4    Total Net Generation (MWh), 1962-2011</t>
  </si>
  <si>
    <r>
      <t xml:space="preserve">Alaska Energy Statistics CY 2011 </t>
    </r>
    <r>
      <rPr>
        <b/>
        <sz val="12"/>
        <rFont val="Calibri"/>
        <family val="2"/>
        <scheme val="minor"/>
      </rPr>
      <t>- FINAL</t>
    </r>
  </si>
  <si>
    <t xml:space="preserve">Note: All averages are weighted. Percentages of residential consumption may seem lower than expected because some communities eligible to receive PCE participated in the program for only a portion of the year. If during a given month a utility did not participate and did not receive a PCE payment, then their eligible PCE consumption is 0% of sales for that month. For example, during the summer of 2011, communities with effective rates of more than $0.60/kWh had an average residential consumption eligible for PCE of 50% because some eligible communities did not participate for a number of months; had they participated the entire year the PCE eligible kWh would have been about 90%.   </t>
  </si>
  <si>
    <t>Table 2.5c  Average Residential Rates and PCE Payments ($/kWh), 2011</t>
  </si>
  <si>
    <t>University of Alaska Fairbanks</t>
  </si>
  <si>
    <t>Tesoro Alaska Petroleum</t>
  </si>
  <si>
    <t>Westward Seafoods Inc</t>
  </si>
  <si>
    <t>Unisea Inc</t>
  </si>
  <si>
    <t>OG</t>
  </si>
  <si>
    <t>OBL</t>
  </si>
  <si>
    <t>Industrial</t>
  </si>
  <si>
    <t>Military</t>
  </si>
  <si>
    <t>Self Generator Name</t>
  </si>
  <si>
    <t>Fuel Type</t>
  </si>
  <si>
    <t>Fuel Used</t>
  </si>
  <si>
    <t>Net Generation (MWh)</t>
  </si>
  <si>
    <t>Mcf</t>
  </si>
  <si>
    <t>Short Tons</t>
  </si>
  <si>
    <t>Gallons</t>
  </si>
  <si>
    <t>U S Air Force-Eielson AFB Central Heat &amp; Power Plant</t>
  </si>
  <si>
    <t>U S Army-Fort Greely Power Plant</t>
  </si>
  <si>
    <t>Installed Capacity, kW</t>
  </si>
  <si>
    <t>Doyon Utilities LLC</t>
  </si>
  <si>
    <t>Fuel Used (MMBtu)</t>
  </si>
  <si>
    <t>Distillate Fuel Oil</t>
  </si>
  <si>
    <t>Other Biomass Liquids</t>
  </si>
  <si>
    <t>Natural Gas</t>
  </si>
  <si>
    <t>Other Gases</t>
  </si>
  <si>
    <t>Sub-bituminous Coal</t>
  </si>
  <si>
    <t>Some utilities, both in urban and rural Alaska, serve multiple communities. Compared to previous reports, we were able to better identify the communities served by these utilities. Hence, we now present PCE program participation solely by community and not utility; this is the reason the number of communities is significantly higher than in previous reports. Please refer to the ‘Community List’ table in the accompanying workbook for detail information regarding communities served by each utility.</t>
  </si>
  <si>
    <r>
      <t xml:space="preserve">Note: Table 2.6a is NOT inclusive of all industrial self generators in Alaska, but only those who report to the Energy Information Administration for which public data is available.
Doyon Utilities LLC owns and operates the utility infrastructure that provides service to three military facilities in Alaska; Fort Greely, JBER Richardson and Fort Wainwright. In 2007, Doyon Utilities LLC was awarded 50-year utility privatization contracts. The power related utilities Doyon Utilities owns and operates since fall 2008 is as follows:
</t>
    </r>
    <r>
      <rPr>
        <b/>
        <i/>
        <sz val="10"/>
        <color theme="1"/>
        <rFont val="Calibri"/>
        <family val="2"/>
        <scheme val="minor"/>
      </rPr>
      <t>Fort Greely</t>
    </r>
    <r>
      <rPr>
        <i/>
        <sz val="10"/>
        <color theme="1"/>
        <rFont val="Calibri"/>
        <family val="2"/>
        <scheme val="minor"/>
      </rPr>
      <t xml:space="preserve">: Central Heat &amp; Power Plant, Heat Distribution System &amp; Utilidors; and Electrical Distribution System
</t>
    </r>
    <r>
      <rPr>
        <b/>
        <i/>
        <sz val="10"/>
        <color theme="1"/>
        <rFont val="Calibri"/>
        <family val="2"/>
        <scheme val="minor"/>
      </rPr>
      <t>JBER Richardson</t>
    </r>
    <r>
      <rPr>
        <i/>
        <sz val="10"/>
        <color theme="1"/>
        <rFont val="Calibri"/>
        <family val="2"/>
        <scheme val="minor"/>
      </rPr>
      <t xml:space="preserve">: Natural Gas Distribution System; and Electrical Distribution System
</t>
    </r>
    <r>
      <rPr>
        <b/>
        <i/>
        <sz val="10"/>
        <color theme="1"/>
        <rFont val="Calibri"/>
        <family val="2"/>
        <scheme val="minor"/>
      </rPr>
      <t>Fort Wainwright</t>
    </r>
    <r>
      <rPr>
        <i/>
        <sz val="10"/>
        <color theme="1"/>
        <rFont val="Calibri"/>
        <family val="2"/>
        <scheme val="minor"/>
      </rPr>
      <t xml:space="preserve">: Central Heat &amp; Power Plant, Heat Distribution System &amp; Utilidors; and Electrical Distribution System
Prime Movers: Gas Turbine (GT), Reciprocating Internal Combustion Engine (IC), Steam Turbine (ST)
Fuel Types: Distillate Fuel Oil (DFO), Natural Gas (NG), Other Gases-fossil fuel derived (OG), Other Biomass Liquids (OBL), Sub-bituminous Coal (SUB) </t>
    </r>
  </si>
  <si>
    <t>Enerdyne, LLC</t>
  </si>
  <si>
    <t>TDX Adak Generating LLC</t>
  </si>
  <si>
    <t>NA</t>
  </si>
  <si>
    <t>(1) DFO=Distillate Fuel Oil, RFO=Residual Fuel Oil, JF=Jet Fuel, NA=Naphtha, NG=Natural Gas, SUB=Sub-bituminous Coal, WC=Waste Coal, HAGO=Heavy Atmospheric Gas Oil.</t>
  </si>
  <si>
    <t>(1) DFO=Distillate Fuel Oil; RFO=Residual Fuel Oil; JF=Jet Fuel, NA=Naphtha; NG=Natural Gas; SUB=Sub-bituminous Coal, HAGO=Heavy Atmospheric Gas Oil</t>
  </si>
  <si>
    <t>Sustainable Energy Company of AK Peninsula</t>
  </si>
  <si>
    <t>Pilot Point, Port Heiden</t>
  </si>
  <si>
    <t>The communities are eligible for PCE but not the IPP.</t>
  </si>
  <si>
    <t>Average Residential Rates and PCE Payments ($/kWh) for PCE Communities Only, 2011</t>
  </si>
  <si>
    <t>Number of communities</t>
  </si>
  <si>
    <t>Sitka, City &amp; Borough Of</t>
  </si>
  <si>
    <t>TDX Adak Generating Llc</t>
  </si>
  <si>
    <t>Count of Community Name</t>
  </si>
  <si>
    <t>Cordova, Eyak</t>
  </si>
  <si>
    <t xml:space="preserve">All averages are weighted. Total number of communities do not match the total in Table 1.a because one community participated in the PCE program but did not reported residential rate data. </t>
  </si>
  <si>
    <t>Oil (gallons)</t>
  </si>
  <si>
    <t>(3) Distillate Fuel Oil, Jet Fuel, Residual Fuel Oil, Naphtha and HAGO in Gallons; Natural Gas in Mcf; Sub-bituminous Coal in Short Tons. HAGO is an acronym for Heavy Atmospheric Gas Oil.</t>
  </si>
  <si>
    <r>
      <t xml:space="preserve">Estimated Heat Content Factor per Unit, MMBtu </t>
    </r>
    <r>
      <rPr>
        <b/>
        <vertAlign val="superscript"/>
        <sz val="11"/>
        <color theme="1"/>
        <rFont val="Calibri"/>
        <family val="2"/>
        <scheme val="minor"/>
      </rPr>
      <t>(4)</t>
    </r>
  </si>
  <si>
    <t>Sum of Oil (gallons)</t>
  </si>
  <si>
    <t>(Gallons)</t>
  </si>
  <si>
    <t>Sells all its power to Matanuska Electric Association</t>
  </si>
  <si>
    <t>Golden Valley Elec Assn Inc, Aurora Energy LLC Chena, Alaska Environmental LLC</t>
  </si>
  <si>
    <t>Matanuska Electric Association, Enerdyne, LLC</t>
  </si>
  <si>
    <t>Table 1.b   Communities and Rates ($/kWh), 2011</t>
  </si>
  <si>
    <t xml:space="preserve">Table 1.c   Average Consumption per Residential Customer per Month in PCE communities, 2011 </t>
  </si>
  <si>
    <t xml:space="preserve"> Source: U.S. Energy Information Administration, State Energy Data System.</t>
  </si>
  <si>
    <t>Note: Estimated average price for electricity households paid based on a 1000 kilowatt-hours per household per month consumption level. Hence, for communities participating in the Power Cost Equalization program, the price is a weighted average. PCE assistance is received for only the first 500 kilowatt-hours per month per households consumed.</t>
  </si>
  <si>
    <t>Source: University of Alaska Fairbanks, Cooperative Extension Service Alaska Food Cost Survey and authors’ calculations.</t>
  </si>
  <si>
    <t>ource: U.S. Energy Information Administration, Power Cost Equalization program data and authors’ calculations.</t>
  </si>
  <si>
    <t>Source: U.S. Energy Information Administration, Alaska Energy Authority Village Assessment Preliminary Dataset and authors’ calculations.</t>
  </si>
  <si>
    <t>Source: U.S. Energy Information Administration, Alaska Energy Authority Village Assessment Preliminary Dataset and authors’ calculations. Values are rounded to the nearest 10.</t>
  </si>
  <si>
    <t>Source: Alaska Enerty Authority, Power Cost Equalization program data, 2011, and authors' calculations.</t>
  </si>
  <si>
    <t>Source:  U.S. Energy Information Administration, Power Cost Equalization program data and authors’ calculations.</t>
  </si>
  <si>
    <t>Source: U.S. Energy Information Administration, Power Cost Equalization program data and authors’ calculations.</t>
  </si>
  <si>
    <t>Note: Distribution based on MMBtu values. Total MMBtu=</t>
  </si>
  <si>
    <t>Note: The category ‘Other’ includes sales to community and governmental facilities as well as industrial sales.</t>
  </si>
  <si>
    <t>Source: Energy Information Administration and authors' calculations.</t>
  </si>
  <si>
    <t>Note: Distribution based on fuel MMBtu, physical unit equivalence presented for readers' convenience.</t>
  </si>
  <si>
    <t>Figure 2.     Residential Electricity Rates in Power Cost Equalization Communities</t>
  </si>
  <si>
    <t>Figure 3.     Average Price of Electricity for All Consumers in Alaska, 1970 -2011</t>
  </si>
  <si>
    <t>Figure 4.     Average Residential Price of Electricity of Selected Alaska Communities, 1996 – 2011</t>
  </si>
  <si>
    <t>Figure 1.     PCE Eligible Communities, 2011</t>
  </si>
  <si>
    <t>Population</t>
  </si>
  <si>
    <t>Sales per Capita (kWh)</t>
  </si>
  <si>
    <t>Source: Energy Information Administration, Alaska Energy Authority Power Cost Equalization Program, Alaska Department of Labor and Workforce Development, Research and Analysis Section; and U.S. Census Bureau, and authors' calculations.</t>
  </si>
  <si>
    <t>Table 1.d   Installed Capacity by Certified Utilities (kW), 2011</t>
  </si>
  <si>
    <t>Table 1.e   Net Generation by Certified Utilities (MWh), 2011</t>
  </si>
  <si>
    <t>Table 1.f   Net Generation by Fuel Type by Certified Utilities (MWh), 2011</t>
  </si>
  <si>
    <t>Table 1.g   Fuel Use for Power Generation by Certified Utilities, 2011</t>
  </si>
  <si>
    <t>Table 1.h   Electricity Sales by Certified Utilities (MWh), 2011</t>
  </si>
  <si>
    <t>Table 1.i   Revenue by Certified Utilities ($000), 2011</t>
  </si>
  <si>
    <t>Table 1.j   Customers by Certified Utilities (Accounts), 2011</t>
  </si>
  <si>
    <t>Figure 5.     Installed Capacity by Prime Mover by Certified Utilities (kW), 2011</t>
  </si>
  <si>
    <t>Figure 6.     Installed Capacity by Prime Mover by Certified Utilities (kW), 1962-2011</t>
  </si>
  <si>
    <t>Figure 7.     Net Generation by Fuel Type by Certified Utilities (MWh), 2011</t>
  </si>
  <si>
    <t>Figure 9.     Distribution of Fuel Used for Power Generation by Certified Utilities (MMBtu), 2011</t>
  </si>
  <si>
    <t>Figure 10.   Fuel Oil Used for Electricity Generation by Certified Utilities, by Energy Regions (%), 2011</t>
  </si>
  <si>
    <t>Figure 11.   Electricity Sales per Capita by Certified Utilities (MWh), 1962-2011</t>
  </si>
  <si>
    <t>Figure 12.   Distribution of Sales, Revenue and Customer by Customer Type by Certified Utilities (%), 2011</t>
  </si>
  <si>
    <t>Table 2.1a  Installed Capacity by Prime Mover by Plant by Certified Utilities (kW), 2011</t>
  </si>
  <si>
    <t>Table 2.1b  Installed Capacity by Prime Mover by Plant by Certified Utilities (Percent Distribution), 2011</t>
  </si>
  <si>
    <t>Table 2.2a  Net Generation and Total Disposition by Certified Utilities (MWh), 2011</t>
  </si>
  <si>
    <t>Table 2.3a  Net Generation by Prime Mover by Certified Utilities (MWh), 2011</t>
  </si>
  <si>
    <t>Table 2.3b  Net Generation by Fuel Type by Certified Utilities (MWh), 2011</t>
  </si>
  <si>
    <t>Table 2.3c  Net Generation, Fuel Use, Fuel Cost and Efficiency by Certified Utilities,  2011</t>
  </si>
  <si>
    <t>Table 2.4a  Net Generation, Fuel Type, Emissions, Efficiency by Certified Utilities, 2011</t>
  </si>
  <si>
    <t>Table 2.5a   Revenue, Sales and Customers by Customer Type by Certified Utilities ($000, MWh, Accounts), 2011</t>
  </si>
  <si>
    <t>Table 2.5b  Average Annual Energy Use and Rates by Customer Type by Certified Utilities, (kWh/Customer, $/Customer, $/kWh), 2011</t>
  </si>
  <si>
    <t>Table 2.6a  Installed Capacity, Fuel Used and Net Generation by Industrial and Military Self Generators (kW, Physical Units, MWh), 2011</t>
  </si>
  <si>
    <t>Table 3.1   Installed Capacity by Prime Mover by Certified Utilities in Alaska (kW, %), 1960-2011</t>
  </si>
  <si>
    <t>Table 3.2   Installed Capacity by Region by Certified Utilities in Alaska (kW, %), 1962-2011</t>
  </si>
  <si>
    <t>Table 3.3   Net Generation by Fuel Type by Certified Utilities in Alaska (GWh), 1962-2011</t>
  </si>
  <si>
    <t>Table 3.4   Net Generation by Region by Certified Utilities in Alaska (MWh), 1962-2011</t>
  </si>
  <si>
    <t>Table 3.5  Sales, Revenue, and Customers by Customer Type by Certified Utilities in Alaska (MWh, $000, Accounts), 1962-2011</t>
  </si>
  <si>
    <t>Table 3.6   Average Annual Energy Use and Rates by Customer Type by Certified Utilities in Alaska (kWh/Customer, $/Customer, $/kWh), 1962-2011</t>
  </si>
  <si>
    <t>Sources: Regulatory Commision of Alaska, U.S. Department of Energy - Energy Information Admisnistration and ISER.
Region: AN=Arctic Northwest, SE=South East, SC=South Central, SW=SouthWest, YU=Yukon</t>
  </si>
  <si>
    <t>Industrial and Military Self Generators</t>
  </si>
  <si>
    <t>Figure 13.   Net Generation by Self Generators Type (GWh), 2011</t>
  </si>
  <si>
    <t>Figure 14.   Fuel Used by Fuel Type by Industrial and Military Self Generators (%, Physical Units), 2011</t>
  </si>
  <si>
    <t>Figure 16.   Wind Net Generation in Alaska, 2008-2011</t>
  </si>
  <si>
    <t>Source: U.S. Energy Information Administration, Alaska Energy Authority and authors’ calculations.</t>
  </si>
  <si>
    <t>Source: Reproduced image from U.S. Energy Information Administration, State Energy Data System</t>
  </si>
  <si>
    <t>Source: Alaska Energy Authority, Renewable Energy Fund program data; retrieved from the Alaska Energy Data Gateway (https://akenergygateway.alaska.edu/).</t>
  </si>
  <si>
    <t>Source: U.S. Energy Information Administration, State Energy Data System</t>
  </si>
  <si>
    <t>Note: The U.S. Energy Information Agency estimates of energy consumption include energy consumed during oil and gas extraction. Source: U.S. Energy Information Agency and authors’ calculations.</t>
  </si>
  <si>
    <t>Source: U.S. Energy Information Administration, State Energy Data System.</t>
  </si>
  <si>
    <t>Figure 15.   Wind Installed Capacity in Alaska, 1995-2013</t>
  </si>
  <si>
    <t>Figure 17.   Fuel Displacement by Other Operating Renewable Energy Systems in Alaska, 2011</t>
  </si>
  <si>
    <t>Figure 18.   Achieving Goal of Statewide Electricity from Renewable Energy Sources</t>
  </si>
  <si>
    <t>Figure 20.   Alaska Energy Consumption Estimates, 2011</t>
  </si>
  <si>
    <t>Figure 21.   Alaska Energy Consumption by End-Use Sector, 2011</t>
  </si>
  <si>
    <t>Figure 22.   Energy Consumption per Capita in Alaska, 1960-2011</t>
  </si>
  <si>
    <t>Figure 23.   Per Capita Consumption of Petroleum Products in Alaska, 1960-2011</t>
  </si>
  <si>
    <t>Figure 24.   Average Price of Natural Gas for All Consumers in Alaska, 1970 – 2011</t>
  </si>
  <si>
    <t>Figure 25.   Average Price of Petroleum Products in Alaska, 1970-2011</t>
  </si>
  <si>
    <t>December 2013</t>
  </si>
  <si>
    <t>Table A. Certified Utilities in Alaska</t>
  </si>
  <si>
    <t>Table B. Communities Served by Certified Utilities in Alaska</t>
  </si>
  <si>
    <t>Type</t>
  </si>
  <si>
    <t>Fuel Used (units)</t>
  </si>
  <si>
    <t>Southern Southeast Regional Aquaculture Assn, Inc. (Burnett River Hatchery)</t>
  </si>
  <si>
    <t>PB Energy, Inc. (Dry Spruce)</t>
  </si>
  <si>
    <t>Armstrong Keta, Inc. (Jetty Lake)</t>
  </si>
  <si>
    <t>Whitestone Power and Communications. (Whitestone)</t>
  </si>
  <si>
    <t>HY</t>
  </si>
  <si>
    <t>Figure 19.   Alaska Energy Production Estimates by Fuel Type, 2011</t>
  </si>
  <si>
    <t>Figure 26.   Price of a Gallon of Gasoline in Selected Alaska Communities, 1996-2011</t>
  </si>
  <si>
    <t>Figure 27.   Average Price of Heating Oil in selected Alaska Communities, 1996 – 2011</t>
  </si>
  <si>
    <t>Figure 28.   Average Price of Propane in selected Alaska Communities, 1996 – 2011</t>
  </si>
  <si>
    <t>Provides power to Kobuk via intertie. Fuel use and cost includes Kobuk's information.</t>
  </si>
  <si>
    <t>Alaska Energy Statistics 2003 Regions</t>
  </si>
  <si>
    <t>Native Corporation Regions</t>
  </si>
  <si>
    <t>Alaska Census Area Map</t>
  </si>
  <si>
    <t>Alaska Energy Regions Map</t>
  </si>
  <si>
    <t>Source: First Alaskans Institute</t>
  </si>
  <si>
    <t>Source: 2010 Census, Alaska Department of Labor and Workforce Development</t>
  </si>
  <si>
    <t>Source: Alaska Energy Authority</t>
  </si>
  <si>
    <t>http://www.iser.uaa.alaska.edu/publications.php</t>
  </si>
  <si>
    <t>PCE &amp; rate=0.14c/kwh</t>
  </si>
  <si>
    <t>Total # PCE communities</t>
  </si>
  <si>
    <t>Note: Data for 1971 to 1974 and 1977 to 1979 are estimates. Statewide and residential sales per capita have increased at a rate of 3% per year.</t>
  </si>
  <si>
    <t>Figure 8.     Net Generation by Fuel Type by Certified Utilities (GWh), 1971-2011</t>
  </si>
  <si>
    <t>Estimated Average Heat Content (MMBtu/gallons or MCF or short ton).</t>
  </si>
  <si>
    <t>(4)Distillate Fuel Oil, Residual Fuel Oil, Jet Fuel, Naphtha and Heavy Atmospheric Gas Oil (HAGO) in Gallons; Natural Gas in Mcf; Sub-bituminous Coal in Short Tons.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</si>
</sst>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00"/>
    <numFmt numFmtId="165" formatCode="#,##0.000"/>
    <numFmt numFmtId="166" formatCode="0;\-0;;@"/>
    <numFmt numFmtId="167" formatCode="#,#00;\-#,#00;;@"/>
    <numFmt numFmtId="168" formatCode="#%;\-#%\,;;@"/>
    <numFmt numFmtId="169" formatCode="_(* #,##0_);_(* \(#,##0\);_(* &quot;-&quot;??_);_(@_)"/>
    <numFmt numFmtId="170" formatCode="0.0%"/>
    <numFmt numFmtId="171" formatCode="&quot;$&quot;#,##0"/>
    <numFmt numFmtId="172" formatCode="#,##0.0"/>
    <numFmt numFmtId="173" formatCode="0.0"/>
    <numFmt numFmtId="174" formatCode="[$$-409]\ #,##0"/>
  </numFmts>
  <fonts count="105" x14ac:knownFonts="1">
    <font>
      <sz val="11"/>
      <color theme="1"/>
      <name val="Calibri"/>
      <family val="2"/>
      <scheme val="minor"/>
    </font>
    <font>
      <b/>
      <sz val="11"/>
      <color theme="1"/>
      <name val="Calibri"/>
      <family val="2"/>
      <scheme val="minor"/>
    </font>
    <font>
      <sz val="10"/>
      <color theme="1"/>
      <name val="Century Gothic"/>
      <family val="2"/>
    </font>
    <font>
      <sz val="9"/>
      <color theme="1"/>
      <name val="Calibri"/>
      <family val="2"/>
      <scheme val="minor"/>
    </font>
    <font>
      <sz val="8"/>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theme="1"/>
      <name val="Arial Narrow"/>
      <family val="2"/>
    </font>
    <font>
      <sz val="10"/>
      <name val="MS Sans Serif"/>
      <family val="2"/>
    </font>
    <font>
      <sz val="10"/>
      <color theme="1"/>
      <name val="Arial Narrow"/>
      <family val="2"/>
    </font>
    <font>
      <i/>
      <sz val="10"/>
      <color theme="1"/>
      <name val="Arial Narrow"/>
      <family val="2"/>
    </font>
    <font>
      <sz val="10"/>
      <name val="Arial Narrow"/>
      <family val="2"/>
    </font>
    <font>
      <sz val="10"/>
      <color theme="1"/>
      <name val="Calibri"/>
      <family val="2"/>
      <scheme val="minor"/>
    </font>
    <font>
      <sz val="10"/>
      <name val="Arial"/>
      <family val="2"/>
    </font>
    <font>
      <sz val="8"/>
      <color theme="1"/>
      <name val="Century Gothic"/>
      <family val="2"/>
    </font>
    <font>
      <sz val="11"/>
      <name val="Calibri"/>
      <family val="2"/>
      <scheme val="minor"/>
    </font>
    <font>
      <i/>
      <sz val="11"/>
      <color theme="1"/>
      <name val="Calibri"/>
      <family val="2"/>
      <scheme val="minor"/>
    </font>
    <font>
      <b/>
      <vertAlign val="subscript"/>
      <sz val="11"/>
      <color theme="1"/>
      <name val="Calibri"/>
      <family val="2"/>
      <scheme val="minor"/>
    </font>
    <font>
      <b/>
      <sz val="11"/>
      <name val="Calibri"/>
      <family val="2"/>
      <scheme val="minor"/>
    </font>
    <font>
      <sz val="11"/>
      <color rgb="FF0000FF"/>
      <name val="Calibri"/>
      <family val="2"/>
      <scheme val="minor"/>
    </font>
    <font>
      <b/>
      <sz val="11"/>
      <color rgb="FF0000FF"/>
      <name val="Calibri"/>
      <family val="2"/>
      <scheme val="minor"/>
    </font>
    <font>
      <b/>
      <sz val="10"/>
      <color theme="1"/>
      <name val="Calibri"/>
      <family val="2"/>
      <scheme val="minor"/>
    </font>
    <font>
      <i/>
      <sz val="10"/>
      <color theme="1"/>
      <name val="Calibri"/>
      <family val="2"/>
      <scheme val="minor"/>
    </font>
    <font>
      <b/>
      <sz val="12"/>
      <color theme="1"/>
      <name val="Calibri"/>
      <family val="2"/>
      <scheme val="minor"/>
    </font>
    <font>
      <sz val="12"/>
      <color theme="1"/>
      <name val="Calibri"/>
      <family val="2"/>
      <scheme val="minor"/>
    </font>
    <font>
      <sz val="12"/>
      <color theme="1"/>
      <name val="Calibri"/>
      <family val="2"/>
    </font>
    <font>
      <u/>
      <sz val="11"/>
      <color theme="10"/>
      <name val="Calibri"/>
      <family val="2"/>
    </font>
    <font>
      <sz val="12"/>
      <color rgb="FF000000"/>
      <name val="Calibri"/>
      <family val="2"/>
    </font>
    <font>
      <b/>
      <i/>
      <sz val="12"/>
      <color rgb="FF000000"/>
      <name val="Calibri"/>
      <family val="2"/>
    </font>
    <font>
      <b/>
      <sz val="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MS Sans Serif"/>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b/>
      <vertAlign val="superscript"/>
      <sz val="11"/>
      <color theme="1"/>
      <name val="Calibri"/>
      <family val="2"/>
      <scheme val="minor"/>
    </font>
    <font>
      <sz val="10"/>
      <name val="Calibri"/>
      <family val="2"/>
      <scheme val="minor"/>
    </font>
    <font>
      <i/>
      <sz val="10"/>
      <name val="Calibri"/>
      <family val="2"/>
      <scheme val="minor"/>
    </font>
    <font>
      <sz val="10"/>
      <name val="Arial"/>
      <family val="2"/>
    </font>
    <font>
      <sz val="10"/>
      <name val="Arial"/>
      <family val="2"/>
    </font>
    <font>
      <b/>
      <i/>
      <sz val="10"/>
      <color theme="1"/>
      <name val="Calibri"/>
      <family val="2"/>
      <scheme val="minor"/>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indexed="12"/>
      <name val="Calibri"/>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1"/>
      <color rgb="FFFF0000"/>
      <name val="Arial"/>
      <family val="2"/>
    </font>
    <font>
      <sz val="11"/>
      <name val="Calibri"/>
      <family val="2"/>
    </font>
    <font>
      <sz val="10"/>
      <name val="MS Sans Serif"/>
      <family val="2"/>
    </font>
    <font>
      <b/>
      <sz val="12"/>
      <name val="Calibri"/>
      <family val="2"/>
    </font>
    <font>
      <u/>
      <sz val="10"/>
      <color theme="10"/>
      <name val="MS Sans Serif"/>
      <family val="2"/>
    </font>
    <font>
      <sz val="11"/>
      <color rgb="FF000000"/>
      <name val="Calibri"/>
      <family val="2"/>
      <scheme val="minor"/>
    </font>
    <font>
      <b/>
      <sz val="10"/>
      <name val="Arial"/>
      <family val="2"/>
    </font>
    <font>
      <i/>
      <sz val="9"/>
      <color theme="1"/>
      <name val="Calibri"/>
      <family val="2"/>
      <scheme val="minor"/>
    </font>
    <font>
      <b/>
      <sz val="8"/>
      <color indexed="81"/>
      <name val="Tahoma"/>
      <family val="2"/>
    </font>
    <font>
      <sz val="8"/>
      <color indexed="81"/>
      <name val="Tahoma"/>
      <family val="2"/>
    </font>
    <font>
      <sz val="11"/>
      <color theme="1"/>
      <name val="Calibri"/>
      <family val="2"/>
    </font>
    <font>
      <b/>
      <sz val="12"/>
      <name val="Calibri"/>
      <family val="2"/>
      <scheme val="minor"/>
    </font>
    <font>
      <sz val="10"/>
      <color indexed="8"/>
      <name val="Arial"/>
      <family val="2"/>
    </font>
    <font>
      <sz val="10"/>
      <color theme="0"/>
      <name val="Calibri"/>
      <family val="2"/>
      <scheme val="minor"/>
    </font>
    <font>
      <b/>
      <sz val="9"/>
      <color theme="0"/>
      <name val="Calibri"/>
      <family val="2"/>
      <scheme val="minor"/>
    </font>
    <font>
      <b/>
      <sz val="18"/>
      <name val="Arial"/>
      <family val="2"/>
    </font>
    <font>
      <b/>
      <sz val="12"/>
      <name val="Arial"/>
      <family val="2"/>
    </font>
    <font>
      <b/>
      <sz val="14"/>
      <color rgb="FF4F81BD"/>
      <name val="Calibri"/>
      <family val="2"/>
      <scheme val="minor"/>
    </font>
    <font>
      <b/>
      <sz val="14"/>
      <color rgb="FF4F81BD"/>
      <name val="Calibri"/>
      <family val="2"/>
    </font>
    <font>
      <b/>
      <sz val="14"/>
      <color theme="4"/>
      <name val="Calibri"/>
      <family val="2"/>
      <scheme val="minor"/>
    </font>
    <font>
      <sz val="10"/>
      <color rgb="FFFF0000"/>
      <name val="Calibri"/>
      <family val="2"/>
      <scheme val="minor"/>
    </font>
  </fonts>
  <fills count="65">
    <fill>
      <patternFill patternType="none"/>
    </fill>
    <fill>
      <patternFill patternType="gray125"/>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bgColor indexed="64"/>
      </patternFill>
    </fill>
    <fill>
      <patternFill patternType="solid">
        <fgColor rgb="FFFFFF00"/>
        <bgColor indexed="64"/>
      </patternFill>
    </fill>
    <fill>
      <patternFill patternType="solid">
        <fgColor theme="9"/>
        <bgColor indexed="64"/>
      </patternFill>
    </fill>
    <fill>
      <patternFill patternType="solid">
        <fgColor theme="8" tint="0.59999389629810485"/>
        <bgColor indexed="64"/>
      </patternFill>
    </fill>
    <fill>
      <patternFill patternType="solid">
        <fgColor theme="9" tint="0.39997558519241921"/>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dashed">
        <color theme="0" tint="-0.499984740745262"/>
      </bottom>
      <diagonal/>
    </border>
    <border>
      <left/>
      <right/>
      <top style="dashed">
        <color theme="0" tint="-0.499984740745262"/>
      </top>
      <bottom style="dashed">
        <color theme="0" tint="-0.499984740745262"/>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auto="1"/>
      </top>
      <bottom/>
      <diagonal/>
    </border>
    <border>
      <left/>
      <right/>
      <top style="thin">
        <color indexed="64"/>
      </top>
      <bottom style="dashed">
        <color theme="0" tint="-0.499984740745262"/>
      </bottom>
      <diagonal/>
    </border>
    <border>
      <left/>
      <right/>
      <top style="dashed">
        <color theme="0" tint="-0.499984740745262"/>
      </top>
      <bottom/>
      <diagonal/>
    </border>
    <border>
      <left/>
      <right/>
      <top/>
      <bottom style="dashed">
        <color theme="0" tint="-0.499984740745262"/>
      </bottom>
      <diagonal/>
    </border>
    <border>
      <left/>
      <right/>
      <top style="dashed">
        <color theme="0" tint="-0.14996795556505021"/>
      </top>
      <bottom style="dashed">
        <color theme="0" tint="-0.14996795556505021"/>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14996795556505021"/>
      </top>
      <bottom/>
      <diagonal/>
    </border>
    <border>
      <left/>
      <right/>
      <top style="dashed">
        <color theme="0" tint="-0.499984740745262"/>
      </top>
      <bottom style="medium">
        <color indexed="64"/>
      </bottom>
      <diagonal/>
    </border>
    <border>
      <left/>
      <right/>
      <top style="dashed">
        <color theme="0" tint="-0.24994659260841701"/>
      </top>
      <bottom style="medium">
        <color auto="1"/>
      </bottom>
      <diagonal/>
    </border>
    <border>
      <left/>
      <right/>
      <top style="medium">
        <color indexed="64"/>
      </top>
      <bottom/>
      <diagonal/>
    </border>
    <border>
      <left/>
      <right/>
      <top style="dashed">
        <color theme="0" tint="-0.499984740745262"/>
      </top>
      <bottom style="thin">
        <color indexed="64"/>
      </bottom>
      <diagonal/>
    </border>
    <border>
      <left/>
      <right/>
      <top style="double">
        <color indexed="9"/>
      </top>
      <bottom/>
      <diagonal/>
    </border>
  </borders>
  <cellStyleXfs count="573">
    <xf numFmtId="0" fontId="0" fillId="0" borderId="0"/>
    <xf numFmtId="43" fontId="5" fillId="0" borderId="0" applyFont="0" applyFill="0" applyBorder="0" applyAlignment="0" applyProtection="0"/>
    <xf numFmtId="0" fontId="6" fillId="0" borderId="0" applyNumberFormat="0" applyFill="0" applyBorder="0" applyAlignment="0" applyProtection="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10" applyNumberFormat="0" applyAlignment="0" applyProtection="0"/>
    <xf numFmtId="0" fontId="14" fillId="7" borderId="11" applyNumberFormat="0" applyAlignment="0" applyProtection="0"/>
    <xf numFmtId="0" fontId="15" fillId="7" borderId="10" applyNumberFormat="0" applyAlignment="0" applyProtection="0"/>
    <xf numFmtId="0" fontId="16" fillId="0" borderId="12" applyNumberFormat="0" applyFill="0" applyAlignment="0" applyProtection="0"/>
    <xf numFmtId="0" fontId="17" fillId="8" borderId="13" applyNumberFormat="0" applyAlignment="0" applyProtection="0"/>
    <xf numFmtId="0" fontId="18" fillId="0" borderId="0" applyNumberFormat="0" applyFill="0" applyBorder="0" applyAlignment="0" applyProtection="0"/>
    <xf numFmtId="0" fontId="5" fillId="9" borderId="14" applyNumberFormat="0" applyFont="0" applyAlignment="0" applyProtection="0"/>
    <xf numFmtId="0" fontId="19" fillId="0" borderId="0" applyNumberFormat="0" applyFill="0" applyBorder="0" applyAlignment="0" applyProtection="0"/>
    <xf numFmtId="0" fontId="1" fillId="0" borderId="15" applyNumberFormat="0" applyFill="0" applyAlignment="0" applyProtection="0"/>
    <xf numFmtId="0" fontId="20"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0" fillId="33" borderId="0" applyNumberFormat="0" applyBorder="0" applyAlignment="0" applyProtection="0"/>
    <xf numFmtId="0" fontId="22" fillId="0" borderId="0"/>
    <xf numFmtId="0" fontId="27" fillId="0" borderId="0"/>
    <xf numFmtId="0" fontId="5" fillId="0" borderId="0"/>
    <xf numFmtId="43" fontId="27" fillId="0" borderId="0" applyFont="0" applyFill="0" applyBorder="0" applyAlignment="0" applyProtection="0"/>
    <xf numFmtId="44" fontId="27" fillId="0" borderId="0" applyFont="0" applyFill="0" applyBorder="0" applyAlignment="0" applyProtection="0"/>
    <xf numFmtId="0" fontId="5" fillId="0" borderId="0"/>
    <xf numFmtId="43" fontId="27" fillId="0" borderId="0" applyFont="0" applyFill="0" applyBorder="0" applyAlignment="0" applyProtection="0"/>
    <xf numFmtId="44" fontId="27" fillId="0" borderId="0" applyFont="0" applyFill="0" applyBorder="0" applyAlignment="0" applyProtection="0"/>
    <xf numFmtId="9" fontId="5" fillId="0" borderId="0" applyFont="0" applyFill="0" applyBorder="0" applyAlignment="0" applyProtection="0"/>
    <xf numFmtId="0" fontId="27" fillId="0" borderId="0"/>
    <xf numFmtId="0" fontId="27" fillId="0" borderId="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7" fillId="0" borderId="0" applyFont="0" applyFill="0" applyBorder="0" applyAlignment="0" applyProtection="0"/>
    <xf numFmtId="0" fontId="27" fillId="0" borderId="0"/>
    <xf numFmtId="0" fontId="5" fillId="9" borderId="14" applyNumberFormat="0" applyFont="0" applyAlignment="0" applyProtection="0"/>
    <xf numFmtId="0" fontId="5" fillId="9" borderId="14" applyNumberFormat="0" applyFont="0" applyAlignment="0" applyProtection="0"/>
    <xf numFmtId="9" fontId="27" fillId="0" borderId="0" applyFill="0" applyBorder="0" applyAlignment="0" applyProtection="0"/>
    <xf numFmtId="9" fontId="27" fillId="0" borderId="0" applyFont="0" applyFill="0" applyBorder="0" applyAlignment="0" applyProtection="0"/>
    <xf numFmtId="49" fontId="27" fillId="0" borderId="18" applyFont="0" applyAlignment="0">
      <alignment vertical="top"/>
    </xf>
    <xf numFmtId="0" fontId="40" fillId="0" borderId="0" applyNumberFormat="0" applyFill="0" applyBorder="0" applyAlignment="0" applyProtection="0">
      <alignment vertical="top"/>
      <protection locked="0"/>
    </xf>
    <xf numFmtId="0" fontId="22" fillId="0" borderId="0"/>
    <xf numFmtId="0" fontId="22" fillId="0" borderId="0"/>
    <xf numFmtId="0" fontId="5" fillId="0" borderId="0"/>
    <xf numFmtId="0" fontId="44" fillId="39" borderId="0" applyNumberFormat="0" applyBorder="0" applyAlignment="0" applyProtection="0"/>
    <xf numFmtId="0" fontId="46" fillId="39" borderId="0" applyNumberFormat="0" applyBorder="0" applyAlignment="0" applyProtection="0"/>
    <xf numFmtId="0" fontId="44" fillId="41" borderId="0" applyNumberFormat="0" applyBorder="0" applyAlignment="0" applyProtection="0"/>
    <xf numFmtId="0" fontId="47" fillId="56" borderId="20" applyNumberFormat="0" applyAlignment="0" applyProtection="0"/>
    <xf numFmtId="0" fontId="45" fillId="50" borderId="0" applyNumberFormat="0" applyBorder="0" applyAlignment="0" applyProtection="0"/>
    <xf numFmtId="0" fontId="45" fillId="48" borderId="0" applyNumberFormat="0" applyBorder="0" applyAlignment="0" applyProtection="0"/>
    <xf numFmtId="0" fontId="44" fillId="47" borderId="0" applyNumberFormat="0" applyBorder="0" applyAlignment="0" applyProtection="0"/>
    <xf numFmtId="0" fontId="45" fillId="49" borderId="0" applyNumberFormat="0" applyBorder="0" applyAlignment="0" applyProtection="0"/>
    <xf numFmtId="0" fontId="45" fillId="45" borderId="0" applyNumberFormat="0" applyBorder="0" applyAlignment="0" applyProtection="0"/>
    <xf numFmtId="0" fontId="44" fillId="46" borderId="0" applyNumberFormat="0" applyBorder="0" applyAlignment="0" applyProtection="0"/>
    <xf numFmtId="0" fontId="45" fillId="55" borderId="0" applyNumberFormat="0" applyBorder="0" applyAlignment="0" applyProtection="0"/>
    <xf numFmtId="0" fontId="45" fillId="46" borderId="0" applyNumberFormat="0" applyBorder="0" applyAlignment="0" applyProtection="0"/>
    <xf numFmtId="0" fontId="44" fillId="44" borderId="0" applyNumberFormat="0" applyBorder="0" applyAlignment="0" applyProtection="0"/>
    <xf numFmtId="0" fontId="45" fillId="50" borderId="0" applyNumberFormat="0" applyBorder="0" applyAlignment="0" applyProtection="0"/>
    <xf numFmtId="0" fontId="44" fillId="40" borderId="0" applyNumberFormat="0" applyBorder="0" applyAlignment="0" applyProtection="0"/>
    <xf numFmtId="0" fontId="48" fillId="57" borderId="21" applyNumberFormat="0" applyAlignment="0" applyProtection="0"/>
    <xf numFmtId="0" fontId="51" fillId="0" borderId="22" applyNumberFormat="0" applyFill="0" applyAlignment="0" applyProtection="0"/>
    <xf numFmtId="0" fontId="59" fillId="0" borderId="0" applyNumberFormat="0" applyFill="0" applyBorder="0" applyAlignment="0" applyProtection="0"/>
    <xf numFmtId="0" fontId="54" fillId="0" borderId="0" applyNumberFormat="0" applyFill="0" applyBorder="0" applyAlignment="0" applyProtection="0">
      <alignment vertical="top"/>
      <protection locked="0"/>
    </xf>
    <xf numFmtId="0" fontId="57" fillId="58" borderId="0" applyNumberFormat="0" applyBorder="0" applyAlignment="0" applyProtection="0"/>
    <xf numFmtId="0" fontId="53" fillId="0" borderId="24" applyNumberFormat="0" applyFill="0" applyAlignment="0" applyProtection="0"/>
    <xf numFmtId="0" fontId="50" fillId="40" borderId="0" applyNumberFormat="0" applyBorder="0" applyAlignment="0" applyProtection="0"/>
    <xf numFmtId="0" fontId="44" fillId="38" borderId="0" applyNumberFormat="0" applyBorder="0" applyAlignment="0" applyProtection="0"/>
    <xf numFmtId="0" fontId="56" fillId="0" borderId="25" applyNumberFormat="0" applyFill="0" applyAlignment="0" applyProtection="0"/>
    <xf numFmtId="0" fontId="58" fillId="56" borderId="27" applyNumberFormat="0" applyAlignment="0" applyProtection="0"/>
    <xf numFmtId="0" fontId="45" fillId="51" borderId="0" applyNumberFormat="0" applyBorder="0" applyAlignment="0" applyProtection="0"/>
    <xf numFmtId="0" fontId="49" fillId="0" borderId="0" applyNumberFormat="0" applyFill="0" applyBorder="0" applyAlignment="0" applyProtection="0"/>
    <xf numFmtId="0" fontId="52" fillId="0" borderId="23" applyNumberFormat="0" applyFill="0" applyAlignment="0" applyProtection="0"/>
    <xf numFmtId="0" fontId="44" fillId="41" borderId="0" applyNumberFormat="0" applyBorder="0" applyAlignment="0" applyProtection="0"/>
    <xf numFmtId="0" fontId="55" fillId="43" borderId="20" applyNumberFormat="0" applyAlignment="0" applyProtection="0"/>
    <xf numFmtId="0" fontId="22" fillId="59" borderId="26" applyNumberFormat="0" applyFont="0" applyAlignment="0" applyProtection="0"/>
    <xf numFmtId="0" fontId="62" fillId="0" borderId="0"/>
    <xf numFmtId="0" fontId="27" fillId="0" borderId="0"/>
    <xf numFmtId="0" fontId="53" fillId="0" borderId="0" applyNumberFormat="0" applyFill="0" applyBorder="0" applyAlignment="0" applyProtection="0"/>
    <xf numFmtId="0" fontId="44" fillId="44" borderId="0" applyNumberFormat="0" applyBorder="0" applyAlignment="0" applyProtection="0"/>
    <xf numFmtId="0" fontId="44" fillId="43" borderId="0" applyNumberFormat="0" applyBorder="0" applyAlignment="0" applyProtection="0"/>
    <xf numFmtId="0" fontId="44" fillId="45" borderId="0" applyNumberFormat="0" applyBorder="0" applyAlignment="0" applyProtection="0"/>
    <xf numFmtId="0" fontId="45" fillId="49" borderId="0" applyNumberFormat="0" applyBorder="0" applyAlignment="0" applyProtection="0"/>
    <xf numFmtId="0" fontId="45" fillId="53" borderId="0" applyNumberFormat="0" applyBorder="0" applyAlignment="0" applyProtection="0"/>
    <xf numFmtId="0" fontId="44" fillId="42" borderId="0" applyNumberFormat="0" applyBorder="0" applyAlignment="0" applyProtection="0"/>
    <xf numFmtId="0" fontId="45" fillId="54" borderId="0" applyNumberFormat="0" applyBorder="0" applyAlignment="0" applyProtection="0"/>
    <xf numFmtId="0" fontId="45" fillId="52" borderId="0" applyNumberFormat="0" applyBorder="0" applyAlignment="0" applyProtection="0"/>
    <xf numFmtId="0" fontId="60" fillId="0" borderId="28" applyNumberFormat="0" applyFill="0" applyAlignment="0" applyProtection="0"/>
    <xf numFmtId="0" fontId="61" fillId="0" borderId="0" applyNumberFormat="0" applyFill="0" applyBorder="0" applyAlignment="0" applyProtection="0"/>
    <xf numFmtId="0" fontId="27" fillId="0" borderId="0"/>
    <xf numFmtId="0" fontId="27" fillId="0" borderId="0"/>
    <xf numFmtId="0" fontId="27" fillId="0" borderId="0"/>
    <xf numFmtId="0" fontId="66" fillId="0" borderId="0"/>
    <xf numFmtId="0" fontId="27" fillId="0" borderId="0"/>
    <xf numFmtId="0" fontId="5" fillId="0" borderId="0"/>
    <xf numFmtId="0" fontId="27" fillId="0" borderId="0"/>
    <xf numFmtId="0" fontId="67" fillId="0" borderId="0" applyNumberFormat="0" applyFill="0" applyBorder="0" applyAlignment="0" applyProtection="0"/>
    <xf numFmtId="0" fontId="5" fillId="11"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62" fillId="11" borderId="0" applyNumberFormat="0" applyBorder="0" applyAlignment="0" applyProtection="0"/>
    <xf numFmtId="0" fontId="44" fillId="38" borderId="0" applyNumberFormat="0" applyBorder="0" applyAlignment="0" applyProtection="0"/>
    <xf numFmtId="0" fontId="5" fillId="15"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62" fillId="15" borderId="0" applyNumberFormat="0" applyBorder="0" applyAlignment="0" applyProtection="0"/>
    <xf numFmtId="0" fontId="44" fillId="39" borderId="0" applyNumberFormat="0" applyBorder="0" applyAlignment="0" applyProtection="0"/>
    <xf numFmtId="0" fontId="5" fillId="1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62" fillId="19" borderId="0" applyNumberFormat="0" applyBorder="0" applyAlignment="0" applyProtection="0"/>
    <xf numFmtId="0" fontId="44" fillId="40" borderId="0" applyNumberFormat="0" applyBorder="0" applyAlignment="0" applyProtection="0"/>
    <xf numFmtId="0" fontId="5" fillId="23"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62" fillId="23" borderId="0" applyNumberFormat="0" applyBorder="0" applyAlignment="0" applyProtection="0"/>
    <xf numFmtId="0" fontId="44" fillId="41" borderId="0" applyNumberFormat="0" applyBorder="0" applyAlignment="0" applyProtection="0"/>
    <xf numFmtId="0" fontId="5" fillId="27"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62" fillId="27" borderId="0" applyNumberFormat="0" applyBorder="0" applyAlignment="0" applyProtection="0"/>
    <xf numFmtId="0" fontId="44" fillId="42" borderId="0" applyNumberFormat="0" applyBorder="0" applyAlignment="0" applyProtection="0"/>
    <xf numFmtId="0" fontId="5" fillId="31"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62" fillId="31" borderId="0" applyNumberFormat="0" applyBorder="0" applyAlignment="0" applyProtection="0"/>
    <xf numFmtId="0" fontId="44" fillId="43" borderId="0" applyNumberFormat="0" applyBorder="0" applyAlignment="0" applyProtection="0"/>
    <xf numFmtId="0" fontId="5" fillId="1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62" fillId="12" borderId="0" applyNumberFormat="0" applyBorder="0" applyAlignment="0" applyProtection="0"/>
    <xf numFmtId="0" fontId="44" fillId="44" borderId="0" applyNumberFormat="0" applyBorder="0" applyAlignment="0" applyProtection="0"/>
    <xf numFmtId="0" fontId="5" fillId="1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62" fillId="16" borderId="0" applyNumberFormat="0" applyBorder="0" applyAlignment="0" applyProtection="0"/>
    <xf numFmtId="0" fontId="44" fillId="45" borderId="0" applyNumberFormat="0" applyBorder="0" applyAlignment="0" applyProtection="0"/>
    <xf numFmtId="0" fontId="5" fillId="20"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62" fillId="20" borderId="0" applyNumberFormat="0" applyBorder="0" applyAlignment="0" applyProtection="0"/>
    <xf numFmtId="0" fontId="44" fillId="46" borderId="0" applyNumberFormat="0" applyBorder="0" applyAlignment="0" applyProtection="0"/>
    <xf numFmtId="0" fontId="5" fillId="24"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62" fillId="24" borderId="0" applyNumberFormat="0" applyBorder="0" applyAlignment="0" applyProtection="0"/>
    <xf numFmtId="0" fontId="44" fillId="41" borderId="0" applyNumberFormat="0" applyBorder="0" applyAlignment="0" applyProtection="0"/>
    <xf numFmtId="0" fontId="5" fillId="2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62" fillId="28" borderId="0" applyNumberFormat="0" applyBorder="0" applyAlignment="0" applyProtection="0"/>
    <xf numFmtId="0" fontId="44" fillId="44" borderId="0" applyNumberFormat="0" applyBorder="0" applyAlignment="0" applyProtection="0"/>
    <xf numFmtId="0" fontId="5" fillId="32"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62" fillId="32" borderId="0" applyNumberFormat="0" applyBorder="0" applyAlignment="0" applyProtection="0"/>
    <xf numFmtId="0" fontId="44" fillId="47" borderId="0" applyNumberFormat="0" applyBorder="0" applyAlignment="0" applyProtection="0"/>
    <xf numFmtId="0" fontId="69" fillId="13" borderId="0" applyNumberFormat="0" applyBorder="0" applyAlignment="0" applyProtection="0"/>
    <xf numFmtId="0" fontId="45" fillId="48" borderId="0" applyNumberFormat="0" applyBorder="0" applyAlignment="0" applyProtection="0"/>
    <xf numFmtId="0" fontId="69" fillId="17" borderId="0" applyNumberFormat="0" applyBorder="0" applyAlignment="0" applyProtection="0"/>
    <xf numFmtId="0" fontId="45" fillId="45" borderId="0" applyNumberFormat="0" applyBorder="0" applyAlignment="0" applyProtection="0"/>
    <xf numFmtId="0" fontId="69" fillId="21" borderId="0" applyNumberFormat="0" applyBorder="0" applyAlignment="0" applyProtection="0"/>
    <xf numFmtId="0" fontId="45" fillId="46" borderId="0" applyNumberFormat="0" applyBorder="0" applyAlignment="0" applyProtection="0"/>
    <xf numFmtId="0" fontId="69" fillId="25" borderId="0" applyNumberFormat="0" applyBorder="0" applyAlignment="0" applyProtection="0"/>
    <xf numFmtId="0" fontId="45" fillId="49" borderId="0" applyNumberFormat="0" applyBorder="0" applyAlignment="0" applyProtection="0"/>
    <xf numFmtId="0" fontId="69" fillId="29" borderId="0" applyNumberFormat="0" applyBorder="0" applyAlignment="0" applyProtection="0"/>
    <xf numFmtId="0" fontId="45" fillId="50" borderId="0" applyNumberFormat="0" applyBorder="0" applyAlignment="0" applyProtection="0"/>
    <xf numFmtId="0" fontId="69" fillId="33" borderId="0" applyNumberFormat="0" applyBorder="0" applyAlignment="0" applyProtection="0"/>
    <xf numFmtId="0" fontId="45" fillId="51" borderId="0" applyNumberFormat="0" applyBorder="0" applyAlignment="0" applyProtection="0"/>
    <xf numFmtId="0" fontId="69" fillId="10" borderId="0" applyNumberFormat="0" applyBorder="0" applyAlignment="0" applyProtection="0"/>
    <xf numFmtId="0" fontId="45" fillId="52" borderId="0" applyNumberFormat="0" applyBorder="0" applyAlignment="0" applyProtection="0"/>
    <xf numFmtId="0" fontId="69" fillId="14" borderId="0" applyNumberFormat="0" applyBorder="0" applyAlignment="0" applyProtection="0"/>
    <xf numFmtId="0" fontId="45" fillId="53" borderId="0" applyNumberFormat="0" applyBorder="0" applyAlignment="0" applyProtection="0"/>
    <xf numFmtId="0" fontId="69" fillId="18" borderId="0" applyNumberFormat="0" applyBorder="0" applyAlignment="0" applyProtection="0"/>
    <xf numFmtId="0" fontId="45" fillId="54" borderId="0" applyNumberFormat="0" applyBorder="0" applyAlignment="0" applyProtection="0"/>
    <xf numFmtId="0" fontId="69" fillId="22" borderId="0" applyNumberFormat="0" applyBorder="0" applyAlignment="0" applyProtection="0"/>
    <xf numFmtId="0" fontId="45" fillId="49" borderId="0" applyNumberFormat="0" applyBorder="0" applyAlignment="0" applyProtection="0"/>
    <xf numFmtId="0" fontId="69" fillId="26" borderId="0" applyNumberFormat="0" applyBorder="0" applyAlignment="0" applyProtection="0"/>
    <xf numFmtId="0" fontId="45" fillId="50" borderId="0" applyNumberFormat="0" applyBorder="0" applyAlignment="0" applyProtection="0"/>
    <xf numFmtId="0" fontId="69" fillId="30" borderId="0" applyNumberFormat="0" applyBorder="0" applyAlignment="0" applyProtection="0"/>
    <xf numFmtId="0" fontId="45" fillId="55" borderId="0" applyNumberFormat="0" applyBorder="0" applyAlignment="0" applyProtection="0"/>
    <xf numFmtId="0" fontId="70" fillId="4" borderId="0" applyNumberFormat="0" applyBorder="0" applyAlignment="0" applyProtection="0"/>
    <xf numFmtId="0" fontId="46" fillId="39" borderId="0" applyNumberFormat="0" applyBorder="0" applyAlignment="0" applyProtection="0"/>
    <xf numFmtId="0" fontId="71" fillId="7" borderId="10" applyNumberFormat="0" applyAlignment="0" applyProtection="0"/>
    <xf numFmtId="0" fontId="47" fillId="56" borderId="20" applyNumberFormat="0" applyAlignment="0" applyProtection="0"/>
    <xf numFmtId="0" fontId="72" fillId="8" borderId="13" applyNumberFormat="0" applyAlignment="0" applyProtection="0"/>
    <xf numFmtId="0" fontId="48" fillId="57" borderId="21" applyNumberFormat="0" applyAlignment="0" applyProtection="0"/>
    <xf numFmtId="41" fontId="4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44" fillId="0" borderId="0" applyFont="0" applyFill="0" applyBorder="0" applyAlignment="0" applyProtection="0"/>
    <xf numFmtId="44" fontId="2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7" fillId="0" borderId="0" applyFont="0" applyFill="0" applyBorder="0" applyAlignment="0" applyProtection="0"/>
    <xf numFmtId="0" fontId="73" fillId="0" borderId="0" applyNumberFormat="0" applyFill="0" applyBorder="0" applyAlignment="0" applyProtection="0"/>
    <xf numFmtId="0" fontId="49" fillId="0" borderId="0" applyNumberFormat="0" applyFill="0" applyBorder="0" applyAlignment="0" applyProtection="0"/>
    <xf numFmtId="0" fontId="74" fillId="3" borderId="0" applyNumberFormat="0" applyBorder="0" applyAlignment="0" applyProtection="0"/>
    <xf numFmtId="0" fontId="50" fillId="40" borderId="0" applyNumberFormat="0" applyBorder="0" applyAlignment="0" applyProtection="0"/>
    <xf numFmtId="0" fontId="75" fillId="0" borderId="7" applyNumberFormat="0" applyFill="0" applyAlignment="0" applyProtection="0"/>
    <xf numFmtId="0" fontId="51" fillId="0" borderId="22" applyNumberFormat="0" applyFill="0" applyAlignment="0" applyProtection="0"/>
    <xf numFmtId="0" fontId="76" fillId="0" borderId="8" applyNumberFormat="0" applyFill="0" applyAlignment="0" applyProtection="0"/>
    <xf numFmtId="0" fontId="52" fillId="0" borderId="23" applyNumberFormat="0" applyFill="0" applyAlignment="0" applyProtection="0"/>
    <xf numFmtId="0" fontId="77" fillId="0" borderId="9" applyNumberFormat="0" applyFill="0" applyAlignment="0" applyProtection="0"/>
    <xf numFmtId="0" fontId="53" fillId="0" borderId="24" applyNumberFormat="0" applyFill="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79" fillId="6" borderId="10" applyNumberFormat="0" applyAlignment="0" applyProtection="0"/>
    <xf numFmtId="0" fontId="55" fillId="43" borderId="20" applyNumberFormat="0" applyAlignment="0" applyProtection="0"/>
    <xf numFmtId="0" fontId="80" fillId="0" borderId="12" applyNumberFormat="0" applyFill="0" applyAlignment="0" applyProtection="0"/>
    <xf numFmtId="0" fontId="56" fillId="0" borderId="25" applyNumberFormat="0" applyFill="0" applyAlignment="0" applyProtection="0"/>
    <xf numFmtId="0" fontId="81" fillId="5" borderId="0" applyNumberFormat="0" applyBorder="0" applyAlignment="0" applyProtection="0"/>
    <xf numFmtId="0" fontId="57" fillId="5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7" fillId="0" borderId="0" applyNumberFormat="0" applyFill="0" applyBorder="0" applyAlignment="0" applyProtection="0"/>
    <xf numFmtId="0" fontId="62" fillId="0" borderId="0"/>
    <xf numFmtId="0" fontId="27" fillId="0" borderId="0"/>
    <xf numFmtId="0" fontId="5" fillId="0" borderId="0"/>
    <xf numFmtId="0" fontId="27" fillId="0" borderId="0"/>
    <xf numFmtId="0" fontId="27" fillId="0" borderId="0"/>
    <xf numFmtId="0" fontId="27" fillId="0" borderId="0"/>
    <xf numFmtId="0" fontId="27" fillId="0" borderId="0"/>
    <xf numFmtId="0" fontId="5" fillId="0" borderId="0"/>
    <xf numFmtId="0" fontId="27" fillId="0" borderId="0"/>
    <xf numFmtId="0" fontId="27" fillId="0" borderId="0"/>
    <xf numFmtId="0" fontId="27" fillId="0" borderId="0"/>
    <xf numFmtId="0" fontId="22" fillId="0" borderId="0"/>
    <xf numFmtId="0" fontId="27" fillId="0" borderId="0"/>
    <xf numFmtId="0" fontId="5" fillId="0" borderId="0"/>
    <xf numFmtId="0" fontId="27" fillId="0" borderId="0"/>
    <xf numFmtId="0" fontId="5" fillId="0" borderId="0"/>
    <xf numFmtId="0" fontId="27" fillId="0" borderId="0"/>
    <xf numFmtId="0" fontId="27" fillId="0" borderId="0"/>
    <xf numFmtId="0" fontId="27" fillId="0" borderId="0"/>
    <xf numFmtId="0" fontId="27" fillId="0" borderId="0"/>
    <xf numFmtId="0" fontId="27"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27" fillId="0" borderId="0" applyNumberFormat="0" applyFill="0" applyBorder="0" applyAlignment="0" applyProtection="0"/>
    <xf numFmtId="0" fontId="5" fillId="0" borderId="0"/>
    <xf numFmtId="0" fontId="5" fillId="0" borderId="0"/>
    <xf numFmtId="0" fontId="27" fillId="0" borderId="0"/>
    <xf numFmtId="0" fontId="5" fillId="9" borderId="14" applyNumberFormat="0" applyFont="0" applyAlignment="0" applyProtection="0"/>
    <xf numFmtId="0" fontId="44" fillId="59" borderId="26" applyNumberFormat="0" applyFont="0" applyAlignment="0" applyProtection="0"/>
    <xf numFmtId="0" fontId="22" fillId="59" borderId="26" applyNumberFormat="0" applyFont="0" applyAlignment="0" applyProtection="0"/>
    <xf numFmtId="0" fontId="62" fillId="9" borderId="14" applyNumberFormat="0" applyFont="0" applyAlignment="0" applyProtection="0"/>
    <xf numFmtId="0" fontId="44" fillId="59" borderId="26" applyNumberFormat="0" applyFont="0" applyAlignment="0" applyProtection="0"/>
    <xf numFmtId="0" fontId="82" fillId="7" borderId="11" applyNumberFormat="0" applyAlignment="0" applyProtection="0"/>
    <xf numFmtId="0" fontId="58" fillId="56" borderId="27" applyNumberFormat="0" applyAlignment="0" applyProtection="0"/>
    <xf numFmtId="9" fontId="27" fillId="0" borderId="0" applyFill="0" applyBorder="0" applyAlignment="0" applyProtection="0"/>
    <xf numFmtId="9" fontId="27" fillId="0" borderId="0" applyFill="0" applyBorder="0" applyAlignment="0" applyProtection="0"/>
    <xf numFmtId="9" fontId="4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9" fontId="27" fillId="0" borderId="18" applyFont="0" applyAlignment="0">
      <alignment vertical="top"/>
    </xf>
    <xf numFmtId="0" fontId="6" fillId="0" borderId="0" applyNumberFormat="0" applyFill="0" applyBorder="0" applyAlignment="0" applyProtection="0"/>
    <xf numFmtId="0" fontId="59" fillId="0" borderId="0" applyNumberFormat="0" applyFill="0" applyBorder="0" applyAlignment="0" applyProtection="0"/>
    <xf numFmtId="0" fontId="83" fillId="0" borderId="15" applyNumberFormat="0" applyFill="0" applyAlignment="0" applyProtection="0"/>
    <xf numFmtId="0" fontId="60" fillId="0" borderId="28" applyNumberFormat="0" applyFill="0" applyAlignment="0" applyProtection="0"/>
    <xf numFmtId="0" fontId="84" fillId="0" borderId="0" applyNumberFormat="0" applyFill="0" applyBorder="0" applyAlignment="0" applyProtection="0"/>
    <xf numFmtId="0" fontId="61" fillId="0" borderId="0" applyNumberFormat="0" applyFill="0" applyBorder="0" applyAlignment="0" applyProtection="0"/>
    <xf numFmtId="0" fontId="86" fillId="0" borderId="0"/>
    <xf numFmtId="0" fontId="86" fillId="0" borderId="0"/>
    <xf numFmtId="0" fontId="88" fillId="0" borderId="0" applyNumberFormat="0" applyFill="0" applyBorder="0" applyAlignment="0" applyProtection="0"/>
    <xf numFmtId="44" fontId="5" fillId="0" borderId="0" applyFont="0" applyFill="0" applyBorder="0" applyAlignment="0" applyProtection="0"/>
    <xf numFmtId="0" fontId="22" fillId="0" borderId="0"/>
    <xf numFmtId="0" fontId="22" fillId="0" borderId="0"/>
    <xf numFmtId="0" fontId="96" fillId="0" borderId="0"/>
    <xf numFmtId="3" fontId="27" fillId="0" borderId="0"/>
    <xf numFmtId="174" fontId="27" fillId="0" borderId="0"/>
    <xf numFmtId="14" fontId="27" fillId="0" borderId="0"/>
    <xf numFmtId="2" fontId="27" fillId="0" borderId="0"/>
    <xf numFmtId="0" fontId="99" fillId="0" borderId="0"/>
    <xf numFmtId="0" fontId="100" fillId="0" borderId="0"/>
    <xf numFmtId="0" fontId="27" fillId="0" borderId="45"/>
  </cellStyleXfs>
  <cellXfs count="934">
    <xf numFmtId="0" fontId="0" fillId="0" borderId="0" xfId="0"/>
    <xf numFmtId="0" fontId="3" fillId="0" borderId="0" xfId="0" applyFont="1" applyBorder="1" applyAlignment="1">
      <alignment horizontal="center" vertical="center" wrapText="1"/>
    </xf>
    <xf numFmtId="0" fontId="0" fillId="0" borderId="0" xfId="0" applyBorder="1" applyAlignment="1">
      <alignment horizontal="left" vertical="center" wrapText="1"/>
    </xf>
    <xf numFmtId="0" fontId="3" fillId="0" borderId="0" xfId="0" applyFont="1" applyBorder="1" applyAlignment="1" applyProtection="1">
      <alignment horizontal="center" vertical="center"/>
    </xf>
    <xf numFmtId="0" fontId="1" fillId="0" borderId="0" xfId="0" applyFont="1" applyBorder="1" applyAlignment="1">
      <alignment horizontal="left" vertical="center" wrapText="1"/>
    </xf>
    <xf numFmtId="0" fontId="2" fillId="0" borderId="0" xfId="0" applyFont="1" applyBorder="1" applyAlignment="1">
      <alignment horizontal="left" vertical="center" wrapText="1"/>
    </xf>
    <xf numFmtId="0" fontId="21" fillId="0" borderId="0" xfId="0" applyFont="1" applyFill="1" applyAlignment="1">
      <alignment wrapText="1"/>
    </xf>
    <xf numFmtId="0" fontId="21" fillId="0" borderId="0" xfId="0" applyFont="1" applyAlignment="1">
      <alignment wrapText="1"/>
    </xf>
    <xf numFmtId="0" fontId="0" fillId="0" borderId="0" xfId="0"/>
    <xf numFmtId="0" fontId="23" fillId="0" borderId="0" xfId="0" applyFont="1" applyBorder="1" applyAlignment="1">
      <alignment horizontal="center" wrapText="1"/>
    </xf>
    <xf numFmtId="0" fontId="23" fillId="0" borderId="0" xfId="0" applyFont="1" applyAlignment="1"/>
    <xf numFmtId="0" fontId="23" fillId="0" borderId="0" xfId="0" applyFont="1" applyAlignment="1">
      <alignment horizontal="center"/>
    </xf>
    <xf numFmtId="0" fontId="0" fillId="0" borderId="0" xfId="0" applyAlignment="1">
      <alignment horizontal="right"/>
    </xf>
    <xf numFmtId="0" fontId="21" fillId="0" borderId="0" xfId="0" applyFont="1" applyFill="1" applyAlignment="1">
      <alignment horizontal="center" wrapText="1"/>
    </xf>
    <xf numFmtId="49" fontId="21" fillId="0" borderId="0" xfId="0" applyNumberFormat="1" applyFont="1" applyFill="1" applyAlignment="1">
      <alignment wrapText="1"/>
    </xf>
    <xf numFmtId="0" fontId="26" fillId="0" borderId="0" xfId="0" applyFont="1" applyBorder="1" applyAlignment="1">
      <alignment horizontal="center" wrapText="1"/>
    </xf>
    <xf numFmtId="1" fontId="26" fillId="0" borderId="0" xfId="0" applyNumberFormat="1" applyFont="1" applyBorder="1" applyAlignment="1">
      <alignment horizontal="center" wrapText="1"/>
    </xf>
    <xf numFmtId="0" fontId="23" fillId="0" borderId="0" xfId="0" applyFont="1" applyBorder="1" applyAlignment="1">
      <alignment horizontal="right" wrapText="1"/>
    </xf>
    <xf numFmtId="3" fontId="23" fillId="0" borderId="0" xfId="0" applyNumberFormat="1" applyFont="1" applyBorder="1" applyAlignment="1">
      <alignment horizontal="right" wrapText="1"/>
    </xf>
    <xf numFmtId="0" fontId="23" fillId="0" borderId="0" xfId="0" applyFont="1" applyAlignment="1">
      <alignment horizontal="right"/>
    </xf>
    <xf numFmtId="0" fontId="0" fillId="0" borderId="0" xfId="0" applyAlignment="1"/>
    <xf numFmtId="0" fontId="4" fillId="0" borderId="0" xfId="0" applyFont="1" applyAlignment="1">
      <alignment horizontal="center" wrapText="1"/>
    </xf>
    <xf numFmtId="0" fontId="4" fillId="0" borderId="0" xfId="0" applyFont="1" applyBorder="1" applyAlignment="1">
      <alignment horizontal="center" wrapText="1"/>
    </xf>
    <xf numFmtId="38" fontId="23" fillId="0" borderId="0" xfId="0" applyNumberFormat="1" applyFont="1" applyFill="1" applyAlignment="1">
      <alignment horizontal="right" wrapText="1"/>
    </xf>
    <xf numFmtId="38" fontId="23" fillId="0" borderId="0" xfId="0" applyNumberFormat="1" applyFont="1" applyAlignment="1">
      <alignment horizontal="right" wrapText="1"/>
    </xf>
    <xf numFmtId="1" fontId="23" fillId="0" borderId="0" xfId="0" applyNumberFormat="1" applyFont="1" applyBorder="1" applyAlignment="1">
      <alignment horizontal="center" wrapText="1"/>
    </xf>
    <xf numFmtId="2" fontId="23" fillId="0" borderId="0" xfId="0" applyNumberFormat="1" applyFont="1" applyAlignment="1">
      <alignment horizontal="center" wrapText="1"/>
    </xf>
    <xf numFmtId="2" fontId="23" fillId="0" borderId="0" xfId="0" applyNumberFormat="1" applyFont="1" applyBorder="1" applyAlignment="1">
      <alignment horizontal="center" wrapText="1"/>
    </xf>
    <xf numFmtId="9" fontId="3" fillId="0" borderId="0" xfId="0" applyNumberFormat="1" applyFont="1" applyAlignment="1">
      <alignment horizontal="center" wrapText="1"/>
    </xf>
    <xf numFmtId="1" fontId="3" fillId="0" borderId="0" xfId="0" applyNumberFormat="1" applyFont="1" applyAlignment="1">
      <alignment horizontal="center" wrapText="1"/>
    </xf>
    <xf numFmtId="3" fontId="4" fillId="0" borderId="0" xfId="0" applyNumberFormat="1" applyFont="1" applyAlignment="1">
      <alignment horizontal="right"/>
    </xf>
    <xf numFmtId="3" fontId="4" fillId="0" borderId="0" xfId="0" applyNumberFormat="1" applyFont="1" applyAlignment="1">
      <alignment horizontal="right" wrapText="1"/>
    </xf>
    <xf numFmtId="0" fontId="3" fillId="0" borderId="0" xfId="0" applyFont="1" applyBorder="1" applyAlignment="1" applyProtection="1">
      <alignment horizontal="center"/>
    </xf>
    <xf numFmtId="1"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xf>
    <xf numFmtId="9" fontId="3" fillId="0" borderId="0" xfId="0" applyNumberFormat="1" applyFont="1" applyBorder="1" applyAlignment="1" applyProtection="1">
      <alignment horizontal="center" wrapText="1"/>
    </xf>
    <xf numFmtId="0" fontId="4" fillId="0" borderId="0" xfId="0" applyFont="1" applyFill="1" applyAlignment="1">
      <alignment horizontal="right" wrapText="1"/>
    </xf>
    <xf numFmtId="3" fontId="4" fillId="0" borderId="0" xfId="0" applyNumberFormat="1" applyFont="1" applyBorder="1" applyAlignment="1">
      <alignment horizontal="right" wrapText="1"/>
    </xf>
    <xf numFmtId="0" fontId="4" fillId="0" borderId="0" xfId="0" applyFont="1" applyFill="1" applyBorder="1" applyAlignment="1">
      <alignment horizontal="right" wrapText="1"/>
    </xf>
    <xf numFmtId="38" fontId="4" fillId="0" borderId="0" xfId="0" applyNumberFormat="1" applyFont="1" applyAlignment="1">
      <alignment horizontal="right"/>
    </xf>
    <xf numFmtId="0" fontId="4" fillId="0" borderId="0" xfId="0" applyFont="1" applyAlignment="1">
      <alignment horizontal="right" wrapText="1"/>
    </xf>
    <xf numFmtId="3" fontId="0" fillId="0" borderId="0" xfId="0" applyNumberFormat="1" applyAlignment="1"/>
    <xf numFmtId="38" fontId="23" fillId="0" borderId="0" xfId="0" applyNumberFormat="1" applyFont="1" applyAlignment="1"/>
    <xf numFmtId="0" fontId="0" fillId="0" borderId="0" xfId="0" applyFill="1"/>
    <xf numFmtId="0" fontId="28" fillId="0" borderId="0" xfId="0" applyFont="1" applyFill="1"/>
    <xf numFmtId="0" fontId="3" fillId="0" borderId="0" xfId="0" applyFont="1" applyBorder="1" applyAlignment="1" applyProtection="1">
      <alignment horizontal="center" vertical="center"/>
    </xf>
    <xf numFmtId="0" fontId="0" fillId="0" borderId="0" xfId="0" applyBorder="1" applyAlignment="1">
      <alignment horizontal="left" vertical="center" wrapText="1"/>
    </xf>
    <xf numFmtId="0" fontId="26" fillId="0" borderId="0" xfId="0" applyFont="1"/>
    <xf numFmtId="0" fontId="0" fillId="0" borderId="0" xfId="0"/>
    <xf numFmtId="0" fontId="23" fillId="0" borderId="0" xfId="0" applyFont="1" applyFill="1" applyBorder="1" applyAlignment="1">
      <alignment horizontal="center" wrapText="1"/>
    </xf>
    <xf numFmtId="0" fontId="23" fillId="0" borderId="0" xfId="0" applyFont="1" applyAlignment="1">
      <alignment horizontal="center" wrapText="1"/>
    </xf>
    <xf numFmtId="0" fontId="23" fillId="0" borderId="0" xfId="0" applyFont="1" applyBorder="1" applyAlignment="1">
      <alignment horizontal="center" wrapText="1"/>
    </xf>
    <xf numFmtId="0" fontId="23" fillId="0" borderId="0" xfId="0" applyFont="1" applyFill="1" applyAlignment="1">
      <alignment horizontal="center" wrapText="1"/>
    </xf>
    <xf numFmtId="0" fontId="23" fillId="0" borderId="0" xfId="0" applyFont="1" applyFill="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Fill="1" applyAlignment="1">
      <alignment horizontal="left" wrapText="1"/>
    </xf>
    <xf numFmtId="0" fontId="23" fillId="0" borderId="0" xfId="0" applyFont="1" applyFill="1" applyBorder="1" applyAlignment="1">
      <alignment horizontal="left" wrapText="1"/>
    </xf>
    <xf numFmtId="3" fontId="23" fillId="0" borderId="0" xfId="0" applyNumberFormat="1" applyFont="1" applyAlignment="1">
      <alignment horizontal="right"/>
    </xf>
    <xf numFmtId="2" fontId="23" fillId="0" borderId="0" xfId="0" applyNumberFormat="1" applyFont="1" applyAlignment="1">
      <alignment horizontal="right"/>
    </xf>
    <xf numFmtId="2" fontId="23" fillId="0" borderId="0" xfId="0" applyNumberFormat="1" applyFont="1" applyAlignment="1">
      <alignment horizontal="right" wrapText="1"/>
    </xf>
    <xf numFmtId="9" fontId="23" fillId="0" borderId="0" xfId="0" applyNumberFormat="1" applyFont="1" applyAlignment="1">
      <alignment horizontal="right"/>
    </xf>
    <xf numFmtId="9" fontId="23" fillId="0" borderId="0" xfId="0" applyNumberFormat="1" applyFont="1" applyAlignment="1">
      <alignment horizontal="right" wrapText="1"/>
    </xf>
    <xf numFmtId="0" fontId="0" fillId="0" borderId="0" xfId="0" applyFont="1"/>
    <xf numFmtId="0" fontId="0" fillId="0" borderId="0" xfId="0" applyFont="1" applyFill="1"/>
    <xf numFmtId="0" fontId="0" fillId="0" borderId="0" xfId="0" applyFont="1" applyBorder="1" applyAlignment="1">
      <alignment horizontal="left" vertical="center" wrapText="1"/>
    </xf>
    <xf numFmtId="0" fontId="0" fillId="0" borderId="0" xfId="0" applyFont="1" applyAlignment="1">
      <alignment horizontal="center"/>
    </xf>
    <xf numFmtId="0" fontId="0" fillId="0" borderId="0" xfId="0" applyFont="1" applyFill="1" applyBorder="1" applyAlignment="1" applyProtection="1">
      <alignment horizontal="left" wrapText="1"/>
    </xf>
    <xf numFmtId="3" fontId="0" fillId="0" borderId="0" xfId="0" applyNumberFormat="1" applyFont="1" applyFill="1" applyBorder="1" applyAlignment="1">
      <alignment horizontal="right" wrapText="1"/>
    </xf>
    <xf numFmtId="0" fontId="0" fillId="0" borderId="0" xfId="0" applyFont="1" applyAlignment="1">
      <alignment horizontal="right"/>
    </xf>
    <xf numFmtId="0" fontId="0" fillId="0" borderId="0" xfId="0" applyFont="1" applyAlignment="1">
      <alignment horizontal="left"/>
    </xf>
    <xf numFmtId="0" fontId="0" fillId="0" borderId="0" xfId="0" applyFont="1" applyBorder="1" applyAlignment="1">
      <alignment horizontal="left" wrapText="1"/>
    </xf>
    <xf numFmtId="0" fontId="0" fillId="0" borderId="0" xfId="0" applyFont="1" applyBorder="1" applyAlignment="1">
      <alignment horizontal="right" wrapText="1"/>
    </xf>
    <xf numFmtId="0" fontId="23" fillId="0" borderId="0" xfId="0" applyFont="1" applyAlignment="1"/>
    <xf numFmtId="38" fontId="23" fillId="0" borderId="0" xfId="0" applyNumberFormat="1" applyFont="1" applyFill="1" applyAlignment="1">
      <alignment horizontal="right" wrapText="1"/>
    </xf>
    <xf numFmtId="38" fontId="23" fillId="0" borderId="0" xfId="0" applyNumberFormat="1" applyFont="1" applyAlignment="1">
      <alignment horizontal="right" wrapText="1"/>
    </xf>
    <xf numFmtId="1" fontId="23" fillId="0" borderId="0" xfId="0" applyNumberFormat="1" applyFont="1" applyBorder="1" applyAlignment="1">
      <alignment horizontal="center" wrapText="1"/>
    </xf>
    <xf numFmtId="38" fontId="23" fillId="0" borderId="0" xfId="0" applyNumberFormat="1" applyFont="1" applyAlignment="1"/>
    <xf numFmtId="0" fontId="1" fillId="2" borderId="1" xfId="0" applyFont="1" applyFill="1" applyBorder="1" applyAlignment="1">
      <alignment wrapText="1"/>
    </xf>
    <xf numFmtId="1" fontId="1" fillId="2" borderId="1" xfId="0" applyNumberFormat="1" applyFont="1" applyFill="1" applyBorder="1" applyAlignment="1">
      <alignment horizontal="center" wrapText="1"/>
    </xf>
    <xf numFmtId="1" fontId="1" fillId="2" borderId="5" xfId="0" applyNumberFormat="1" applyFont="1" applyFill="1" applyBorder="1" applyAlignment="1">
      <alignment horizontal="center" wrapText="1"/>
    </xf>
    <xf numFmtId="1" fontId="1" fillId="2" borderId="6" xfId="0" applyNumberFormat="1" applyFont="1" applyFill="1" applyBorder="1" applyAlignment="1">
      <alignment horizontal="center" wrapText="1"/>
    </xf>
    <xf numFmtId="0" fontId="0" fillId="0" borderId="0" xfId="0"/>
    <xf numFmtId="0" fontId="0" fillId="0" borderId="0" xfId="0" applyNumberFormat="1" applyFont="1" applyAlignment="1">
      <alignment horizontal="left" wrapText="1"/>
    </xf>
    <xf numFmtId="3" fontId="26" fillId="0" borderId="0" xfId="0" applyNumberFormat="1" applyFont="1" applyFill="1" applyBorder="1" applyAlignment="1">
      <alignment horizontal="right" wrapText="1"/>
    </xf>
    <xf numFmtId="3" fontId="26" fillId="0" borderId="0" xfId="0" applyNumberFormat="1" applyFont="1" applyFill="1" applyBorder="1" applyAlignment="1" applyProtection="1">
      <alignment horizontal="right" wrapText="1"/>
    </xf>
    <xf numFmtId="0" fontId="0" fillId="0" borderId="0" xfId="0" applyFill="1"/>
    <xf numFmtId="0" fontId="0" fillId="0" borderId="0" xfId="0" applyFill="1"/>
    <xf numFmtId="0" fontId="0" fillId="0" borderId="0" xfId="0" applyFill="1"/>
    <xf numFmtId="0" fontId="4" fillId="0" borderId="0" xfId="0" applyFont="1" applyFill="1" applyAlignment="1">
      <alignment horizontal="left" wrapText="1"/>
    </xf>
    <xf numFmtId="0" fontId="4" fillId="0" borderId="0" xfId="0" applyFont="1" applyFill="1" applyBorder="1" applyAlignment="1">
      <alignment horizontal="left" wrapText="1"/>
    </xf>
    <xf numFmtId="0" fontId="0" fillId="0" borderId="0" xfId="0" applyFont="1" applyAlignment="1">
      <alignment horizontal="left" wrapText="1"/>
    </xf>
    <xf numFmtId="0" fontId="1" fillId="2" borderId="1" xfId="0" applyNumberFormat="1" applyFont="1" applyFill="1" applyBorder="1" applyAlignment="1" applyProtection="1">
      <alignment horizontal="left" wrapText="1"/>
    </xf>
    <xf numFmtId="0" fontId="1" fillId="2" borderId="1" xfId="0" applyNumberFormat="1" applyFont="1" applyFill="1" applyBorder="1" applyAlignment="1" applyProtection="1">
      <alignment horizontal="center" wrapText="1"/>
    </xf>
    <xf numFmtId="2" fontId="1" fillId="2" borderId="1" xfId="0" applyNumberFormat="1" applyFont="1" applyFill="1" applyBorder="1" applyAlignment="1" applyProtection="1">
      <alignment horizontal="center" wrapText="1"/>
    </xf>
    <xf numFmtId="1" fontId="1" fillId="2" borderId="1" xfId="0" applyNumberFormat="1" applyFont="1" applyFill="1" applyBorder="1" applyAlignment="1" applyProtection="1">
      <alignment horizontal="center" wrapText="1"/>
    </xf>
    <xf numFmtId="9" fontId="1" fillId="2" borderId="1" xfId="0" applyNumberFormat="1" applyFont="1" applyFill="1" applyBorder="1" applyAlignment="1" applyProtection="1">
      <alignment horizontal="center" wrapText="1"/>
    </xf>
    <xf numFmtId="0" fontId="1" fillId="2" borderId="1" xfId="0" applyFont="1" applyFill="1" applyBorder="1" applyAlignment="1">
      <alignment horizontal="center" wrapText="1"/>
    </xf>
    <xf numFmtId="0" fontId="0" fillId="0" borderId="0" xfId="0" applyFont="1" applyFill="1" applyBorder="1" applyAlignment="1" applyProtection="1">
      <alignment horizontal="center" wrapText="1"/>
    </xf>
    <xf numFmtId="0" fontId="0" fillId="0" borderId="0" xfId="0" applyFont="1" applyFill="1" applyAlignment="1">
      <alignment horizontal="left" wrapText="1"/>
    </xf>
    <xf numFmtId="0" fontId="0" fillId="0" borderId="0" xfId="0" applyFont="1" applyAlignment="1">
      <alignment wrapText="1"/>
    </xf>
    <xf numFmtId="0" fontId="0" fillId="0" borderId="0" xfId="0" applyFont="1" applyFill="1" applyAlignment="1">
      <alignment wrapText="1"/>
    </xf>
    <xf numFmtId="0" fontId="0" fillId="0" borderId="0" xfId="0" applyFont="1" applyBorder="1" applyAlignment="1">
      <alignment horizontal="left" wrapText="1"/>
    </xf>
    <xf numFmtId="0" fontId="23" fillId="0" borderId="0" xfId="0" applyFont="1" applyFill="1" applyBorder="1" applyAlignment="1">
      <alignment wrapText="1"/>
    </xf>
    <xf numFmtId="0" fontId="23" fillId="0" borderId="0" xfId="0" applyFont="1" applyFill="1" applyAlignment="1">
      <alignment wrapText="1"/>
    </xf>
    <xf numFmtId="0" fontId="23" fillId="0" borderId="0" xfId="0" applyFont="1" applyAlignment="1">
      <alignment wrapText="1"/>
    </xf>
    <xf numFmtId="0" fontId="23" fillId="0" borderId="0" xfId="0" applyFont="1" applyBorder="1" applyAlignment="1" applyProtection="1">
      <alignment wrapText="1"/>
    </xf>
    <xf numFmtId="0" fontId="23" fillId="0" borderId="0" xfId="0" applyFont="1" applyAlignment="1">
      <alignment horizontal="center" wrapText="1"/>
    </xf>
    <xf numFmtId="0" fontId="23" fillId="0" borderId="0" xfId="0" applyFont="1" applyFill="1" applyBorder="1" applyAlignment="1" applyProtection="1">
      <alignment wrapText="1"/>
    </xf>
    <xf numFmtId="0" fontId="23" fillId="0" borderId="0" xfId="0" applyFont="1" applyBorder="1" applyAlignment="1">
      <alignment wrapText="1"/>
    </xf>
    <xf numFmtId="0" fontId="23" fillId="0" borderId="0" xfId="0" applyFont="1" applyBorder="1" applyAlignment="1">
      <alignment horizontal="center" wrapText="1"/>
    </xf>
    <xf numFmtId="0" fontId="23" fillId="0" borderId="0" xfId="0" applyFont="1" applyFill="1" applyAlignment="1">
      <alignment horizontal="center" wrapText="1"/>
    </xf>
    <xf numFmtId="0" fontId="23" fillId="0" borderId="0" xfId="0" applyFont="1" applyAlignment="1"/>
    <xf numFmtId="0" fontId="23" fillId="0" borderId="0" xfId="0" applyFont="1" applyAlignment="1">
      <alignment horizontal="center"/>
    </xf>
    <xf numFmtId="0" fontId="23" fillId="0" borderId="0" xfId="0" applyFont="1" applyFill="1" applyBorder="1" applyAlignment="1" applyProtection="1">
      <alignment horizontal="center" wrapText="1"/>
    </xf>
    <xf numFmtId="0" fontId="23" fillId="0" borderId="0" xfId="0" applyFont="1" applyBorder="1" applyAlignment="1">
      <alignment horizontal="left" wrapText="1"/>
    </xf>
    <xf numFmtId="0" fontId="23" fillId="0" borderId="0" xfId="0" applyFont="1" applyAlignment="1">
      <alignment horizontal="left"/>
    </xf>
    <xf numFmtId="0" fontId="26" fillId="0" borderId="0" xfId="0" applyFont="1" applyAlignment="1"/>
    <xf numFmtId="0" fontId="4" fillId="0" borderId="0" xfId="0" applyFont="1" applyAlignment="1">
      <alignment horizontal="center" wrapText="1"/>
    </xf>
    <xf numFmtId="0" fontId="3" fillId="0" borderId="0" xfId="0" applyFont="1" applyBorder="1" applyAlignment="1" applyProtection="1">
      <alignment horizontal="left"/>
    </xf>
    <xf numFmtId="0" fontId="3" fillId="0" borderId="0" xfId="0" applyFont="1" applyBorder="1" applyAlignment="1" applyProtection="1">
      <alignment horizontal="center"/>
    </xf>
    <xf numFmtId="0" fontId="0" fillId="0" borderId="0" xfId="0" applyAlignment="1">
      <alignment horizontal="left"/>
    </xf>
    <xf numFmtId="0" fontId="26" fillId="0" borderId="0" xfId="0" applyFont="1" applyBorder="1" applyAlignment="1">
      <alignment wrapText="1"/>
    </xf>
    <xf numFmtId="0" fontId="1" fillId="2" borderId="1" xfId="0" applyNumberFormat="1" applyFont="1" applyFill="1" applyBorder="1" applyAlignment="1">
      <alignment horizontal="center" wrapText="1"/>
    </xf>
    <xf numFmtId="0" fontId="0" fillId="0" borderId="0" xfId="0" applyFont="1" applyAlignment="1"/>
    <xf numFmtId="0" fontId="32" fillId="2" borderId="1" xfId="0" applyFont="1" applyFill="1" applyBorder="1" applyAlignment="1">
      <alignment horizontal="center" wrapText="1"/>
    </xf>
    <xf numFmtId="0" fontId="1" fillId="2" borderId="6" xfId="0" applyFont="1" applyFill="1" applyBorder="1" applyAlignment="1">
      <alignment horizontal="center" wrapText="1"/>
    </xf>
    <xf numFmtId="0" fontId="29" fillId="0" borderId="0" xfId="0" applyFont="1" applyFill="1"/>
    <xf numFmtId="0" fontId="32" fillId="2" borderId="1" xfId="0" applyFont="1" applyFill="1" applyBorder="1" applyAlignment="1">
      <alignment wrapText="1"/>
    </xf>
    <xf numFmtId="0" fontId="32" fillId="2" borderId="1" xfId="0" applyFont="1" applyFill="1" applyBorder="1" applyAlignment="1">
      <alignment horizontal="left" wrapText="1"/>
    </xf>
    <xf numFmtId="3" fontId="32" fillId="2" borderId="1" xfId="0" applyNumberFormat="1" applyFont="1" applyFill="1" applyBorder="1" applyAlignment="1">
      <alignment horizontal="left" wrapText="1"/>
    </xf>
    <xf numFmtId="4" fontId="32" fillId="2" borderId="1" xfId="0" applyNumberFormat="1" applyFont="1" applyFill="1" applyBorder="1" applyAlignment="1">
      <alignment horizontal="left" wrapText="1"/>
    </xf>
    <xf numFmtId="0" fontId="1" fillId="2" borderId="1" xfId="0" applyNumberFormat="1" applyFont="1" applyFill="1" applyBorder="1" applyAlignment="1">
      <alignment horizontal="left" wrapText="1"/>
    </xf>
    <xf numFmtId="2" fontId="1" fillId="2" borderId="1" xfId="0" applyNumberFormat="1" applyFont="1" applyFill="1" applyBorder="1" applyAlignment="1">
      <alignment horizontal="center" wrapText="1"/>
    </xf>
    <xf numFmtId="0" fontId="1" fillId="2" borderId="1" xfId="0" applyFont="1" applyFill="1" applyBorder="1" applyAlignment="1" applyProtection="1">
      <alignment horizontal="center" wrapText="1"/>
    </xf>
    <xf numFmtId="0" fontId="1" fillId="2" borderId="3" xfId="0" applyFont="1" applyFill="1" applyBorder="1" applyAlignment="1" applyProtection="1">
      <alignment horizontal="center" wrapText="1"/>
    </xf>
    <xf numFmtId="2" fontId="1" fillId="2" borderId="1" xfId="0" applyNumberFormat="1" applyFont="1" applyFill="1" applyBorder="1" applyAlignment="1">
      <alignment horizontal="left" wrapText="1"/>
    </xf>
    <xf numFmtId="9" fontId="1" fillId="2" borderId="1" xfId="0" applyNumberFormat="1" applyFont="1" applyFill="1" applyBorder="1" applyAlignment="1">
      <alignment horizontal="left" wrapText="1"/>
    </xf>
    <xf numFmtId="0" fontId="1" fillId="34" borderId="1" xfId="0" applyFont="1" applyFill="1" applyBorder="1" applyAlignment="1">
      <alignment horizontal="center" wrapText="1"/>
    </xf>
    <xf numFmtId="0" fontId="0" fillId="0" borderId="0" xfId="0" applyFont="1" applyBorder="1" applyAlignment="1">
      <alignment vertical="center" wrapText="1"/>
    </xf>
    <xf numFmtId="0" fontId="0" fillId="0" borderId="0" xfId="0" applyFont="1" applyFill="1" applyAlignment="1"/>
    <xf numFmtId="0" fontId="0" fillId="0" borderId="0" xfId="0" applyNumberFormat="1" applyFont="1" applyAlignment="1"/>
    <xf numFmtId="0" fontId="30" fillId="0" borderId="0" xfId="0" applyFont="1" applyAlignment="1">
      <alignment wrapText="1"/>
    </xf>
    <xf numFmtId="0" fontId="1" fillId="2" borderId="1" xfId="0" applyFont="1" applyFill="1" applyBorder="1" applyAlignment="1">
      <alignment horizontal="right" wrapText="1"/>
    </xf>
    <xf numFmtId="0" fontId="0" fillId="0" borderId="0" xfId="0" applyFont="1" applyFill="1" applyBorder="1" applyAlignment="1" applyProtection="1">
      <alignment horizontal="right" wrapText="1"/>
    </xf>
    <xf numFmtId="0" fontId="26" fillId="0" borderId="0" xfId="0" applyFont="1" applyBorder="1" applyAlignment="1">
      <alignment horizontal="right" wrapText="1"/>
    </xf>
    <xf numFmtId="0" fontId="30" fillId="0" borderId="0" xfId="0" applyFont="1" applyFill="1" applyAlignment="1">
      <alignment horizontal="left"/>
    </xf>
    <xf numFmtId="0" fontId="29" fillId="0" borderId="0" xfId="0" applyFont="1" applyFill="1" applyAlignment="1">
      <alignment horizontal="left"/>
    </xf>
    <xf numFmtId="0" fontId="29" fillId="0" borderId="0" xfId="0" applyFont="1" applyFill="1" applyAlignment="1">
      <alignment horizontal="center"/>
    </xf>
    <xf numFmtId="0" fontId="0" fillId="0" borderId="0" xfId="0" applyAlignment="1">
      <alignment horizontal="center"/>
    </xf>
    <xf numFmtId="0" fontId="0" fillId="0" borderId="0" xfId="0" applyAlignment="1">
      <alignment wrapText="1"/>
    </xf>
    <xf numFmtId="0" fontId="0" fillId="0" borderId="0" xfId="0" applyNumberFormat="1" applyFont="1" applyFill="1" applyAlignment="1"/>
    <xf numFmtId="0" fontId="3" fillId="0" borderId="0" xfId="0" applyFont="1" applyFill="1" applyBorder="1" applyAlignment="1">
      <alignment horizontal="center" vertical="center" wrapText="1"/>
    </xf>
    <xf numFmtId="0" fontId="26" fillId="0" borderId="0" xfId="0" applyFont="1" applyBorder="1" applyAlignment="1">
      <alignment horizontal="left" wrapText="1"/>
    </xf>
    <xf numFmtId="0" fontId="33" fillId="0" borderId="0" xfId="0" applyFont="1"/>
    <xf numFmtId="0" fontId="33" fillId="0" borderId="0" xfId="0" applyFont="1" applyFill="1"/>
    <xf numFmtId="0" fontId="1" fillId="2" borderId="1" xfId="0" applyFont="1" applyFill="1" applyBorder="1" applyAlignment="1">
      <alignment horizontal="left" wrapText="1"/>
    </xf>
    <xf numFmtId="0" fontId="0" fillId="0" borderId="0" xfId="0" applyFont="1"/>
    <xf numFmtId="0" fontId="0" fillId="0" borderId="0" xfId="0" applyNumberFormat="1" applyFont="1" applyAlignment="1">
      <alignment wrapText="1"/>
    </xf>
    <xf numFmtId="3" fontId="0" fillId="0" borderId="0" xfId="0" applyNumberFormat="1" applyFont="1" applyAlignment="1">
      <alignment horizontal="right"/>
    </xf>
    <xf numFmtId="3" fontId="0" fillId="0" borderId="0" xfId="0" applyNumberFormat="1" applyFont="1" applyBorder="1" applyAlignment="1">
      <alignment horizontal="right" wrapText="1"/>
    </xf>
    <xf numFmtId="3" fontId="0" fillId="0" borderId="0" xfId="0" applyNumberFormat="1" applyFont="1" applyFill="1" applyAlignment="1">
      <alignment horizontal="right" wrapText="1"/>
    </xf>
    <xf numFmtId="0" fontId="1" fillId="2" borderId="1" xfId="0" applyNumberFormat="1" applyFont="1" applyFill="1" applyBorder="1" applyAlignment="1">
      <alignment wrapText="1"/>
    </xf>
    <xf numFmtId="40" fontId="0" fillId="0" borderId="0" xfId="0" applyNumberFormat="1" applyFont="1" applyAlignment="1">
      <alignment horizontal="right" wrapText="1"/>
    </xf>
    <xf numFmtId="0" fontId="23" fillId="0" borderId="0" xfId="0" applyFont="1" applyFill="1" applyBorder="1" applyAlignment="1">
      <alignment horizontal="center" wrapText="1"/>
    </xf>
    <xf numFmtId="0" fontId="23" fillId="0" borderId="0" xfId="0" applyFont="1" applyAlignment="1">
      <alignment wrapText="1"/>
    </xf>
    <xf numFmtId="0" fontId="23" fillId="0" borderId="0" xfId="0" applyFont="1" applyAlignment="1">
      <alignment horizontal="center" wrapText="1"/>
    </xf>
    <xf numFmtId="0" fontId="23" fillId="0" borderId="0" xfId="0" applyFont="1" applyBorder="1" applyAlignment="1">
      <alignment wrapText="1"/>
    </xf>
    <xf numFmtId="0" fontId="23" fillId="0" borderId="0" xfId="0" applyFont="1" applyFill="1" applyAlignment="1">
      <alignment horizontal="center" wrapText="1"/>
    </xf>
    <xf numFmtId="0" fontId="23" fillId="0" borderId="0" xfId="0" applyFont="1" applyFill="1" applyBorder="1" applyAlignment="1" applyProtection="1">
      <alignment horizontal="center" wrapText="1"/>
    </xf>
    <xf numFmtId="0" fontId="0" fillId="0" borderId="0" xfId="0" applyFill="1"/>
    <xf numFmtId="0" fontId="0" fillId="0" borderId="0" xfId="0" applyFont="1" applyFill="1" applyBorder="1" applyAlignment="1">
      <alignment horizontal="center" wrapText="1"/>
    </xf>
    <xf numFmtId="0" fontId="0" fillId="0" borderId="0" xfId="0" applyFont="1" applyBorder="1" applyAlignment="1">
      <alignment horizontal="center" wrapText="1"/>
    </xf>
    <xf numFmtId="38" fontId="0" fillId="0" borderId="0" xfId="0" applyNumberFormat="1" applyFont="1" applyAlignment="1">
      <alignment horizontal="right"/>
    </xf>
    <xf numFmtId="0" fontId="0" fillId="0" borderId="0" xfId="0" applyFont="1" applyFill="1" applyBorder="1" applyAlignment="1" applyProtection="1">
      <alignment horizontal="center" wrapText="1"/>
    </xf>
    <xf numFmtId="0" fontId="0" fillId="0" borderId="0" xfId="0" applyFont="1" applyFill="1" applyAlignment="1">
      <alignment horizontal="center" wrapText="1"/>
    </xf>
    <xf numFmtId="0" fontId="0" fillId="0" borderId="0" xfId="0" applyFont="1" applyFill="1" applyBorder="1" applyAlignment="1">
      <alignment horizontal="left" wrapText="1"/>
    </xf>
    <xf numFmtId="3" fontId="1" fillId="2" borderId="1" xfId="0" applyNumberFormat="1" applyFont="1" applyFill="1" applyBorder="1" applyAlignment="1">
      <alignment horizontal="center" wrapText="1"/>
    </xf>
    <xf numFmtId="3" fontId="26" fillId="0" borderId="0" xfId="0" applyNumberFormat="1" applyFont="1" applyBorder="1" applyAlignment="1">
      <alignment horizontal="center" wrapText="1"/>
    </xf>
    <xf numFmtId="0" fontId="26" fillId="0" borderId="0" xfId="0" applyFont="1" applyFill="1" applyAlignment="1">
      <alignment wrapText="1"/>
    </xf>
    <xf numFmtId="0" fontId="26" fillId="0" borderId="0" xfId="0" applyFont="1" applyFill="1" applyAlignment="1">
      <alignment horizontal="right" wrapText="1"/>
    </xf>
    <xf numFmtId="0" fontId="26" fillId="0" borderId="0" xfId="0" applyFont="1" applyFill="1" applyBorder="1" applyAlignment="1">
      <alignment horizontal="left" wrapText="1"/>
    </xf>
    <xf numFmtId="0" fontId="26" fillId="0" borderId="0" xfId="0" applyFont="1" applyFill="1" applyAlignment="1"/>
    <xf numFmtId="0" fontId="26" fillId="0" borderId="0" xfId="0" applyFont="1" applyFill="1" applyBorder="1" applyAlignment="1">
      <alignment wrapText="1"/>
    </xf>
    <xf numFmtId="0" fontId="26" fillId="0" borderId="0" xfId="0" applyFont="1" applyFill="1" applyBorder="1" applyAlignment="1">
      <alignment horizontal="center" wrapText="1"/>
    </xf>
    <xf numFmtId="0" fontId="26" fillId="0" borderId="0" xfId="0" applyFont="1" applyFill="1" applyBorder="1" applyAlignment="1">
      <alignment horizontal="right" wrapText="1"/>
    </xf>
    <xf numFmtId="3" fontId="26" fillId="0" borderId="0" xfId="0" applyNumberFormat="1" applyFont="1" applyFill="1" applyBorder="1" applyAlignment="1">
      <alignment horizontal="center" wrapText="1"/>
    </xf>
    <xf numFmtId="1" fontId="26" fillId="0" borderId="0" xfId="0" applyNumberFormat="1" applyFont="1" applyFill="1" applyBorder="1" applyAlignment="1">
      <alignment horizontal="center" wrapText="1"/>
    </xf>
    <xf numFmtId="0" fontId="18" fillId="0" borderId="0" xfId="0" applyFont="1" applyFill="1"/>
    <xf numFmtId="0" fontId="29" fillId="0" borderId="0" xfId="0" applyFont="1" applyFill="1" applyBorder="1" applyAlignment="1">
      <alignment horizontal="left" vertical="center" wrapText="1"/>
    </xf>
    <xf numFmtId="0" fontId="29" fillId="0" borderId="0" xfId="0" applyFont="1" applyFill="1" applyAlignment="1"/>
    <xf numFmtId="0" fontId="0" fillId="0" borderId="0" xfId="0" applyNumberFormat="1" applyFont="1" applyFill="1" applyAlignment="1">
      <alignment horizontal="left" wrapText="1"/>
    </xf>
    <xf numFmtId="0" fontId="29" fillId="0" borderId="0" xfId="0" applyFont="1" applyFill="1" applyAlignment="1">
      <alignment horizontal="left" wrapText="1"/>
    </xf>
    <xf numFmtId="0" fontId="0" fillId="0" borderId="0" xfId="0" applyNumberFormat="1" applyFont="1" applyFill="1"/>
    <xf numFmtId="2" fontId="0" fillId="0" borderId="0" xfId="0" applyNumberFormat="1" applyFont="1" applyFill="1" applyAlignment="1">
      <alignment horizontal="right"/>
    </xf>
    <xf numFmtId="9" fontId="0" fillId="0" borderId="0" xfId="0" applyNumberFormat="1" applyFont="1" applyFill="1" applyAlignment="1">
      <alignment horizontal="right"/>
    </xf>
    <xf numFmtId="2" fontId="0" fillId="0" borderId="0" xfId="0" applyNumberFormat="1" applyFont="1" applyFill="1"/>
    <xf numFmtId="0" fontId="1" fillId="2" borderId="3" xfId="0" applyFont="1" applyFill="1" applyBorder="1" applyAlignment="1">
      <alignment horizontal="center" wrapText="1"/>
    </xf>
    <xf numFmtId="1" fontId="1" fillId="2" borderId="2" xfId="0" applyNumberFormat="1" applyFont="1" applyFill="1" applyBorder="1" applyAlignment="1">
      <alignment horizontal="center" wrapText="1"/>
    </xf>
    <xf numFmtId="1" fontId="1" fillId="2" borderId="4" xfId="0" applyNumberFormat="1" applyFont="1" applyFill="1" applyBorder="1" applyAlignment="1">
      <alignment horizontal="center" wrapText="1"/>
    </xf>
    <xf numFmtId="1" fontId="1" fillId="2" borderId="3" xfId="0" applyNumberFormat="1" applyFont="1" applyFill="1" applyBorder="1" applyAlignment="1">
      <alignment horizontal="center" wrapText="1"/>
    </xf>
    <xf numFmtId="0" fontId="29" fillId="0" borderId="0" xfId="0" applyFont="1"/>
    <xf numFmtId="0" fontId="34" fillId="0" borderId="0" xfId="0" applyFont="1" applyFill="1"/>
    <xf numFmtId="164" fontId="29" fillId="0" borderId="0" xfId="0" applyNumberFormat="1" applyFont="1" applyFill="1" applyBorder="1" applyAlignment="1">
      <alignment horizontal="center" wrapText="1"/>
    </xf>
    <xf numFmtId="0" fontId="36" fillId="0" borderId="0" xfId="0" applyFont="1" applyFill="1" applyAlignment="1">
      <alignment vertical="top" wrapText="1"/>
    </xf>
    <xf numFmtId="0" fontId="0" fillId="0" borderId="0" xfId="0" applyFont="1" applyFill="1" applyBorder="1" applyAlignment="1">
      <alignment horizontal="center" vertical="center" wrapText="1"/>
    </xf>
    <xf numFmtId="0" fontId="36"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8" fillId="0" borderId="0" xfId="0" applyFont="1"/>
    <xf numFmtId="0" fontId="39" fillId="0" borderId="0" xfId="0" applyFont="1" applyAlignment="1">
      <alignment horizontal="left"/>
    </xf>
    <xf numFmtId="0" fontId="40" fillId="0" borderId="0" xfId="85" applyAlignment="1" applyProtection="1"/>
    <xf numFmtId="49" fontId="38" fillId="0" borderId="0" xfId="0" applyNumberFormat="1" applyFont="1"/>
    <xf numFmtId="0" fontId="37" fillId="37" borderId="0" xfId="0" applyFont="1" applyFill="1"/>
    <xf numFmtId="0" fontId="38" fillId="37" borderId="0" xfId="0" applyFont="1" applyFill="1"/>
    <xf numFmtId="0" fontId="38" fillId="36" borderId="0" xfId="0" applyFont="1" applyFill="1" applyAlignment="1">
      <alignment vertical="top" wrapText="1"/>
    </xf>
    <xf numFmtId="0" fontId="0" fillId="36" borderId="0" xfId="0" applyFill="1"/>
    <xf numFmtId="0" fontId="38" fillId="36" borderId="0" xfId="0" applyFont="1" applyFill="1"/>
    <xf numFmtId="0" fontId="42" fillId="36" borderId="0" xfId="0" applyFont="1" applyFill="1" applyAlignment="1">
      <alignment horizontal="left"/>
    </xf>
    <xf numFmtId="0" fontId="38" fillId="36" borderId="0" xfId="0" applyFont="1" applyFill="1" applyAlignment="1"/>
    <xf numFmtId="0" fontId="41" fillId="36" borderId="0" xfId="0" applyFont="1" applyFill="1" applyAlignment="1">
      <alignment horizontal="left"/>
    </xf>
    <xf numFmtId="0" fontId="41" fillId="36" borderId="0" xfId="0" applyFont="1" applyFill="1" applyAlignment="1">
      <alignment horizontal="justify"/>
    </xf>
    <xf numFmtId="0" fontId="37" fillId="35" borderId="0" xfId="0" applyFont="1" applyFill="1"/>
    <xf numFmtId="0" fontId="38" fillId="35" borderId="0" xfId="0" applyFont="1" applyFill="1"/>
    <xf numFmtId="0" fontId="36" fillId="0" borderId="0" xfId="0" applyFont="1" applyFill="1" applyAlignment="1">
      <alignment horizontal="left" vertical="top" wrapText="1"/>
    </xf>
    <xf numFmtId="0" fontId="3" fillId="0" borderId="0" xfId="0" applyFont="1" applyBorder="1" applyAlignment="1">
      <alignment horizontal="center" vertical="center" wrapText="1"/>
    </xf>
    <xf numFmtId="0" fontId="23" fillId="0" borderId="0" xfId="0" applyFont="1" applyFill="1" applyBorder="1" applyAlignment="1">
      <alignment wrapText="1"/>
    </xf>
    <xf numFmtId="3" fontId="24" fillId="0" borderId="0" xfId="0" applyNumberFormat="1" applyFont="1" applyBorder="1" applyAlignment="1" applyProtection="1">
      <alignment wrapText="1"/>
    </xf>
    <xf numFmtId="0" fontId="23" fillId="0" borderId="0" xfId="0" applyNumberFormat="1" applyFont="1" applyFill="1" applyBorder="1" applyAlignment="1" applyProtection="1">
      <alignment horizontal="center" wrapText="1"/>
    </xf>
    <xf numFmtId="0" fontId="23" fillId="0" borderId="0" xfId="0" applyFont="1" applyFill="1" applyAlignment="1">
      <alignment wrapText="1"/>
    </xf>
    <xf numFmtId="0" fontId="23" fillId="0" borderId="0" xfId="0" applyFont="1" applyAlignment="1">
      <alignment wrapText="1"/>
    </xf>
    <xf numFmtId="0" fontId="23" fillId="0" borderId="0" xfId="0" applyFont="1" applyBorder="1" applyAlignment="1" applyProtection="1">
      <alignment wrapText="1"/>
    </xf>
    <xf numFmtId="0" fontId="23" fillId="0" borderId="0" xfId="0" applyNumberFormat="1" applyFont="1" applyBorder="1" applyAlignment="1" applyProtection="1">
      <alignment horizontal="center" wrapText="1"/>
    </xf>
    <xf numFmtId="0" fontId="23" fillId="0" borderId="0" xfId="0" applyFont="1" applyAlignment="1">
      <alignment horizontal="center" wrapText="1"/>
    </xf>
    <xf numFmtId="0" fontId="23" fillId="0" borderId="0" xfId="0" applyFont="1" applyFill="1" applyBorder="1" applyAlignment="1" applyProtection="1">
      <alignment wrapText="1"/>
    </xf>
    <xf numFmtId="3" fontId="24" fillId="0" borderId="0" xfId="0" applyNumberFormat="1" applyFont="1" applyBorder="1" applyAlignment="1">
      <alignment wrapText="1"/>
    </xf>
    <xf numFmtId="0" fontId="23" fillId="0" borderId="0" xfId="0" applyNumberFormat="1" applyFont="1" applyBorder="1" applyAlignment="1">
      <alignment horizontal="center" wrapText="1"/>
    </xf>
    <xf numFmtId="3" fontId="23" fillId="0" borderId="0" xfId="1" applyNumberFormat="1" applyFont="1" applyBorder="1" applyAlignment="1">
      <alignment wrapText="1"/>
    </xf>
    <xf numFmtId="0" fontId="23" fillId="0" borderId="0" xfId="0" applyFont="1" applyFill="1" applyAlignment="1">
      <alignment horizontal="center" wrapText="1"/>
    </xf>
    <xf numFmtId="0" fontId="25" fillId="0" borderId="0" xfId="0" applyFont="1" applyFill="1" applyBorder="1" applyAlignment="1">
      <alignment wrapText="1"/>
    </xf>
    <xf numFmtId="0" fontId="26" fillId="0" borderId="0" xfId="0" applyFont="1"/>
    <xf numFmtId="0" fontId="0" fillId="0" borderId="0" xfId="0" applyFont="1"/>
    <xf numFmtId="0" fontId="25" fillId="0" borderId="0" xfId="0" applyFont="1" applyBorder="1" applyAlignment="1">
      <alignment wrapText="1"/>
    </xf>
    <xf numFmtId="0" fontId="35" fillId="34" borderId="1" xfId="0" applyFont="1" applyFill="1" applyBorder="1" applyAlignment="1">
      <alignment horizontal="center" wrapText="1"/>
    </xf>
    <xf numFmtId="0" fontId="35" fillId="34" borderId="1" xfId="0" applyFont="1" applyFill="1" applyBorder="1" applyAlignment="1">
      <alignment horizontal="left" wrapText="1"/>
    </xf>
    <xf numFmtId="0" fontId="0" fillId="2" borderId="0" xfId="0" applyFont="1" applyFill="1" applyAlignment="1">
      <alignment wrapText="1"/>
    </xf>
    <xf numFmtId="0" fontId="0" fillId="2" borderId="0" xfId="0" applyFont="1" applyFill="1" applyBorder="1" applyAlignment="1">
      <alignment wrapText="1"/>
    </xf>
    <xf numFmtId="0" fontId="0" fillId="2" borderId="0" xfId="0" applyFont="1" applyFill="1" applyBorder="1" applyAlignment="1">
      <alignment horizontal="center" wrapText="1"/>
    </xf>
    <xf numFmtId="0" fontId="0" fillId="2" borderId="0" xfId="0" applyFont="1" applyFill="1" applyBorder="1" applyAlignment="1">
      <alignment horizontal="right" wrapText="1"/>
    </xf>
    <xf numFmtId="0" fontId="0" fillId="2" borderId="0" xfId="0" applyFont="1" applyFill="1" applyBorder="1" applyAlignment="1">
      <alignment horizontal="left" wrapText="1"/>
    </xf>
    <xf numFmtId="0" fontId="0" fillId="2"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1" fillId="2" borderId="4" xfId="0" applyNumberFormat="1" applyFont="1" applyFill="1" applyBorder="1" applyAlignment="1">
      <alignment horizontal="left" wrapText="1"/>
    </xf>
    <xf numFmtId="3" fontId="1" fillId="2" borderId="1" xfId="0" applyNumberFormat="1" applyFont="1" applyFill="1" applyBorder="1" applyAlignment="1">
      <alignment wrapText="1"/>
    </xf>
    <xf numFmtId="0" fontId="1" fillId="2" borderId="1" xfId="0" applyFont="1" applyFill="1" applyBorder="1" applyAlignment="1">
      <alignment vertical="center" wrapText="1"/>
    </xf>
    <xf numFmtId="0" fontId="1" fillId="2" borderId="3" xfId="0" applyFont="1" applyFill="1" applyBorder="1" applyAlignment="1">
      <alignment horizontal="left" vertical="center" wrapText="1"/>
    </xf>
    <xf numFmtId="0" fontId="1" fillId="34" borderId="1" xfId="0" applyFont="1" applyFill="1" applyBorder="1" applyAlignment="1">
      <alignment horizontal="left" wrapText="1"/>
    </xf>
    <xf numFmtId="0" fontId="28" fillId="0" borderId="0" xfId="0" applyFont="1" applyFill="1" applyAlignment="1">
      <alignment wrapText="1"/>
    </xf>
    <xf numFmtId="0" fontId="0" fillId="0" borderId="0" xfId="0" applyNumberFormat="1" applyFont="1"/>
    <xf numFmtId="38" fontId="29" fillId="0" borderId="0" xfId="1" applyNumberFormat="1" applyFont="1"/>
    <xf numFmtId="0" fontId="1" fillId="2" borderId="2" xfId="0" applyNumberFormat="1" applyFont="1" applyFill="1" applyBorder="1" applyAlignment="1">
      <alignment horizontal="center" wrapText="1"/>
    </xf>
    <xf numFmtId="0" fontId="3" fillId="0" borderId="0" xfId="0" applyFont="1" applyBorder="1" applyAlignment="1" applyProtection="1">
      <alignment horizontal="center" wrapText="1"/>
    </xf>
    <xf numFmtId="9" fontId="0" fillId="0" borderId="0" xfId="51" applyFont="1" applyAlignment="1"/>
    <xf numFmtId="0" fontId="0" fillId="0" borderId="0" xfId="0" applyAlignment="1">
      <alignment horizontal="center" wrapText="1"/>
    </xf>
    <xf numFmtId="3" fontId="0" fillId="0" borderId="0" xfId="0" applyNumberFormat="1" applyFont="1" applyFill="1" applyBorder="1" applyAlignment="1">
      <alignment wrapText="1"/>
    </xf>
    <xf numFmtId="40" fontId="0" fillId="0" borderId="0" xfId="0" applyNumberFormat="1" applyFont="1" applyFill="1" applyAlignment="1">
      <alignment wrapText="1"/>
    </xf>
    <xf numFmtId="38" fontId="0" fillId="0" borderId="0" xfId="0" applyNumberFormat="1" applyFont="1" applyAlignment="1"/>
    <xf numFmtId="3" fontId="0" fillId="0" borderId="0" xfId="1" applyNumberFormat="1" applyFont="1" applyAlignment="1"/>
    <xf numFmtId="0" fontId="0" fillId="0" borderId="0" xfId="0"/>
    <xf numFmtId="0" fontId="0" fillId="0" borderId="0" xfId="0" applyBorder="1" applyAlignment="1">
      <alignment horizontal="left" vertical="center" wrapText="1"/>
    </xf>
    <xf numFmtId="0" fontId="2" fillId="0" borderId="0" xfId="0" applyFont="1" applyBorder="1" applyAlignment="1">
      <alignment horizontal="left" vertical="center" wrapText="1"/>
    </xf>
    <xf numFmtId="0" fontId="23" fillId="0" borderId="0" xfId="0" applyFont="1" applyFill="1" applyBorder="1" applyAlignment="1">
      <alignment wrapText="1"/>
    </xf>
    <xf numFmtId="0" fontId="23" fillId="0" borderId="0" xfId="0" applyFont="1" applyFill="1" applyBorder="1" applyAlignment="1">
      <alignment horizontal="center" wrapText="1"/>
    </xf>
    <xf numFmtId="0" fontId="23" fillId="0" borderId="0" xfId="0" applyFont="1" applyFill="1" applyAlignment="1">
      <alignment wrapText="1"/>
    </xf>
    <xf numFmtId="0" fontId="23" fillId="0" borderId="0" xfId="0" applyFont="1" applyAlignment="1">
      <alignment wrapText="1"/>
    </xf>
    <xf numFmtId="0" fontId="23" fillId="0" borderId="0" xfId="0" applyFont="1" applyBorder="1" applyAlignment="1" applyProtection="1">
      <alignment wrapText="1"/>
    </xf>
    <xf numFmtId="0" fontId="23" fillId="0" borderId="0" xfId="0" applyFont="1" applyAlignment="1">
      <alignment horizontal="center" wrapText="1"/>
    </xf>
    <xf numFmtId="0" fontId="23" fillId="0" borderId="0" xfId="0" applyFont="1" applyFill="1" applyBorder="1" applyAlignment="1" applyProtection="1">
      <alignment wrapText="1"/>
    </xf>
    <xf numFmtId="0" fontId="23" fillId="0" borderId="0" xfId="0" applyFont="1" applyBorder="1" applyAlignment="1">
      <alignment wrapText="1"/>
    </xf>
    <xf numFmtId="0" fontId="23" fillId="0" borderId="0" xfId="0" applyFont="1" applyBorder="1" applyAlignment="1">
      <alignment horizontal="center" wrapText="1"/>
    </xf>
    <xf numFmtId="0" fontId="23" fillId="0" borderId="0" xfId="0" applyFont="1" applyFill="1" applyAlignment="1">
      <alignment horizontal="center" wrapText="1"/>
    </xf>
    <xf numFmtId="0" fontId="23" fillId="0" borderId="0" xfId="0" applyFont="1" applyAlignment="1"/>
    <xf numFmtId="0" fontId="23" fillId="0" borderId="0" xfId="0" applyFont="1" applyAlignment="1">
      <alignment horizontal="center"/>
    </xf>
    <xf numFmtId="0" fontId="23" fillId="0" borderId="0" xfId="0" applyFont="1" applyFill="1" applyBorder="1" applyAlignment="1" applyProtection="1">
      <alignment horizontal="center" wrapText="1"/>
    </xf>
    <xf numFmtId="0" fontId="23" fillId="0" borderId="0" xfId="0" applyFont="1" applyBorder="1" applyAlignment="1">
      <alignment horizontal="left" wrapText="1"/>
    </xf>
    <xf numFmtId="0" fontId="23" fillId="0" borderId="0" xfId="0" applyFont="1" applyFill="1" applyAlignment="1">
      <alignment horizontal="left" wrapText="1"/>
    </xf>
    <xf numFmtId="0" fontId="0" fillId="0" borderId="0" xfId="0" applyFill="1"/>
    <xf numFmtId="0" fontId="4" fillId="0" borderId="0" xfId="0" applyFont="1" applyFill="1" applyAlignment="1">
      <alignment horizontal="center" wrapText="1"/>
    </xf>
    <xf numFmtId="38" fontId="23" fillId="0" borderId="0" xfId="0" applyNumberFormat="1" applyFont="1" applyFill="1" applyAlignment="1">
      <alignment horizontal="right" wrapText="1"/>
    </xf>
    <xf numFmtId="38" fontId="23" fillId="0" borderId="0" xfId="0" applyNumberFormat="1" applyFont="1" applyAlignment="1">
      <alignment horizontal="right" wrapText="1"/>
    </xf>
    <xf numFmtId="1" fontId="23" fillId="0" borderId="0" xfId="0" applyNumberFormat="1" applyFont="1" applyBorder="1" applyAlignment="1">
      <alignment horizontal="center" wrapText="1"/>
    </xf>
    <xf numFmtId="0" fontId="36" fillId="0" borderId="0" xfId="0" applyFont="1"/>
    <xf numFmtId="0" fontId="0" fillId="0" borderId="0" xfId="0" applyAlignment="1">
      <alignment wrapText="1"/>
    </xf>
    <xf numFmtId="0" fontId="0" fillId="0" borderId="0" xfId="0" applyAlignment="1">
      <alignment horizontal="left"/>
    </xf>
    <xf numFmtId="38" fontId="23" fillId="0" borderId="0" xfId="0" applyNumberFormat="1" applyFont="1" applyAlignment="1"/>
    <xf numFmtId="0" fontId="0" fillId="0" borderId="0" xfId="0" applyFont="1"/>
    <xf numFmtId="0" fontId="1" fillId="2" borderId="0" xfId="0" applyFont="1" applyFill="1" applyBorder="1" applyAlignment="1">
      <alignment wrapText="1"/>
    </xf>
    <xf numFmtId="0" fontId="1" fillId="2" borderId="0" xfId="0" applyFont="1" applyFill="1" applyBorder="1" applyAlignment="1">
      <alignment horizontal="center" wrapText="1"/>
    </xf>
    <xf numFmtId="0" fontId="2" fillId="2" borderId="0" xfId="0" applyFont="1" applyFill="1" applyBorder="1" applyAlignment="1">
      <alignment horizontal="left" vertical="center" wrapText="1"/>
    </xf>
    <xf numFmtId="38" fontId="0" fillId="0" borderId="0" xfId="0" applyNumberFormat="1" applyFont="1"/>
    <xf numFmtId="0" fontId="1" fillId="2" borderId="2" xfId="0" applyFont="1" applyFill="1" applyBorder="1" applyAlignment="1">
      <alignment wrapText="1"/>
    </xf>
    <xf numFmtId="3" fontId="1" fillId="2" borderId="1" xfId="1" applyNumberFormat="1" applyFont="1" applyFill="1" applyBorder="1" applyAlignment="1">
      <alignment wrapText="1"/>
    </xf>
    <xf numFmtId="3" fontId="1" fillId="2" borderId="3" xfId="1" applyNumberFormat="1" applyFont="1" applyFill="1" applyBorder="1" applyAlignment="1">
      <alignment wrapText="1"/>
    </xf>
    <xf numFmtId="0" fontId="1" fillId="34" borderId="1" xfId="0" applyFont="1" applyFill="1" applyBorder="1" applyAlignment="1">
      <alignment wrapText="1"/>
    </xf>
    <xf numFmtId="38" fontId="0" fillId="0" borderId="0" xfId="1" applyNumberFormat="1" applyFont="1" applyAlignment="1">
      <alignment horizontal="right" wrapText="1"/>
    </xf>
    <xf numFmtId="0" fontId="0" fillId="0" borderId="17" xfId="0" applyBorder="1"/>
    <xf numFmtId="0" fontId="26" fillId="0" borderId="17" xfId="0" applyFont="1" applyBorder="1" applyAlignment="1">
      <alignment horizontal="left" vertical="center" wrapText="1"/>
    </xf>
    <xf numFmtId="0" fontId="26" fillId="0" borderId="16" xfId="0" applyFont="1" applyFill="1" applyBorder="1" applyAlignment="1">
      <alignment horizontal="center" wrapText="1"/>
    </xf>
    <xf numFmtId="49" fontId="64" fillId="0" borderId="17" xfId="0" applyNumberFormat="1" applyFont="1" applyFill="1" applyBorder="1" applyAlignment="1">
      <alignment wrapText="1"/>
    </xf>
    <xf numFmtId="49" fontId="26" fillId="0" borderId="16" xfId="0" applyNumberFormat="1" applyFont="1" applyFill="1" applyBorder="1" applyAlignment="1">
      <alignment horizontal="left" wrapText="1"/>
    </xf>
    <xf numFmtId="0" fontId="43" fillId="2" borderId="1" xfId="0" applyFont="1" applyFill="1" applyBorder="1" applyAlignment="1">
      <alignment horizontal="center" wrapText="1"/>
    </xf>
    <xf numFmtId="0" fontId="64" fillId="0" borderId="17" xfId="0" applyFont="1" applyFill="1" applyBorder="1" applyAlignment="1">
      <alignment horizontal="center" wrapText="1"/>
    </xf>
    <xf numFmtId="0" fontId="26" fillId="0" borderId="16" xfId="0" applyFont="1" applyFill="1" applyBorder="1" applyAlignment="1">
      <alignment horizontal="left" vertical="center" wrapText="1"/>
    </xf>
    <xf numFmtId="0" fontId="64" fillId="0" borderId="17" xfId="0" applyFont="1" applyFill="1" applyBorder="1" applyAlignment="1">
      <alignment horizontal="right" wrapText="1"/>
    </xf>
    <xf numFmtId="49" fontId="26" fillId="0" borderId="16" xfId="0" applyNumberFormat="1" applyFont="1" applyFill="1" applyBorder="1" applyAlignment="1">
      <alignment wrapText="1"/>
    </xf>
    <xf numFmtId="49" fontId="43" fillId="2" borderId="1" xfId="0" applyNumberFormat="1" applyFont="1" applyFill="1" applyBorder="1" applyAlignment="1">
      <alignment horizontal="center" wrapText="1"/>
    </xf>
    <xf numFmtId="0" fontId="64" fillId="0" borderId="16" xfId="0" applyFont="1" applyFill="1" applyBorder="1" applyAlignment="1">
      <alignment wrapText="1"/>
    </xf>
    <xf numFmtId="0" fontId="26" fillId="0" borderId="16" xfId="0" applyFont="1" applyFill="1" applyBorder="1" applyAlignment="1">
      <alignment horizontal="right" wrapText="1"/>
    </xf>
    <xf numFmtId="0" fontId="26" fillId="0" borderId="16" xfId="0" applyFont="1" applyFill="1" applyBorder="1" applyAlignment="1">
      <alignment horizontal="left" wrapText="1"/>
    </xf>
    <xf numFmtId="0" fontId="26" fillId="0" borderId="17" xfId="0" applyFont="1" applyBorder="1" applyAlignment="1">
      <alignment wrapText="1"/>
    </xf>
    <xf numFmtId="0" fontId="64" fillId="0" borderId="17" xfId="0" applyFont="1" applyFill="1" applyBorder="1" applyAlignment="1">
      <alignment wrapText="1"/>
    </xf>
    <xf numFmtId="49" fontId="64" fillId="0" borderId="0" xfId="0" applyNumberFormat="1" applyFont="1" applyFill="1" applyBorder="1" applyAlignment="1">
      <alignment wrapText="1"/>
    </xf>
    <xf numFmtId="0" fontId="64" fillId="0" borderId="16" xfId="0" applyFont="1" applyFill="1" applyBorder="1" applyAlignment="1">
      <alignment horizontal="center" wrapText="1"/>
    </xf>
    <xf numFmtId="0" fontId="0" fillId="0" borderId="0" xfId="0" applyFont="1"/>
    <xf numFmtId="0" fontId="26" fillId="0" borderId="17" xfId="0" applyFont="1" applyFill="1" applyBorder="1" applyAlignment="1">
      <alignment wrapText="1"/>
    </xf>
    <xf numFmtId="49" fontId="26" fillId="0" borderId="17" xfId="0" applyNumberFormat="1" applyFont="1" applyFill="1" applyBorder="1" applyAlignment="1">
      <alignment wrapText="1"/>
    </xf>
    <xf numFmtId="0" fontId="26" fillId="0" borderId="17" xfId="0" applyFont="1" applyBorder="1" applyAlignment="1">
      <alignment horizontal="right" wrapText="1"/>
    </xf>
    <xf numFmtId="0" fontId="0" fillId="0" borderId="0" xfId="0"/>
    <xf numFmtId="0" fontId="23" fillId="0" borderId="0" xfId="0" applyFont="1" applyBorder="1" applyAlignment="1">
      <alignment wrapText="1"/>
    </xf>
    <xf numFmtId="0" fontId="23" fillId="0" borderId="0" xfId="0" applyFont="1" applyAlignment="1"/>
    <xf numFmtId="3" fontId="23" fillId="0" borderId="0" xfId="0" applyNumberFormat="1" applyFont="1" applyAlignment="1">
      <alignment horizontal="right"/>
    </xf>
    <xf numFmtId="0" fontId="26" fillId="0" borderId="0" xfId="0" applyFont="1"/>
    <xf numFmtId="3" fontId="32" fillId="2" borderId="1" xfId="0" applyNumberFormat="1" applyFont="1" applyFill="1" applyBorder="1" applyAlignment="1">
      <alignment horizontal="right" wrapText="1"/>
    </xf>
    <xf numFmtId="0" fontId="26" fillId="0" borderId="0" xfId="0" applyFont="1" applyFill="1"/>
    <xf numFmtId="38" fontId="0" fillId="0" borderId="0" xfId="1" applyNumberFormat="1" applyFont="1" applyFill="1" applyAlignment="1">
      <alignment horizontal="right"/>
    </xf>
    <xf numFmtId="0" fontId="36" fillId="0" borderId="0" xfId="0" applyFont="1" applyFill="1" applyAlignment="1">
      <alignment horizontal="left" vertical="top" wrapText="1"/>
    </xf>
    <xf numFmtId="0" fontId="26" fillId="0" borderId="17" xfId="0" applyFont="1" applyBorder="1"/>
    <xf numFmtId="0" fontId="26" fillId="0" borderId="17" xfId="0" applyFont="1" applyBorder="1" applyAlignment="1">
      <alignment horizontal="right"/>
    </xf>
    <xf numFmtId="0" fontId="85" fillId="0" borderId="0" xfId="85" applyFont="1" applyAlignment="1" applyProtection="1"/>
    <xf numFmtId="0" fontId="37" fillId="0" borderId="0" xfId="0" applyFont="1"/>
    <xf numFmtId="0" fontId="0" fillId="0" borderId="17" xfId="0" applyFont="1" applyFill="1" applyBorder="1" applyAlignment="1">
      <alignment horizontal="justify" vertical="center" wrapText="1"/>
    </xf>
    <xf numFmtId="0" fontId="21" fillId="0" borderId="17" xfId="0" applyFont="1" applyFill="1" applyBorder="1" applyAlignment="1">
      <alignment wrapText="1"/>
    </xf>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0" borderId="0" xfId="0" applyFont="1" applyFill="1" applyAlignment="1">
      <alignment wrapText="1"/>
    </xf>
    <xf numFmtId="0" fontId="0" fillId="0" borderId="0" xfId="0" applyFont="1" applyFill="1" applyAlignment="1">
      <alignment horizontal="left" vertical="center"/>
    </xf>
    <xf numFmtId="0" fontId="0" fillId="0" borderId="0" xfId="0" applyFont="1" applyFill="1" applyBorder="1" applyAlignment="1">
      <alignment wrapText="1"/>
    </xf>
    <xf numFmtId="0" fontId="0" fillId="0" borderId="0" xfId="0" applyAlignment="1">
      <alignment wrapText="1"/>
    </xf>
    <xf numFmtId="0" fontId="36" fillId="0" borderId="0" xfId="0" applyFont="1" applyBorder="1" applyAlignment="1">
      <alignment horizontal="left" wrapText="1"/>
    </xf>
    <xf numFmtId="0" fontId="0" fillId="0" borderId="17" xfId="0" applyFont="1" applyFill="1" applyBorder="1"/>
    <xf numFmtId="0" fontId="0" fillId="0" borderId="17" xfId="0" applyFont="1" applyFill="1" applyBorder="1" applyAlignment="1">
      <alignment horizontal="left" vertical="center" wrapText="1"/>
    </xf>
    <xf numFmtId="0" fontId="29" fillId="0" borderId="17" xfId="0" applyFont="1" applyFill="1" applyBorder="1" applyAlignment="1">
      <alignment wrapText="1"/>
    </xf>
    <xf numFmtId="49" fontId="29" fillId="0" borderId="17" xfId="0" applyNumberFormat="1" applyFont="1" applyFill="1" applyBorder="1" applyAlignment="1">
      <alignment wrapText="1"/>
    </xf>
    <xf numFmtId="167" fontId="0" fillId="0" borderId="0" xfId="1" applyNumberFormat="1" applyFont="1" applyFill="1" applyBorder="1" applyAlignment="1" applyProtection="1">
      <alignment wrapText="1"/>
    </xf>
    <xf numFmtId="0" fontId="0" fillId="0" borderId="30" xfId="0" applyFont="1" applyBorder="1"/>
    <xf numFmtId="0" fontId="0" fillId="0" borderId="31" xfId="0" applyFont="1" applyBorder="1"/>
    <xf numFmtId="168" fontId="0" fillId="0" borderId="0" xfId="51" applyNumberFormat="1" applyFont="1" applyFill="1"/>
    <xf numFmtId="0" fontId="36" fillId="0" borderId="0" xfId="0" applyFont="1" applyFill="1" applyAlignment="1">
      <alignment horizontal="left" vertical="top"/>
    </xf>
    <xf numFmtId="3" fontId="5" fillId="0" borderId="0" xfId="1" applyNumberFormat="1" applyFont="1" applyFill="1"/>
    <xf numFmtId="0" fontId="0" fillId="0" borderId="17" xfId="0" applyNumberFormat="1" applyFont="1" applyFill="1" applyBorder="1" applyAlignment="1">
      <alignment horizontal="left" wrapText="1"/>
    </xf>
    <xf numFmtId="0" fontId="0" fillId="0" borderId="17" xfId="0" applyFont="1" applyFill="1" applyBorder="1" applyAlignment="1">
      <alignment wrapText="1"/>
    </xf>
    <xf numFmtId="40" fontId="0" fillId="0" borderId="0" xfId="1" applyNumberFormat="1" applyFont="1" applyFill="1" applyAlignment="1">
      <alignment horizontal="right"/>
    </xf>
    <xf numFmtId="0" fontId="1" fillId="2" borderId="1" xfId="0" applyFont="1" applyFill="1" applyBorder="1" applyAlignment="1">
      <alignment horizontal="left" vertical="top"/>
    </xf>
    <xf numFmtId="0" fontId="0" fillId="0" borderId="0" xfId="0" applyAlignment="1">
      <alignment horizontal="left" vertical="top"/>
    </xf>
    <xf numFmtId="3" fontId="4" fillId="0" borderId="0" xfId="0" applyNumberFormat="1" applyFont="1" applyAlignment="1">
      <alignment horizontal="left" vertical="top"/>
    </xf>
    <xf numFmtId="0" fontId="3" fillId="0" borderId="0" xfId="0" applyFont="1" applyBorder="1" applyAlignment="1" applyProtection="1">
      <alignment horizontal="left" vertical="top"/>
    </xf>
    <xf numFmtId="166" fontId="0" fillId="0" borderId="0" xfId="0" applyNumberFormat="1" applyAlignment="1">
      <alignment horizontal="left" vertical="top" wrapText="1"/>
    </xf>
    <xf numFmtId="40" fontId="29" fillId="0" borderId="0" xfId="1" applyNumberFormat="1" applyFont="1"/>
    <xf numFmtId="166" fontId="0" fillId="0" borderId="0" xfId="0" applyNumberFormat="1" applyFont="1" applyFill="1" applyBorder="1" applyAlignment="1">
      <alignment horizontal="center" wrapText="1"/>
    </xf>
    <xf numFmtId="0" fontId="26" fillId="0" borderId="16" xfId="0" applyFont="1" applyFill="1" applyBorder="1" applyAlignment="1">
      <alignment wrapText="1"/>
    </xf>
    <xf numFmtId="0" fontId="26" fillId="0" borderId="17" xfId="0" applyFont="1" applyFill="1" applyBorder="1" applyAlignment="1">
      <alignment horizontal="left" wrapText="1"/>
    </xf>
    <xf numFmtId="49" fontId="26" fillId="0" borderId="17" xfId="0" applyNumberFormat="1" applyFont="1" applyFill="1" applyBorder="1" applyAlignment="1" applyProtection="1">
      <alignment horizontal="left" wrapText="1"/>
    </xf>
    <xf numFmtId="0" fontId="26" fillId="0" borderId="17" xfId="0" applyFont="1" applyFill="1" applyBorder="1" applyAlignment="1">
      <alignment horizontal="center" wrapText="1"/>
    </xf>
    <xf numFmtId="0" fontId="26" fillId="0" borderId="17" xfId="0" applyFont="1" applyFill="1" applyBorder="1" applyAlignment="1">
      <alignment horizontal="right" wrapText="1"/>
    </xf>
    <xf numFmtId="0" fontId="26" fillId="0" borderId="17" xfId="0" applyFont="1" applyFill="1" applyBorder="1" applyAlignment="1">
      <alignment horizontal="right"/>
    </xf>
    <xf numFmtId="166" fontId="0" fillId="0" borderId="0" xfId="0" applyNumberFormat="1" applyFont="1" applyFill="1" applyAlignment="1">
      <alignment wrapText="1"/>
    </xf>
    <xf numFmtId="168" fontId="0" fillId="0" borderId="0" xfId="51" applyNumberFormat="1" applyFont="1" applyFill="1" applyBorder="1" applyAlignment="1" applyProtection="1">
      <alignment wrapText="1"/>
    </xf>
    <xf numFmtId="3" fontId="23" fillId="0" borderId="0" xfId="1" applyNumberFormat="1" applyFont="1" applyFill="1" applyBorder="1" applyAlignment="1">
      <alignment wrapText="1"/>
    </xf>
    <xf numFmtId="3" fontId="24" fillId="0" borderId="0" xfId="0" applyNumberFormat="1" applyFont="1" applyFill="1" applyBorder="1" applyAlignment="1" applyProtection="1">
      <alignment wrapText="1"/>
    </xf>
    <xf numFmtId="3" fontId="24" fillId="0" borderId="0" xfId="0" applyNumberFormat="1" applyFont="1" applyFill="1" applyBorder="1" applyAlignment="1">
      <alignment wrapText="1"/>
    </xf>
    <xf numFmtId="0" fontId="23" fillId="0" borderId="0" xfId="0" applyNumberFormat="1" applyFont="1" applyFill="1" applyBorder="1" applyAlignment="1">
      <alignment horizontal="center" wrapText="1"/>
    </xf>
    <xf numFmtId="0" fontId="0" fillId="0" borderId="17" xfId="0" applyBorder="1" applyAlignment="1">
      <alignment wrapText="1"/>
    </xf>
    <xf numFmtId="0" fontId="64" fillId="0" borderId="0" xfId="0" applyFont="1" applyFill="1" applyBorder="1" applyAlignment="1">
      <alignment wrapText="1"/>
    </xf>
    <xf numFmtId="166" fontId="0" fillId="0" borderId="0" xfId="0" applyNumberFormat="1" applyFont="1" applyFill="1" applyBorder="1" applyAlignment="1">
      <alignment horizontal="left" wrapText="1"/>
    </xf>
    <xf numFmtId="0" fontId="29" fillId="0" borderId="17" xfId="0" applyNumberFormat="1" applyFont="1" applyFill="1" applyBorder="1" applyAlignment="1">
      <alignment horizontal="left" wrapText="1"/>
    </xf>
    <xf numFmtId="166" fontId="0" fillId="0" borderId="0" xfId="0" applyNumberFormat="1" applyFont="1" applyFill="1" applyAlignment="1">
      <alignment horizontal="left" wrapText="1"/>
    </xf>
    <xf numFmtId="0" fontId="0" fillId="0" borderId="17" xfId="0" applyNumberFormat="1" applyFont="1" applyFill="1" applyBorder="1" applyAlignment="1">
      <alignment horizontal="left"/>
    </xf>
    <xf numFmtId="0" fontId="0" fillId="0" borderId="17" xfId="0" applyFont="1" applyFill="1" applyBorder="1" applyAlignment="1" applyProtection="1">
      <alignment horizontal="left" wrapText="1"/>
    </xf>
    <xf numFmtId="166" fontId="0" fillId="0" borderId="0" xfId="0" applyNumberFormat="1" applyAlignment="1">
      <alignment wrapText="1"/>
    </xf>
    <xf numFmtId="166" fontId="29" fillId="0" borderId="0" xfId="0" applyNumberFormat="1" applyFont="1" applyFill="1" applyBorder="1" applyAlignment="1">
      <alignment horizontal="center" wrapText="1"/>
    </xf>
    <xf numFmtId="38" fontId="0" fillId="0" borderId="0" xfId="0" applyNumberFormat="1" applyFont="1" applyFill="1" applyBorder="1" applyAlignment="1">
      <alignment wrapText="1"/>
    </xf>
    <xf numFmtId="0" fontId="0" fillId="0" borderId="0" xfId="0" pivotButton="1"/>
    <xf numFmtId="0" fontId="0" fillId="0" borderId="0" xfId="0" applyNumberFormat="1"/>
    <xf numFmtId="3" fontId="0" fillId="0" borderId="0" xfId="0" applyNumberFormat="1"/>
    <xf numFmtId="0" fontId="1" fillId="2" borderId="32" xfId="0" applyFont="1" applyFill="1" applyBorder="1"/>
    <xf numFmtId="0" fontId="1" fillId="2" borderId="32" xfId="0" applyFont="1" applyFill="1" applyBorder="1" applyAlignment="1">
      <alignment horizontal="center"/>
    </xf>
    <xf numFmtId="0" fontId="1" fillId="2" borderId="32" xfId="0" applyFont="1" applyFill="1" applyBorder="1" applyAlignment="1">
      <alignment horizontal="right" wrapText="1"/>
    </xf>
    <xf numFmtId="9" fontId="0" fillId="0" borderId="0" xfId="51" applyFont="1" applyAlignment="1">
      <alignment horizontal="center"/>
    </xf>
    <xf numFmtId="0" fontId="1" fillId="2" borderId="0" xfId="0" applyFont="1" applyFill="1"/>
    <xf numFmtId="9" fontId="0" fillId="0" borderId="17" xfId="51" applyFont="1" applyBorder="1" applyAlignment="1">
      <alignment horizontal="center"/>
    </xf>
    <xf numFmtId="0" fontId="0" fillId="0" borderId="32" xfId="0" applyBorder="1"/>
    <xf numFmtId="8" fontId="0" fillId="0" borderId="32" xfId="0" applyNumberFormat="1" applyBorder="1"/>
    <xf numFmtId="9" fontId="1" fillId="2" borderId="32" xfId="51" applyFont="1" applyFill="1" applyBorder="1" applyAlignment="1">
      <alignment horizontal="center"/>
    </xf>
    <xf numFmtId="0" fontId="1" fillId="2" borderId="32" xfId="0" applyFont="1" applyFill="1" applyBorder="1" applyAlignment="1">
      <alignment horizontal="right"/>
    </xf>
    <xf numFmtId="0" fontId="0" fillId="0" borderId="34" xfId="0" applyBorder="1" applyAlignment="1">
      <alignment horizontal="left"/>
    </xf>
    <xf numFmtId="3" fontId="0" fillId="0" borderId="34" xfId="0" applyNumberFormat="1" applyBorder="1"/>
    <xf numFmtId="9" fontId="0" fillId="0" borderId="34" xfId="51" applyFont="1" applyBorder="1" applyAlignment="1">
      <alignment horizontal="center"/>
    </xf>
    <xf numFmtId="0" fontId="0" fillId="0" borderId="17" xfId="0" applyBorder="1" applyAlignment="1">
      <alignment horizontal="left"/>
    </xf>
    <xf numFmtId="3" fontId="0" fillId="0" borderId="17" xfId="0" applyNumberFormat="1" applyBorder="1"/>
    <xf numFmtId="0" fontId="0" fillId="0" borderId="35" xfId="0" applyBorder="1" applyAlignment="1">
      <alignment horizontal="left"/>
    </xf>
    <xf numFmtId="3" fontId="0" fillId="0" borderId="35" xfId="0" applyNumberFormat="1" applyBorder="1"/>
    <xf numFmtId="9" fontId="0" fillId="0" borderId="35" xfId="51" applyFont="1" applyBorder="1" applyAlignment="1">
      <alignment horizontal="center"/>
    </xf>
    <xf numFmtId="0" fontId="1" fillId="2" borderId="32" xfId="0" applyFont="1" applyFill="1" applyBorder="1" applyAlignment="1">
      <alignment horizontal="left"/>
    </xf>
    <xf numFmtId="3" fontId="1" fillId="2" borderId="32" xfId="0" applyNumberFormat="1" applyFont="1" applyFill="1" applyBorder="1"/>
    <xf numFmtId="0" fontId="26" fillId="0" borderId="0" xfId="0" applyFont="1" applyFill="1" applyBorder="1" applyAlignment="1">
      <alignment horizontal="left"/>
    </xf>
    <xf numFmtId="0" fontId="36" fillId="0" borderId="0" xfId="0" applyFont="1" applyFill="1" applyBorder="1" applyAlignment="1">
      <alignment horizontal="left"/>
    </xf>
    <xf numFmtId="38" fontId="0" fillId="0" borderId="0" xfId="0" applyNumberFormat="1"/>
    <xf numFmtId="9" fontId="0" fillId="0" borderId="34" xfId="51" applyFont="1" applyBorder="1"/>
    <xf numFmtId="9" fontId="0" fillId="0" borderId="17" xfId="51" applyFont="1" applyBorder="1"/>
    <xf numFmtId="9" fontId="0" fillId="0" borderId="35" xfId="51" applyFont="1" applyBorder="1"/>
    <xf numFmtId="9" fontId="1" fillId="2" borderId="32" xfId="0" applyNumberFormat="1" applyFont="1" applyFill="1" applyBorder="1"/>
    <xf numFmtId="0" fontId="1" fillId="0" borderId="0" xfId="0" applyFont="1" applyFill="1" applyBorder="1"/>
    <xf numFmtId="38" fontId="0" fillId="0" borderId="36" xfId="1" applyNumberFormat="1" applyFont="1" applyBorder="1"/>
    <xf numFmtId="169" fontId="0" fillId="0" borderId="36" xfId="1" applyNumberFormat="1" applyFont="1" applyBorder="1"/>
    <xf numFmtId="38" fontId="0" fillId="0" borderId="17" xfId="1" applyNumberFormat="1" applyFont="1" applyBorder="1"/>
    <xf numFmtId="38" fontId="0" fillId="0" borderId="35" xfId="1" applyNumberFormat="1" applyFont="1" applyBorder="1"/>
    <xf numFmtId="9" fontId="1" fillId="2" borderId="32" xfId="51" applyNumberFormat="1" applyFont="1" applyFill="1" applyBorder="1"/>
    <xf numFmtId="170" fontId="1" fillId="2" borderId="32" xfId="51" applyNumberFormat="1" applyFont="1" applyFill="1" applyBorder="1"/>
    <xf numFmtId="0" fontId="1" fillId="0" borderId="0" xfId="0" applyFont="1"/>
    <xf numFmtId="0" fontId="1" fillId="0" borderId="0" xfId="0" applyFont="1" applyFill="1" applyBorder="1" applyAlignment="1">
      <alignment horizontal="left"/>
    </xf>
    <xf numFmtId="0" fontId="1" fillId="2" borderId="33" xfId="0" applyFont="1" applyFill="1" applyBorder="1" applyAlignment="1">
      <alignment horizontal="center"/>
    </xf>
    <xf numFmtId="0" fontId="1" fillId="2" borderId="0" xfId="0" applyFont="1" applyFill="1" applyBorder="1" applyAlignment="1">
      <alignment horizontal="center"/>
    </xf>
    <xf numFmtId="38" fontId="0" fillId="0" borderId="34" xfId="0" applyNumberFormat="1" applyBorder="1"/>
    <xf numFmtId="38" fontId="0" fillId="0" borderId="17" xfId="0" applyNumberFormat="1" applyBorder="1"/>
    <xf numFmtId="38" fontId="0" fillId="0" borderId="35" xfId="0" applyNumberFormat="1" applyBorder="1"/>
    <xf numFmtId="0" fontId="0" fillId="0" borderId="0" xfId="0" applyFill="1" applyBorder="1" applyAlignment="1">
      <alignment horizontal="left"/>
    </xf>
    <xf numFmtId="165" fontId="0" fillId="0" borderId="0" xfId="0" applyNumberFormat="1" applyFill="1" applyBorder="1"/>
    <xf numFmtId="169" fontId="1" fillId="2" borderId="32" xfId="1" applyNumberFormat="1" applyFont="1" applyFill="1" applyBorder="1"/>
    <xf numFmtId="169" fontId="0" fillId="0" borderId="34" xfId="1" applyNumberFormat="1" applyFont="1" applyBorder="1"/>
    <xf numFmtId="169" fontId="0" fillId="0" borderId="17" xfId="1" applyNumberFormat="1" applyFont="1" applyBorder="1"/>
    <xf numFmtId="169" fontId="0" fillId="0" borderId="35" xfId="1" applyNumberFormat="1" applyFont="1" applyBorder="1"/>
    <xf numFmtId="170" fontId="0" fillId="0" borderId="35" xfId="51" applyNumberFormat="1" applyFont="1" applyBorder="1"/>
    <xf numFmtId="9" fontId="1" fillId="2" borderId="33" xfId="51" applyFont="1" applyFill="1" applyBorder="1"/>
    <xf numFmtId="9" fontId="1" fillId="2" borderId="32" xfId="51" applyFont="1" applyFill="1" applyBorder="1"/>
    <xf numFmtId="9" fontId="1" fillId="2" borderId="31" xfId="0" applyNumberFormat="1" applyFont="1" applyFill="1" applyBorder="1"/>
    <xf numFmtId="9" fontId="1" fillId="2" borderId="32" xfId="51" applyFont="1" applyFill="1" applyBorder="1" applyAlignment="1">
      <alignment horizontal="right"/>
    </xf>
    <xf numFmtId="0" fontId="0" fillId="2" borderId="31" xfId="0" applyFill="1" applyBorder="1"/>
    <xf numFmtId="9" fontId="1" fillId="0" borderId="0" xfId="51" applyFont="1" applyFill="1" applyBorder="1" applyAlignment="1">
      <alignment horizontal="center"/>
    </xf>
    <xf numFmtId="9" fontId="0" fillId="0" borderId="17" xfId="51" applyNumberFormat="1" applyFont="1" applyBorder="1" applyAlignment="1">
      <alignment horizontal="center"/>
    </xf>
    <xf numFmtId="0" fontId="1" fillId="36" borderId="0" xfId="0" applyFont="1" applyFill="1"/>
    <xf numFmtId="49" fontId="0" fillId="0" borderId="17" xfId="0" applyNumberFormat="1" applyFont="1" applyFill="1" applyBorder="1" applyAlignment="1">
      <alignment horizontal="left" wrapText="1"/>
    </xf>
    <xf numFmtId="0" fontId="0" fillId="0" borderId="17" xfId="0" applyFont="1" applyFill="1" applyBorder="1" applyAlignment="1">
      <alignment horizontal="left" wrapText="1"/>
    </xf>
    <xf numFmtId="49" fontId="0" fillId="0" borderId="17" xfId="0" applyNumberFormat="1" applyFont="1" applyFill="1" applyBorder="1" applyAlignment="1" applyProtection="1">
      <alignment horizontal="left" wrapText="1"/>
    </xf>
    <xf numFmtId="0" fontId="0" fillId="0" borderId="16" xfId="0" applyFont="1" applyFill="1" applyBorder="1" applyAlignment="1">
      <alignment horizontal="left" wrapText="1"/>
    </xf>
    <xf numFmtId="0" fontId="29" fillId="0" borderId="17" xfId="0" applyFont="1" applyFill="1" applyBorder="1" applyAlignment="1">
      <alignment horizontal="left" wrapText="1"/>
    </xf>
    <xf numFmtId="49" fontId="29" fillId="0" borderId="17" xfId="0" applyNumberFormat="1" applyFont="1" applyFill="1" applyBorder="1" applyAlignment="1">
      <alignment horizontal="left" wrapText="1"/>
    </xf>
    <xf numFmtId="0" fontId="29" fillId="0" borderId="17" xfId="87" applyFont="1" applyBorder="1" applyAlignment="1">
      <alignment horizontal="left"/>
    </xf>
    <xf numFmtId="0" fontId="0" fillId="0" borderId="17" xfId="0" applyFont="1" applyBorder="1" applyAlignment="1">
      <alignment horizontal="left"/>
    </xf>
    <xf numFmtId="0" fontId="0" fillId="0" borderId="17" xfId="0" applyFont="1" applyBorder="1" applyAlignment="1">
      <alignment horizontal="left" wrapText="1"/>
    </xf>
    <xf numFmtId="0" fontId="0" fillId="0" borderId="17" xfId="0" applyFont="1" applyFill="1" applyBorder="1" applyAlignment="1">
      <alignment horizontal="left"/>
    </xf>
    <xf numFmtId="0" fontId="64" fillId="0" borderId="17" xfId="0" applyFont="1" applyFill="1" applyBorder="1" applyAlignment="1">
      <alignment horizontal="left" wrapText="1"/>
    </xf>
    <xf numFmtId="3" fontId="0" fillId="0" borderId="0" xfId="0" applyNumberFormat="1" applyFill="1"/>
    <xf numFmtId="0" fontId="0" fillId="0" borderId="0" xfId="0" applyBorder="1"/>
    <xf numFmtId="0" fontId="29" fillId="0" borderId="17" xfId="87" applyFont="1" applyFill="1" applyBorder="1" applyAlignment="1">
      <alignment horizontal="left"/>
    </xf>
    <xf numFmtId="0" fontId="0" fillId="0" borderId="0" xfId="0" applyBorder="1" applyAlignment="1">
      <alignment horizontal="right"/>
    </xf>
    <xf numFmtId="0" fontId="64" fillId="0" borderId="0" xfId="44" applyFont="1" applyBorder="1"/>
    <xf numFmtId="0" fontId="64" fillId="0" borderId="16" xfId="44" applyFont="1" applyBorder="1" applyAlignment="1">
      <alignment horizontal="center"/>
    </xf>
    <xf numFmtId="0" fontId="0" fillId="0" borderId="17" xfId="0" applyFont="1" applyFill="1" applyBorder="1" applyAlignment="1">
      <alignment horizontal="right"/>
    </xf>
    <xf numFmtId="3" fontId="64" fillId="0" borderId="39" xfId="44" applyNumberFormat="1" applyFont="1" applyBorder="1" applyAlignment="1">
      <alignment horizontal="right"/>
    </xf>
    <xf numFmtId="0" fontId="64" fillId="0" borderId="0" xfId="44" applyFont="1" applyBorder="1" applyAlignment="1">
      <alignment horizontal="center"/>
    </xf>
    <xf numFmtId="0" fontId="64" fillId="0" borderId="16" xfId="44" applyFont="1" applyBorder="1" applyAlignment="1">
      <alignment horizontal="right"/>
    </xf>
    <xf numFmtId="0" fontId="65" fillId="0" borderId="0" xfId="44" applyFont="1" applyBorder="1"/>
    <xf numFmtId="4" fontId="26" fillId="0" borderId="39" xfId="45" applyNumberFormat="1" applyFont="1" applyFill="1" applyBorder="1" applyAlignment="1">
      <alignment horizontal="center"/>
    </xf>
    <xf numFmtId="0" fontId="64" fillId="0" borderId="17" xfId="44" applyFont="1" applyBorder="1" applyAlignment="1">
      <alignment horizontal="right"/>
    </xf>
    <xf numFmtId="3" fontId="64" fillId="0" borderId="39" xfId="46" applyNumberFormat="1" applyFont="1" applyBorder="1" applyAlignment="1">
      <alignment horizontal="right"/>
    </xf>
    <xf numFmtId="171" fontId="64" fillId="0" borderId="16" xfId="47" applyNumberFormat="1" applyFont="1" applyBorder="1" applyAlignment="1">
      <alignment horizontal="center"/>
    </xf>
    <xf numFmtId="3" fontId="64" fillId="0" borderId="41" xfId="44" applyNumberFormat="1" applyFont="1" applyBorder="1" applyAlignment="1">
      <alignment horizontal="right"/>
    </xf>
    <xf numFmtId="0" fontId="36" fillId="0" borderId="0" xfId="0" applyFont="1" applyAlignment="1">
      <alignment horizontal="left"/>
    </xf>
    <xf numFmtId="0" fontId="64" fillId="0" borderId="0" xfId="44" applyFont="1" applyBorder="1" applyAlignment="1">
      <alignment horizontal="left"/>
    </xf>
    <xf numFmtId="3" fontId="26" fillId="0" borderId="39" xfId="48" applyNumberFormat="1" applyFont="1" applyBorder="1" applyAlignment="1">
      <alignment horizontal="center"/>
    </xf>
    <xf numFmtId="0" fontId="43" fillId="2" borderId="4" xfId="44" applyFont="1" applyFill="1" applyBorder="1" applyAlignment="1">
      <alignment wrapText="1"/>
    </xf>
    <xf numFmtId="0" fontId="64" fillId="0" borderId="0" xfId="44" applyFont="1" applyAlignment="1"/>
    <xf numFmtId="0" fontId="29" fillId="0" borderId="17" xfId="0" applyFont="1" applyFill="1" applyBorder="1" applyAlignment="1">
      <alignment horizontal="right" wrapText="1"/>
    </xf>
    <xf numFmtId="0" fontId="89" fillId="0" borderId="17" xfId="0" applyFont="1" applyBorder="1" applyAlignment="1">
      <alignment horizontal="right"/>
    </xf>
    <xf numFmtId="0" fontId="65" fillId="0" borderId="0" xfId="44" applyFont="1" applyBorder="1" applyAlignment="1">
      <alignment horizontal="center"/>
    </xf>
    <xf numFmtId="0" fontId="65" fillId="0" borderId="0" xfId="44" applyFont="1" applyBorder="1" applyAlignment="1">
      <alignment horizontal="left"/>
    </xf>
    <xf numFmtId="10" fontId="64" fillId="0" borderId="37" xfId="44" applyNumberFormat="1" applyFont="1" applyBorder="1" applyAlignment="1">
      <alignment horizontal="right"/>
    </xf>
    <xf numFmtId="0" fontId="36" fillId="0" borderId="0" xfId="0" applyFont="1" applyAlignment="1"/>
    <xf numFmtId="3" fontId="64" fillId="0" borderId="0" xfId="44" applyNumberFormat="1" applyFont="1" applyBorder="1" applyAlignment="1">
      <alignment horizontal="center"/>
    </xf>
    <xf numFmtId="4" fontId="26" fillId="0" borderId="39" xfId="45" applyNumberFormat="1" applyFont="1" applyBorder="1" applyAlignment="1">
      <alignment horizontal="center"/>
    </xf>
    <xf numFmtId="10" fontId="64" fillId="0" borderId="39" xfId="44" applyNumberFormat="1" applyFont="1" applyBorder="1" applyAlignment="1">
      <alignment horizontal="center"/>
    </xf>
    <xf numFmtId="3" fontId="26" fillId="0" borderId="39" xfId="45" applyNumberFormat="1" applyFont="1" applyBorder="1" applyAlignment="1">
      <alignment horizontal="right"/>
    </xf>
    <xf numFmtId="3" fontId="64" fillId="0" borderId="0" xfId="44" applyNumberFormat="1" applyFont="1" applyFill="1" applyBorder="1" applyAlignment="1">
      <alignment horizontal="right"/>
    </xf>
    <xf numFmtId="171" fontId="64" fillId="0" borderId="17" xfId="46" applyNumberFormat="1" applyFont="1" applyBorder="1" applyAlignment="1">
      <alignment horizontal="center"/>
    </xf>
    <xf numFmtId="171" fontId="64" fillId="0" borderId="17" xfId="47" applyNumberFormat="1" applyFont="1" applyBorder="1" applyAlignment="1">
      <alignment horizontal="center"/>
    </xf>
    <xf numFmtId="171" fontId="26" fillId="0" borderId="39" xfId="48" applyNumberFormat="1" applyFont="1" applyBorder="1" applyAlignment="1">
      <alignment horizontal="center"/>
    </xf>
    <xf numFmtId="173" fontId="26" fillId="0" borderId="39" xfId="48" applyNumberFormat="1" applyFont="1" applyBorder="1" applyAlignment="1">
      <alignment horizontal="center"/>
    </xf>
    <xf numFmtId="3" fontId="65" fillId="0" borderId="0" xfId="44" applyNumberFormat="1" applyFont="1" applyAlignment="1">
      <alignment horizontal="center"/>
    </xf>
    <xf numFmtId="3" fontId="26" fillId="0" borderId="17" xfId="48" applyNumberFormat="1" applyFont="1" applyBorder="1" applyAlignment="1">
      <alignment horizontal="center"/>
    </xf>
    <xf numFmtId="172" fontId="64" fillId="0" borderId="39" xfId="44" applyNumberFormat="1" applyFont="1" applyBorder="1" applyAlignment="1">
      <alignment horizontal="center"/>
    </xf>
    <xf numFmtId="9" fontId="64" fillId="0" borderId="41" xfId="44" applyNumberFormat="1" applyFont="1" applyBorder="1" applyAlignment="1">
      <alignment horizontal="right"/>
    </xf>
    <xf numFmtId="0" fontId="26" fillId="0" borderId="39" xfId="45" applyFont="1" applyFill="1" applyBorder="1" applyAlignment="1">
      <alignment horizontal="center"/>
    </xf>
    <xf numFmtId="0" fontId="64" fillId="0" borderId="17" xfId="44" applyFont="1" applyBorder="1" applyAlignment="1">
      <alignment horizontal="center"/>
    </xf>
    <xf numFmtId="3" fontId="64" fillId="0" borderId="38" xfId="46" applyNumberFormat="1" applyFont="1" applyBorder="1" applyAlignment="1">
      <alignment horizontal="right"/>
    </xf>
    <xf numFmtId="3" fontId="64" fillId="0" borderId="39" xfId="44" applyNumberFormat="1" applyFont="1" applyFill="1" applyBorder="1" applyAlignment="1">
      <alignment horizontal="center"/>
    </xf>
    <xf numFmtId="169" fontId="0" fillId="0" borderId="0" xfId="0" applyNumberFormat="1"/>
    <xf numFmtId="10" fontId="64" fillId="0" borderId="16" xfId="44" applyNumberFormat="1" applyFont="1" applyBorder="1" applyAlignment="1">
      <alignment horizontal="right"/>
    </xf>
    <xf numFmtId="0" fontId="64" fillId="0" borderId="39" xfId="44" applyFont="1" applyBorder="1" applyAlignment="1">
      <alignment horizontal="center"/>
    </xf>
    <xf numFmtId="10" fontId="64" fillId="0" borderId="17" xfId="44" applyNumberFormat="1" applyFont="1" applyBorder="1" applyAlignment="1">
      <alignment horizontal="right"/>
    </xf>
    <xf numFmtId="169" fontId="1" fillId="0" borderId="0" xfId="0" applyNumberFormat="1" applyFont="1" applyFill="1" applyBorder="1"/>
    <xf numFmtId="0" fontId="65" fillId="0" borderId="0" xfId="44" applyFont="1" applyAlignment="1">
      <alignment horizontal="center"/>
    </xf>
    <xf numFmtId="0" fontId="64" fillId="0" borderId="0" xfId="44" applyFont="1" applyBorder="1" applyAlignment="1">
      <alignment horizontal="center" wrapText="1"/>
    </xf>
    <xf numFmtId="3" fontId="26" fillId="0" borderId="42" xfId="0" applyNumberFormat="1" applyFont="1" applyBorder="1"/>
    <xf numFmtId="0" fontId="0" fillId="0" borderId="17" xfId="0" applyFont="1" applyBorder="1" applyAlignment="1">
      <alignment horizontal="right" wrapText="1"/>
    </xf>
    <xf numFmtId="0" fontId="0" fillId="0" borderId="17" xfId="0" applyFont="1" applyBorder="1" applyAlignment="1">
      <alignment horizontal="right"/>
    </xf>
    <xf numFmtId="0" fontId="65" fillId="0" borderId="0" xfId="44" applyFont="1" applyBorder="1" applyAlignment="1"/>
    <xf numFmtId="3" fontId="43" fillId="2" borderId="1" xfId="44" applyNumberFormat="1" applyFont="1" applyFill="1" applyBorder="1" applyAlignment="1">
      <alignment horizontal="center" wrapText="1"/>
    </xf>
    <xf numFmtId="0" fontId="43" fillId="2" borderId="1" xfId="44" applyFont="1" applyFill="1" applyBorder="1" applyAlignment="1">
      <alignment horizontal="center" wrapText="1"/>
    </xf>
    <xf numFmtId="0" fontId="64" fillId="0" borderId="37" xfId="44" applyFont="1" applyBorder="1" applyAlignment="1">
      <alignment horizontal="right"/>
    </xf>
    <xf numFmtId="9" fontId="64" fillId="0" borderId="0" xfId="44" applyNumberFormat="1" applyFont="1" applyBorder="1"/>
    <xf numFmtId="0" fontId="64" fillId="0" borderId="38" xfId="44" applyFont="1" applyBorder="1" applyAlignment="1">
      <alignment horizontal="center"/>
    </xf>
    <xf numFmtId="3" fontId="64" fillId="0" borderId="38" xfId="44" applyNumberFormat="1" applyFont="1" applyBorder="1" applyAlignment="1">
      <alignment horizontal="center"/>
    </xf>
    <xf numFmtId="3" fontId="64" fillId="0" borderId="39" xfId="44" applyNumberFormat="1" applyFont="1" applyBorder="1" applyAlignment="1">
      <alignment horizontal="center"/>
    </xf>
    <xf numFmtId="3" fontId="64" fillId="0" borderId="39" xfId="46" applyNumberFormat="1" applyFont="1" applyBorder="1" applyAlignment="1">
      <alignment horizontal="center"/>
    </xf>
    <xf numFmtId="0" fontId="64" fillId="0" borderId="0" xfId="44" applyFont="1" applyAlignment="1">
      <alignment horizontal="left"/>
    </xf>
    <xf numFmtId="0" fontId="90" fillId="0" borderId="0" xfId="0" quotePrefix="1" applyNumberFormat="1" applyFont="1" applyFill="1" applyBorder="1"/>
    <xf numFmtId="0" fontId="90" fillId="0" borderId="0" xfId="0" quotePrefix="1" applyNumberFormat="1" applyFont="1" applyFill="1" applyBorder="1" applyAlignment="1">
      <alignment horizontal="center"/>
    </xf>
    <xf numFmtId="0" fontId="0" fillId="0" borderId="0" xfId="0" applyFill="1" applyBorder="1"/>
    <xf numFmtId="9" fontId="64" fillId="0" borderId="0" xfId="51" applyFont="1" applyBorder="1" applyAlignment="1">
      <alignment horizontal="center"/>
    </xf>
    <xf numFmtId="0" fontId="64" fillId="0" borderId="39" xfId="44" applyFont="1" applyFill="1" applyBorder="1" applyAlignment="1">
      <alignment horizontal="center"/>
    </xf>
    <xf numFmtId="9" fontId="64" fillId="0" borderId="39" xfId="44" applyNumberFormat="1" applyFont="1" applyFill="1" applyBorder="1" applyAlignment="1">
      <alignment horizontal="center"/>
    </xf>
    <xf numFmtId="3" fontId="26" fillId="0" borderId="39" xfId="45" applyNumberFormat="1" applyFont="1" applyFill="1" applyBorder="1" applyAlignment="1">
      <alignment horizontal="center"/>
    </xf>
    <xf numFmtId="9" fontId="0" fillId="0" borderId="0" xfId="0" applyNumberFormat="1"/>
    <xf numFmtId="3" fontId="64" fillId="0" borderId="38" xfId="44" applyNumberFormat="1" applyFont="1" applyBorder="1" applyAlignment="1">
      <alignment horizontal="right"/>
    </xf>
    <xf numFmtId="3" fontId="65" fillId="0" borderId="0" xfId="44" applyNumberFormat="1" applyFont="1" applyBorder="1"/>
    <xf numFmtId="0" fontId="91" fillId="0" borderId="0" xfId="0" applyFont="1"/>
    <xf numFmtId="171" fontId="43" fillId="2" borderId="1" xfId="44" applyNumberFormat="1" applyFont="1" applyFill="1" applyBorder="1" applyAlignment="1">
      <alignment horizontal="center" wrapText="1"/>
    </xf>
    <xf numFmtId="0" fontId="43" fillId="0" borderId="0" xfId="44" applyFont="1" applyBorder="1" applyAlignment="1">
      <alignment horizontal="center" wrapText="1"/>
    </xf>
    <xf numFmtId="171" fontId="64" fillId="0" borderId="16" xfId="46" applyNumberFormat="1" applyFont="1" applyBorder="1" applyAlignment="1">
      <alignment horizontal="center"/>
    </xf>
    <xf numFmtId="3" fontId="64" fillId="0" borderId="17" xfId="44" applyNumberFormat="1" applyFont="1" applyBorder="1" applyAlignment="1">
      <alignment horizontal="center"/>
    </xf>
    <xf numFmtId="171" fontId="64" fillId="0" borderId="17" xfId="44" applyNumberFormat="1" applyFont="1" applyBorder="1" applyAlignment="1">
      <alignment horizontal="center"/>
    </xf>
    <xf numFmtId="171" fontId="26" fillId="0" borderId="17" xfId="48" applyNumberFormat="1" applyFont="1" applyBorder="1" applyAlignment="1">
      <alignment horizontal="center"/>
    </xf>
    <xf numFmtId="172" fontId="64" fillId="0" borderId="38" xfId="44" applyNumberFormat="1" applyFont="1" applyBorder="1" applyAlignment="1">
      <alignment horizontal="center"/>
    </xf>
    <xf numFmtId="171" fontId="64" fillId="0" borderId="39" xfId="47" applyNumberFormat="1" applyFont="1" applyBorder="1" applyAlignment="1">
      <alignment horizontal="center"/>
    </xf>
    <xf numFmtId="173" fontId="64" fillId="0" borderId="39" xfId="44" applyNumberFormat="1" applyFont="1" applyBorder="1" applyAlignment="1">
      <alignment horizontal="center"/>
    </xf>
    <xf numFmtId="0" fontId="26" fillId="0" borderId="39" xfId="48" applyFont="1" applyBorder="1" applyAlignment="1">
      <alignment horizontal="center"/>
    </xf>
    <xf numFmtId="1" fontId="26" fillId="0" borderId="39" xfId="48" applyNumberFormat="1" applyFont="1" applyBorder="1" applyAlignment="1">
      <alignment horizontal="center"/>
    </xf>
    <xf numFmtId="10" fontId="64" fillId="0" borderId="40" xfId="44" applyNumberFormat="1" applyFont="1" applyBorder="1" applyAlignment="1">
      <alignment horizontal="right"/>
    </xf>
    <xf numFmtId="10" fontId="64" fillId="0" borderId="0" xfId="44" applyNumberFormat="1" applyFont="1" applyBorder="1" applyAlignment="1">
      <alignment horizontal="right"/>
    </xf>
    <xf numFmtId="3" fontId="64" fillId="0" borderId="0" xfId="44" applyNumberFormat="1" applyFont="1" applyBorder="1" applyAlignment="1"/>
    <xf numFmtId="3" fontId="43" fillId="2" borderId="2" xfId="44" applyNumberFormat="1" applyFont="1" applyFill="1" applyBorder="1" applyAlignment="1">
      <alignment wrapText="1"/>
    </xf>
    <xf numFmtId="0" fontId="43" fillId="2" borderId="3" xfId="44" applyFont="1" applyFill="1" applyBorder="1" applyAlignment="1">
      <alignment wrapText="1"/>
    </xf>
    <xf numFmtId="3" fontId="64" fillId="0" borderId="16" xfId="44" applyNumberFormat="1" applyFont="1" applyBorder="1" applyAlignment="1">
      <alignment horizontal="right"/>
    </xf>
    <xf numFmtId="9" fontId="64" fillId="0" borderId="16" xfId="44" applyNumberFormat="1" applyFont="1" applyBorder="1" applyAlignment="1">
      <alignment horizontal="right"/>
    </xf>
    <xf numFmtId="3" fontId="64" fillId="0" borderId="17" xfId="44" applyNumberFormat="1" applyFont="1" applyBorder="1" applyAlignment="1">
      <alignment horizontal="right"/>
    </xf>
    <xf numFmtId="9" fontId="64" fillId="0" borderId="17" xfId="44" applyNumberFormat="1" applyFont="1" applyBorder="1" applyAlignment="1">
      <alignment horizontal="right"/>
    </xf>
    <xf numFmtId="3" fontId="26" fillId="0" borderId="17" xfId="45" applyNumberFormat="1" applyFont="1" applyBorder="1" applyAlignment="1">
      <alignment horizontal="right"/>
    </xf>
    <xf numFmtId="0" fontId="64" fillId="0" borderId="41" xfId="44" applyFont="1" applyBorder="1" applyAlignment="1">
      <alignment horizontal="center"/>
    </xf>
    <xf numFmtId="10" fontId="64" fillId="0" borderId="41" xfId="44" applyNumberFormat="1" applyFont="1" applyBorder="1" applyAlignment="1">
      <alignment horizontal="right"/>
    </xf>
    <xf numFmtId="169" fontId="1" fillId="0" borderId="0" xfId="0" applyNumberFormat="1" applyFont="1"/>
    <xf numFmtId="0" fontId="64" fillId="0" borderId="42" xfId="44" applyFont="1" applyBorder="1" applyAlignment="1">
      <alignment horizontal="center"/>
    </xf>
    <xf numFmtId="3" fontId="26" fillId="0" borderId="42" xfId="45" applyNumberFormat="1" applyFont="1" applyBorder="1" applyAlignment="1">
      <alignment horizontal="center" vertical="center"/>
    </xf>
    <xf numFmtId="9" fontId="64" fillId="0" borderId="42" xfId="44" applyNumberFormat="1" applyFont="1" applyBorder="1" applyAlignment="1">
      <alignment horizontal="center"/>
    </xf>
    <xf numFmtId="3" fontId="64" fillId="0" borderId="42" xfId="44" applyNumberFormat="1" applyFont="1" applyBorder="1" applyAlignment="1"/>
    <xf numFmtId="0" fontId="26" fillId="0" borderId="0" xfId="0" applyFont="1" applyBorder="1"/>
    <xf numFmtId="0" fontId="26" fillId="0" borderId="42" xfId="45" applyFont="1" applyFill="1" applyBorder="1" applyAlignment="1">
      <alignment horizontal="center"/>
    </xf>
    <xf numFmtId="0" fontId="26" fillId="0" borderId="42" xfId="0" applyFont="1" applyBorder="1" applyAlignment="1">
      <alignment horizontal="center"/>
    </xf>
    <xf numFmtId="3" fontId="64" fillId="0" borderId="42" xfId="44" applyNumberFormat="1" applyFont="1" applyFill="1" applyBorder="1" applyAlignment="1">
      <alignment horizontal="center"/>
    </xf>
    <xf numFmtId="3" fontId="26" fillId="0" borderId="42" xfId="0" applyNumberFormat="1" applyFont="1" applyBorder="1" applyAlignment="1">
      <alignment horizontal="center"/>
    </xf>
    <xf numFmtId="4" fontId="64" fillId="0" borderId="42" xfId="44" applyNumberFormat="1" applyFont="1" applyBorder="1" applyAlignment="1">
      <alignment horizontal="center"/>
    </xf>
    <xf numFmtId="10" fontId="64" fillId="0" borderId="42" xfId="44" applyNumberFormat="1" applyFont="1" applyBorder="1" applyAlignment="1">
      <alignment horizontal="center"/>
    </xf>
    <xf numFmtId="3" fontId="26" fillId="0" borderId="42" xfId="45" applyNumberFormat="1" applyFont="1" applyBorder="1" applyAlignment="1">
      <alignment horizontal="right"/>
    </xf>
    <xf numFmtId="3" fontId="64" fillId="0" borderId="41" xfId="44" applyNumberFormat="1" applyFont="1" applyBorder="1" applyAlignment="1">
      <alignment horizontal="center"/>
    </xf>
    <xf numFmtId="3" fontId="26" fillId="0" borderId="41" xfId="48" applyNumberFormat="1" applyFont="1" applyBorder="1" applyAlignment="1">
      <alignment horizontal="center"/>
    </xf>
    <xf numFmtId="171" fontId="26" fillId="0" borderId="41" xfId="48" applyNumberFormat="1" applyFont="1" applyBorder="1" applyAlignment="1">
      <alignment horizontal="center"/>
    </xf>
    <xf numFmtId="0" fontId="26" fillId="0" borderId="19" xfId="48" applyFont="1" applyFill="1" applyBorder="1" applyAlignment="1">
      <alignment horizontal="center"/>
    </xf>
    <xf numFmtId="3" fontId="64" fillId="0" borderId="19" xfId="44" applyNumberFormat="1" applyFont="1" applyBorder="1" applyAlignment="1">
      <alignment horizontal="center" wrapText="1"/>
    </xf>
    <xf numFmtId="5" fontId="64" fillId="0" borderId="19" xfId="562" applyNumberFormat="1" applyFont="1" applyBorder="1" applyAlignment="1">
      <alignment horizontal="center" wrapText="1"/>
    </xf>
    <xf numFmtId="4" fontId="64" fillId="0" borderId="19" xfId="44" applyNumberFormat="1" applyFont="1" applyBorder="1" applyAlignment="1">
      <alignment horizontal="center" wrapText="1"/>
    </xf>
    <xf numFmtId="0" fontId="26" fillId="0" borderId="17" xfId="0" applyFont="1" applyBorder="1" applyAlignment="1">
      <alignment horizontal="center" wrapText="1"/>
    </xf>
    <xf numFmtId="0" fontId="64" fillId="0" borderId="0" xfId="44" applyFont="1"/>
    <xf numFmtId="0" fontId="64" fillId="0" borderId="0" xfId="44" applyFont="1" applyBorder="1" applyAlignment="1"/>
    <xf numFmtId="0" fontId="64" fillId="0" borderId="0" xfId="44" applyFont="1" applyFill="1" applyBorder="1" applyAlignment="1">
      <alignment horizontal="center"/>
    </xf>
    <xf numFmtId="0" fontId="43" fillId="2" borderId="1" xfId="0" applyFont="1" applyFill="1" applyBorder="1" applyAlignment="1">
      <alignment horizontal="right" wrapText="1"/>
    </xf>
    <xf numFmtId="9" fontId="64" fillId="0" borderId="39" xfId="44" applyNumberFormat="1" applyFont="1" applyBorder="1" applyAlignment="1">
      <alignment horizontal="center"/>
    </xf>
    <xf numFmtId="171" fontId="65" fillId="0" borderId="0" xfId="44" applyNumberFormat="1" applyFont="1" applyBorder="1"/>
    <xf numFmtId="0" fontId="65" fillId="0" borderId="0" xfId="44" applyFont="1" applyFill="1" applyBorder="1" applyAlignment="1"/>
    <xf numFmtId="0" fontId="26" fillId="0" borderId="39" xfId="45" applyFont="1" applyBorder="1" applyAlignment="1">
      <alignment horizontal="center"/>
    </xf>
    <xf numFmtId="10" fontId="64" fillId="0" borderId="39" xfId="44" applyNumberFormat="1" applyFont="1" applyFill="1" applyBorder="1" applyAlignment="1">
      <alignment horizontal="center"/>
    </xf>
    <xf numFmtId="3" fontId="64" fillId="0" borderId="42" xfId="44" applyNumberFormat="1" applyFont="1" applyBorder="1" applyAlignment="1">
      <alignment horizontal="center"/>
    </xf>
    <xf numFmtId="9" fontId="64" fillId="0" borderId="0" xfId="44" applyNumberFormat="1" applyFont="1" applyAlignment="1"/>
    <xf numFmtId="169" fontId="64" fillId="0" borderId="0" xfId="44" applyNumberFormat="1" applyFont="1" applyAlignment="1"/>
    <xf numFmtId="3" fontId="64" fillId="0" borderId="38" xfId="46" applyNumberFormat="1" applyFont="1" applyBorder="1" applyAlignment="1">
      <alignment horizontal="center"/>
    </xf>
    <xf numFmtId="171" fontId="64" fillId="0" borderId="38" xfId="47" applyNumberFormat="1" applyFont="1" applyBorder="1" applyAlignment="1">
      <alignment horizontal="center"/>
    </xf>
    <xf numFmtId="0" fontId="64" fillId="0" borderId="0" xfId="44" applyFont="1" applyFill="1" applyBorder="1" applyAlignment="1"/>
    <xf numFmtId="9" fontId="64" fillId="0" borderId="38" xfId="44" applyNumberFormat="1" applyFont="1" applyBorder="1" applyAlignment="1">
      <alignment horizontal="center"/>
    </xf>
    <xf numFmtId="0" fontId="26" fillId="0" borderId="39" xfId="45" applyFont="1" applyBorder="1" applyAlignment="1">
      <alignment horizontal="center" vertical="center"/>
    </xf>
    <xf numFmtId="0" fontId="0" fillId="0" borderId="17" xfId="0" applyFont="1" applyFill="1" applyBorder="1" applyAlignment="1">
      <alignment horizontal="right" wrapText="1"/>
    </xf>
    <xf numFmtId="3" fontId="64" fillId="0" borderId="17" xfId="46" applyNumberFormat="1" applyFont="1" applyBorder="1" applyAlignment="1">
      <alignment horizontal="center"/>
    </xf>
    <xf numFmtId="3" fontId="26" fillId="0" borderId="39" xfId="45" applyNumberFormat="1" applyFont="1" applyBorder="1" applyAlignment="1">
      <alignment horizontal="center"/>
    </xf>
    <xf numFmtId="3" fontId="64" fillId="0" borderId="16" xfId="46" applyNumberFormat="1" applyFont="1" applyBorder="1" applyAlignment="1">
      <alignment horizontal="center"/>
    </xf>
    <xf numFmtId="3" fontId="64" fillId="0" borderId="39" xfId="46" applyNumberFormat="1" applyFont="1" applyFill="1" applyBorder="1" applyAlignment="1">
      <alignment horizontal="center"/>
    </xf>
    <xf numFmtId="0" fontId="90" fillId="0" borderId="0" xfId="0" quotePrefix="1" applyNumberFormat="1" applyFont="1" applyFill="1" applyBorder="1" applyAlignment="1">
      <alignment horizontal="center" vertical="center"/>
    </xf>
    <xf numFmtId="3" fontId="26" fillId="0" borderId="39" xfId="45" applyNumberFormat="1" applyFont="1" applyBorder="1" applyAlignment="1">
      <alignment horizontal="center" vertical="center"/>
    </xf>
    <xf numFmtId="0" fontId="0" fillId="0" borderId="0" xfId="0"/>
    <xf numFmtId="3" fontId="0" fillId="0" borderId="32" xfId="0" applyNumberFormat="1" applyBorder="1"/>
    <xf numFmtId="9" fontId="0" fillId="0" borderId="0" xfId="51" applyFont="1"/>
    <xf numFmtId="43" fontId="0" fillId="0" borderId="0" xfId="0" applyNumberFormat="1"/>
    <xf numFmtId="0" fontId="1" fillId="2" borderId="32" xfId="0" applyFont="1" applyFill="1" applyBorder="1" applyAlignment="1">
      <alignment wrapText="1"/>
    </xf>
    <xf numFmtId="3" fontId="0" fillId="0" borderId="34" xfId="0" applyNumberFormat="1" applyBorder="1" applyAlignment="1">
      <alignment horizontal="right"/>
    </xf>
    <xf numFmtId="3" fontId="0" fillId="0" borderId="17" xfId="0" applyNumberFormat="1" applyBorder="1" applyAlignment="1">
      <alignment horizontal="right"/>
    </xf>
    <xf numFmtId="3" fontId="0" fillId="0" borderId="35" xfId="0" applyNumberFormat="1" applyBorder="1" applyAlignment="1">
      <alignment horizontal="right"/>
    </xf>
    <xf numFmtId="3" fontId="1" fillId="2" borderId="32" xfId="0" applyNumberFormat="1" applyFont="1" applyFill="1" applyBorder="1" applyAlignment="1">
      <alignment horizontal="right"/>
    </xf>
    <xf numFmtId="0" fontId="0" fillId="60" borderId="0" xfId="0" applyFill="1"/>
    <xf numFmtId="172" fontId="0" fillId="0" borderId="0" xfId="0" applyNumberFormat="1"/>
    <xf numFmtId="3" fontId="0" fillId="0" borderId="0" xfId="0" applyNumberFormat="1" applyFont="1" applyFill="1" applyAlignment="1">
      <alignment horizontal="left" wrapText="1"/>
    </xf>
    <xf numFmtId="3" fontId="26" fillId="0" borderId="41" xfId="0" applyNumberFormat="1" applyFont="1" applyBorder="1"/>
    <xf numFmtId="0" fontId="1" fillId="2" borderId="32" xfId="0" applyFont="1" applyFill="1" applyBorder="1" applyAlignment="1">
      <alignment horizontal="left" wrapText="1"/>
    </xf>
    <xf numFmtId="0" fontId="0" fillId="0" borderId="17" xfId="0" applyFont="1" applyFill="1" applyBorder="1" applyAlignment="1">
      <alignment horizontal="left" vertical="center"/>
    </xf>
    <xf numFmtId="167" fontId="0" fillId="0" borderId="17" xfId="1" applyNumberFormat="1" applyFont="1" applyFill="1" applyBorder="1" applyAlignment="1" applyProtection="1">
      <alignment wrapText="1"/>
    </xf>
    <xf numFmtId="167" fontId="0" fillId="0" borderId="17" xfId="0" applyNumberFormat="1" applyFont="1" applyFill="1" applyBorder="1"/>
    <xf numFmtId="0" fontId="0" fillId="0" borderId="17" xfId="0" applyFont="1" applyFill="1" applyBorder="1" applyAlignment="1">
      <alignment horizontal="center" wrapText="1"/>
    </xf>
    <xf numFmtId="0" fontId="0" fillId="0" borderId="17" xfId="0" applyFont="1" applyFill="1" applyBorder="1" applyAlignment="1">
      <alignment horizontal="justify" vertical="center"/>
    </xf>
    <xf numFmtId="0" fontId="0" fillId="0" borderId="17" xfId="0" applyNumberFormat="1" applyFont="1" applyFill="1" applyBorder="1" applyAlignment="1" applyProtection="1">
      <alignment horizontal="center" wrapText="1"/>
    </xf>
    <xf numFmtId="168" fontId="0" fillId="0" borderId="17" xfId="51" applyNumberFormat="1" applyFont="1" applyFill="1" applyBorder="1" applyAlignment="1" applyProtection="1">
      <alignment wrapText="1"/>
    </xf>
    <xf numFmtId="168" fontId="0" fillId="0" borderId="17" xfId="51" applyNumberFormat="1" applyFont="1" applyFill="1" applyBorder="1"/>
    <xf numFmtId="166" fontId="0" fillId="0" borderId="17" xfId="0" applyNumberFormat="1" applyFont="1" applyFill="1" applyBorder="1" applyAlignment="1">
      <alignment horizontal="left" wrapText="1"/>
    </xf>
    <xf numFmtId="0" fontId="0" fillId="0" borderId="17" xfId="0" applyNumberFormat="1" applyFont="1" applyFill="1" applyBorder="1" applyAlignment="1"/>
    <xf numFmtId="3" fontId="5" fillId="0" borderId="17" xfId="1" applyNumberFormat="1" applyFont="1" applyFill="1" applyBorder="1"/>
    <xf numFmtId="0" fontId="0" fillId="0" borderId="17" xfId="0" applyFont="1" applyFill="1" applyBorder="1" applyAlignment="1" applyProtection="1">
      <alignment horizontal="right" wrapText="1"/>
    </xf>
    <xf numFmtId="3" fontId="0" fillId="0" borderId="17" xfId="0" applyNumberFormat="1" applyFont="1" applyFill="1" applyBorder="1" applyAlignment="1">
      <alignment horizontal="right" wrapText="1"/>
    </xf>
    <xf numFmtId="3" fontId="0" fillId="0" borderId="17" xfId="0" applyNumberFormat="1" applyFont="1" applyFill="1" applyBorder="1" applyAlignment="1" applyProtection="1">
      <alignment horizontal="right" wrapText="1"/>
    </xf>
    <xf numFmtId="0" fontId="29" fillId="0" borderId="17" xfId="0" applyNumberFormat="1" applyFont="1" applyFill="1" applyBorder="1" applyAlignment="1"/>
    <xf numFmtId="0" fontId="29" fillId="0" borderId="17" xfId="0" applyFont="1" applyFill="1" applyBorder="1" applyAlignment="1" applyProtection="1">
      <alignment horizontal="right" wrapText="1"/>
    </xf>
    <xf numFmtId="0" fontId="29" fillId="0" borderId="17" xfId="0" applyNumberFormat="1" applyFont="1" applyFill="1" applyBorder="1" applyAlignment="1">
      <alignment horizontal="left"/>
    </xf>
    <xf numFmtId="0" fontId="0" fillId="0" borderId="17" xfId="0" applyFont="1" applyFill="1" applyBorder="1" applyAlignment="1" applyProtection="1">
      <alignment wrapText="1"/>
    </xf>
    <xf numFmtId="3" fontId="0" fillId="0" borderId="17" xfId="0" applyNumberFormat="1" applyFont="1" applyFill="1" applyBorder="1" applyAlignment="1">
      <alignment horizontal="left" wrapText="1"/>
    </xf>
    <xf numFmtId="3" fontId="0" fillId="0" borderId="17" xfId="0" applyNumberFormat="1" applyFont="1" applyFill="1" applyBorder="1" applyAlignment="1">
      <alignment wrapText="1"/>
    </xf>
    <xf numFmtId="38" fontId="0" fillId="0" borderId="17" xfId="0" applyNumberFormat="1" applyFont="1" applyFill="1" applyBorder="1" applyAlignment="1">
      <alignment wrapText="1"/>
    </xf>
    <xf numFmtId="0" fontId="0" fillId="0" borderId="17" xfId="0" applyFont="1" applyFill="1" applyBorder="1" applyAlignment="1"/>
    <xf numFmtId="38" fontId="29" fillId="0" borderId="17" xfId="0" applyNumberFormat="1" applyFont="1" applyFill="1" applyBorder="1" applyAlignment="1">
      <alignment horizontal="right" wrapText="1"/>
    </xf>
    <xf numFmtId="38" fontId="0" fillId="0" borderId="17" xfId="0" applyNumberFormat="1" applyFont="1" applyFill="1" applyBorder="1" applyAlignment="1">
      <alignment horizontal="right" wrapText="1"/>
    </xf>
    <xf numFmtId="0" fontId="29" fillId="0" borderId="17" xfId="0" applyFont="1" applyFill="1" applyBorder="1" applyAlignment="1" applyProtection="1">
      <alignment horizontal="left" wrapText="1"/>
    </xf>
    <xf numFmtId="38" fontId="0" fillId="0" borderId="17" xfId="1" applyNumberFormat="1" applyFont="1" applyFill="1" applyBorder="1" applyAlignment="1">
      <alignment horizontal="right" wrapText="1"/>
    </xf>
    <xf numFmtId="0" fontId="29" fillId="0" borderId="17" xfId="0" applyFont="1" applyFill="1" applyBorder="1" applyAlignment="1" applyProtection="1">
      <alignment wrapText="1"/>
    </xf>
    <xf numFmtId="0" fontId="29" fillId="0" borderId="17" xfId="0" applyFont="1" applyFill="1" applyBorder="1" applyAlignment="1"/>
    <xf numFmtId="0" fontId="29" fillId="0" borderId="17" xfId="0" applyFont="1" applyFill="1" applyBorder="1"/>
    <xf numFmtId="38" fontId="29" fillId="0" borderId="17" xfId="1" applyNumberFormat="1" applyFont="1" applyFill="1" applyBorder="1" applyAlignment="1">
      <alignment wrapText="1"/>
    </xf>
    <xf numFmtId="0" fontId="29" fillId="0" borderId="17" xfId="0" applyFont="1" applyFill="1" applyBorder="1" applyAlignment="1">
      <alignment horizontal="left"/>
    </xf>
    <xf numFmtId="38" fontId="29" fillId="0" borderId="17" xfId="0" applyNumberFormat="1" applyFont="1" applyFill="1" applyBorder="1" applyAlignment="1">
      <alignment horizontal="right"/>
    </xf>
    <xf numFmtId="38" fontId="29" fillId="0" borderId="17" xfId="1" applyNumberFormat="1" applyFont="1" applyFill="1" applyBorder="1"/>
    <xf numFmtId="0" fontId="29" fillId="0" borderId="17" xfId="0" applyFont="1" applyFill="1" applyBorder="1" applyAlignment="1">
      <alignment vertical="center" wrapText="1"/>
    </xf>
    <xf numFmtId="0" fontId="0" fillId="0" borderId="17" xfId="0" applyNumberFormat="1" applyFont="1" applyBorder="1" applyAlignment="1">
      <alignment horizontal="left" wrapText="1"/>
    </xf>
    <xf numFmtId="0" fontId="0" fillId="0" borderId="17" xfId="0" applyNumberFormat="1" applyFont="1" applyBorder="1" applyAlignment="1"/>
    <xf numFmtId="38" fontId="0" fillId="0" borderId="17" xfId="0" applyNumberFormat="1" applyFont="1" applyBorder="1"/>
    <xf numFmtId="38" fontId="0" fillId="0" borderId="17" xfId="1" applyNumberFormat="1" applyFont="1" applyBorder="1" applyAlignment="1">
      <alignment horizontal="right" wrapText="1"/>
    </xf>
    <xf numFmtId="38" fontId="0" fillId="0" borderId="17" xfId="0" applyNumberFormat="1" applyFont="1" applyBorder="1" applyAlignment="1">
      <alignment horizontal="right"/>
    </xf>
    <xf numFmtId="0" fontId="0" fillId="0" borderId="17" xfId="0" applyFont="1" applyFill="1" applyBorder="1" applyAlignment="1" applyProtection="1">
      <alignment horizontal="center" wrapText="1"/>
    </xf>
    <xf numFmtId="166" fontId="0" fillId="0" borderId="17" xfId="0" applyNumberFormat="1" applyBorder="1" applyAlignment="1">
      <alignment wrapText="1"/>
    </xf>
    <xf numFmtId="38" fontId="0" fillId="0" borderId="17" xfId="0" applyNumberFormat="1" applyFont="1" applyFill="1" applyBorder="1" applyAlignment="1">
      <alignment horizontal="right"/>
    </xf>
    <xf numFmtId="38" fontId="29" fillId="0" borderId="17" xfId="1" applyNumberFormat="1" applyFont="1" applyFill="1" applyBorder="1" applyAlignment="1">
      <alignment horizontal="right" wrapText="1"/>
    </xf>
    <xf numFmtId="0" fontId="29" fillId="0" borderId="17" xfId="0" applyFont="1" applyFill="1" applyBorder="1" applyAlignment="1" applyProtection="1">
      <alignment horizontal="center" wrapText="1"/>
    </xf>
    <xf numFmtId="0" fontId="29" fillId="0" borderId="17" xfId="0" applyNumberFormat="1" applyFont="1" applyBorder="1" applyAlignment="1">
      <alignment horizontal="left" wrapText="1"/>
    </xf>
    <xf numFmtId="0" fontId="29" fillId="0" borderId="17" xfId="0" applyNumberFormat="1" applyFont="1" applyBorder="1" applyAlignment="1"/>
    <xf numFmtId="166" fontId="0" fillId="0" borderId="17" xfId="0" applyNumberFormat="1" applyFont="1" applyBorder="1" applyAlignment="1">
      <alignment wrapText="1"/>
    </xf>
    <xf numFmtId="0" fontId="0" fillId="0" borderId="17" xfId="0" applyFont="1" applyBorder="1" applyAlignment="1">
      <alignment wrapText="1"/>
    </xf>
    <xf numFmtId="38" fontId="26" fillId="0" borderId="17" xfId="1" applyNumberFormat="1" applyFont="1" applyFill="1" applyBorder="1" applyAlignment="1">
      <alignment horizontal="right" wrapText="1"/>
    </xf>
    <xf numFmtId="38" fontId="26" fillId="0" borderId="17" xfId="1" applyNumberFormat="1" applyFont="1" applyBorder="1" applyAlignment="1">
      <alignment horizontal="right" wrapText="1"/>
    </xf>
    <xf numFmtId="38" fontId="26" fillId="0" borderId="17" xfId="0" applyNumberFormat="1" applyFont="1" applyFill="1" applyBorder="1" applyAlignment="1">
      <alignment horizontal="right" wrapText="1"/>
    </xf>
    <xf numFmtId="0" fontId="29" fillId="0" borderId="17" xfId="0" applyFont="1" applyFill="1" applyBorder="1" applyAlignment="1">
      <alignment horizontal="center"/>
    </xf>
    <xf numFmtId="166" fontId="26" fillId="0" borderId="17" xfId="0" applyNumberFormat="1" applyFont="1" applyBorder="1" applyAlignment="1">
      <alignment wrapText="1"/>
    </xf>
    <xf numFmtId="0" fontId="0" fillId="0" borderId="17" xfId="0" applyFill="1" applyBorder="1"/>
    <xf numFmtId="3" fontId="0" fillId="0" borderId="17" xfId="0" applyNumberFormat="1" applyFont="1" applyBorder="1" applyAlignment="1">
      <alignment horizontal="right"/>
    </xf>
    <xf numFmtId="0" fontId="0" fillId="0" borderId="17" xfId="0" applyFont="1" applyBorder="1" applyAlignment="1">
      <alignment horizontal="center"/>
    </xf>
    <xf numFmtId="38" fontId="23" fillId="0" borderId="17" xfId="1" applyNumberFormat="1" applyFont="1" applyBorder="1" applyAlignment="1">
      <alignment horizontal="right" wrapText="1"/>
    </xf>
    <xf numFmtId="0" fontId="23" fillId="0" borderId="17" xfId="0" applyFont="1" applyBorder="1" applyAlignment="1">
      <alignment horizontal="center" wrapText="1"/>
    </xf>
    <xf numFmtId="38" fontId="5" fillId="0" borderId="17" xfId="1" applyNumberFormat="1" applyFont="1" applyBorder="1" applyAlignment="1">
      <alignment horizontal="right" wrapText="1"/>
    </xf>
    <xf numFmtId="0" fontId="0" fillId="0" borderId="17" xfId="0" applyNumberFormat="1" applyFont="1" applyBorder="1" applyAlignment="1">
      <alignment wrapText="1"/>
    </xf>
    <xf numFmtId="0" fontId="0" fillId="0" borderId="17" xfId="0" applyNumberFormat="1" applyFont="1" applyBorder="1"/>
    <xf numFmtId="0" fontId="0" fillId="0" borderId="17" xfId="0" applyFont="1" applyBorder="1" applyAlignment="1">
      <alignment horizontal="center" wrapText="1"/>
    </xf>
    <xf numFmtId="38" fontId="0" fillId="0" borderId="17" xfId="1" applyNumberFormat="1" applyFont="1" applyFill="1" applyBorder="1" applyAlignment="1">
      <alignment horizontal="right"/>
    </xf>
    <xf numFmtId="40" fontId="0" fillId="0" borderId="17" xfId="1" applyNumberFormat="1" applyFont="1" applyFill="1" applyBorder="1" applyAlignment="1">
      <alignment horizontal="right"/>
    </xf>
    <xf numFmtId="40" fontId="0" fillId="0" borderId="17" xfId="0" applyNumberFormat="1" applyFont="1" applyFill="1" applyBorder="1" applyAlignment="1">
      <alignment horizontal="right" wrapText="1"/>
    </xf>
    <xf numFmtId="0" fontId="29" fillId="0" borderId="17" xfId="0" applyNumberFormat="1" applyFont="1" applyFill="1" applyBorder="1" applyAlignment="1">
      <alignment wrapText="1"/>
    </xf>
    <xf numFmtId="0" fontId="29" fillId="0" borderId="17" xfId="0" applyFont="1" applyFill="1" applyBorder="1" applyAlignment="1">
      <alignment horizontal="center" wrapText="1"/>
    </xf>
    <xf numFmtId="40" fontId="29" fillId="0" borderId="17" xfId="0" applyNumberFormat="1" applyFont="1" applyFill="1" applyBorder="1" applyAlignment="1">
      <alignment horizontal="right" wrapText="1"/>
    </xf>
    <xf numFmtId="0" fontId="29" fillId="0" borderId="17" xfId="0" applyNumberFormat="1" applyFont="1" applyBorder="1" applyAlignment="1">
      <alignment wrapText="1"/>
    </xf>
    <xf numFmtId="0" fontId="29" fillId="0" borderId="17" xfId="0" applyNumberFormat="1" applyFont="1" applyBorder="1"/>
    <xf numFmtId="0" fontId="29" fillId="0" borderId="17" xfId="0" applyFont="1" applyBorder="1" applyAlignment="1">
      <alignment horizontal="center" wrapText="1"/>
    </xf>
    <xf numFmtId="0" fontId="29" fillId="0" borderId="17" xfId="0" applyNumberFormat="1" applyFont="1" applyFill="1" applyBorder="1"/>
    <xf numFmtId="40" fontId="29" fillId="0" borderId="17" xfId="0" applyNumberFormat="1" applyFont="1" applyFill="1" applyBorder="1"/>
    <xf numFmtId="4" fontId="0" fillId="0" borderId="17" xfId="0" applyNumberFormat="1" applyBorder="1"/>
    <xf numFmtId="0" fontId="0" fillId="0" borderId="17" xfId="0" applyNumberFormat="1" applyFont="1" applyFill="1" applyBorder="1" applyAlignment="1">
      <alignment wrapText="1"/>
    </xf>
    <xf numFmtId="38" fontId="0" fillId="0" borderId="17" xfId="0" applyNumberFormat="1" applyFont="1" applyBorder="1" applyAlignment="1"/>
    <xf numFmtId="40" fontId="0" fillId="0" borderId="17" xfId="0" applyNumberFormat="1" applyFont="1" applyFill="1" applyBorder="1" applyAlignment="1">
      <alignment wrapText="1"/>
    </xf>
    <xf numFmtId="9" fontId="0" fillId="0" borderId="17" xfId="51" applyFont="1" applyBorder="1" applyAlignment="1"/>
    <xf numFmtId="3" fontId="0" fillId="0" borderId="17" xfId="1" applyNumberFormat="1" applyFont="1" applyBorder="1" applyAlignment="1"/>
    <xf numFmtId="166" fontId="0" fillId="0" borderId="17" xfId="0" applyNumberFormat="1" applyBorder="1" applyAlignment="1">
      <alignment horizontal="left" vertical="top" wrapText="1"/>
    </xf>
    <xf numFmtId="40" fontId="29" fillId="0" borderId="17" xfId="0" applyNumberFormat="1" applyFont="1" applyFill="1" applyBorder="1" applyAlignment="1">
      <alignment wrapText="1"/>
    </xf>
    <xf numFmtId="9" fontId="0" fillId="0" borderId="17" xfId="51" applyFont="1" applyFill="1" applyBorder="1" applyAlignment="1"/>
    <xf numFmtId="38" fontId="29" fillId="0" borderId="17" xfId="1" applyNumberFormat="1" applyFont="1" applyBorder="1"/>
    <xf numFmtId="40" fontId="29" fillId="0" borderId="17" xfId="1" applyNumberFormat="1" applyFont="1" applyBorder="1"/>
    <xf numFmtId="166" fontId="29" fillId="0" borderId="17" xfId="0" applyNumberFormat="1" applyFont="1" applyFill="1" applyBorder="1" applyAlignment="1">
      <alignment horizontal="center" wrapText="1"/>
    </xf>
    <xf numFmtId="164" fontId="29" fillId="0" borderId="17" xfId="0" applyNumberFormat="1" applyFont="1" applyFill="1" applyBorder="1" applyAlignment="1">
      <alignment horizontal="center" wrapText="1"/>
    </xf>
    <xf numFmtId="40" fontId="0" fillId="0" borderId="17" xfId="0" applyNumberFormat="1" applyFont="1" applyBorder="1" applyAlignment="1">
      <alignment horizontal="right" wrapText="1"/>
    </xf>
    <xf numFmtId="164" fontId="29" fillId="0" borderId="17" xfId="0" applyNumberFormat="1" applyFont="1" applyFill="1" applyBorder="1" applyAlignment="1" applyProtection="1">
      <alignment horizontal="center" wrapText="1"/>
    </xf>
    <xf numFmtId="164" fontId="0" fillId="0" borderId="17" xfId="0" applyNumberFormat="1" applyFont="1" applyFill="1" applyBorder="1" applyAlignment="1" applyProtection="1">
      <alignment horizontal="center" wrapText="1"/>
    </xf>
    <xf numFmtId="0" fontId="30" fillId="0" borderId="17" xfId="0" applyFont="1" applyFill="1" applyBorder="1" applyAlignment="1">
      <alignment wrapText="1"/>
    </xf>
    <xf numFmtId="166" fontId="0" fillId="0" borderId="17" xfId="0" applyNumberFormat="1" applyFont="1" applyFill="1" applyBorder="1" applyAlignment="1">
      <alignment horizontal="center" wrapText="1"/>
    </xf>
    <xf numFmtId="0" fontId="0" fillId="0" borderId="17" xfId="0" applyNumberFormat="1" applyFont="1" applyFill="1" applyBorder="1"/>
    <xf numFmtId="2" fontId="0" fillId="0" borderId="17" xfId="0" applyNumberFormat="1" applyFont="1" applyFill="1" applyBorder="1"/>
    <xf numFmtId="2" fontId="0" fillId="0" borderId="17" xfId="0" applyNumberFormat="1" applyFont="1" applyFill="1" applyBorder="1" applyAlignment="1">
      <alignment horizontal="right"/>
    </xf>
    <xf numFmtId="9" fontId="0" fillId="0" borderId="17" xfId="0" applyNumberFormat="1" applyFont="1" applyFill="1" applyBorder="1" applyAlignment="1">
      <alignment horizontal="right"/>
    </xf>
    <xf numFmtId="2" fontId="0" fillId="0" borderId="0" xfId="0" applyNumberFormat="1"/>
    <xf numFmtId="0" fontId="1" fillId="60" borderId="0" xfId="0" applyFont="1" applyFill="1"/>
    <xf numFmtId="3" fontId="23" fillId="0" borderId="0" xfId="1" applyNumberFormat="1" applyFont="1" applyBorder="1" applyAlignment="1">
      <alignment horizontal="left" wrapText="1"/>
    </xf>
    <xf numFmtId="0" fontId="1" fillId="0" borderId="0" xfId="0" applyFont="1" applyAlignment="1">
      <alignment horizontal="center"/>
    </xf>
    <xf numFmtId="0" fontId="1" fillId="2" borderId="0" xfId="0" applyFont="1" applyFill="1" applyBorder="1" applyAlignment="1"/>
    <xf numFmtId="9" fontId="0" fillId="0" borderId="32" xfId="0" applyNumberFormat="1" applyBorder="1"/>
    <xf numFmtId="0" fontId="30" fillId="0" borderId="0" xfId="0" applyFont="1"/>
    <xf numFmtId="0" fontId="1" fillId="2" borderId="0" xfId="0" applyFont="1" applyFill="1" applyAlignment="1">
      <alignment wrapText="1"/>
    </xf>
    <xf numFmtId="3" fontId="94" fillId="0" borderId="32" xfId="0" applyNumberFormat="1" applyFont="1" applyBorder="1"/>
    <xf numFmtId="4" fontId="94" fillId="0" borderId="32" xfId="0" applyNumberFormat="1" applyFont="1" applyBorder="1"/>
    <xf numFmtId="0" fontId="0" fillId="0" borderId="32" xfId="0" applyFont="1" applyBorder="1"/>
    <xf numFmtId="0" fontId="0" fillId="0" borderId="0" xfId="0" applyFont="1" applyFill="1" applyBorder="1"/>
    <xf numFmtId="0" fontId="36" fillId="0" borderId="0" xfId="0" applyFont="1" applyFill="1" applyBorder="1"/>
    <xf numFmtId="0" fontId="38" fillId="35" borderId="0" xfId="0" applyNumberFormat="1" applyFont="1" applyFill="1"/>
    <xf numFmtId="0" fontId="37" fillId="35" borderId="0" xfId="0" applyNumberFormat="1" applyFont="1" applyFill="1"/>
    <xf numFmtId="0" fontId="41" fillId="35" borderId="0" xfId="0" applyNumberFormat="1" applyFont="1" applyFill="1" applyAlignment="1">
      <alignment horizontal="left"/>
    </xf>
    <xf numFmtId="49" fontId="38" fillId="35" borderId="0" xfId="0" applyNumberFormat="1" applyFont="1" applyFill="1"/>
    <xf numFmtId="0" fontId="41" fillId="36" borderId="0" xfId="0" applyNumberFormat="1" applyFont="1" applyFill="1" applyAlignment="1">
      <alignment horizontal="left"/>
    </xf>
    <xf numFmtId="0" fontId="1" fillId="0" borderId="0" xfId="0" applyFont="1" applyBorder="1" applyAlignment="1">
      <alignment wrapText="1"/>
    </xf>
    <xf numFmtId="0" fontId="0" fillId="0" borderId="0" xfId="0" applyFont="1" applyFill="1" applyBorder="1" applyAlignment="1">
      <alignment horizontal="left" vertical="center"/>
    </xf>
    <xf numFmtId="167" fontId="0" fillId="0" borderId="0" xfId="0" applyNumberFormat="1" applyFont="1" applyFill="1" applyBorder="1"/>
    <xf numFmtId="167" fontId="0" fillId="0" borderId="17" xfId="0" applyNumberFormat="1" applyFont="1" applyFill="1" applyBorder="1" applyAlignment="1">
      <alignment horizontal="right" vertical="center"/>
    </xf>
    <xf numFmtId="0" fontId="0" fillId="0" borderId="43" xfId="0" applyFont="1" applyFill="1" applyBorder="1" applyAlignment="1">
      <alignment horizontal="left" wrapText="1"/>
    </xf>
    <xf numFmtId="166" fontId="0" fillId="0" borderId="0" xfId="0" applyNumberFormat="1" applyFont="1" applyFill="1" applyAlignment="1">
      <alignment horizontal="center" wrapText="1"/>
    </xf>
    <xf numFmtId="4" fontId="41" fillId="36" borderId="0" xfId="0" applyNumberFormat="1" applyFont="1" applyFill="1" applyAlignment="1">
      <alignment horizontal="left"/>
    </xf>
    <xf numFmtId="0" fontId="41" fillId="36" borderId="0" xfId="0" applyFont="1" applyFill="1" applyAlignment="1"/>
    <xf numFmtId="0" fontId="3" fillId="0" borderId="0" xfId="0" applyFont="1" applyFill="1" applyBorder="1" applyAlignment="1" applyProtection="1">
      <alignment horizontal="center" vertical="center"/>
    </xf>
    <xf numFmtId="0" fontId="36" fillId="0" borderId="0" xfId="0" applyFont="1" applyFill="1" applyAlignment="1">
      <alignment vertical="top"/>
    </xf>
    <xf numFmtId="0" fontId="95" fillId="0" borderId="0" xfId="44" applyFont="1" applyFill="1" applyBorder="1" applyAlignment="1">
      <alignment horizontal="left"/>
    </xf>
    <xf numFmtId="169" fontId="37" fillId="0" borderId="0" xfId="0" applyNumberFormat="1" applyFont="1"/>
    <xf numFmtId="0" fontId="95" fillId="0" borderId="0" xfId="44" applyFont="1" applyBorder="1" applyAlignment="1"/>
    <xf numFmtId="0" fontId="40" fillId="0" borderId="0" xfId="85" applyAlignment="1" applyProtection="1">
      <alignment horizontal="left"/>
    </xf>
    <xf numFmtId="0" fontId="90" fillId="2" borderId="0" xfId="565" applyFont="1" applyFill="1" applyBorder="1" applyAlignment="1">
      <alignment horizontal="center" vertical="center" wrapText="1"/>
    </xf>
    <xf numFmtId="49" fontId="90" fillId="2" borderId="0" xfId="565" applyNumberFormat="1" applyFont="1" applyFill="1" applyBorder="1" applyAlignment="1">
      <alignment horizontal="center" vertical="center" wrapText="1"/>
    </xf>
    <xf numFmtId="3" fontId="90" fillId="2" borderId="0" xfId="565" applyNumberFormat="1" applyFont="1" applyFill="1" applyBorder="1" applyAlignment="1">
      <alignment horizontal="center" vertical="center" wrapText="1"/>
    </xf>
    <xf numFmtId="0" fontId="0" fillId="2" borderId="0" xfId="0" applyFill="1"/>
    <xf numFmtId="3" fontId="1" fillId="2" borderId="0" xfId="0" applyNumberFormat="1" applyFont="1" applyFill="1"/>
    <xf numFmtId="0" fontId="0" fillId="2" borderId="0" xfId="0" applyFill="1" applyAlignment="1">
      <alignment horizontal="center"/>
    </xf>
    <xf numFmtId="0" fontId="0" fillId="0" borderId="36" xfId="0" applyBorder="1"/>
    <xf numFmtId="3" fontId="0" fillId="0" borderId="36" xfId="0" applyNumberFormat="1" applyBorder="1"/>
    <xf numFmtId="0" fontId="0" fillId="0" borderId="36" xfId="0" applyBorder="1" applyAlignment="1">
      <alignment horizontal="center"/>
    </xf>
    <xf numFmtId="0" fontId="0" fillId="0" borderId="17" xfId="0" applyBorder="1" applyAlignment="1">
      <alignment horizontal="center"/>
    </xf>
    <xf numFmtId="0" fontId="0" fillId="0" borderId="44" xfId="0" applyBorder="1"/>
    <xf numFmtId="3" fontId="0" fillId="0" borderId="44" xfId="0" applyNumberFormat="1" applyBorder="1"/>
    <xf numFmtId="0" fontId="0" fillId="0" borderId="44" xfId="0" applyBorder="1" applyAlignment="1">
      <alignment horizontal="center"/>
    </xf>
    <xf numFmtId="3" fontId="0" fillId="0" borderId="36" xfId="0" applyNumberFormat="1" applyBorder="1" applyAlignment="1">
      <alignment horizontal="right"/>
    </xf>
    <xf numFmtId="0" fontId="0" fillId="0" borderId="34" xfId="0" applyBorder="1"/>
    <xf numFmtId="0" fontId="0" fillId="0" borderId="34" xfId="0" applyBorder="1" applyAlignment="1">
      <alignment horizontal="center"/>
    </xf>
    <xf numFmtId="0" fontId="0" fillId="0" borderId="34" xfId="0" applyBorder="1" applyAlignment="1"/>
    <xf numFmtId="0" fontId="0" fillId="0" borderId="32" xfId="0" applyBorder="1" applyAlignment="1">
      <alignment horizontal="center"/>
    </xf>
    <xf numFmtId="3" fontId="0" fillId="0" borderId="0" xfId="0" applyNumberFormat="1" applyBorder="1"/>
    <xf numFmtId="0" fontId="0" fillId="0" borderId="0" xfId="0" applyBorder="1" applyAlignment="1">
      <alignment horizontal="center"/>
    </xf>
    <xf numFmtId="0" fontId="1" fillId="2" borderId="0" xfId="0" applyFont="1" applyFill="1" applyBorder="1"/>
    <xf numFmtId="3" fontId="90" fillId="34" borderId="0" xfId="565" applyNumberFormat="1" applyFont="1" applyFill="1" applyBorder="1" applyAlignment="1">
      <alignment horizontal="center" vertical="center" wrapText="1"/>
    </xf>
    <xf numFmtId="0" fontId="0" fillId="34" borderId="0" xfId="0" applyFill="1"/>
    <xf numFmtId="3" fontId="0" fillId="0" borderId="44" xfId="0" applyNumberFormat="1" applyBorder="1" applyAlignment="1">
      <alignment horizontal="right"/>
    </xf>
    <xf numFmtId="3" fontId="0" fillId="0" borderId="32" xfId="0" applyNumberFormat="1" applyBorder="1" applyAlignment="1">
      <alignment horizontal="right"/>
    </xf>
    <xf numFmtId="3" fontId="0" fillId="0" borderId="0" xfId="0" applyNumberFormat="1" applyBorder="1" applyAlignment="1">
      <alignment horizontal="right"/>
    </xf>
    <xf numFmtId="3" fontId="1" fillId="34" borderId="0" xfId="0" applyNumberFormat="1" applyFont="1" applyFill="1" applyAlignment="1">
      <alignment horizontal="right"/>
    </xf>
    <xf numFmtId="0" fontId="1" fillId="34" borderId="0" xfId="0" applyFont="1" applyFill="1"/>
    <xf numFmtId="3" fontId="1" fillId="34" borderId="0" xfId="0" applyNumberFormat="1" applyFont="1" applyFill="1"/>
    <xf numFmtId="3" fontId="1" fillId="2" borderId="0" xfId="0" applyNumberFormat="1" applyFont="1" applyFill="1" applyAlignment="1">
      <alignment horizontal="right"/>
    </xf>
    <xf numFmtId="1" fontId="0" fillId="0" borderId="0" xfId="51" applyNumberFormat="1" applyFont="1"/>
    <xf numFmtId="0" fontId="0" fillId="0" borderId="32" xfId="0" applyBorder="1" applyAlignment="1">
      <alignment horizontal="left"/>
    </xf>
    <xf numFmtId="0" fontId="0" fillId="0" borderId="32" xfId="0" applyBorder="1" applyAlignment="1">
      <alignment horizontal="left" vertical="center"/>
    </xf>
    <xf numFmtId="0" fontId="0" fillId="0" borderId="17" xfId="0" applyBorder="1" applyAlignment="1">
      <alignment horizontal="right"/>
    </xf>
    <xf numFmtId="0" fontId="29" fillId="0" borderId="0" xfId="0" applyFont="1" applyFill="1" applyBorder="1" applyAlignment="1">
      <alignment horizontal="right" wrapText="1"/>
    </xf>
    <xf numFmtId="0" fontId="0" fillId="0" borderId="0" xfId="0" applyFont="1" applyBorder="1" applyAlignment="1">
      <alignment horizontal="right"/>
    </xf>
    <xf numFmtId="0" fontId="0" fillId="0" borderId="16" xfId="0" applyFont="1" applyBorder="1" applyAlignment="1">
      <alignment horizontal="left"/>
    </xf>
    <xf numFmtId="0" fontId="29" fillId="0" borderId="16" xfId="87" applyFont="1" applyBorder="1" applyAlignment="1">
      <alignment horizontal="left"/>
    </xf>
    <xf numFmtId="0" fontId="27" fillId="0" borderId="0" xfId="52"/>
    <xf numFmtId="0" fontId="0" fillId="0" borderId="16" xfId="0" applyFont="1" applyBorder="1" applyAlignment="1">
      <alignment horizontal="left" wrapText="1"/>
    </xf>
    <xf numFmtId="0" fontId="0" fillId="0" borderId="16" xfId="0" applyFont="1" applyBorder="1" applyAlignment="1">
      <alignment horizontal="right"/>
    </xf>
    <xf numFmtId="0" fontId="27" fillId="0" borderId="0" xfId="52"/>
    <xf numFmtId="0" fontId="0" fillId="0" borderId="0" xfId="0"/>
    <xf numFmtId="2" fontId="0" fillId="0" borderId="0" xfId="1" applyNumberFormat="1" applyFont="1" applyAlignment="1"/>
    <xf numFmtId="2" fontId="0" fillId="0" borderId="17" xfId="1" applyNumberFormat="1" applyFont="1" applyBorder="1" applyAlignment="1"/>
    <xf numFmtId="2" fontId="4" fillId="0" borderId="0" xfId="0" applyNumberFormat="1" applyFont="1" applyAlignment="1">
      <alignment horizontal="right"/>
    </xf>
    <xf numFmtId="2" fontId="0" fillId="0" borderId="0" xfId="0" applyNumberFormat="1" applyAlignment="1"/>
    <xf numFmtId="2" fontId="3" fillId="0" borderId="0" xfId="0" applyNumberFormat="1" applyFont="1" applyAlignment="1">
      <alignment horizontal="center" wrapText="1"/>
    </xf>
    <xf numFmtId="2" fontId="3" fillId="0" borderId="0" xfId="0" applyNumberFormat="1" applyFont="1" applyBorder="1" applyAlignment="1" applyProtection="1">
      <alignment horizontal="center" wrapText="1"/>
    </xf>
    <xf numFmtId="1" fontId="0" fillId="0" borderId="0" xfId="0" applyNumberFormat="1"/>
    <xf numFmtId="3" fontId="0" fillId="61" borderId="0" xfId="0" applyNumberFormat="1" applyFill="1"/>
    <xf numFmtId="3" fontId="0" fillId="62" borderId="0" xfId="0" applyNumberFormat="1" applyFill="1"/>
    <xf numFmtId="0" fontId="36" fillId="0" borderId="0" xfId="0" applyFont="1" applyBorder="1" applyAlignment="1">
      <alignment horizontal="left" vertical="top" wrapText="1"/>
    </xf>
    <xf numFmtId="0" fontId="43" fillId="2" borderId="5" xfId="44" applyFont="1" applyFill="1" applyBorder="1" applyAlignment="1">
      <alignment horizontal="center" vertical="center" wrapText="1"/>
    </xf>
    <xf numFmtId="0" fontId="43" fillId="2" borderId="6" xfId="44" applyFont="1" applyFill="1" applyBorder="1" applyAlignment="1">
      <alignment horizontal="center" vertical="center" wrapText="1"/>
    </xf>
    <xf numFmtId="0" fontId="97" fillId="0" borderId="0" xfId="44" applyFont="1" applyFill="1" applyBorder="1" applyAlignment="1">
      <alignment horizontal="center"/>
    </xf>
    <xf numFmtId="0" fontId="98" fillId="0" borderId="0" xfId="0" applyFont="1" applyFill="1" applyBorder="1" applyAlignment="1">
      <alignment horizontal="center" vertical="center" wrapText="1"/>
    </xf>
    <xf numFmtId="3" fontId="97" fillId="0" borderId="0" xfId="45" applyNumberFormat="1" applyFont="1" applyFill="1" applyBorder="1" applyAlignment="1">
      <alignment horizontal="right"/>
    </xf>
    <xf numFmtId="0" fontId="20" fillId="0" borderId="0" xfId="0" applyFont="1"/>
    <xf numFmtId="3" fontId="97" fillId="0" borderId="0" xfId="44" applyNumberFormat="1" applyFont="1" applyFill="1" applyBorder="1" applyAlignment="1">
      <alignment horizontal="center"/>
    </xf>
    <xf numFmtId="0" fontId="0" fillId="0" borderId="31" xfId="0" applyBorder="1" applyAlignment="1">
      <alignment horizontal="left" vertical="center"/>
    </xf>
    <xf numFmtId="0" fontId="0" fillId="0" borderId="0" xfId="0" applyBorder="1" applyAlignment="1">
      <alignment horizontal="left" vertical="center"/>
    </xf>
    <xf numFmtId="0" fontId="36" fillId="0" borderId="0" xfId="0" applyFont="1" applyAlignment="1">
      <alignment vertical="center"/>
    </xf>
    <xf numFmtId="0" fontId="1" fillId="0" borderId="0" xfId="0" applyFont="1" applyAlignment="1">
      <alignment horizontal="left" vertical="center"/>
    </xf>
    <xf numFmtId="49" fontId="41" fillId="35" borderId="0" xfId="0" applyNumberFormat="1" applyFont="1" applyFill="1" applyAlignment="1">
      <alignment horizontal="left"/>
    </xf>
    <xf numFmtId="3" fontId="36" fillId="0" borderId="0" xfId="0" applyNumberFormat="1" applyFont="1"/>
    <xf numFmtId="0" fontId="1" fillId="2" borderId="0" xfId="0" applyFont="1" applyFill="1" applyBorder="1" applyAlignment="1">
      <alignment horizontal="left"/>
    </xf>
    <xf numFmtId="0" fontId="1" fillId="0" borderId="0" xfId="0" applyFont="1" applyFill="1"/>
    <xf numFmtId="0" fontId="37" fillId="63" borderId="0" xfId="0" applyFont="1" applyFill="1"/>
    <xf numFmtId="0" fontId="38" fillId="63" borderId="0" xfId="0" applyFont="1" applyFill="1"/>
    <xf numFmtId="0" fontId="37" fillId="63" borderId="0" xfId="0" applyNumberFormat="1" applyFont="1" applyFill="1"/>
    <xf numFmtId="0" fontId="38" fillId="63" borderId="0" xfId="0" applyNumberFormat="1" applyFont="1" applyFill="1"/>
    <xf numFmtId="0" fontId="38" fillId="63" borderId="0" xfId="0" applyFont="1" applyFill="1" applyAlignment="1">
      <alignment vertical="top"/>
    </xf>
    <xf numFmtId="0" fontId="38" fillId="63" borderId="0" xfId="0" applyFont="1" applyFill="1" applyAlignment="1">
      <alignment vertical="top" wrapText="1"/>
    </xf>
    <xf numFmtId="0" fontId="38" fillId="63" borderId="0" xfId="0" applyFont="1" applyFill="1" applyAlignment="1">
      <alignment horizontal="left"/>
    </xf>
    <xf numFmtId="0" fontId="38" fillId="64" borderId="0" xfId="0" applyFont="1" applyFill="1"/>
    <xf numFmtId="0" fontId="37" fillId="64" borderId="0" xfId="0" applyFont="1" applyFill="1"/>
    <xf numFmtId="9" fontId="20" fillId="0" borderId="0" xfId="51" applyFont="1"/>
    <xf numFmtId="0" fontId="64" fillId="0" borderId="0" xfId="0" applyFont="1" applyBorder="1"/>
    <xf numFmtId="3" fontId="64" fillId="0" borderId="41" xfId="0" applyNumberFormat="1" applyFont="1" applyBorder="1"/>
    <xf numFmtId="3" fontId="64" fillId="0" borderId="17" xfId="45" applyNumberFormat="1" applyFont="1" applyBorder="1" applyAlignment="1">
      <alignment horizontal="right"/>
    </xf>
    <xf numFmtId="3" fontId="97" fillId="0" borderId="17" xfId="46" applyNumberFormat="1" applyFont="1" applyBorder="1" applyAlignment="1">
      <alignment horizontal="center"/>
    </xf>
    <xf numFmtId="3" fontId="64" fillId="0" borderId="16" xfId="44" applyNumberFormat="1" applyFont="1" applyBorder="1" applyAlignment="1">
      <alignment horizontal="center"/>
    </xf>
    <xf numFmtId="0" fontId="32" fillId="0" borderId="0" xfId="0" applyFont="1"/>
    <xf numFmtId="0" fontId="17" fillId="0" borderId="0" xfId="0" applyFont="1"/>
    <xf numFmtId="3" fontId="20" fillId="0" borderId="0" xfId="0" applyNumberFormat="1" applyFont="1"/>
    <xf numFmtId="0" fontId="0" fillId="0" borderId="0" xfId="0" applyAlignment="1">
      <alignment vertical="center"/>
    </xf>
    <xf numFmtId="0" fontId="1" fillId="0" borderId="0" xfId="0" applyFont="1" applyAlignment="1">
      <alignment vertical="center"/>
    </xf>
    <xf numFmtId="0" fontId="89" fillId="0" borderId="0" xfId="0" applyFont="1" applyBorder="1" applyAlignment="1">
      <alignment vertical="center" wrapText="1"/>
    </xf>
    <xf numFmtId="0" fontId="89" fillId="0" borderId="31" xfId="0" applyFont="1" applyBorder="1" applyAlignment="1">
      <alignment vertical="center" wrapText="1"/>
    </xf>
    <xf numFmtId="0" fontId="0" fillId="0" borderId="31" xfId="0" applyBorder="1" applyAlignment="1">
      <alignment horizontal="center"/>
    </xf>
    <xf numFmtId="3" fontId="0" fillId="0" borderId="31" xfId="0" applyNumberFormat="1" applyBorder="1"/>
    <xf numFmtId="0" fontId="0" fillId="0" borderId="31" xfId="0" applyBorder="1"/>
    <xf numFmtId="3" fontId="0" fillId="0" borderId="31" xfId="0" applyNumberFormat="1" applyBorder="1" applyAlignment="1">
      <alignment horizontal="right"/>
    </xf>
    <xf numFmtId="0" fontId="89" fillId="0" borderId="32" xfId="0" applyFont="1" applyBorder="1" applyAlignment="1">
      <alignment vertical="center" wrapText="1"/>
    </xf>
    <xf numFmtId="0" fontId="0" fillId="0" borderId="32" xfId="0" applyBorder="1" applyAlignment="1">
      <alignment horizontal="left" wrapText="1"/>
    </xf>
    <xf numFmtId="0" fontId="0" fillId="0" borderId="17" xfId="0" applyNumberFormat="1" applyFont="1" applyBorder="1" applyAlignment="1">
      <alignment horizontal="center"/>
    </xf>
    <xf numFmtId="0" fontId="101" fillId="0" borderId="0" xfId="0" applyFont="1" applyAlignment="1">
      <alignment vertical="center"/>
    </xf>
    <xf numFmtId="0" fontId="102" fillId="0" borderId="0" xfId="0" applyFont="1"/>
    <xf numFmtId="0" fontId="103" fillId="0" borderId="0" xfId="0" applyFont="1"/>
    <xf numFmtId="10" fontId="0" fillId="0" borderId="0" xfId="51" applyNumberFormat="1" applyFont="1"/>
    <xf numFmtId="10" fontId="1" fillId="0" borderId="0" xfId="51" applyNumberFormat="1" applyFont="1" applyFill="1" applyBorder="1"/>
    <xf numFmtId="3" fontId="104" fillId="0" borderId="17" xfId="46" applyNumberFormat="1" applyFont="1" applyBorder="1" applyAlignment="1">
      <alignment horizontal="center"/>
    </xf>
    <xf numFmtId="171" fontId="104" fillId="0" borderId="17" xfId="47" applyNumberFormat="1" applyFont="1" applyBorder="1" applyAlignment="1">
      <alignment horizontal="center"/>
    </xf>
    <xf numFmtId="171" fontId="97" fillId="0" borderId="17" xfId="46" applyNumberFormat="1" applyFont="1" applyBorder="1" applyAlignment="1">
      <alignment horizontal="center"/>
    </xf>
    <xf numFmtId="0" fontId="37" fillId="36" borderId="0" xfId="0" applyFont="1" applyFill="1" applyAlignment="1">
      <alignment horizontal="left" vertical="top" wrapText="1"/>
    </xf>
    <xf numFmtId="0" fontId="1" fillId="0" borderId="31" xfId="0" applyFont="1" applyBorder="1" applyAlignment="1">
      <alignment horizontal="center"/>
    </xf>
    <xf numFmtId="0" fontId="1" fillId="0" borderId="0" xfId="0" applyFont="1" applyAlignment="1">
      <alignment horizontal="center"/>
    </xf>
    <xf numFmtId="0" fontId="1" fillId="2" borderId="33" xfId="0" applyFont="1" applyFill="1" applyBorder="1" applyAlignment="1">
      <alignment horizontal="center" vertical="center"/>
    </xf>
    <xf numFmtId="0" fontId="1" fillId="2" borderId="31" xfId="0" applyFont="1" applyFill="1" applyBorder="1" applyAlignment="1">
      <alignment horizontal="center" vertical="center"/>
    </xf>
    <xf numFmtId="0" fontId="1" fillId="0" borderId="0" xfId="0" applyFont="1" applyBorder="1" applyAlignment="1">
      <alignment horizontal="center"/>
    </xf>
    <xf numFmtId="0" fontId="36" fillId="0" borderId="33" xfId="0" applyFont="1" applyBorder="1" applyAlignment="1">
      <alignment horizontal="left" vertical="top" wrapText="1"/>
    </xf>
    <xf numFmtId="0" fontId="36" fillId="0" borderId="0" xfId="0" applyFont="1" applyBorder="1" applyAlignment="1">
      <alignment horizontal="left" vertical="top" wrapText="1"/>
    </xf>
    <xf numFmtId="49" fontId="87" fillId="0" borderId="0" xfId="0" applyNumberFormat="1" applyFont="1" applyAlignment="1">
      <alignment horizontal="center" vertical="center" wrapText="1"/>
    </xf>
    <xf numFmtId="0" fontId="36" fillId="0" borderId="0" xfId="0" applyFont="1" applyFill="1" applyBorder="1" applyAlignment="1">
      <alignment horizontal="left" vertical="top" wrapText="1"/>
    </xf>
    <xf numFmtId="0" fontId="36" fillId="0" borderId="33" xfId="0" applyFont="1" applyFill="1" applyBorder="1" applyAlignment="1">
      <alignment horizontal="left" vertical="top"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2" borderId="0" xfId="0" applyFont="1" applyFill="1" applyBorder="1" applyAlignment="1">
      <alignment horizontal="center"/>
    </xf>
    <xf numFmtId="0" fontId="1" fillId="2" borderId="32" xfId="0" applyFont="1" applyFill="1" applyBorder="1" applyAlignment="1">
      <alignment horizontal="center"/>
    </xf>
    <xf numFmtId="0" fontId="1" fillId="2" borderId="33"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31" xfId="0" applyFont="1" applyFill="1" applyBorder="1" applyAlignment="1">
      <alignment horizontal="left" vertical="center" wrapText="1"/>
    </xf>
    <xf numFmtId="0" fontId="1" fillId="2" borderId="31" xfId="0" applyFont="1" applyFill="1" applyBorder="1" applyAlignment="1">
      <alignment horizontal="center"/>
    </xf>
    <xf numFmtId="0" fontId="36" fillId="0" borderId="0" xfId="0" applyFont="1" applyAlignment="1">
      <alignment horizontal="left" vertical="center" wrapText="1"/>
    </xf>
    <xf numFmtId="0" fontId="26" fillId="0" borderId="0" xfId="0" quotePrefix="1" applyFont="1" applyAlignment="1">
      <alignment wrapText="1"/>
    </xf>
    <xf numFmtId="0" fontId="26" fillId="0" borderId="0" xfId="0" applyFont="1" applyAlignment="1">
      <alignment wrapText="1"/>
    </xf>
    <xf numFmtId="0" fontId="1" fillId="0" borderId="19" xfId="0" applyFont="1" applyBorder="1" applyAlignment="1">
      <alignment horizontal="center" vertical="center" wrapText="1"/>
    </xf>
    <xf numFmtId="0" fontId="1" fillId="0" borderId="19" xfId="0" applyFont="1" applyBorder="1" applyAlignment="1">
      <alignment horizontal="center" wrapText="1"/>
    </xf>
    <xf numFmtId="0" fontId="1" fillId="2" borderId="2" xfId="0" applyFont="1" applyFill="1" applyBorder="1" applyAlignment="1">
      <alignment horizontal="center" wrapText="1"/>
    </xf>
    <xf numFmtId="0" fontId="0" fillId="2" borderId="4" xfId="0" applyFont="1" applyFill="1" applyBorder="1" applyAlignment="1">
      <alignment horizontal="center" wrapText="1"/>
    </xf>
    <xf numFmtId="0" fontId="0" fillId="2" borderId="3" xfId="0" applyFont="1" applyFill="1" applyBorder="1" applyAlignment="1">
      <alignment horizontal="center" wrapText="1"/>
    </xf>
    <xf numFmtId="0" fontId="1" fillId="2" borderId="4" xfId="0" applyFont="1" applyFill="1" applyBorder="1" applyAlignment="1">
      <alignment horizontal="center" wrapText="1"/>
    </xf>
    <xf numFmtId="0" fontId="1" fillId="2" borderId="3" xfId="0" applyFont="1" applyFill="1" applyBorder="1" applyAlignment="1">
      <alignment horizontal="center" wrapText="1"/>
    </xf>
    <xf numFmtId="0" fontId="36" fillId="0" borderId="0" xfId="0" applyFont="1" applyFill="1" applyAlignment="1">
      <alignment horizontal="left" vertical="top" wrapText="1"/>
    </xf>
    <xf numFmtId="0" fontId="36" fillId="0" borderId="0" xfId="0" applyFont="1" applyFill="1" applyAlignment="1">
      <alignment horizontal="left" wrapText="1"/>
    </xf>
    <xf numFmtId="0" fontId="36" fillId="0" borderId="0" xfId="0" applyFont="1" applyBorder="1" applyAlignment="1">
      <alignment horizontal="left" vertical="center" wrapText="1"/>
    </xf>
    <xf numFmtId="0" fontId="37" fillId="2" borderId="0" xfId="0" applyFont="1" applyFill="1" applyAlignment="1">
      <alignment horizontal="center" vertical="center" wrapText="1"/>
    </xf>
    <xf numFmtId="0" fontId="36" fillId="0" borderId="0" xfId="0" applyFont="1" applyFill="1" applyAlignment="1">
      <alignment horizontal="left" vertical="top"/>
    </xf>
    <xf numFmtId="0" fontId="37" fillId="2" borderId="19" xfId="0" applyNumberFormat="1" applyFont="1" applyFill="1" applyBorder="1" applyAlignment="1">
      <alignment horizontal="center" wrapText="1"/>
    </xf>
    <xf numFmtId="0" fontId="36" fillId="0" borderId="0" xfId="0" applyFont="1" applyBorder="1" applyAlignment="1">
      <alignment horizontal="left" wrapText="1"/>
    </xf>
    <xf numFmtId="4" fontId="32" fillId="2" borderId="2" xfId="0" applyNumberFormat="1" applyFont="1" applyFill="1" applyBorder="1" applyAlignment="1">
      <alignment horizontal="center"/>
    </xf>
    <xf numFmtId="4" fontId="32" fillId="2" borderId="4" xfId="0" applyNumberFormat="1" applyFont="1" applyFill="1" applyBorder="1" applyAlignment="1">
      <alignment horizontal="center"/>
    </xf>
    <xf numFmtId="4" fontId="32" fillId="2" borderId="3" xfId="0" applyNumberFormat="1" applyFont="1" applyFill="1" applyBorder="1" applyAlignment="1">
      <alignment horizontal="center"/>
    </xf>
    <xf numFmtId="0" fontId="1" fillId="2" borderId="2"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0" fontId="1" fillId="2" borderId="19" xfId="0" applyFont="1" applyFill="1" applyBorder="1" applyAlignment="1">
      <alignment horizontal="center" wrapText="1"/>
    </xf>
    <xf numFmtId="0" fontId="30" fillId="0" borderId="0" xfId="0" applyFont="1" applyAlignment="1">
      <alignment horizontal="left" wrapText="1"/>
    </xf>
    <xf numFmtId="0" fontId="36" fillId="0" borderId="0" xfId="0" applyFont="1" applyAlignment="1">
      <alignment horizontal="left" wrapText="1"/>
    </xf>
    <xf numFmtId="1" fontId="1" fillId="2" borderId="2" xfId="0" applyNumberFormat="1" applyFont="1" applyFill="1" applyBorder="1" applyAlignment="1">
      <alignment horizontal="center" wrapText="1"/>
    </xf>
    <xf numFmtId="1" fontId="1" fillId="2" borderId="4" xfId="0" applyNumberFormat="1" applyFont="1" applyFill="1" applyBorder="1" applyAlignment="1">
      <alignment horizontal="center" wrapText="1"/>
    </xf>
    <xf numFmtId="1" fontId="1" fillId="2" borderId="3" xfId="0" applyNumberFormat="1" applyFont="1" applyFill="1" applyBorder="1" applyAlignment="1">
      <alignment horizontal="center" wrapText="1"/>
    </xf>
    <xf numFmtId="0" fontId="32" fillId="2" borderId="0" xfId="0" applyFont="1" applyFill="1" applyBorder="1" applyAlignment="1">
      <alignment horizontal="center"/>
    </xf>
    <xf numFmtId="1" fontId="1" fillId="2" borderId="2" xfId="0" applyNumberFormat="1" applyFont="1" applyFill="1" applyBorder="1" applyAlignment="1">
      <alignment horizontal="center" vertical="center" wrapText="1"/>
    </xf>
    <xf numFmtId="1" fontId="1" fillId="2" borderId="4"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1" fillId="2" borderId="29" xfId="0" applyFont="1" applyFill="1" applyBorder="1" applyAlignment="1">
      <alignment horizontal="center"/>
    </xf>
    <xf numFmtId="0" fontId="36" fillId="0" borderId="0" xfId="0" applyFont="1" applyAlignment="1">
      <alignment horizontal="left" vertical="top" wrapText="1"/>
    </xf>
    <xf numFmtId="0" fontId="36" fillId="0" borderId="0" xfId="0" applyFont="1" applyAlignment="1">
      <alignment horizontal="left" vertical="top"/>
    </xf>
    <xf numFmtId="0" fontId="0" fillId="0" borderId="33"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xf>
    <xf numFmtId="0" fontId="0" fillId="0" borderId="31" xfId="0" applyBorder="1" applyAlignment="1">
      <alignment horizontal="left" vertical="center"/>
    </xf>
    <xf numFmtId="0" fontId="1" fillId="2" borderId="0" xfId="0" applyFont="1" applyFill="1" applyAlignment="1">
      <alignment horizontal="center"/>
    </xf>
    <xf numFmtId="3" fontId="0" fillId="0" borderId="36" xfId="0" applyNumberFormat="1" applyBorder="1" applyAlignment="1">
      <alignment horizontal="right" vertical="center"/>
    </xf>
    <xf numFmtId="3" fontId="0" fillId="0" borderId="17" xfId="0" applyNumberFormat="1" applyBorder="1" applyAlignment="1">
      <alignment horizontal="right" vertical="center"/>
    </xf>
    <xf numFmtId="3" fontId="0" fillId="0" borderId="44" xfId="0" applyNumberFormat="1" applyBorder="1" applyAlignment="1">
      <alignment horizontal="right" vertical="center"/>
    </xf>
    <xf numFmtId="3" fontId="0" fillId="0" borderId="34" xfId="0" applyNumberFormat="1" applyBorder="1" applyAlignment="1">
      <alignment horizontal="right"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0" xfId="0" applyBorder="1" applyAlignment="1">
      <alignment horizontal="left" vertical="center"/>
    </xf>
    <xf numFmtId="0" fontId="0" fillId="0" borderId="33" xfId="0" applyBorder="1" applyAlignment="1">
      <alignment horizontal="center" vertical="center"/>
    </xf>
    <xf numFmtId="0" fontId="0" fillId="0" borderId="35" xfId="0" applyBorder="1" applyAlignment="1">
      <alignment horizontal="center" vertical="center"/>
    </xf>
    <xf numFmtId="0" fontId="43" fillId="2" borderId="1" xfId="44" applyFont="1" applyFill="1" applyBorder="1" applyAlignment="1">
      <alignment horizontal="center" wrapText="1"/>
    </xf>
    <xf numFmtId="0" fontId="43" fillId="0" borderId="0" xfId="44" applyFont="1" applyAlignment="1">
      <alignment horizontal="center"/>
    </xf>
    <xf numFmtId="0" fontId="65" fillId="0" borderId="0" xfId="44" applyFont="1" applyAlignment="1">
      <alignment horizontal="center" vertical="top" wrapText="1"/>
    </xf>
    <xf numFmtId="0" fontId="43" fillId="0" borderId="0" xfId="44" applyFont="1" applyBorder="1" applyAlignment="1">
      <alignment horizontal="center"/>
    </xf>
    <xf numFmtId="0" fontId="43" fillId="0" borderId="0" xfId="44" applyFont="1" applyAlignment="1"/>
    <xf numFmtId="0" fontId="65" fillId="0" borderId="0" xfId="44" applyFont="1" applyBorder="1" applyAlignment="1">
      <alignment horizontal="left" vertical="top" wrapText="1"/>
    </xf>
    <xf numFmtId="0" fontId="43" fillId="2" borderId="5" xfId="44" applyFont="1" applyFill="1" applyBorder="1" applyAlignment="1">
      <alignment horizontal="center" vertical="center" wrapText="1"/>
    </xf>
    <xf numFmtId="0" fontId="43" fillId="2" borderId="6" xfId="44" applyFont="1" applyFill="1" applyBorder="1" applyAlignment="1">
      <alignment horizontal="center" vertical="center" wrapText="1"/>
    </xf>
    <xf numFmtId="0" fontId="43" fillId="2" borderId="1" xfId="44" applyFont="1" applyFill="1" applyBorder="1" applyAlignment="1">
      <alignment horizontal="center"/>
    </xf>
    <xf numFmtId="0" fontId="43" fillId="2" borderId="1" xfId="44" applyFont="1" applyFill="1" applyBorder="1" applyAlignment="1"/>
    <xf numFmtId="0" fontId="65" fillId="0" borderId="0" xfId="0" applyFont="1" applyFill="1" applyBorder="1" applyAlignment="1">
      <alignment horizontal="left" vertical="top" wrapText="1"/>
    </xf>
    <xf numFmtId="0" fontId="95" fillId="0" borderId="19" xfId="0" applyFont="1" applyFill="1" applyBorder="1" applyAlignment="1">
      <alignment horizontal="center"/>
    </xf>
    <xf numFmtId="0" fontId="65" fillId="0" borderId="29" xfId="0" applyFont="1" applyFill="1" applyBorder="1" applyAlignment="1">
      <alignment horizontal="left" wrapText="1"/>
    </xf>
    <xf numFmtId="0" fontId="95" fillId="0" borderId="4" xfId="0" applyFont="1" applyFill="1" applyBorder="1" applyAlignment="1">
      <alignment horizontal="center" wrapText="1"/>
    </xf>
  </cellXfs>
  <cellStyles count="573">
    <cellStyle name="20% - Accent1" xfId="20" builtinId="30" customBuiltin="1"/>
    <cellStyle name="20% - Accent1 2" xfId="54"/>
    <cellStyle name="20% - Accent1 2 2" xfId="55"/>
    <cellStyle name="20% - Accent1 2 3" xfId="141"/>
    <cellStyle name="20% - Accent1 2 4" xfId="142"/>
    <cellStyle name="20% - Accent1 3" xfId="111"/>
    <cellStyle name="20% - Accent1 3 2" xfId="143"/>
    <cellStyle name="20% - Accent1 3 3" xfId="144"/>
    <cellStyle name="20% - Accent1 4" xfId="145"/>
    <cellStyle name="20% - Accent2" xfId="24" builtinId="34" customBuiltin="1"/>
    <cellStyle name="20% - Accent2 2" xfId="56"/>
    <cellStyle name="20% - Accent2 2 2" xfId="57"/>
    <cellStyle name="20% - Accent2 2 3" xfId="146"/>
    <cellStyle name="20% - Accent2 2 4" xfId="147"/>
    <cellStyle name="20% - Accent2 3" xfId="89"/>
    <cellStyle name="20% - Accent2 3 2" xfId="148"/>
    <cellStyle name="20% - Accent2 3 3" xfId="149"/>
    <cellStyle name="20% - Accent2 4" xfId="150"/>
    <cellStyle name="20% - Accent3" xfId="28" builtinId="38" customBuiltin="1"/>
    <cellStyle name="20% - Accent3 2" xfId="58"/>
    <cellStyle name="20% - Accent3 2 2" xfId="59"/>
    <cellStyle name="20% - Accent3 2 3" xfId="151"/>
    <cellStyle name="20% - Accent3 2 4" xfId="152"/>
    <cellStyle name="20% - Accent3 3" xfId="103"/>
    <cellStyle name="20% - Accent3 3 2" xfId="153"/>
    <cellStyle name="20% - Accent3 3 3" xfId="154"/>
    <cellStyle name="20% - Accent3 4" xfId="155"/>
    <cellStyle name="20% - Accent4" xfId="32" builtinId="42" customBuiltin="1"/>
    <cellStyle name="20% - Accent4 2" xfId="60"/>
    <cellStyle name="20% - Accent4 2 2" xfId="61"/>
    <cellStyle name="20% - Accent4 2 3" xfId="156"/>
    <cellStyle name="20% - Accent4 2 4" xfId="157"/>
    <cellStyle name="20% - Accent4 3" xfId="117"/>
    <cellStyle name="20% - Accent4 3 2" xfId="158"/>
    <cellStyle name="20% - Accent4 3 3" xfId="159"/>
    <cellStyle name="20% - Accent4 4" xfId="160"/>
    <cellStyle name="20% - Accent5" xfId="36" builtinId="46" customBuiltin="1"/>
    <cellStyle name="20% - Accent5 2" xfId="62"/>
    <cellStyle name="20% - Accent5 2 2" xfId="63"/>
    <cellStyle name="20% - Accent5 2 3" xfId="161"/>
    <cellStyle name="20% - Accent5 2 4" xfId="162"/>
    <cellStyle name="20% - Accent5 3" xfId="128"/>
    <cellStyle name="20% - Accent5 3 2" xfId="163"/>
    <cellStyle name="20% - Accent5 3 3" xfId="164"/>
    <cellStyle name="20% - Accent5 4" xfId="165"/>
    <cellStyle name="20% - Accent6" xfId="40" builtinId="50" customBuiltin="1"/>
    <cellStyle name="20% - Accent6 2" xfId="64"/>
    <cellStyle name="20% - Accent6 2 2" xfId="65"/>
    <cellStyle name="20% - Accent6 2 3" xfId="166"/>
    <cellStyle name="20% - Accent6 2 4" xfId="167"/>
    <cellStyle name="20% - Accent6 3" xfId="124"/>
    <cellStyle name="20% - Accent6 3 2" xfId="168"/>
    <cellStyle name="20% - Accent6 3 3" xfId="169"/>
    <cellStyle name="20% - Accent6 4" xfId="170"/>
    <cellStyle name="40% - Accent1" xfId="21" builtinId="31" customBuiltin="1"/>
    <cellStyle name="40% - Accent1 2" xfId="66"/>
    <cellStyle name="40% - Accent1 2 2" xfId="67"/>
    <cellStyle name="40% - Accent1 2 3" xfId="171"/>
    <cellStyle name="40% - Accent1 2 4" xfId="172"/>
    <cellStyle name="40% - Accent1 3" xfId="123"/>
    <cellStyle name="40% - Accent1 3 2" xfId="173"/>
    <cellStyle name="40% - Accent1 3 3" xfId="174"/>
    <cellStyle name="40% - Accent1 4" xfId="175"/>
    <cellStyle name="40% - Accent2" xfId="25" builtinId="35" customBuiltin="1"/>
    <cellStyle name="40% - Accent2 2" xfId="68"/>
    <cellStyle name="40% - Accent2 2 2" xfId="69"/>
    <cellStyle name="40% - Accent2 2 3" xfId="176"/>
    <cellStyle name="40% - Accent2 2 4" xfId="177"/>
    <cellStyle name="40% - Accent2 3" xfId="125"/>
    <cellStyle name="40% - Accent2 3 2" xfId="178"/>
    <cellStyle name="40% - Accent2 3 3" xfId="179"/>
    <cellStyle name="40% - Accent2 4" xfId="180"/>
    <cellStyle name="40% - Accent3" xfId="29" builtinId="39" customBuiltin="1"/>
    <cellStyle name="40% - Accent3 2" xfId="70"/>
    <cellStyle name="40% - Accent3 2 2" xfId="71"/>
    <cellStyle name="40% - Accent3 2 3" xfId="181"/>
    <cellStyle name="40% - Accent3 2 4" xfId="182"/>
    <cellStyle name="40% - Accent3 3" xfId="98"/>
    <cellStyle name="40% - Accent3 3 2" xfId="183"/>
    <cellStyle name="40% - Accent3 3 3" xfId="184"/>
    <cellStyle name="40% - Accent3 4" xfId="185"/>
    <cellStyle name="40% - Accent4" xfId="33" builtinId="43" customBuiltin="1"/>
    <cellStyle name="40% - Accent4 2" xfId="72"/>
    <cellStyle name="40% - Accent4 2 2" xfId="73"/>
    <cellStyle name="40% - Accent4 2 3" xfId="186"/>
    <cellStyle name="40% - Accent4 2 4" xfId="187"/>
    <cellStyle name="40% - Accent4 3" xfId="91"/>
    <cellStyle name="40% - Accent4 3 2" xfId="188"/>
    <cellStyle name="40% - Accent4 3 3" xfId="189"/>
    <cellStyle name="40% - Accent4 4" xfId="190"/>
    <cellStyle name="40% - Accent5" xfId="37" builtinId="47" customBuiltin="1"/>
    <cellStyle name="40% - Accent5 2" xfId="74"/>
    <cellStyle name="40% - Accent5 2 2" xfId="75"/>
    <cellStyle name="40% - Accent5 2 3" xfId="191"/>
    <cellStyle name="40% - Accent5 2 4" xfId="192"/>
    <cellStyle name="40% - Accent5 3" xfId="101"/>
    <cellStyle name="40% - Accent5 3 2" xfId="193"/>
    <cellStyle name="40% - Accent5 3 3" xfId="194"/>
    <cellStyle name="40% - Accent5 4" xfId="195"/>
    <cellStyle name="40% - Accent6" xfId="41" builtinId="51" customBuiltin="1"/>
    <cellStyle name="40% - Accent6 2" xfId="76"/>
    <cellStyle name="40% - Accent6 2 2" xfId="77"/>
    <cellStyle name="40% - Accent6 2 3" xfId="196"/>
    <cellStyle name="40% - Accent6 2 4" xfId="197"/>
    <cellStyle name="40% - Accent6 3" xfId="95"/>
    <cellStyle name="40% - Accent6 3 2" xfId="198"/>
    <cellStyle name="40% - Accent6 3 3" xfId="199"/>
    <cellStyle name="40% - Accent6 4" xfId="200"/>
    <cellStyle name="60% - Accent1" xfId="22" builtinId="32" customBuiltin="1"/>
    <cellStyle name="60% - Accent1 2" xfId="94"/>
    <cellStyle name="60% - Accent1 3" xfId="201"/>
    <cellStyle name="60% - Accent1 4" xfId="202"/>
    <cellStyle name="60% - Accent2" xfId="26" builtinId="36" customBuiltin="1"/>
    <cellStyle name="60% - Accent2 2" xfId="97"/>
    <cellStyle name="60% - Accent2 3" xfId="203"/>
    <cellStyle name="60% - Accent2 4" xfId="204"/>
    <cellStyle name="60% - Accent3" xfId="30" builtinId="40" customBuiltin="1"/>
    <cellStyle name="60% - Accent3 2" xfId="100"/>
    <cellStyle name="60% - Accent3 3" xfId="205"/>
    <cellStyle name="60% - Accent3 4" xfId="206"/>
    <cellStyle name="60% - Accent4" xfId="34" builtinId="44" customBuiltin="1"/>
    <cellStyle name="60% - Accent4 2" xfId="96"/>
    <cellStyle name="60% - Accent4 3" xfId="207"/>
    <cellStyle name="60% - Accent4 4" xfId="208"/>
    <cellStyle name="60% - Accent5" xfId="38" builtinId="48" customBuiltin="1"/>
    <cellStyle name="60% - Accent5 2" xfId="93"/>
    <cellStyle name="60% - Accent5 3" xfId="209"/>
    <cellStyle name="60% - Accent5 4" xfId="210"/>
    <cellStyle name="60% - Accent6" xfId="42" builtinId="52" customBuiltin="1"/>
    <cellStyle name="60% - Accent6 2" xfId="114"/>
    <cellStyle name="60% - Accent6 3" xfId="211"/>
    <cellStyle name="60% - Accent6 4" xfId="212"/>
    <cellStyle name="Accent1" xfId="19" builtinId="29" customBuiltin="1"/>
    <cellStyle name="Accent1 2" xfId="130"/>
    <cellStyle name="Accent1 3" xfId="213"/>
    <cellStyle name="Accent1 4" xfId="214"/>
    <cellStyle name="Accent2" xfId="23" builtinId="33" customBuiltin="1"/>
    <cellStyle name="Accent2 2" xfId="127"/>
    <cellStyle name="Accent2 3" xfId="215"/>
    <cellStyle name="Accent2 4" xfId="216"/>
    <cellStyle name="Accent3" xfId="27" builtinId="37" customBuiltin="1"/>
    <cellStyle name="Accent3 2" xfId="129"/>
    <cellStyle name="Accent3 3" xfId="217"/>
    <cellStyle name="Accent3 4" xfId="218"/>
    <cellStyle name="Accent4" xfId="31" builtinId="41" customBuiltin="1"/>
    <cellStyle name="Accent4 2" xfId="126"/>
    <cellStyle name="Accent4 3" xfId="219"/>
    <cellStyle name="Accent4 4" xfId="220"/>
    <cellStyle name="Accent5" xfId="35" builtinId="45" customBuiltin="1"/>
    <cellStyle name="Accent5 2" xfId="102"/>
    <cellStyle name="Accent5 3" xfId="221"/>
    <cellStyle name="Accent5 4" xfId="222"/>
    <cellStyle name="Accent6" xfId="39" builtinId="49" customBuiltin="1"/>
    <cellStyle name="Accent6 2" xfId="99"/>
    <cellStyle name="Accent6 3" xfId="223"/>
    <cellStyle name="Accent6 4" xfId="224"/>
    <cellStyle name="Bad" xfId="8" builtinId="27" customBuiltin="1"/>
    <cellStyle name="Bad 2" xfId="90"/>
    <cellStyle name="Bad 3" xfId="225"/>
    <cellStyle name="Bad 4" xfId="226"/>
    <cellStyle name="Calculation" xfId="12" builtinId="22" customBuiltin="1"/>
    <cellStyle name="Calculation 2" xfId="92"/>
    <cellStyle name="Calculation 3" xfId="227"/>
    <cellStyle name="Calculation 4" xfId="228"/>
    <cellStyle name="Check Cell" xfId="14" builtinId="23" customBuiltin="1"/>
    <cellStyle name="Check Cell 2" xfId="104"/>
    <cellStyle name="Check Cell 3" xfId="229"/>
    <cellStyle name="Check Cell 4" xfId="230"/>
    <cellStyle name="Comma" xfId="1" builtinId="3"/>
    <cellStyle name="Comma [0] 2" xfId="231"/>
    <cellStyle name="Comma 10" xfId="232"/>
    <cellStyle name="Comma 100" xfId="233"/>
    <cellStyle name="Comma 101" xfId="234"/>
    <cellStyle name="Comma 102" xfId="235"/>
    <cellStyle name="Comma 103" xfId="236"/>
    <cellStyle name="Comma 104" xfId="237"/>
    <cellStyle name="Comma 105" xfId="238"/>
    <cellStyle name="Comma 106" xfId="239"/>
    <cellStyle name="Comma 107" xfId="240"/>
    <cellStyle name="Comma 108" xfId="241"/>
    <cellStyle name="Comma 109" xfId="242"/>
    <cellStyle name="Comma 11" xfId="243"/>
    <cellStyle name="Comma 110" xfId="244"/>
    <cellStyle name="Comma 111" xfId="245"/>
    <cellStyle name="Comma 112" xfId="246"/>
    <cellStyle name="Comma 113" xfId="247"/>
    <cellStyle name="Comma 114" xfId="248"/>
    <cellStyle name="Comma 115" xfId="249"/>
    <cellStyle name="Comma 116" xfId="250"/>
    <cellStyle name="Comma 117" xfId="251"/>
    <cellStyle name="Comma 118" xfId="252"/>
    <cellStyle name="Comma 119" xfId="253"/>
    <cellStyle name="Comma 12" xfId="254"/>
    <cellStyle name="Comma 120" xfId="255"/>
    <cellStyle name="Comma 121" xfId="256"/>
    <cellStyle name="Comma 122" xfId="257"/>
    <cellStyle name="Comma 123" xfId="258"/>
    <cellStyle name="Comma 124" xfId="259"/>
    <cellStyle name="Comma 125" xfId="260"/>
    <cellStyle name="Comma 126" xfId="261"/>
    <cellStyle name="Comma 127" xfId="262"/>
    <cellStyle name="Comma 128" xfId="263"/>
    <cellStyle name="Comma 129" xfId="264"/>
    <cellStyle name="Comma 13" xfId="265"/>
    <cellStyle name="Comma 130" xfId="266"/>
    <cellStyle name="Comma 131" xfId="267"/>
    <cellStyle name="Comma 132" xfId="268"/>
    <cellStyle name="Comma 133" xfId="269"/>
    <cellStyle name="Comma 134" xfId="270"/>
    <cellStyle name="Comma 135" xfId="271"/>
    <cellStyle name="Comma 136" xfId="272"/>
    <cellStyle name="Comma 137" xfId="273"/>
    <cellStyle name="Comma 138" xfId="274"/>
    <cellStyle name="Comma 139" xfId="275"/>
    <cellStyle name="Comma 14" xfId="276"/>
    <cellStyle name="Comma 140" xfId="277"/>
    <cellStyle name="Comma 141" xfId="278"/>
    <cellStyle name="Comma 142" xfId="279"/>
    <cellStyle name="Comma 143" xfId="280"/>
    <cellStyle name="Comma 144" xfId="281"/>
    <cellStyle name="Comma 145" xfId="282"/>
    <cellStyle name="Comma 146" xfId="283"/>
    <cellStyle name="Comma 147" xfId="284"/>
    <cellStyle name="Comma 148" xfId="285"/>
    <cellStyle name="Comma 149" xfId="286"/>
    <cellStyle name="Comma 15" xfId="287"/>
    <cellStyle name="Comma 150" xfId="288"/>
    <cellStyle name="Comma 151" xfId="289"/>
    <cellStyle name="Comma 152" xfId="290"/>
    <cellStyle name="Comma 153" xfId="291"/>
    <cellStyle name="Comma 154" xfId="292"/>
    <cellStyle name="Comma 155" xfId="293"/>
    <cellStyle name="Comma 156" xfId="294"/>
    <cellStyle name="Comma 157" xfId="295"/>
    <cellStyle name="Comma 158" xfId="296"/>
    <cellStyle name="Comma 159" xfId="297"/>
    <cellStyle name="Comma 16" xfId="298"/>
    <cellStyle name="Comma 160" xfId="299"/>
    <cellStyle name="Comma 161" xfId="300"/>
    <cellStyle name="Comma 162" xfId="301"/>
    <cellStyle name="Comma 163" xfId="302"/>
    <cellStyle name="Comma 164" xfId="303"/>
    <cellStyle name="Comma 165" xfId="304"/>
    <cellStyle name="Comma 166" xfId="305"/>
    <cellStyle name="Comma 167" xfId="306"/>
    <cellStyle name="Comma 168" xfId="307"/>
    <cellStyle name="Comma 169" xfId="308"/>
    <cellStyle name="Comma 17" xfId="309"/>
    <cellStyle name="Comma 170" xfId="310"/>
    <cellStyle name="Comma 171" xfId="311"/>
    <cellStyle name="Comma 172" xfId="312"/>
    <cellStyle name="Comma 173" xfId="313"/>
    <cellStyle name="Comma 174" xfId="314"/>
    <cellStyle name="Comma 175" xfId="315"/>
    <cellStyle name="Comma 175 2" xfId="316"/>
    <cellStyle name="Comma 175 2 2" xfId="317"/>
    <cellStyle name="Comma 175 3" xfId="318"/>
    <cellStyle name="Comma 176" xfId="319"/>
    <cellStyle name="Comma 176 2" xfId="320"/>
    <cellStyle name="Comma 176 2 2" xfId="321"/>
    <cellStyle name="Comma 176 3" xfId="322"/>
    <cellStyle name="Comma 177" xfId="323"/>
    <cellStyle name="Comma 177 2" xfId="324"/>
    <cellStyle name="Comma 177 2 2" xfId="325"/>
    <cellStyle name="Comma 177 3" xfId="326"/>
    <cellStyle name="Comma 178" xfId="327"/>
    <cellStyle name="Comma 178 2" xfId="328"/>
    <cellStyle name="Comma 178 2 2" xfId="329"/>
    <cellStyle name="Comma 178 3" xfId="330"/>
    <cellStyle name="Comma 179" xfId="331"/>
    <cellStyle name="Comma 179 2" xfId="332"/>
    <cellStyle name="Comma 179 2 2" xfId="333"/>
    <cellStyle name="Comma 179 3" xfId="334"/>
    <cellStyle name="Comma 18" xfId="335"/>
    <cellStyle name="Comma 180" xfId="336"/>
    <cellStyle name="Comma 180 2" xfId="337"/>
    <cellStyle name="Comma 180 2 2" xfId="338"/>
    <cellStyle name="Comma 180 3" xfId="339"/>
    <cellStyle name="Comma 181" xfId="340"/>
    <cellStyle name="Comma 181 2" xfId="341"/>
    <cellStyle name="Comma 181 2 2" xfId="342"/>
    <cellStyle name="Comma 181 3" xfId="343"/>
    <cellStyle name="Comma 182" xfId="344"/>
    <cellStyle name="Comma 182 2" xfId="345"/>
    <cellStyle name="Comma 183" xfId="346"/>
    <cellStyle name="Comma 184" xfId="347"/>
    <cellStyle name="Comma 185" xfId="348"/>
    <cellStyle name="Comma 186" xfId="349"/>
    <cellStyle name="Comma 187" xfId="350"/>
    <cellStyle name="Comma 188" xfId="351"/>
    <cellStyle name="Comma 189" xfId="352"/>
    <cellStyle name="Comma 19" xfId="353"/>
    <cellStyle name="Comma 190" xfId="354"/>
    <cellStyle name="Comma 191" xfId="355"/>
    <cellStyle name="Comma 192" xfId="356"/>
    <cellStyle name="Comma 193" xfId="357"/>
    <cellStyle name="Comma 194" xfId="358"/>
    <cellStyle name="Comma 195" xfId="359"/>
    <cellStyle name="Comma 196" xfId="360"/>
    <cellStyle name="Comma 197" xfId="361"/>
    <cellStyle name="Comma 198" xfId="362"/>
    <cellStyle name="Comma 199" xfId="363"/>
    <cellStyle name="Comma 2" xfId="46"/>
    <cellStyle name="Comma 2 2" xfId="49"/>
    <cellStyle name="Comma 2 2 2" xfId="364"/>
    <cellStyle name="Comma 2 3" xfId="365"/>
    <cellStyle name="Comma 2 4" xfId="366"/>
    <cellStyle name="Comma 20" xfId="367"/>
    <cellStyle name="Comma 200" xfId="368"/>
    <cellStyle name="Comma 201" xfId="369"/>
    <cellStyle name="Comma 202" xfId="370"/>
    <cellStyle name="Comma 203" xfId="371"/>
    <cellStyle name="Comma 204" xfId="372"/>
    <cellStyle name="Comma 205" xfId="373"/>
    <cellStyle name="Comma 206" xfId="374"/>
    <cellStyle name="Comma 207" xfId="375"/>
    <cellStyle name="Comma 208" xfId="376"/>
    <cellStyle name="Comma 209" xfId="377"/>
    <cellStyle name="Comma 21" xfId="378"/>
    <cellStyle name="Comma 210" xfId="379"/>
    <cellStyle name="Comma 22" xfId="380"/>
    <cellStyle name="Comma 23" xfId="381"/>
    <cellStyle name="Comma 24" xfId="382"/>
    <cellStyle name="Comma 25" xfId="383"/>
    <cellStyle name="Comma 26" xfId="384"/>
    <cellStyle name="Comma 27" xfId="385"/>
    <cellStyle name="Comma 28" xfId="386"/>
    <cellStyle name="Comma 29" xfId="387"/>
    <cellStyle name="Comma 3" xfId="78"/>
    <cellStyle name="Comma 3 2" xfId="388"/>
    <cellStyle name="Comma 30" xfId="389"/>
    <cellStyle name="Comma 31" xfId="390"/>
    <cellStyle name="Comma 32" xfId="391"/>
    <cellStyle name="Comma 33" xfId="392"/>
    <cellStyle name="Comma 34" xfId="393"/>
    <cellStyle name="Comma 35" xfId="394"/>
    <cellStyle name="Comma 36" xfId="395"/>
    <cellStyle name="Comma 37" xfId="396"/>
    <cellStyle name="Comma 38" xfId="397"/>
    <cellStyle name="Comma 39" xfId="398"/>
    <cellStyle name="Comma 4" xfId="399"/>
    <cellStyle name="Comma 40" xfId="400"/>
    <cellStyle name="Comma 41" xfId="401"/>
    <cellStyle name="Comma 42" xfId="402"/>
    <cellStyle name="Comma 43" xfId="403"/>
    <cellStyle name="Comma 44" xfId="404"/>
    <cellStyle name="Comma 45" xfId="405"/>
    <cellStyle name="Comma 46" xfId="406"/>
    <cellStyle name="Comma 47" xfId="407"/>
    <cellStyle name="Comma 48" xfId="408"/>
    <cellStyle name="Comma 49" xfId="409"/>
    <cellStyle name="Comma 5" xfId="410"/>
    <cellStyle name="Comma 50" xfId="411"/>
    <cellStyle name="Comma 51" xfId="412"/>
    <cellStyle name="Comma 52" xfId="413"/>
    <cellStyle name="Comma 53" xfId="414"/>
    <cellStyle name="Comma 54" xfId="415"/>
    <cellStyle name="Comma 55" xfId="416"/>
    <cellStyle name="Comma 56" xfId="417"/>
    <cellStyle name="Comma 57" xfId="418"/>
    <cellStyle name="Comma 58" xfId="419"/>
    <cellStyle name="Comma 59" xfId="420"/>
    <cellStyle name="Comma 6" xfId="421"/>
    <cellStyle name="Comma 60" xfId="422"/>
    <cellStyle name="Comma 61" xfId="423"/>
    <cellStyle name="Comma 62" xfId="424"/>
    <cellStyle name="Comma 63" xfId="425"/>
    <cellStyle name="Comma 64" xfId="426"/>
    <cellStyle name="Comma 65" xfId="427"/>
    <cellStyle name="Comma 66" xfId="428"/>
    <cellStyle name="Comma 67" xfId="429"/>
    <cellStyle name="Comma 68" xfId="430"/>
    <cellStyle name="Comma 69" xfId="431"/>
    <cellStyle name="Comma 7" xfId="432"/>
    <cellStyle name="Comma 70" xfId="433"/>
    <cellStyle name="Comma 71" xfId="434"/>
    <cellStyle name="Comma 72" xfId="435"/>
    <cellStyle name="Comma 73" xfId="436"/>
    <cellStyle name="Comma 74" xfId="437"/>
    <cellStyle name="Comma 75" xfId="438"/>
    <cellStyle name="Comma 76" xfId="439"/>
    <cellStyle name="Comma 77" xfId="440"/>
    <cellStyle name="Comma 78" xfId="441"/>
    <cellStyle name="Comma 79" xfId="442"/>
    <cellStyle name="Comma 8" xfId="443"/>
    <cellStyle name="Comma 80" xfId="444"/>
    <cellStyle name="Comma 81" xfId="445"/>
    <cellStyle name="Comma 82" xfId="446"/>
    <cellStyle name="Comma 83" xfId="447"/>
    <cellStyle name="Comma 84" xfId="448"/>
    <cellStyle name="Comma 85" xfId="449"/>
    <cellStyle name="Comma 86" xfId="450"/>
    <cellStyle name="Comma 87" xfId="451"/>
    <cellStyle name="Comma 88" xfId="452"/>
    <cellStyle name="Comma 89" xfId="453"/>
    <cellStyle name="Comma 9" xfId="454"/>
    <cellStyle name="Comma 90" xfId="455"/>
    <cellStyle name="Comma 91" xfId="456"/>
    <cellStyle name="Comma 92" xfId="457"/>
    <cellStyle name="Comma 93" xfId="458"/>
    <cellStyle name="Comma 94" xfId="459"/>
    <cellStyle name="Comma 95" xfId="460"/>
    <cellStyle name="Comma 96" xfId="461"/>
    <cellStyle name="Comma 97" xfId="462"/>
    <cellStyle name="Comma 98" xfId="463"/>
    <cellStyle name="Comma 99" xfId="464"/>
    <cellStyle name="Comma0" xfId="566"/>
    <cellStyle name="Currency" xfId="562" builtinId="4"/>
    <cellStyle name="Currency 2" xfId="47"/>
    <cellStyle name="Currency 2 2" xfId="50"/>
    <cellStyle name="Currency 2 2 2" xfId="465"/>
    <cellStyle name="Currency 2 3" xfId="466"/>
    <cellStyle name="Currency 2 4" xfId="467"/>
    <cellStyle name="Currency 3" xfId="468"/>
    <cellStyle name="Currency 4" xfId="469"/>
    <cellStyle name="Currency 4 2" xfId="470"/>
    <cellStyle name="Currency 5" xfId="471"/>
    <cellStyle name="Currency 5 2" xfId="472"/>
    <cellStyle name="Currency 6" xfId="473"/>
    <cellStyle name="Currency 6 2" xfId="474"/>
    <cellStyle name="Currency 7" xfId="475"/>
    <cellStyle name="Currency0" xfId="567"/>
    <cellStyle name="Date" xfId="568"/>
    <cellStyle name="Explanatory Text" xfId="17" builtinId="53" customBuiltin="1"/>
    <cellStyle name="Explanatory Text 2" xfId="115"/>
    <cellStyle name="Explanatory Text 3" xfId="476"/>
    <cellStyle name="Explanatory Text 4" xfId="477"/>
    <cellStyle name="Fixed" xfId="569"/>
    <cellStyle name="Good" xfId="7" builtinId="26" customBuiltin="1"/>
    <cellStyle name="Good 2" xfId="110"/>
    <cellStyle name="Good 3" xfId="478"/>
    <cellStyle name="Good 4" xfId="479"/>
    <cellStyle name="Heading 1" xfId="3" builtinId="16" customBuiltin="1"/>
    <cellStyle name="Heading 1 2" xfId="105"/>
    <cellStyle name="Heading 1 3" xfId="480"/>
    <cellStyle name="Heading 1 4" xfId="481"/>
    <cellStyle name="Heading 1 5" xfId="570"/>
    <cellStyle name="Heading 2" xfId="4" builtinId="17" customBuiltin="1"/>
    <cellStyle name="Heading 2 2" xfId="116"/>
    <cellStyle name="Heading 2 3" xfId="482"/>
    <cellStyle name="Heading 2 4" xfId="483"/>
    <cellStyle name="Heading 2 5" xfId="571"/>
    <cellStyle name="Heading 3" xfId="5" builtinId="18" customBuiltin="1"/>
    <cellStyle name="Heading 3 2" xfId="109"/>
    <cellStyle name="Heading 3 3" xfId="484"/>
    <cellStyle name="Heading 3 4" xfId="485"/>
    <cellStyle name="Heading 4" xfId="6" builtinId="19" customBuiltin="1"/>
    <cellStyle name="Heading 4 2" xfId="122"/>
    <cellStyle name="Heading 4 3" xfId="486"/>
    <cellStyle name="Heading 4 4" xfId="487"/>
    <cellStyle name="Hyperlink" xfId="85" builtinId="8"/>
    <cellStyle name="Hyperlink 2" xfId="107"/>
    <cellStyle name="Hyperlink 2 2" xfId="488"/>
    <cellStyle name="Hyperlink 2 2 2" xfId="489"/>
    <cellStyle name="Hyperlink 2 3" xfId="490"/>
    <cellStyle name="Hyperlink 2 4" xfId="491"/>
    <cellStyle name="Hyperlink 3" xfId="561"/>
    <cellStyle name="Input" xfId="10" builtinId="20" customBuiltin="1"/>
    <cellStyle name="Input 2" xfId="118"/>
    <cellStyle name="Input 3" xfId="492"/>
    <cellStyle name="Input 4" xfId="493"/>
    <cellStyle name="Linked Cell" xfId="13" builtinId="24" customBuiltin="1"/>
    <cellStyle name="Linked Cell 2" xfId="112"/>
    <cellStyle name="Linked Cell 3" xfId="494"/>
    <cellStyle name="Linked Cell 4" xfId="495"/>
    <cellStyle name="Neutral" xfId="9" builtinId="28" customBuiltin="1"/>
    <cellStyle name="Neutral 2" xfId="108"/>
    <cellStyle name="Neutral 3" xfId="496"/>
    <cellStyle name="Neutral 4" xfId="497"/>
    <cellStyle name="Normal" xfId="0" builtinId="0"/>
    <cellStyle name="Normal 10" xfId="498"/>
    <cellStyle name="Normal 10 2" xfId="499"/>
    <cellStyle name="Normal 11" xfId="500"/>
    <cellStyle name="Normal 11 2" xfId="501"/>
    <cellStyle name="Normal 11 3" xfId="502"/>
    <cellStyle name="Normal 11 3 2" xfId="503"/>
    <cellStyle name="Normal 12" xfId="504"/>
    <cellStyle name="Normal 13" xfId="505"/>
    <cellStyle name="Normal 14" xfId="506"/>
    <cellStyle name="Normal 15" xfId="559"/>
    <cellStyle name="Normal 15 2" xfId="563"/>
    <cellStyle name="Normal 2" xfId="52"/>
    <cellStyle name="Normal 2 2" xfId="45"/>
    <cellStyle name="Normal 2 2 2" xfId="507"/>
    <cellStyle name="Normal 2 2 3" xfId="508"/>
    <cellStyle name="Normal 2 3" xfId="53"/>
    <cellStyle name="Normal 2 3 2" xfId="88"/>
    <cellStyle name="Normal 2 3 3" xfId="137"/>
    <cellStyle name="Normal 2 3 4" xfId="509"/>
    <cellStyle name="Normal 2 4" xfId="79"/>
    <cellStyle name="Normal 2 4 2" xfId="510"/>
    <cellStyle name="Normal 2 4 3" xfId="511"/>
    <cellStyle name="Normal 2 4 4" xfId="512"/>
    <cellStyle name="Normal 2 5" xfId="87"/>
    <cellStyle name="Normal 2 6" xfId="120"/>
    <cellStyle name="Normal 2 7" xfId="86"/>
    <cellStyle name="Normal 2 8" xfId="513"/>
    <cellStyle name="Normal 2 9" xfId="560"/>
    <cellStyle name="Normal 2 9 2" xfId="564"/>
    <cellStyle name="Normal 3" xfId="43"/>
    <cellStyle name="Normal 3 2" xfId="121"/>
    <cellStyle name="Normal 3 2 2" xfId="514"/>
    <cellStyle name="Normal 3 3" xfId="515"/>
    <cellStyle name="Normal 3 4" xfId="516"/>
    <cellStyle name="Normal 4" xfId="44"/>
    <cellStyle name="Normal 4 2" xfId="48"/>
    <cellStyle name="Normal 4 2 2" xfId="517"/>
    <cellStyle name="Normal 4 2 3" xfId="518"/>
    <cellStyle name="Normal 4 2 4" xfId="519"/>
    <cellStyle name="Normal 4 3" xfId="520"/>
    <cellStyle name="Normal 4 4" xfId="521"/>
    <cellStyle name="Normal 5" xfId="133"/>
    <cellStyle name="Normal 5 2" xfId="134"/>
    <cellStyle name="Normal 5 2 2" xfId="522"/>
    <cellStyle name="Normal 5 2 3" xfId="523"/>
    <cellStyle name="Normal 5 3" xfId="135"/>
    <cellStyle name="Normal 5 3 2" xfId="524"/>
    <cellStyle name="Normal 5 3 3" xfId="525"/>
    <cellStyle name="Normal 5 3 4" xfId="526"/>
    <cellStyle name="Normal 5 4" xfId="139"/>
    <cellStyle name="Normal 5 5" xfId="138"/>
    <cellStyle name="Normal 5 6" xfId="527"/>
    <cellStyle name="Normal 5 7" xfId="528"/>
    <cellStyle name="Normal 6" xfId="136"/>
    <cellStyle name="Normal 6 2" xfId="530"/>
    <cellStyle name="Normal 6 2 2" xfId="531"/>
    <cellStyle name="Normal 6 3" xfId="532"/>
    <cellStyle name="Normal 6 4" xfId="533"/>
    <cellStyle name="Normal 6 5" xfId="529"/>
    <cellStyle name="Normal 7" xfId="140"/>
    <cellStyle name="Normal 7 2" xfId="535"/>
    <cellStyle name="Normal 7 3" xfId="536"/>
    <cellStyle name="Normal 7 4" xfId="534"/>
    <cellStyle name="Normal 8" xfId="537"/>
    <cellStyle name="Normal 8 2" xfId="538"/>
    <cellStyle name="Normal 9" xfId="539"/>
    <cellStyle name="Normal_Sheet1" xfId="565"/>
    <cellStyle name="Note" xfId="16" builtinId="10" customBuiltin="1"/>
    <cellStyle name="Note 2" xfId="80"/>
    <cellStyle name="Note 2 2" xfId="81"/>
    <cellStyle name="Note 2 3" xfId="540"/>
    <cellStyle name="Note 2 4" xfId="541"/>
    <cellStyle name="Note 3" xfId="119"/>
    <cellStyle name="Note 3 2" xfId="542"/>
    <cellStyle name="Note 3 3" xfId="543"/>
    <cellStyle name="Note 4" xfId="544"/>
    <cellStyle name="Output" xfId="11" builtinId="21" customBuiltin="1"/>
    <cellStyle name="Output 2" xfId="113"/>
    <cellStyle name="Output 3" xfId="545"/>
    <cellStyle name="Output 4" xfId="546"/>
    <cellStyle name="Percent" xfId="51" builtinId="5"/>
    <cellStyle name="Percent 2" xfId="82"/>
    <cellStyle name="Percent 2 2" xfId="547"/>
    <cellStyle name="Percent 2 3" xfId="548"/>
    <cellStyle name="Percent 2 4" xfId="549"/>
    <cellStyle name="Percent 3" xfId="83"/>
    <cellStyle name="Percent 3 2" xfId="550"/>
    <cellStyle name="Percent 4" xfId="551"/>
    <cellStyle name="Style 1" xfId="84"/>
    <cellStyle name="Style 1 2" xfId="552"/>
    <cellStyle name="Title" xfId="2" builtinId="15" customBuiltin="1"/>
    <cellStyle name="Title 2" xfId="106"/>
    <cellStyle name="Title 3" xfId="553"/>
    <cellStyle name="Title 4" xfId="554"/>
    <cellStyle name="Total" xfId="18" builtinId="25" customBuiltin="1"/>
    <cellStyle name="Total 2" xfId="131"/>
    <cellStyle name="Total 3" xfId="555"/>
    <cellStyle name="Total 4" xfId="556"/>
    <cellStyle name="Total 5" xfId="572"/>
    <cellStyle name="Warning Text" xfId="15" builtinId="11" customBuiltin="1"/>
    <cellStyle name="Warning Text 2" xfId="132"/>
    <cellStyle name="Warning Text 3" xfId="557"/>
    <cellStyle name="Warning Text 4" xfId="558"/>
  </cellStyles>
  <dxfs count="14">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72" formatCode="#,##0.0"/>
    </dxf>
    <dxf>
      <numFmt numFmtId="3" formatCode="#,##0"/>
    </dxf>
    <dxf>
      <numFmt numFmtId="3"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3.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92003037078513"/>
          <c:y val="0.17108168938560098"/>
          <c:w val="0.87490159967191428"/>
          <c:h val="0.6909549649402329"/>
        </c:manualLayout>
      </c:layout>
      <c:barChart>
        <c:barDir val="col"/>
        <c:grouping val="clustered"/>
        <c:varyColors val="0"/>
        <c:ser>
          <c:idx val="0"/>
          <c:order val="0"/>
          <c:tx>
            <c:v>PCE Rate</c:v>
          </c:tx>
          <c:spPr>
            <a:solidFill>
              <a:schemeClr val="accent3"/>
            </a:solidFill>
          </c:spPr>
          <c:invertIfNegative val="0"/>
          <c:val>
            <c:numRef>
              <c:f>'Rates Figure'!$D$4:$D$172</c:f>
              <c:numCache>
                <c:formatCode>0.00</c:formatCode>
                <c:ptCount val="169"/>
                <c:pt idx="0">
                  <c:v>0.95</c:v>
                </c:pt>
                <c:pt idx="1">
                  <c:v>0.75</c:v>
                </c:pt>
                <c:pt idx="2">
                  <c:v>0.67374166999999996</c:v>
                </c:pt>
                <c:pt idx="3">
                  <c:v>0.91</c:v>
                </c:pt>
                <c:pt idx="4">
                  <c:v>1.022</c:v>
                </c:pt>
                <c:pt idx="5">
                  <c:v>0.95</c:v>
                </c:pt>
                <c:pt idx="6">
                  <c:v>0.65</c:v>
                </c:pt>
                <c:pt idx="7">
                  <c:v>0.80300000000000005</c:v>
                </c:pt>
                <c:pt idx="8">
                  <c:v>0.87</c:v>
                </c:pt>
                <c:pt idx="9">
                  <c:v>0.84</c:v>
                </c:pt>
                <c:pt idx="10">
                  <c:v>0.74601667000000005</c:v>
                </c:pt>
                <c:pt idx="11">
                  <c:v>0.9</c:v>
                </c:pt>
                <c:pt idx="12">
                  <c:v>0.68666667000000003</c:v>
                </c:pt>
                <c:pt idx="13">
                  <c:v>0.6986</c:v>
                </c:pt>
                <c:pt idx="14">
                  <c:v>0.59402500000000003</c:v>
                </c:pt>
                <c:pt idx="15">
                  <c:v>0.76500000000000001</c:v>
                </c:pt>
                <c:pt idx="16">
                  <c:v>0.86</c:v>
                </c:pt>
                <c:pt idx="17">
                  <c:v>0.68833332999999997</c:v>
                </c:pt>
                <c:pt idx="18">
                  <c:v>0.8</c:v>
                </c:pt>
                <c:pt idx="19">
                  <c:v>0.41499999999999998</c:v>
                </c:pt>
                <c:pt idx="20">
                  <c:v>0.83250000000000002</c:v>
                </c:pt>
                <c:pt idx="21">
                  <c:v>0.68623332999999997</c:v>
                </c:pt>
                <c:pt idx="22">
                  <c:v>0.57833332999999998</c:v>
                </c:pt>
                <c:pt idx="23">
                  <c:v>0.69174999999999998</c:v>
                </c:pt>
                <c:pt idx="24">
                  <c:v>0.7</c:v>
                </c:pt>
                <c:pt idx="25">
                  <c:v>0.71367499999999995</c:v>
                </c:pt>
                <c:pt idx="26">
                  <c:v>0.63</c:v>
                </c:pt>
                <c:pt idx="27">
                  <c:v>0.81163333000000004</c:v>
                </c:pt>
                <c:pt idx="28">
                  <c:v>0.42116667000000002</c:v>
                </c:pt>
                <c:pt idx="29">
                  <c:v>0.71872499999999995</c:v>
                </c:pt>
                <c:pt idx="30">
                  <c:v>0.44628332999999998</c:v>
                </c:pt>
                <c:pt idx="31">
                  <c:v>0.6</c:v>
                </c:pt>
                <c:pt idx="32">
                  <c:v>0.51319166999999999</c:v>
                </c:pt>
                <c:pt idx="33">
                  <c:v>0.55000000000000004</c:v>
                </c:pt>
                <c:pt idx="34">
                  <c:v>0.77449166999999997</c:v>
                </c:pt>
                <c:pt idx="35">
                  <c:v>0.59952499999999997</c:v>
                </c:pt>
                <c:pt idx="36">
                  <c:v>0.62916667000000004</c:v>
                </c:pt>
                <c:pt idx="37">
                  <c:v>0.57383333000000003</c:v>
                </c:pt>
                <c:pt idx="38">
                  <c:v>0.53</c:v>
                </c:pt>
                <c:pt idx="39">
                  <c:v>0.6</c:v>
                </c:pt>
                <c:pt idx="40">
                  <c:v>0.82538332999999997</c:v>
                </c:pt>
                <c:pt idx="41">
                  <c:v>0.57750000000000001</c:v>
                </c:pt>
                <c:pt idx="42">
                  <c:v>0.52</c:v>
                </c:pt>
                <c:pt idx="43">
                  <c:v>0.50455833000000005</c:v>
                </c:pt>
                <c:pt idx="44">
                  <c:v>0.44580832999999997</c:v>
                </c:pt>
                <c:pt idx="45">
                  <c:v>0.77562500000000001</c:v>
                </c:pt>
                <c:pt idx="46">
                  <c:v>0.49166666999999997</c:v>
                </c:pt>
                <c:pt idx="47">
                  <c:v>0.58745000000000003</c:v>
                </c:pt>
                <c:pt idx="48">
                  <c:v>0.67300000000000004</c:v>
                </c:pt>
                <c:pt idx="49">
                  <c:v>0.82661667000000005</c:v>
                </c:pt>
                <c:pt idx="50">
                  <c:v>0.71516667</c:v>
                </c:pt>
                <c:pt idx="51">
                  <c:v>0.63749999999999996</c:v>
                </c:pt>
                <c:pt idx="52">
                  <c:v>0.80417499999999997</c:v>
                </c:pt>
                <c:pt idx="53">
                  <c:v>0.62529999999999997</c:v>
                </c:pt>
                <c:pt idx="54">
                  <c:v>0.60499999999999998</c:v>
                </c:pt>
                <c:pt idx="55">
                  <c:v>0.62294167</c:v>
                </c:pt>
                <c:pt idx="56">
                  <c:v>0.62158332999999999</c:v>
                </c:pt>
                <c:pt idx="57">
                  <c:v>0.74070000000000003</c:v>
                </c:pt>
                <c:pt idx="58">
                  <c:v>0.62075833000000002</c:v>
                </c:pt>
                <c:pt idx="59">
                  <c:v>0.62041667</c:v>
                </c:pt>
                <c:pt idx="60">
                  <c:v>0.73998333000000005</c:v>
                </c:pt>
                <c:pt idx="61">
                  <c:v>0.72724999999999995</c:v>
                </c:pt>
                <c:pt idx="62">
                  <c:v>0.65162500000000001</c:v>
                </c:pt>
                <c:pt idx="63">
                  <c:v>0.64396666999999996</c:v>
                </c:pt>
                <c:pt idx="64">
                  <c:v>0.63886666999999997</c:v>
                </c:pt>
                <c:pt idx="65">
                  <c:v>0.63168332999999999</c:v>
                </c:pt>
                <c:pt idx="66">
                  <c:v>0.62324166999999997</c:v>
                </c:pt>
                <c:pt idx="67">
                  <c:v>0.62085833000000001</c:v>
                </c:pt>
                <c:pt idx="68">
                  <c:v>0.61409166999999998</c:v>
                </c:pt>
                <c:pt idx="69">
                  <c:v>0.60357499999999997</c:v>
                </c:pt>
                <c:pt idx="70">
                  <c:v>0.60007500000000003</c:v>
                </c:pt>
                <c:pt idx="71">
                  <c:v>0.53463000000000005</c:v>
                </c:pt>
                <c:pt idx="72">
                  <c:v>0.59294999999999998</c:v>
                </c:pt>
                <c:pt idx="73">
                  <c:v>0.59096667000000003</c:v>
                </c:pt>
                <c:pt idx="74">
                  <c:v>0.591275</c:v>
                </c:pt>
                <c:pt idx="75">
                  <c:v>0.58979999999999999</c:v>
                </c:pt>
                <c:pt idx="76">
                  <c:v>0.58937499999999998</c:v>
                </c:pt>
                <c:pt idx="77">
                  <c:v>0.58574999999999999</c:v>
                </c:pt>
                <c:pt idx="78">
                  <c:v>0.57994999999999997</c:v>
                </c:pt>
                <c:pt idx="79">
                  <c:v>0.57994999999999997</c:v>
                </c:pt>
                <c:pt idx="80">
                  <c:v>0.57622499999999999</c:v>
                </c:pt>
                <c:pt idx="81">
                  <c:v>0.57519167000000004</c:v>
                </c:pt>
                <c:pt idx="82">
                  <c:v>0.57445833000000002</c:v>
                </c:pt>
                <c:pt idx="83">
                  <c:v>0.59759167000000002</c:v>
                </c:pt>
                <c:pt idx="84">
                  <c:v>0.56834167000000002</c:v>
                </c:pt>
                <c:pt idx="85">
                  <c:v>0.56645000000000001</c:v>
                </c:pt>
                <c:pt idx="86">
                  <c:v>0.55827499999999997</c:v>
                </c:pt>
                <c:pt idx="87">
                  <c:v>0.55513332999999998</c:v>
                </c:pt>
                <c:pt idx="88">
                  <c:v>0.55336666999999995</c:v>
                </c:pt>
                <c:pt idx="89">
                  <c:v>0.55097499999999999</c:v>
                </c:pt>
                <c:pt idx="90">
                  <c:v>0.55073333000000002</c:v>
                </c:pt>
                <c:pt idx="91">
                  <c:v>0.49639</c:v>
                </c:pt>
                <c:pt idx="92">
                  <c:v>0.54639167</c:v>
                </c:pt>
                <c:pt idx="93">
                  <c:v>0.54693333</c:v>
                </c:pt>
                <c:pt idx="94">
                  <c:v>0.54399167000000004</c:v>
                </c:pt>
                <c:pt idx="95">
                  <c:v>0.54396666999999999</c:v>
                </c:pt>
                <c:pt idx="96">
                  <c:v>0.53666667000000001</c:v>
                </c:pt>
                <c:pt idx="97">
                  <c:v>0.53576667</c:v>
                </c:pt>
                <c:pt idx="98">
                  <c:v>0.53568333000000001</c:v>
                </c:pt>
                <c:pt idx="99">
                  <c:v>0.51793999999999996</c:v>
                </c:pt>
                <c:pt idx="100">
                  <c:v>0.51793999999999996</c:v>
                </c:pt>
                <c:pt idx="101">
                  <c:v>0.53326667000000005</c:v>
                </c:pt>
                <c:pt idx="102">
                  <c:v>0.53249999999999997</c:v>
                </c:pt>
                <c:pt idx="103">
                  <c:v>0.53120833000000001</c:v>
                </c:pt>
                <c:pt idx="104">
                  <c:v>0.52198332999999997</c:v>
                </c:pt>
                <c:pt idx="105">
                  <c:v>0.51991666999999997</c:v>
                </c:pt>
                <c:pt idx="106">
                  <c:v>0.51705000000000001</c:v>
                </c:pt>
                <c:pt idx="107">
                  <c:v>0.51734999999999998</c:v>
                </c:pt>
                <c:pt idx="108">
                  <c:v>0.62490000000000001</c:v>
                </c:pt>
                <c:pt idx="109">
                  <c:v>0.50402499999999995</c:v>
                </c:pt>
                <c:pt idx="110">
                  <c:v>0.51916667000000005</c:v>
                </c:pt>
                <c:pt idx="111">
                  <c:v>0.49364166999999998</c:v>
                </c:pt>
                <c:pt idx="112">
                  <c:v>0.49088333000000001</c:v>
                </c:pt>
                <c:pt idx="113">
                  <c:v>0.48440833</c:v>
                </c:pt>
                <c:pt idx="114">
                  <c:v>0.55844167</c:v>
                </c:pt>
                <c:pt idx="115">
                  <c:v>0.71</c:v>
                </c:pt>
                <c:pt idx="116">
                  <c:v>0.59750000000000003</c:v>
                </c:pt>
                <c:pt idx="117">
                  <c:v>0.70166667000000005</c:v>
                </c:pt>
                <c:pt idx="118">
                  <c:v>0.6</c:v>
                </c:pt>
                <c:pt idx="119">
                  <c:v>0.40021667</c:v>
                </c:pt>
                <c:pt idx="120">
                  <c:v>0.41422500000000001</c:v>
                </c:pt>
                <c:pt idx="121">
                  <c:v>0.85897500000000004</c:v>
                </c:pt>
                <c:pt idx="122">
                  <c:v>0.39138332999999997</c:v>
                </c:pt>
                <c:pt idx="123">
                  <c:v>0.47410000000000002</c:v>
                </c:pt>
                <c:pt idx="124">
                  <c:v>0.58409166999999995</c:v>
                </c:pt>
                <c:pt idx="125">
                  <c:v>0.36220000000000002</c:v>
                </c:pt>
                <c:pt idx="126">
                  <c:v>0.67206666999999998</c:v>
                </c:pt>
                <c:pt idx="127">
                  <c:v>0.68272500000000003</c:v>
                </c:pt>
                <c:pt idx="128">
                  <c:v>0.84950000000000003</c:v>
                </c:pt>
                <c:pt idx="129">
                  <c:v>0.84948332999999998</c:v>
                </c:pt>
                <c:pt idx="130">
                  <c:v>0.84947499999999998</c:v>
                </c:pt>
                <c:pt idx="131">
                  <c:v>0.84946666999999998</c:v>
                </c:pt>
                <c:pt idx="132">
                  <c:v>0.84931667</c:v>
                </c:pt>
                <c:pt idx="133">
                  <c:v>0.67160832999999998</c:v>
                </c:pt>
                <c:pt idx="134">
                  <c:v>0.67158333000000003</c:v>
                </c:pt>
                <c:pt idx="135">
                  <c:v>0.55467500000000003</c:v>
                </c:pt>
                <c:pt idx="136">
                  <c:v>0.66501666999999998</c:v>
                </c:pt>
                <c:pt idx="137">
                  <c:v>0.63519999999999999</c:v>
                </c:pt>
                <c:pt idx="138">
                  <c:v>0.55281667000000001</c:v>
                </c:pt>
                <c:pt idx="139">
                  <c:v>0.59460000000000002</c:v>
                </c:pt>
                <c:pt idx="140">
                  <c:v>0.46661667000000001</c:v>
                </c:pt>
                <c:pt idx="141">
                  <c:v>0.49043333</c:v>
                </c:pt>
                <c:pt idx="142">
                  <c:v>0.49041667</c:v>
                </c:pt>
                <c:pt idx="143">
                  <c:v>0.49040833</c:v>
                </c:pt>
                <c:pt idx="144">
                  <c:v>0.50934999999999997</c:v>
                </c:pt>
                <c:pt idx="145">
                  <c:v>0.50305833</c:v>
                </c:pt>
                <c:pt idx="146">
                  <c:v>0.51338333000000003</c:v>
                </c:pt>
                <c:pt idx="147">
                  <c:v>0.28012500000000001</c:v>
                </c:pt>
                <c:pt idx="148">
                  <c:v>0.24024166999999999</c:v>
                </c:pt>
                <c:pt idx="149">
                  <c:v>0.24023332999999999</c:v>
                </c:pt>
                <c:pt idx="150">
                  <c:v>0.24023332999999999</c:v>
                </c:pt>
                <c:pt idx="151">
                  <c:v>0.24022499999999999</c:v>
                </c:pt>
                <c:pt idx="152">
                  <c:v>0.2402</c:v>
                </c:pt>
                <c:pt idx="153">
                  <c:v>0.22019167000000001</c:v>
                </c:pt>
                <c:pt idx="154">
                  <c:v>0.65</c:v>
                </c:pt>
                <c:pt idx="155">
                  <c:v>0.41756666999999997</c:v>
                </c:pt>
                <c:pt idx="156">
                  <c:v>0.47556667000000002</c:v>
                </c:pt>
                <c:pt idx="157">
                  <c:v>0.505</c:v>
                </c:pt>
                <c:pt idx="158">
                  <c:v>0.435</c:v>
                </c:pt>
                <c:pt idx="159">
                  <c:v>0.32300000000000001</c:v>
                </c:pt>
                <c:pt idx="160">
                  <c:v>0.15</c:v>
                </c:pt>
                <c:pt idx="161">
                  <c:v>0.15</c:v>
                </c:pt>
                <c:pt idx="162">
                  <c:v>0.15</c:v>
                </c:pt>
                <c:pt idx="163">
                  <c:v>0.15</c:v>
                </c:pt>
                <c:pt idx="164">
                  <c:v>0.15</c:v>
                </c:pt>
                <c:pt idx="165">
                  <c:v>0.15</c:v>
                </c:pt>
                <c:pt idx="166">
                  <c:v>0.6</c:v>
                </c:pt>
                <c:pt idx="167">
                  <c:v>0.5</c:v>
                </c:pt>
                <c:pt idx="168">
                  <c:v>0.08</c:v>
                </c:pt>
              </c:numCache>
            </c:numRef>
          </c:val>
        </c:ser>
        <c:ser>
          <c:idx val="1"/>
          <c:order val="1"/>
          <c:tx>
            <c:v>Effective Rate</c:v>
          </c:tx>
          <c:spPr>
            <a:solidFill>
              <a:schemeClr val="accent6"/>
            </a:solidFill>
          </c:spPr>
          <c:invertIfNegative val="0"/>
          <c:val>
            <c:numRef>
              <c:f>'Rates Figure'!$F$4:$F$172</c:f>
              <c:numCache>
                <c:formatCode>0.00</c:formatCode>
                <c:ptCount val="169"/>
                <c:pt idx="0">
                  <c:v>0.70628332999999999</c:v>
                </c:pt>
                <c:pt idx="1">
                  <c:v>0.5393</c:v>
                </c:pt>
                <c:pt idx="2">
                  <c:v>0.45692499999999997</c:v>
                </c:pt>
                <c:pt idx="3">
                  <c:v>0.45032500000000003</c:v>
                </c:pt>
                <c:pt idx="4">
                  <c:v>0.44820000000000004</c:v>
                </c:pt>
                <c:pt idx="5">
                  <c:v>0.44363332999999994</c:v>
                </c:pt>
                <c:pt idx="6">
                  <c:v>0.39274167000000004</c:v>
                </c:pt>
                <c:pt idx="7">
                  <c:v>0.38860000000000006</c:v>
                </c:pt>
                <c:pt idx="8">
                  <c:v>0.38822499999999999</c:v>
                </c:pt>
                <c:pt idx="9">
                  <c:v>0.38389166999999996</c:v>
                </c:pt>
                <c:pt idx="10">
                  <c:v>0.37994167000000006</c:v>
                </c:pt>
                <c:pt idx="11">
                  <c:v>0.373475</c:v>
                </c:pt>
                <c:pt idx="12">
                  <c:v>0.35670000000000002</c:v>
                </c:pt>
                <c:pt idx="13">
                  <c:v>0.33676666999999999</c:v>
                </c:pt>
                <c:pt idx="14">
                  <c:v>0.33277500000000004</c:v>
                </c:pt>
                <c:pt idx="15">
                  <c:v>0.32705833000000001</c:v>
                </c:pt>
                <c:pt idx="16">
                  <c:v>0.32546666999999996</c:v>
                </c:pt>
                <c:pt idx="17">
                  <c:v>0.31489999999999996</c:v>
                </c:pt>
                <c:pt idx="18">
                  <c:v>0.31345000000000006</c:v>
                </c:pt>
                <c:pt idx="19">
                  <c:v>0.31089999999999995</c:v>
                </c:pt>
                <c:pt idx="20">
                  <c:v>0.30793749999999998</c:v>
                </c:pt>
                <c:pt idx="21">
                  <c:v>0.30769165999999998</c:v>
                </c:pt>
                <c:pt idx="22">
                  <c:v>0.30638332999999995</c:v>
                </c:pt>
                <c:pt idx="23">
                  <c:v>0.30416666999999997</c:v>
                </c:pt>
                <c:pt idx="24">
                  <c:v>0.30069166999999997</c:v>
                </c:pt>
                <c:pt idx="25">
                  <c:v>0.29976666999999996</c:v>
                </c:pt>
                <c:pt idx="26">
                  <c:v>0.29536667</c:v>
                </c:pt>
                <c:pt idx="27">
                  <c:v>0.28255000000000008</c:v>
                </c:pt>
                <c:pt idx="28">
                  <c:v>0.28246667000000003</c:v>
                </c:pt>
                <c:pt idx="29">
                  <c:v>0.28160832999999996</c:v>
                </c:pt>
                <c:pt idx="30">
                  <c:v>0.27549999999999997</c:v>
                </c:pt>
                <c:pt idx="31">
                  <c:v>0.26954999999999996</c:v>
                </c:pt>
                <c:pt idx="32">
                  <c:v>0.26822499999999999</c:v>
                </c:pt>
                <c:pt idx="33">
                  <c:v>0.26494167000000002</c:v>
                </c:pt>
                <c:pt idx="34">
                  <c:v>0.26236666999999991</c:v>
                </c:pt>
                <c:pt idx="35">
                  <c:v>0.26182499999999997</c:v>
                </c:pt>
                <c:pt idx="36">
                  <c:v>0.26106667000000006</c:v>
                </c:pt>
                <c:pt idx="37">
                  <c:v>0.25924166000000004</c:v>
                </c:pt>
                <c:pt idx="38">
                  <c:v>0.25850000000000001</c:v>
                </c:pt>
                <c:pt idx="39">
                  <c:v>0.25090832999999996</c:v>
                </c:pt>
                <c:pt idx="40">
                  <c:v>0.25010832999999999</c:v>
                </c:pt>
                <c:pt idx="41">
                  <c:v>0.24685000000000001</c:v>
                </c:pt>
                <c:pt idx="42">
                  <c:v>0.24580000000000002</c:v>
                </c:pt>
                <c:pt idx="43">
                  <c:v>0.24440833000000006</c:v>
                </c:pt>
                <c:pt idx="44">
                  <c:v>0.24152499999999996</c:v>
                </c:pt>
                <c:pt idx="45">
                  <c:v>0.23914999999999997</c:v>
                </c:pt>
                <c:pt idx="46">
                  <c:v>0.23633333999999995</c:v>
                </c:pt>
                <c:pt idx="47">
                  <c:v>0.22896667000000004</c:v>
                </c:pt>
                <c:pt idx="48">
                  <c:v>0.22876667000000006</c:v>
                </c:pt>
                <c:pt idx="49">
                  <c:v>0.22831667</c:v>
                </c:pt>
                <c:pt idx="50">
                  <c:v>0.22814167000000002</c:v>
                </c:pt>
                <c:pt idx="51">
                  <c:v>0.22647499999999998</c:v>
                </c:pt>
                <c:pt idx="52">
                  <c:v>0.22634999999999994</c:v>
                </c:pt>
                <c:pt idx="53">
                  <c:v>0.22583332999999994</c:v>
                </c:pt>
                <c:pt idx="54">
                  <c:v>0.22407499999999997</c:v>
                </c:pt>
                <c:pt idx="55">
                  <c:v>0.22347499999999998</c:v>
                </c:pt>
                <c:pt idx="56">
                  <c:v>0.22211665999999997</c:v>
                </c:pt>
                <c:pt idx="57">
                  <c:v>0.22194000000000003</c:v>
                </c:pt>
                <c:pt idx="58">
                  <c:v>0.22129166</c:v>
                </c:pt>
                <c:pt idx="59">
                  <c:v>0.22094999999999998</c:v>
                </c:pt>
                <c:pt idx="60">
                  <c:v>0.22046666000000004</c:v>
                </c:pt>
                <c:pt idx="61">
                  <c:v>0.21984999999999999</c:v>
                </c:pt>
                <c:pt idx="62">
                  <c:v>0.21605833000000002</c:v>
                </c:pt>
                <c:pt idx="63">
                  <c:v>0.21569999999999995</c:v>
                </c:pt>
                <c:pt idx="64">
                  <c:v>0.21542499999999998</c:v>
                </c:pt>
                <c:pt idx="65">
                  <c:v>0.21506665999999997</c:v>
                </c:pt>
                <c:pt idx="66">
                  <c:v>0.21465833999999995</c:v>
                </c:pt>
                <c:pt idx="67">
                  <c:v>0.21455000000000002</c:v>
                </c:pt>
                <c:pt idx="68">
                  <c:v>0.2142</c:v>
                </c:pt>
                <c:pt idx="69">
                  <c:v>0.21366666999999995</c:v>
                </c:pt>
                <c:pt idx="70">
                  <c:v>0.21348333000000003</c:v>
                </c:pt>
                <c:pt idx="71">
                  <c:v>0.21346333000000006</c:v>
                </c:pt>
                <c:pt idx="72">
                  <c:v>0.21309999999999996</c:v>
                </c:pt>
                <c:pt idx="73">
                  <c:v>0.21305834000000001</c:v>
                </c:pt>
                <c:pt idx="74">
                  <c:v>0.21305000000000002</c:v>
                </c:pt>
                <c:pt idx="75">
                  <c:v>0.21298332999999997</c:v>
                </c:pt>
                <c:pt idx="76">
                  <c:v>0.21292499999999998</c:v>
                </c:pt>
                <c:pt idx="77">
                  <c:v>0.21277499999999999</c:v>
                </c:pt>
                <c:pt idx="78">
                  <c:v>0.21249166999999997</c:v>
                </c:pt>
                <c:pt idx="79">
                  <c:v>0.21249166999999997</c:v>
                </c:pt>
                <c:pt idx="80">
                  <c:v>0.21225833</c:v>
                </c:pt>
                <c:pt idx="81">
                  <c:v>0.21224167000000005</c:v>
                </c:pt>
                <c:pt idx="82">
                  <c:v>0.2122</c:v>
                </c:pt>
                <c:pt idx="83">
                  <c:v>0.21188334000000003</c:v>
                </c:pt>
                <c:pt idx="84">
                  <c:v>0.21186667000000003</c:v>
                </c:pt>
                <c:pt idx="85">
                  <c:v>0.21180832999999999</c:v>
                </c:pt>
                <c:pt idx="86">
                  <c:v>0.21140832999999998</c:v>
                </c:pt>
                <c:pt idx="87">
                  <c:v>0.21125832999999999</c:v>
                </c:pt>
                <c:pt idx="88">
                  <c:v>0.21113333999999995</c:v>
                </c:pt>
                <c:pt idx="89">
                  <c:v>0.21104167000000001</c:v>
                </c:pt>
                <c:pt idx="90">
                  <c:v>0.21104166000000002</c:v>
                </c:pt>
                <c:pt idx="91">
                  <c:v>0.21091500000000002</c:v>
                </c:pt>
                <c:pt idx="92">
                  <c:v>0.21080833999999998</c:v>
                </c:pt>
                <c:pt idx="93">
                  <c:v>0.21080832999999999</c:v>
                </c:pt>
                <c:pt idx="94">
                  <c:v>0.21069167000000005</c:v>
                </c:pt>
                <c:pt idx="95">
                  <c:v>0.210675</c:v>
                </c:pt>
                <c:pt idx="96">
                  <c:v>0.21030834000000004</c:v>
                </c:pt>
                <c:pt idx="97">
                  <c:v>0.21027499999999999</c:v>
                </c:pt>
                <c:pt idx="98">
                  <c:v>0.21025832999999999</c:v>
                </c:pt>
                <c:pt idx="99">
                  <c:v>0.21023999999999998</c:v>
                </c:pt>
                <c:pt idx="100">
                  <c:v>0.21023999999999998</c:v>
                </c:pt>
                <c:pt idx="101">
                  <c:v>0.21014167000000006</c:v>
                </c:pt>
                <c:pt idx="102">
                  <c:v>0.21009166999999995</c:v>
                </c:pt>
                <c:pt idx="103">
                  <c:v>0.21004166000000002</c:v>
                </c:pt>
                <c:pt idx="104">
                  <c:v>0.20957499999999996</c:v>
                </c:pt>
                <c:pt idx="105">
                  <c:v>0.20944999999999997</c:v>
                </c:pt>
                <c:pt idx="106">
                  <c:v>0.20935000000000004</c:v>
                </c:pt>
                <c:pt idx="107">
                  <c:v>0.20933332999999998</c:v>
                </c:pt>
                <c:pt idx="108">
                  <c:v>0.20927499999999999</c:v>
                </c:pt>
                <c:pt idx="109">
                  <c:v>0.20869999999999994</c:v>
                </c:pt>
                <c:pt idx="110">
                  <c:v>0.20821667000000005</c:v>
                </c:pt>
                <c:pt idx="111">
                  <c:v>0.20816667</c:v>
                </c:pt>
                <c:pt idx="112">
                  <c:v>0.20801666000000002</c:v>
                </c:pt>
                <c:pt idx="113">
                  <c:v>0.20770833</c:v>
                </c:pt>
                <c:pt idx="114">
                  <c:v>0.20669166999999999</c:v>
                </c:pt>
                <c:pt idx="115">
                  <c:v>0.20490832999999997</c:v>
                </c:pt>
                <c:pt idx="116">
                  <c:v>0.2041</c:v>
                </c:pt>
                <c:pt idx="117">
                  <c:v>0.20231667000000003</c:v>
                </c:pt>
                <c:pt idx="118">
                  <c:v>0.19979999999999998</c:v>
                </c:pt>
                <c:pt idx="119">
                  <c:v>0.19843333999999999</c:v>
                </c:pt>
                <c:pt idx="120">
                  <c:v>0.19827500000000001</c:v>
                </c:pt>
                <c:pt idx="121">
                  <c:v>0.19597500000000001</c:v>
                </c:pt>
                <c:pt idx="122">
                  <c:v>0.19405832999999997</c:v>
                </c:pt>
                <c:pt idx="123">
                  <c:v>0.19387500000000002</c:v>
                </c:pt>
                <c:pt idx="124">
                  <c:v>0.19332499999999997</c:v>
                </c:pt>
                <c:pt idx="125">
                  <c:v>0.19292500000000001</c:v>
                </c:pt>
                <c:pt idx="126">
                  <c:v>0.19210833999999999</c:v>
                </c:pt>
                <c:pt idx="127">
                  <c:v>0.1895</c:v>
                </c:pt>
                <c:pt idx="128">
                  <c:v>0.18907499999999999</c:v>
                </c:pt>
                <c:pt idx="129">
                  <c:v>0.18905832999999994</c:v>
                </c:pt>
                <c:pt idx="130">
                  <c:v>0.18904999999999994</c:v>
                </c:pt>
                <c:pt idx="131">
                  <c:v>0.18904166999999994</c:v>
                </c:pt>
                <c:pt idx="132">
                  <c:v>0.18889166999999996</c:v>
                </c:pt>
                <c:pt idx="133">
                  <c:v>0.18779165999999997</c:v>
                </c:pt>
                <c:pt idx="134">
                  <c:v>0.18776666000000003</c:v>
                </c:pt>
                <c:pt idx="135">
                  <c:v>0.18630833000000002</c:v>
                </c:pt>
                <c:pt idx="136">
                  <c:v>0.18612499999999998</c:v>
                </c:pt>
                <c:pt idx="137">
                  <c:v>0.18467499999999998</c:v>
                </c:pt>
                <c:pt idx="138">
                  <c:v>0.18270000000000003</c:v>
                </c:pt>
                <c:pt idx="139">
                  <c:v>0.18262500000000004</c:v>
                </c:pt>
                <c:pt idx="140">
                  <c:v>0.1784</c:v>
                </c:pt>
                <c:pt idx="141">
                  <c:v>0.17813332999999998</c:v>
                </c:pt>
                <c:pt idx="142">
                  <c:v>0.17811666999999998</c:v>
                </c:pt>
                <c:pt idx="143">
                  <c:v>0.17810832999999998</c:v>
                </c:pt>
                <c:pt idx="144">
                  <c:v>0.17271666999999996</c:v>
                </c:pt>
                <c:pt idx="145">
                  <c:v>0.16925000000000001</c:v>
                </c:pt>
                <c:pt idx="146">
                  <c:v>0.16770000000000002</c:v>
                </c:pt>
                <c:pt idx="147">
                  <c:v>0.15986667000000002</c:v>
                </c:pt>
                <c:pt idx="148">
                  <c:v>0.15618334</c:v>
                </c:pt>
                <c:pt idx="149">
                  <c:v>0.15617500000000001</c:v>
                </c:pt>
                <c:pt idx="150">
                  <c:v>0.15617500000000001</c:v>
                </c:pt>
                <c:pt idx="151">
                  <c:v>0.15616667000000001</c:v>
                </c:pt>
                <c:pt idx="152">
                  <c:v>0.15614167000000001</c:v>
                </c:pt>
                <c:pt idx="153">
                  <c:v>0.15395834</c:v>
                </c:pt>
                <c:pt idx="154">
                  <c:v>0.15175</c:v>
                </c:pt>
                <c:pt idx="155">
                  <c:v>0.15071667</c:v>
                </c:pt>
                <c:pt idx="156">
                  <c:v>0.14740834000000003</c:v>
                </c:pt>
                <c:pt idx="157">
                  <c:v>0.14405000000000001</c:v>
                </c:pt>
                <c:pt idx="158">
                  <c:v>0.13905000000000001</c:v>
                </c:pt>
                <c:pt idx="159">
                  <c:v>0.13905000000000001</c:v>
                </c:pt>
                <c:pt idx="160">
                  <c:v>0.13905000000000001</c:v>
                </c:pt>
                <c:pt idx="161">
                  <c:v>0.13905000000000001</c:v>
                </c:pt>
                <c:pt idx="162">
                  <c:v>0.13905000000000001</c:v>
                </c:pt>
                <c:pt idx="163">
                  <c:v>0.13905000000000001</c:v>
                </c:pt>
                <c:pt idx="164">
                  <c:v>0.13905000000000001</c:v>
                </c:pt>
                <c:pt idx="165">
                  <c:v>0.13905000000000001</c:v>
                </c:pt>
                <c:pt idx="166">
                  <c:v>0.13904999999999995</c:v>
                </c:pt>
                <c:pt idx="167">
                  <c:v>0.13824166999999998</c:v>
                </c:pt>
                <c:pt idx="168">
                  <c:v>0.08</c:v>
                </c:pt>
              </c:numCache>
            </c:numRef>
          </c:val>
        </c:ser>
        <c:dLbls>
          <c:showLegendKey val="0"/>
          <c:showVal val="0"/>
          <c:showCatName val="0"/>
          <c:showSerName val="0"/>
          <c:showPercent val="0"/>
          <c:showBubbleSize val="0"/>
        </c:dLbls>
        <c:gapWidth val="30"/>
        <c:overlap val="100"/>
        <c:axId val="126874752"/>
        <c:axId val="126876672"/>
      </c:barChart>
      <c:catAx>
        <c:axId val="126874752"/>
        <c:scaling>
          <c:orientation val="minMax"/>
        </c:scaling>
        <c:delete val="1"/>
        <c:axPos val="b"/>
        <c:title>
          <c:tx>
            <c:rich>
              <a:bodyPr/>
              <a:lstStyle/>
              <a:p>
                <a:pPr>
                  <a:defRPr/>
                </a:pPr>
                <a:r>
                  <a:rPr lang="en-US"/>
                  <a:t>PCE Communities</a:t>
                </a:r>
              </a:p>
            </c:rich>
          </c:tx>
          <c:layout>
            <c:manualLayout>
              <c:xMode val="edge"/>
              <c:yMode val="edge"/>
              <c:x val="0.46586778297077575"/>
              <c:y val="0.89722739203054158"/>
            </c:manualLayout>
          </c:layout>
          <c:overlay val="0"/>
        </c:title>
        <c:majorTickMark val="out"/>
        <c:minorTickMark val="none"/>
        <c:tickLblPos val="nextTo"/>
        <c:crossAx val="126876672"/>
        <c:crosses val="autoZero"/>
        <c:auto val="1"/>
        <c:lblAlgn val="ctr"/>
        <c:lblOffset val="100"/>
        <c:noMultiLvlLbl val="0"/>
      </c:catAx>
      <c:valAx>
        <c:axId val="126876672"/>
        <c:scaling>
          <c:orientation val="minMax"/>
        </c:scaling>
        <c:delete val="0"/>
        <c:axPos val="l"/>
        <c:majorGridlines/>
        <c:title>
          <c:tx>
            <c:rich>
              <a:bodyPr rot="-5400000" vert="horz"/>
              <a:lstStyle/>
              <a:p>
                <a:pPr>
                  <a:defRPr/>
                </a:pPr>
                <a:r>
                  <a:rPr lang="en-US"/>
                  <a:t>Residential Electricity Rates, ($/kWh)</a:t>
                </a:r>
              </a:p>
            </c:rich>
          </c:tx>
          <c:overlay val="0"/>
        </c:title>
        <c:numFmt formatCode="0.00" sourceLinked="1"/>
        <c:majorTickMark val="out"/>
        <c:minorTickMark val="none"/>
        <c:tickLblPos val="nextTo"/>
        <c:crossAx val="12687475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6656715620465E-2"/>
          <c:y val="0.42955100267123375"/>
          <c:w val="0.43484607988357893"/>
          <c:h val="0.638364157968626"/>
        </c:manualLayout>
      </c:layout>
      <c:pieChart>
        <c:varyColors val="1"/>
        <c:ser>
          <c:idx val="0"/>
          <c:order val="0"/>
          <c:dPt>
            <c:idx val="4"/>
            <c:bubble3D val="0"/>
            <c:spPr>
              <a:solidFill>
                <a:schemeClr val="accent6"/>
              </a:solidFill>
            </c:spPr>
          </c:dPt>
          <c:dLbls>
            <c:delete val="1"/>
          </c:dLbls>
          <c:cat>
            <c:strRef>
              <c:f>'Table 2.6a'!$K$22:$K$26</c:f>
              <c:strCache>
                <c:ptCount val="5"/>
                <c:pt idx="0">
                  <c:v>Distillate Fuel Oil</c:v>
                </c:pt>
                <c:pt idx="1">
                  <c:v>Other Biomass Liquids</c:v>
                </c:pt>
                <c:pt idx="2">
                  <c:v>Natural Gas</c:v>
                </c:pt>
                <c:pt idx="3">
                  <c:v>Other Gases</c:v>
                </c:pt>
                <c:pt idx="4">
                  <c:v>Sub-bituminous Coal</c:v>
                </c:pt>
              </c:strCache>
            </c:strRef>
          </c:cat>
          <c:val>
            <c:numRef>
              <c:f>'Table 2.6a'!$J$22:$J$26</c:f>
              <c:numCache>
                <c:formatCode>#,##0</c:formatCode>
                <c:ptCount val="5"/>
                <c:pt idx="0">
                  <c:v>657178</c:v>
                </c:pt>
                <c:pt idx="1">
                  <c:v>41924</c:v>
                </c:pt>
                <c:pt idx="2">
                  <c:v>814111</c:v>
                </c:pt>
                <c:pt idx="3">
                  <c:v>35970</c:v>
                </c:pt>
                <c:pt idx="4">
                  <c:v>8511231</c:v>
                </c:pt>
              </c:numCache>
            </c:numRef>
          </c:val>
        </c:ser>
        <c:dLbls>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lineChart>
        <c:grouping val="standard"/>
        <c:varyColors val="0"/>
        <c:ser>
          <c:idx val="1"/>
          <c:order val="0"/>
          <c:tx>
            <c:v>Total Electricity Sales per Capita (kWh)</c:v>
          </c:tx>
          <c:spPr>
            <a:ln>
              <a:solidFill>
                <a:schemeClr val="accent2">
                  <a:lumMod val="75000"/>
                </a:schemeClr>
              </a:solidFill>
            </a:ln>
          </c:spPr>
          <c:marker>
            <c:symbol val="none"/>
          </c:marker>
          <c:cat>
            <c:numRef>
              <c:f>'Table 3.5'!$A$12:$A$61</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3.5'!$E$12:$E$61</c:f>
              <c:numCache>
                <c:formatCode>#,##0</c:formatCode>
                <c:ptCount val="50"/>
                <c:pt idx="0">
                  <c:v>1812.1911037891268</c:v>
                </c:pt>
                <c:pt idx="1">
                  <c:v>2064.8259303721488</c:v>
                </c:pt>
                <c:pt idx="2">
                  <c:v>2219.5892575039493</c:v>
                </c:pt>
                <c:pt idx="3">
                  <c:v>2322.7752639517344</c:v>
                </c:pt>
                <c:pt idx="4">
                  <c:v>2556.1694290976061</c:v>
                </c:pt>
                <c:pt idx="5">
                  <c:v>2828.3555235696294</c:v>
                </c:pt>
                <c:pt idx="6">
                  <c:v>2951.9129519129519</c:v>
                </c:pt>
                <c:pt idx="7">
                  <c:v>3245.0780719619825</c:v>
                </c:pt>
                <c:pt idx="8">
                  <c:v>3416.5316045380873</c:v>
                </c:pt>
                <c:pt idx="9">
                  <c:v>3765.5316045380873</c:v>
                </c:pt>
                <c:pt idx="10">
                  <c:v>4114.5316045380878</c:v>
                </c:pt>
                <c:pt idx="11">
                  <c:v>4463.5316045380878</c:v>
                </c:pt>
                <c:pt idx="12">
                  <c:v>4812.5316045380878</c:v>
                </c:pt>
                <c:pt idx="13">
                  <c:v>5161.6401978651393</c:v>
                </c:pt>
                <c:pt idx="14">
                  <c:v>5492.6403123474865</c:v>
                </c:pt>
                <c:pt idx="15">
                  <c:v>5802.6403123474865</c:v>
                </c:pt>
                <c:pt idx="16">
                  <c:v>6112.6403123474865</c:v>
                </c:pt>
                <c:pt idx="17">
                  <c:v>6422.6403123474865</c:v>
                </c:pt>
                <c:pt idx="18">
                  <c:v>6731.5030967127204</c:v>
                </c:pt>
                <c:pt idx="19">
                  <c:v>6706.3965001151282</c:v>
                </c:pt>
                <c:pt idx="20">
                  <c:v>6986.3794960155074</c:v>
                </c:pt>
                <c:pt idx="21">
                  <c:v>6820.9997996393504</c:v>
                </c:pt>
                <c:pt idx="22">
                  <c:v>6942.7480916030536</c:v>
                </c:pt>
                <c:pt idx="23">
                  <c:v>6993.965802537231</c:v>
                </c:pt>
                <c:pt idx="24">
                  <c:v>7339.1283820591971</c:v>
                </c:pt>
                <c:pt idx="25">
                  <c:v>7265.4553851838164</c:v>
                </c:pt>
                <c:pt idx="26">
                  <c:v>7512.8934579439256</c:v>
                </c:pt>
                <c:pt idx="27">
                  <c:v>7689.922063462609</c:v>
                </c:pt>
                <c:pt idx="28">
                  <c:v>7656.6757837992227</c:v>
                </c:pt>
                <c:pt idx="29">
                  <c:v>7473.2925170546205</c:v>
                </c:pt>
                <c:pt idx="30">
                  <c:v>7373.2824063184953</c:v>
                </c:pt>
                <c:pt idx="31">
                  <c:v>7318.0232733462217</c:v>
                </c:pt>
                <c:pt idx="32">
                  <c:v>7576.5672919073895</c:v>
                </c:pt>
                <c:pt idx="33">
                  <c:v>7709.5769314522895</c:v>
                </c:pt>
                <c:pt idx="34">
                  <c:v>7897.3351486751753</c:v>
                </c:pt>
                <c:pt idx="35">
                  <c:v>7939.7839761832511</c:v>
                </c:pt>
                <c:pt idx="36">
                  <c:v>8255.9270891064716</c:v>
                </c:pt>
                <c:pt idx="37">
                  <c:v>8509.0273311897108</c:v>
                </c:pt>
                <c:pt idx="38">
                  <c:v>8450.7102774585983</c:v>
                </c:pt>
                <c:pt idx="39">
                  <c:v>8565.9847514524681</c:v>
                </c:pt>
                <c:pt idx="40">
                  <c:v>8516.8178467857924</c:v>
                </c:pt>
                <c:pt idx="41">
                  <c:v>8566.5485183212058</c:v>
                </c:pt>
                <c:pt idx="42">
                  <c:v>8775.0438488114214</c:v>
                </c:pt>
                <c:pt idx="43">
                  <c:v>8862.484373735284</c:v>
                </c:pt>
                <c:pt idx="44">
                  <c:v>9164.6113228468548</c:v>
                </c:pt>
                <c:pt idx="45">
                  <c:v>9301.5265323765125</c:v>
                </c:pt>
                <c:pt idx="46">
                  <c:v>9208.924343858198</c:v>
                </c:pt>
                <c:pt idx="47">
                  <c:v>9009.5533512556121</c:v>
                </c:pt>
                <c:pt idx="48">
                  <c:v>8672.9916559997528</c:v>
                </c:pt>
                <c:pt idx="49">
                  <c:v>8664.6136481305039</c:v>
                </c:pt>
              </c:numCache>
            </c:numRef>
          </c:val>
          <c:smooth val="0"/>
        </c:ser>
        <c:ser>
          <c:idx val="0"/>
          <c:order val="1"/>
          <c:tx>
            <c:v>Residential Sales per Capita (kWh)</c:v>
          </c:tx>
          <c:spPr>
            <a:ln>
              <a:solidFill>
                <a:schemeClr val="accent2">
                  <a:lumMod val="60000"/>
                  <a:lumOff val="40000"/>
                </a:schemeClr>
              </a:solidFill>
            </a:ln>
          </c:spPr>
          <c:marker>
            <c:symbol val="none"/>
          </c:marker>
          <c:cat>
            <c:numRef>
              <c:f>'Table 3.5'!$A$12:$A$61</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3.5'!$I$12:$I$61</c:f>
              <c:numCache>
                <c:formatCode>#,##0</c:formatCode>
                <c:ptCount val="50"/>
                <c:pt idx="0">
                  <c:v>885.50247116968694</c:v>
                </c:pt>
                <c:pt idx="1">
                  <c:v>932.37294917967188</c:v>
                </c:pt>
                <c:pt idx="2">
                  <c:v>999.21011058451813</c:v>
                </c:pt>
                <c:pt idx="3">
                  <c:v>1044.4947209653092</c:v>
                </c:pt>
                <c:pt idx="4">
                  <c:v>1116.0220994475137</c:v>
                </c:pt>
                <c:pt idx="5">
                  <c:v>1252.2490104354083</c:v>
                </c:pt>
                <c:pt idx="6">
                  <c:v>1284.6612846612848</c:v>
                </c:pt>
                <c:pt idx="7">
                  <c:v>1415.478615071283</c:v>
                </c:pt>
                <c:pt idx="8">
                  <c:v>1507.2933549432739</c:v>
                </c:pt>
                <c:pt idx="9">
                  <c:v>1680.2933549432739</c:v>
                </c:pt>
                <c:pt idx="10">
                  <c:v>1853.2933549432739</c:v>
                </c:pt>
                <c:pt idx="11">
                  <c:v>2026.2933549432739</c:v>
                </c:pt>
                <c:pt idx="12">
                  <c:v>2199.2933549432737</c:v>
                </c:pt>
                <c:pt idx="13">
                  <c:v>2370.8357198646186</c:v>
                </c:pt>
                <c:pt idx="14">
                  <c:v>2461.4031234748659</c:v>
                </c:pt>
                <c:pt idx="15">
                  <c:v>2607.4031234748659</c:v>
                </c:pt>
                <c:pt idx="16">
                  <c:v>2753.4031234748659</c:v>
                </c:pt>
                <c:pt idx="17">
                  <c:v>2899.4031234748659</c:v>
                </c:pt>
                <c:pt idx="18">
                  <c:v>3042.5369223439734</c:v>
                </c:pt>
                <c:pt idx="19">
                  <c:v>2971.7154040985492</c:v>
                </c:pt>
                <c:pt idx="20">
                  <c:v>3144.9127719147104</c:v>
                </c:pt>
                <c:pt idx="21">
                  <c:v>3038.6575836505708</c:v>
                </c:pt>
                <c:pt idx="22">
                  <c:v>3031.9923664122139</c:v>
                </c:pt>
                <c:pt idx="23">
                  <c:v>3051.1601397315685</c:v>
                </c:pt>
                <c:pt idx="24">
                  <c:v>2925.311421826766</c:v>
                </c:pt>
                <c:pt idx="25">
                  <c:v>2849.4457786809535</c:v>
                </c:pt>
                <c:pt idx="26">
                  <c:v>2951.2766355140188</c:v>
                </c:pt>
                <c:pt idx="27">
                  <c:v>3037.2907775097419</c:v>
                </c:pt>
                <c:pt idx="28">
                  <c:v>2976.6871365274028</c:v>
                </c:pt>
                <c:pt idx="29">
                  <c:v>2835.8609200532815</c:v>
                </c:pt>
                <c:pt idx="30">
                  <c:v>2796.7487157461287</c:v>
                </c:pt>
                <c:pt idx="31">
                  <c:v>2728.0593594301281</c:v>
                </c:pt>
                <c:pt idx="32">
                  <c:v>2812.1031197658426</c:v>
                </c:pt>
                <c:pt idx="33">
                  <c:v>2845.452233365083</c:v>
                </c:pt>
                <c:pt idx="34">
                  <c:v>2918.2897893630661</c:v>
                </c:pt>
                <c:pt idx="35">
                  <c:v>2830.837112793301</c:v>
                </c:pt>
                <c:pt idx="36">
                  <c:v>2865.0843810060901</c:v>
                </c:pt>
                <c:pt idx="37">
                  <c:v>2999.586816720257</c:v>
                </c:pt>
                <c:pt idx="38">
                  <c:v>2952.1442008065619</c:v>
                </c:pt>
                <c:pt idx="39">
                  <c:v>2980.3979542164257</c:v>
                </c:pt>
                <c:pt idx="40">
                  <c:v>3010.9547799772176</c:v>
                </c:pt>
                <c:pt idx="41">
                  <c:v>3059.4503792346327</c:v>
                </c:pt>
                <c:pt idx="42">
                  <c:v>3125.7418673150883</c:v>
                </c:pt>
                <c:pt idx="43">
                  <c:v>3090.2561058598867</c:v>
                </c:pt>
                <c:pt idx="44">
                  <c:v>3143.0587488863489</c:v>
                </c:pt>
                <c:pt idx="45">
                  <c:v>3108.7215089191068</c:v>
                </c:pt>
                <c:pt idx="46">
                  <c:v>3100.2347055551836</c:v>
                </c:pt>
                <c:pt idx="47">
                  <c:v>3043.3666318920991</c:v>
                </c:pt>
                <c:pt idx="48">
                  <c:v>2936.0111253336618</c:v>
                </c:pt>
                <c:pt idx="49">
                  <c:v>2957.0896645278344</c:v>
                </c:pt>
              </c:numCache>
            </c:numRef>
          </c:val>
          <c:smooth val="0"/>
        </c:ser>
        <c:dLbls>
          <c:showLegendKey val="0"/>
          <c:showVal val="0"/>
          <c:showCatName val="0"/>
          <c:showSerName val="0"/>
          <c:showPercent val="0"/>
          <c:showBubbleSize val="0"/>
        </c:dLbls>
        <c:marker val="1"/>
        <c:smooth val="0"/>
        <c:axId val="129830912"/>
        <c:axId val="129832448"/>
      </c:lineChart>
      <c:catAx>
        <c:axId val="129830912"/>
        <c:scaling>
          <c:orientation val="minMax"/>
        </c:scaling>
        <c:delete val="0"/>
        <c:axPos val="b"/>
        <c:numFmt formatCode="General" sourceLinked="1"/>
        <c:majorTickMark val="out"/>
        <c:minorTickMark val="none"/>
        <c:tickLblPos val="nextTo"/>
        <c:txPr>
          <a:bodyPr rot="-2700000"/>
          <a:lstStyle/>
          <a:p>
            <a:pPr>
              <a:defRPr/>
            </a:pPr>
            <a:endParaRPr lang="en-US"/>
          </a:p>
        </c:txPr>
        <c:crossAx val="129832448"/>
        <c:crosses val="autoZero"/>
        <c:auto val="1"/>
        <c:lblAlgn val="ctr"/>
        <c:lblOffset val="100"/>
        <c:noMultiLvlLbl val="0"/>
      </c:catAx>
      <c:valAx>
        <c:axId val="129832448"/>
        <c:scaling>
          <c:orientation val="minMax"/>
        </c:scaling>
        <c:delete val="0"/>
        <c:axPos val="l"/>
        <c:majorGridlines/>
        <c:numFmt formatCode="#,##0" sourceLinked="1"/>
        <c:majorTickMark val="out"/>
        <c:minorTickMark val="none"/>
        <c:tickLblPos val="nextTo"/>
        <c:crossAx val="12983091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51640419947509"/>
          <c:y val="4.6130226872325888E-2"/>
          <c:w val="0.74873293963254595"/>
          <c:h val="0.65612316844231633"/>
        </c:manualLayout>
      </c:layout>
      <c:areaChart>
        <c:grouping val="stacked"/>
        <c:varyColors val="0"/>
        <c:ser>
          <c:idx val="3"/>
          <c:order val="0"/>
          <c:tx>
            <c:v>Wind Installed Capacity; yellow portion is capacity installed after 2011</c:v>
          </c:tx>
          <c:spPr>
            <a:gradFill flip="none" rotWithShape="1">
              <a:gsLst>
                <a:gs pos="89000">
                  <a:schemeClr val="accent3"/>
                </a:gs>
                <a:gs pos="90000">
                  <a:srgbClr val="FFC000"/>
                </a:gs>
              </a:gsLst>
              <a:lin ang="0" scaled="1"/>
              <a:tileRect/>
            </a:gradFill>
            <a:ln w="25400">
              <a:noFill/>
            </a:ln>
          </c:spPr>
          <c:cat>
            <c:numRef>
              <c:f>'Table 3.1'!$A$44:$A$62</c:f>
              <c:numCache>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'Table 3.1'!$I$44:$I$62</c:f>
              <c:numCache>
                <c:formatCode>#,##0</c:formatCode>
                <c:ptCount val="19"/>
                <c:pt idx="2">
                  <c:v>195</c:v>
                </c:pt>
                <c:pt idx="3">
                  <c:v>325</c:v>
                </c:pt>
                <c:pt idx="4">
                  <c:v>780</c:v>
                </c:pt>
                <c:pt idx="5">
                  <c:v>780</c:v>
                </c:pt>
                <c:pt idx="6">
                  <c:v>780</c:v>
                </c:pt>
                <c:pt idx="7">
                  <c:v>880</c:v>
                </c:pt>
                <c:pt idx="8">
                  <c:v>1140</c:v>
                </c:pt>
                <c:pt idx="9">
                  <c:v>1140</c:v>
                </c:pt>
                <c:pt idx="10">
                  <c:v>1270</c:v>
                </c:pt>
                <c:pt idx="11">
                  <c:v>2355</c:v>
                </c:pt>
                <c:pt idx="12">
                  <c:v>2355</c:v>
                </c:pt>
                <c:pt idx="13">
                  <c:v>3330</c:v>
                </c:pt>
                <c:pt idx="14">
                  <c:v>7884</c:v>
                </c:pt>
                <c:pt idx="15">
                  <c:v>11706.6</c:v>
                </c:pt>
                <c:pt idx="16">
                  <c:v>13846</c:v>
                </c:pt>
                <c:pt idx="17">
                  <c:v>63851</c:v>
                </c:pt>
                <c:pt idx="18">
                  <c:v>64751</c:v>
                </c:pt>
              </c:numCache>
            </c:numRef>
          </c:val>
        </c:ser>
        <c:dLbls>
          <c:showLegendKey val="0"/>
          <c:showVal val="0"/>
          <c:showCatName val="0"/>
          <c:showSerName val="0"/>
          <c:showPercent val="0"/>
          <c:showBubbleSize val="0"/>
        </c:dLbls>
        <c:axId val="129860736"/>
        <c:axId val="129862272"/>
      </c:areaChart>
      <c:catAx>
        <c:axId val="129860736"/>
        <c:scaling>
          <c:orientation val="minMax"/>
        </c:scaling>
        <c:delete val="0"/>
        <c:axPos val="b"/>
        <c:numFmt formatCode="0" sourceLinked="0"/>
        <c:majorTickMark val="out"/>
        <c:minorTickMark val="none"/>
        <c:tickLblPos val="nextTo"/>
        <c:txPr>
          <a:bodyPr rot="-2700000"/>
          <a:lstStyle/>
          <a:p>
            <a:pPr>
              <a:defRPr/>
            </a:pPr>
            <a:endParaRPr lang="en-US"/>
          </a:p>
        </c:txPr>
        <c:crossAx val="129862272"/>
        <c:crosses val="autoZero"/>
        <c:auto val="1"/>
        <c:lblAlgn val="ctr"/>
        <c:lblOffset val="100"/>
        <c:tickLblSkip val="1"/>
        <c:tickMarkSkip val="1"/>
        <c:noMultiLvlLbl val="0"/>
      </c:catAx>
      <c:valAx>
        <c:axId val="129862272"/>
        <c:scaling>
          <c:orientation val="minMax"/>
        </c:scaling>
        <c:delete val="0"/>
        <c:axPos val="l"/>
        <c:majorGridlines/>
        <c:title>
          <c:tx>
            <c:rich>
              <a:bodyPr rot="-5400000" vert="horz"/>
              <a:lstStyle/>
              <a:p>
                <a:pPr>
                  <a:defRPr/>
                </a:pPr>
                <a:r>
                  <a:rPr lang="en-US"/>
                  <a:t>Wind</a:t>
                </a:r>
                <a:r>
                  <a:rPr lang="en-US" baseline="0"/>
                  <a:t> Installed Capacity, kW</a:t>
                </a:r>
                <a:endParaRPr lang="en-US"/>
              </a:p>
            </c:rich>
          </c:tx>
          <c:overlay val="0"/>
        </c:title>
        <c:numFmt formatCode="#,##0" sourceLinked="1"/>
        <c:majorTickMark val="out"/>
        <c:minorTickMark val="none"/>
        <c:tickLblPos val="nextTo"/>
        <c:crossAx val="129860736"/>
        <c:crosses val="autoZero"/>
        <c:crossBetween val="midCat"/>
      </c:valAx>
    </c:plotArea>
    <c:legend>
      <c:legendPos val="b"/>
      <c:overlay val="0"/>
    </c:legend>
    <c:plotVisOnly val="1"/>
    <c:dispBlanksAs val="zero"/>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'Table 3.3'!$T$67</c:f>
              <c:strCache>
                <c:ptCount val="1"/>
                <c:pt idx="0">
                  <c:v>Wind Net Generation</c:v>
                </c:pt>
              </c:strCache>
            </c:strRef>
          </c:tx>
          <c:spPr>
            <a:solidFill>
              <a:schemeClr val="accent6"/>
            </a:solidFill>
          </c:spPr>
          <c:cat>
            <c:numRef>
              <c:f>'Table 3.3'!$T$69:$T$72</c:f>
              <c:numCache>
                <c:formatCode>General</c:formatCode>
                <c:ptCount val="4"/>
                <c:pt idx="0">
                  <c:v>2008</c:v>
                </c:pt>
                <c:pt idx="1">
                  <c:v>2009</c:v>
                </c:pt>
                <c:pt idx="2">
                  <c:v>2010</c:v>
                </c:pt>
                <c:pt idx="3">
                  <c:v>2011</c:v>
                </c:pt>
              </c:numCache>
            </c:numRef>
          </c:cat>
          <c:val>
            <c:numRef>
              <c:f>'Table 3.3'!$U$69:$U$72</c:f>
              <c:numCache>
                <c:formatCode>#,##0</c:formatCode>
                <c:ptCount val="4"/>
                <c:pt idx="0">
                  <c:v>2250</c:v>
                </c:pt>
                <c:pt idx="1">
                  <c:v>9152</c:v>
                </c:pt>
                <c:pt idx="2">
                  <c:v>20348</c:v>
                </c:pt>
                <c:pt idx="3">
                  <c:v>21194.264999999999</c:v>
                </c:pt>
              </c:numCache>
            </c:numRef>
          </c:val>
        </c:ser>
        <c:dLbls>
          <c:showLegendKey val="0"/>
          <c:showVal val="0"/>
          <c:showCatName val="0"/>
          <c:showSerName val="0"/>
          <c:showPercent val="0"/>
          <c:showBubbleSize val="0"/>
        </c:dLbls>
        <c:axId val="132520960"/>
        <c:axId val="132526848"/>
      </c:areaChart>
      <c:catAx>
        <c:axId val="132520960"/>
        <c:scaling>
          <c:orientation val="minMax"/>
        </c:scaling>
        <c:delete val="0"/>
        <c:axPos val="b"/>
        <c:numFmt formatCode="General" sourceLinked="1"/>
        <c:majorTickMark val="out"/>
        <c:minorTickMark val="none"/>
        <c:tickLblPos val="nextTo"/>
        <c:crossAx val="132526848"/>
        <c:crosses val="autoZero"/>
        <c:auto val="1"/>
        <c:lblAlgn val="ctr"/>
        <c:lblOffset val="100"/>
        <c:noMultiLvlLbl val="0"/>
      </c:catAx>
      <c:valAx>
        <c:axId val="132526848"/>
        <c:scaling>
          <c:orientation val="minMax"/>
        </c:scaling>
        <c:delete val="0"/>
        <c:axPos val="l"/>
        <c:majorGridlines/>
        <c:title>
          <c:tx>
            <c:rich>
              <a:bodyPr rot="-5400000" vert="horz"/>
              <a:lstStyle/>
              <a:p>
                <a:pPr>
                  <a:defRPr/>
                </a:pPr>
                <a:r>
                  <a:rPr lang="en-US"/>
                  <a:t>Wind Net Generation, MWh</a:t>
                </a:r>
              </a:p>
            </c:rich>
          </c:tx>
          <c:overlay val="0"/>
        </c:title>
        <c:numFmt formatCode="#,##0" sourceLinked="1"/>
        <c:majorTickMark val="out"/>
        <c:minorTickMark val="none"/>
        <c:tickLblPos val="nextTo"/>
        <c:crossAx val="132520960"/>
        <c:crosses val="autoZero"/>
        <c:crossBetween val="midCat"/>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1.8881889763779528E-2"/>
                  <c:y val="0.11209755030621173"/>
                </c:manualLayout>
              </c:layout>
              <c:spPr/>
              <c:txPr>
                <a:bodyPr/>
                <a:lstStyle/>
                <a:p>
                  <a:pPr>
                    <a:defRPr sz="1400" b="1">
                      <a:solidFill>
                        <a:sysClr val="windowText" lastClr="000000"/>
                      </a:solidFill>
                    </a:defRPr>
                  </a:pPr>
                  <a:endParaRPr lang="en-US"/>
                </a:p>
              </c:txPr>
              <c:showLegendKey val="0"/>
              <c:showVal val="0"/>
              <c:showCatName val="0"/>
              <c:showSerName val="0"/>
              <c:showPercent val="1"/>
              <c:showBubbleSize val="0"/>
            </c:dLbl>
            <c:dLbl>
              <c:idx val="1"/>
              <c:layout>
                <c:manualLayout>
                  <c:x val="-0.12915102799650044"/>
                  <c:y val="-0.13730351414406533"/>
                </c:manualLayout>
              </c:layout>
              <c:showLegendKey val="0"/>
              <c:showVal val="0"/>
              <c:showCatName val="0"/>
              <c:showSerName val="0"/>
              <c:showPercent val="1"/>
              <c:showBubbleSize val="0"/>
            </c:dLbl>
            <c:dLbl>
              <c:idx val="2"/>
              <c:layout>
                <c:manualLayout>
                  <c:x val="0.12489359142607175"/>
                  <c:y val="-5.8388013998250221E-2"/>
                </c:manualLayout>
              </c:layout>
              <c:showLegendKey val="0"/>
              <c:showVal val="0"/>
              <c:showCatName val="0"/>
              <c:showSerName val="0"/>
              <c:showPercent val="1"/>
              <c:showBubbleSize val="0"/>
            </c:dLbl>
            <c:dLbl>
              <c:idx val="3"/>
              <c:layout>
                <c:manualLayout>
                  <c:x val="1.3642060367454068E-2"/>
                  <c:y val="-4.8643919510061246E-3"/>
                </c:manualLayout>
              </c:layout>
              <c:spPr/>
              <c:txPr>
                <a:bodyPr/>
                <a:lstStyle/>
                <a:p>
                  <a:pPr>
                    <a:defRPr sz="1400" b="1">
                      <a:solidFill>
                        <a:sysClr val="windowText" lastClr="000000"/>
                      </a:solidFill>
                    </a:defRPr>
                  </a:pPr>
                  <a:endParaRPr lang="en-US"/>
                </a:p>
              </c:txPr>
              <c:showLegendKey val="0"/>
              <c:showVal val="0"/>
              <c:showCatName val="0"/>
              <c:showSerName val="0"/>
              <c:showPercent val="1"/>
              <c:showBubbleSize val="0"/>
            </c:dLbl>
            <c:dLbl>
              <c:idx val="4"/>
              <c:layout>
                <c:manualLayout>
                  <c:x val="8.352887139107612E-2"/>
                  <c:y val="0.16525517643627879"/>
                </c:manualLayout>
              </c:layout>
              <c:showLegendKey val="0"/>
              <c:showVal val="0"/>
              <c:showCatName val="0"/>
              <c:showSerName val="0"/>
              <c:showPercent val="1"/>
              <c:showBubbleSize val="0"/>
            </c:dLbl>
            <c:txPr>
              <a:bodyPr/>
              <a:lstStyle/>
              <a:p>
                <a:pPr>
                  <a:defRPr sz="1400" b="1">
                    <a:solidFill>
                      <a:schemeClr val="bg1"/>
                    </a:solidFill>
                  </a:defRPr>
                </a:pPr>
                <a:endParaRPr lang="en-US"/>
              </a:p>
            </c:txPr>
            <c:showLegendKey val="0"/>
            <c:showVal val="0"/>
            <c:showCatName val="0"/>
            <c:showSerName val="0"/>
            <c:showPercent val="1"/>
            <c:showBubbleSize val="0"/>
            <c:showLeaderLines val="1"/>
          </c:dLbls>
          <c:cat>
            <c:strRef>
              <c:f>('Table 3.2'!$D$12,'Table 3.2'!$F$12,'Table 3.2'!$H$12,'Table 3.2'!$J$12,'Table 3.2'!$L$12)</c:f>
              <c:strCache>
                <c:ptCount val="5"/>
                <c:pt idx="0">
                  <c:v>Arctic</c:v>
                </c:pt>
                <c:pt idx="1">
                  <c:v>South Central</c:v>
                </c:pt>
                <c:pt idx="2">
                  <c:v>South East</c:v>
                </c:pt>
                <c:pt idx="3">
                  <c:v>South West</c:v>
                </c:pt>
                <c:pt idx="4">
                  <c:v>Yukon</c:v>
                </c:pt>
              </c:strCache>
            </c:strRef>
          </c:cat>
          <c:val>
            <c:numRef>
              <c:f>('Table 3.2'!$D$62,'Table 3.2'!$F$62,'Table 3.2'!$H$62,'Table 3.2'!$J$62,'Table 3.2'!$L$62)</c:f>
              <c:numCache>
                <c:formatCode>#,##0</c:formatCode>
                <c:ptCount val="5"/>
                <c:pt idx="0">
                  <c:v>104952</c:v>
                </c:pt>
                <c:pt idx="1">
                  <c:v>1230196</c:v>
                </c:pt>
                <c:pt idx="2">
                  <c:v>414357</c:v>
                </c:pt>
                <c:pt idx="3">
                  <c:v>101725</c:v>
                </c:pt>
                <c:pt idx="4">
                  <c:v>356287.5</c:v>
                </c:pt>
              </c:numCache>
            </c:numRef>
          </c:val>
        </c:ser>
        <c:dLbls>
          <c:showLegendKey val="0"/>
          <c:showVal val="0"/>
          <c:showCatName val="0"/>
          <c:showSerName val="0"/>
          <c:showPercent val="1"/>
          <c:showBubbleSize val="0"/>
          <c:showLeaderLines val="1"/>
        </c:dLbls>
        <c:firstSliceAng val="0"/>
      </c:pieChart>
    </c:plotArea>
    <c:legend>
      <c:legendPos val="r"/>
      <c:overlay val="1"/>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3.4'!$C$9</c:f>
              <c:strCache>
                <c:ptCount val="1"/>
                <c:pt idx="0">
                  <c:v>Statewide Total</c:v>
                </c:pt>
              </c:strCache>
            </c:strRef>
          </c:tx>
          <c:marker>
            <c:symbol val="none"/>
          </c:marker>
          <c:cat>
            <c:numRef>
              <c:f>'Table 3.4'!$A$10:$A$59</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3.4'!$C$10:$C$59</c:f>
              <c:numCache>
                <c:formatCode>#,##0</c:formatCode>
                <c:ptCount val="50"/>
                <c:pt idx="1">
                  <c:v>574000</c:v>
                </c:pt>
                <c:pt idx="2">
                  <c:v>628000</c:v>
                </c:pt>
                <c:pt idx="3">
                  <c:v>733926</c:v>
                </c:pt>
                <c:pt idx="4">
                  <c:v>822000</c:v>
                </c:pt>
                <c:pt idx="5">
                  <c:v>891000</c:v>
                </c:pt>
                <c:pt idx="6">
                  <c:v>1008000</c:v>
                </c:pt>
                <c:pt idx="7">
                  <c:v>1120000</c:v>
                </c:pt>
                <c:pt idx="8">
                  <c:v>1281310</c:v>
                </c:pt>
                <c:pt idx="9">
                  <c:v>1491351</c:v>
                </c:pt>
                <c:pt idx="10">
                  <c:v>1624744</c:v>
                </c:pt>
                <c:pt idx="11">
                  <c:v>1789281</c:v>
                </c:pt>
                <c:pt idx="12">
                  <c:v>1935126</c:v>
                </c:pt>
                <c:pt idx="13">
                  <c:v>2288220</c:v>
                </c:pt>
                <c:pt idx="14">
                  <c:v>2572104</c:v>
                </c:pt>
                <c:pt idx="15">
                  <c:v>2828083</c:v>
                </c:pt>
                <c:pt idx="16">
                  <c:v>2960038</c:v>
                </c:pt>
                <c:pt idx="17">
                  <c:v>3084915</c:v>
                </c:pt>
                <c:pt idx="18">
                  <c:v>3181484</c:v>
                </c:pt>
                <c:pt idx="19">
                  <c:v>3281429</c:v>
                </c:pt>
                <c:pt idx="20">
                  <c:v>3714277</c:v>
                </c:pt>
                <c:pt idx="21">
                  <c:v>3856013</c:v>
                </c:pt>
                <c:pt idx="22">
                  <c:v>4146039</c:v>
                </c:pt>
                <c:pt idx="23">
                  <c:v>4473992</c:v>
                </c:pt>
                <c:pt idx="24">
                  <c:v>4410431</c:v>
                </c:pt>
                <c:pt idx="25">
                  <c:v>4423875</c:v>
                </c:pt>
                <c:pt idx="26">
                  <c:v>4502221</c:v>
                </c:pt>
                <c:pt idx="27">
                  <c:v>4603964</c:v>
                </c:pt>
                <c:pt idx="28">
                  <c:v>4674565</c:v>
                </c:pt>
                <c:pt idx="29">
                  <c:v>4621212</c:v>
                </c:pt>
                <c:pt idx="30">
                  <c:v>4736792</c:v>
                </c:pt>
                <c:pt idx="31">
                  <c:v>4733185</c:v>
                </c:pt>
                <c:pt idx="32">
                  <c:v>4924864</c:v>
                </c:pt>
                <c:pt idx="33">
                  <c:v>5018794</c:v>
                </c:pt>
                <c:pt idx="34">
                  <c:v>4982268</c:v>
                </c:pt>
                <c:pt idx="35">
                  <c:v>5108003</c:v>
                </c:pt>
                <c:pt idx="36">
                  <c:v>4590270</c:v>
                </c:pt>
                <c:pt idx="37">
                  <c:v>4609315</c:v>
                </c:pt>
                <c:pt idx="38">
                  <c:v>4937687</c:v>
                </c:pt>
                <c:pt idx="39">
                  <c:v>5646289.9220000003</c:v>
                </c:pt>
                <c:pt idx="40">
                  <c:v>5631870.9279999994</c:v>
                </c:pt>
                <c:pt idx="41">
                  <c:v>6079380.1800000006</c:v>
                </c:pt>
                <c:pt idx="42">
                  <c:v>6048564.9040000001</c:v>
                </c:pt>
                <c:pt idx="43">
                  <c:v>6120090.0240000011</c:v>
                </c:pt>
                <c:pt idx="44">
                  <c:v>6255895.6690000016</c:v>
                </c:pt>
                <c:pt idx="45">
                  <c:v>6436366.1729999986</c:v>
                </c:pt>
                <c:pt idx="46">
                  <c:v>6439253.7660000008</c:v>
                </c:pt>
                <c:pt idx="47">
                  <c:v>6441390.5420000004</c:v>
                </c:pt>
                <c:pt idx="48">
                  <c:v>6485494</c:v>
                </c:pt>
                <c:pt idx="49">
                  <c:v>6552248.2447455004</c:v>
                </c:pt>
              </c:numCache>
            </c:numRef>
          </c:val>
          <c:smooth val="0"/>
        </c:ser>
        <c:dLbls>
          <c:showLegendKey val="0"/>
          <c:showVal val="0"/>
          <c:showCatName val="0"/>
          <c:showSerName val="0"/>
          <c:showPercent val="0"/>
          <c:showBubbleSize val="0"/>
        </c:dLbls>
        <c:marker val="1"/>
        <c:smooth val="0"/>
        <c:axId val="124474880"/>
        <c:axId val="124476416"/>
      </c:lineChart>
      <c:catAx>
        <c:axId val="124474880"/>
        <c:scaling>
          <c:orientation val="minMax"/>
        </c:scaling>
        <c:delete val="0"/>
        <c:axPos val="b"/>
        <c:numFmt formatCode="General" sourceLinked="1"/>
        <c:majorTickMark val="out"/>
        <c:minorTickMark val="none"/>
        <c:tickLblPos val="nextTo"/>
        <c:crossAx val="124476416"/>
        <c:crosses val="autoZero"/>
        <c:auto val="1"/>
        <c:lblAlgn val="ctr"/>
        <c:lblOffset val="100"/>
        <c:noMultiLvlLbl val="0"/>
      </c:catAx>
      <c:valAx>
        <c:axId val="124476416"/>
        <c:scaling>
          <c:orientation val="minMax"/>
        </c:scaling>
        <c:delete val="0"/>
        <c:axPos val="l"/>
        <c:majorGridlines/>
        <c:numFmt formatCode="#,##0" sourceLinked="1"/>
        <c:majorTickMark val="out"/>
        <c:minorTickMark val="none"/>
        <c:tickLblPos val="nextTo"/>
        <c:crossAx val="124474880"/>
        <c:crosses val="autoZero"/>
        <c:crossBetween val="between"/>
        <c:dispUnits>
          <c:builtInUnit val="thousands"/>
          <c:dispUnitsLbl>
            <c:layout>
              <c:manualLayout>
                <c:xMode val="edge"/>
                <c:yMode val="edge"/>
                <c:x val="2.2222222222222223E-2"/>
                <c:y val="0.13936351706036745"/>
              </c:manualLayout>
            </c:layout>
            <c:tx>
              <c:rich>
                <a:bodyPr/>
                <a:lstStyle/>
                <a:p>
                  <a:pPr>
                    <a:defRPr/>
                  </a:pPr>
                  <a:r>
                    <a:rPr lang="en-US"/>
                    <a:t>Total Net Generation, GWh</a:t>
                  </a:r>
                </a:p>
              </c:rich>
            </c:tx>
          </c:dispUnitsLbl>
        </c:dispUnits>
      </c:valAx>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64009635781828"/>
          <c:y val="0.21991797124650198"/>
          <c:w val="0.55727249847193749"/>
          <c:h val="0.76937857945061816"/>
        </c:manualLayout>
      </c:layout>
      <c:pieChart>
        <c:varyColors val="1"/>
        <c:ser>
          <c:idx val="0"/>
          <c:order val="0"/>
          <c:dPt>
            <c:idx val="0"/>
            <c:bubble3D val="0"/>
            <c:spPr>
              <a:solidFill>
                <a:schemeClr val="bg1">
                  <a:lumMod val="75000"/>
                </a:schemeClr>
              </a:solidFill>
            </c:spPr>
          </c:dPt>
          <c:dPt>
            <c:idx val="1"/>
            <c:bubble3D val="0"/>
            <c:spPr>
              <a:solidFill>
                <a:schemeClr val="tx1">
                  <a:lumMod val="65000"/>
                  <a:lumOff val="35000"/>
                </a:schemeClr>
              </a:solidFill>
            </c:spPr>
          </c:dPt>
          <c:dPt>
            <c:idx val="2"/>
            <c:bubble3D val="0"/>
            <c:spPr>
              <a:solidFill>
                <a:schemeClr val="accent1"/>
              </a:solidFill>
            </c:spPr>
          </c:dPt>
          <c:dPt>
            <c:idx val="3"/>
            <c:bubble3D val="0"/>
            <c:spPr>
              <a:solidFill>
                <a:schemeClr val="accent3"/>
              </a:solidFill>
            </c:spPr>
          </c:dPt>
          <c:dLbls>
            <c:dLbl>
              <c:idx val="0"/>
              <c:layout>
                <c:manualLayout>
                  <c:x val="-0.15968621734344918"/>
                  <c:y val="-9.6989652575326116E-2"/>
                </c:manualLayout>
              </c:layout>
              <c:spPr/>
              <c:txPr>
                <a:bodyPr/>
                <a:lstStyle/>
                <a:p>
                  <a:pPr>
                    <a:defRPr sz="1200" b="1">
                      <a:solidFill>
                        <a:schemeClr val="bg1"/>
                      </a:solidFill>
                    </a:defRPr>
                  </a:pPr>
                  <a:endParaRPr lang="en-US"/>
                </a:p>
              </c:txPr>
              <c:dLblPos val="bestFit"/>
              <c:showLegendKey val="0"/>
              <c:showVal val="1"/>
              <c:showCatName val="0"/>
              <c:showSerName val="0"/>
              <c:showPercent val="1"/>
              <c:showBubbleSize val="0"/>
              <c:separator>
</c:separator>
            </c:dLbl>
            <c:dLbl>
              <c:idx val="1"/>
              <c:layout>
                <c:manualLayout>
                  <c:x val="0.17389655916298133"/>
                  <c:y val="-9.0191669303748376E-2"/>
                </c:manualLayout>
              </c:layout>
              <c:spPr/>
              <c:txPr>
                <a:bodyPr/>
                <a:lstStyle/>
                <a:p>
                  <a:pPr>
                    <a:defRPr sz="1200" b="1">
                      <a:solidFill>
                        <a:schemeClr val="bg1"/>
                      </a:solidFill>
                    </a:defRPr>
                  </a:pPr>
                  <a:endParaRPr lang="en-US"/>
                </a:p>
              </c:txPr>
              <c:dLblPos val="bestFit"/>
              <c:showLegendKey val="0"/>
              <c:showVal val="1"/>
              <c:showCatName val="0"/>
              <c:showSerName val="0"/>
              <c:showPercent val="1"/>
              <c:showBubbleSize val="0"/>
              <c:separator>
</c:separator>
            </c:dLbl>
            <c:dLbl>
              <c:idx val="2"/>
              <c:layout>
                <c:manualLayout>
                  <c:x val="9.8019900387626868E-2"/>
                  <c:y val="0.18420811842311255"/>
                </c:manualLayout>
              </c:layout>
              <c:spPr/>
              <c:txPr>
                <a:bodyPr/>
                <a:lstStyle/>
                <a:p>
                  <a:pPr>
                    <a:defRPr sz="1200" b="1">
                      <a:solidFill>
                        <a:schemeClr val="bg1"/>
                      </a:solidFill>
                    </a:defRPr>
                  </a:pPr>
                  <a:endParaRPr lang="en-US"/>
                </a:p>
              </c:txPr>
              <c:dLblPos val="bestFit"/>
              <c:showLegendKey val="0"/>
              <c:showVal val="1"/>
              <c:showCatName val="0"/>
              <c:showSerName val="0"/>
              <c:showPercent val="1"/>
              <c:showBubbleSize val="0"/>
              <c:separator>
</c:separator>
            </c:dLbl>
            <c:dLbl>
              <c:idx val="3"/>
              <c:spPr/>
              <c:txPr>
                <a:bodyPr/>
                <a:lstStyle/>
                <a:p>
                  <a:pPr>
                    <a:defRPr sz="1200" b="1"/>
                  </a:pPr>
                  <a:endParaRPr lang="en-US"/>
                </a:p>
              </c:txPr>
              <c:dLblPos val="outEnd"/>
              <c:showLegendKey val="0"/>
              <c:showVal val="1"/>
              <c:showCatName val="0"/>
              <c:showSerName val="0"/>
              <c:showPercent val="1"/>
              <c:showBubbleSize val="0"/>
            </c:dLbl>
            <c:dLblPos val="outEnd"/>
            <c:showLegendKey val="0"/>
            <c:showVal val="1"/>
            <c:showCatName val="0"/>
            <c:showSerName val="0"/>
            <c:showPercent val="1"/>
            <c:showBubbleSize val="0"/>
            <c:separator>
</c:separator>
            <c:showLeaderLines val="1"/>
          </c:dLbls>
          <c:cat>
            <c:strRef>
              <c:f>'Summary Figures'!$N$65:$N$68</c:f>
              <c:strCache>
                <c:ptCount val="4"/>
                <c:pt idx="0">
                  <c:v>Fossil Fuel Turbines</c:v>
                </c:pt>
                <c:pt idx="1">
                  <c:v>Reciprocating Internal Combustion Engine</c:v>
                </c:pt>
                <c:pt idx="2">
                  <c:v>Hydroelectric</c:v>
                </c:pt>
                <c:pt idx="3">
                  <c:v>Wind</c:v>
                </c:pt>
              </c:strCache>
            </c:strRef>
          </c:cat>
          <c:val>
            <c:numRef>
              <c:f>'Summary Figures'!$O$65:$O$68</c:f>
              <c:numCache>
                <c:formatCode>#,##0</c:formatCode>
                <c:ptCount val="4"/>
                <c:pt idx="0">
                  <c:v>1295200</c:v>
                </c:pt>
                <c:pt idx="1">
                  <c:v>449840</c:v>
                </c:pt>
                <c:pt idx="2">
                  <c:v>438160</c:v>
                </c:pt>
                <c:pt idx="3">
                  <c:v>13850</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1376068200352"/>
          <c:y val="5.1400554097404488E-2"/>
          <c:w val="0.60858754274514637"/>
          <c:h val="0.78278032954214061"/>
        </c:manualLayout>
      </c:layout>
      <c:areaChart>
        <c:grouping val="stacked"/>
        <c:varyColors val="0"/>
        <c:ser>
          <c:idx val="0"/>
          <c:order val="0"/>
          <c:tx>
            <c:strRef>
              <c:f>'Table 3.1'!$C$9</c:f>
              <c:strCache>
                <c:ptCount val="1"/>
                <c:pt idx="0">
                  <c:v>Fossil Fuel Turbines</c:v>
                </c:pt>
              </c:strCache>
            </c:strRef>
          </c:tx>
          <c:spPr>
            <a:solidFill>
              <a:schemeClr val="bg1">
                <a:lumMod val="50000"/>
              </a:schemeClr>
            </a:solidFill>
          </c:spPr>
          <c:cat>
            <c:numRef>
              <c:f>'Table 3.1'!$A$11:$A$60</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3.1'!$C$11:$C$60</c:f>
              <c:numCache>
                <c:formatCode>#,##0</c:formatCode>
                <c:ptCount val="50"/>
                <c:pt idx="0">
                  <c:v>45675</c:v>
                </c:pt>
                <c:pt idx="1">
                  <c:v>72575</c:v>
                </c:pt>
                <c:pt idx="2">
                  <c:v>86800</c:v>
                </c:pt>
                <c:pt idx="3">
                  <c:v>101150</c:v>
                </c:pt>
                <c:pt idx="4">
                  <c:v>102650</c:v>
                </c:pt>
                <c:pt idx="5">
                  <c:v>102650</c:v>
                </c:pt>
                <c:pt idx="6">
                  <c:v>171450</c:v>
                </c:pt>
                <c:pt idx="7">
                  <c:v>171450</c:v>
                </c:pt>
                <c:pt idx="8">
                  <c:v>206740</c:v>
                </c:pt>
                <c:pt idx="9">
                  <c:v>257053</c:v>
                </c:pt>
                <c:pt idx="10">
                  <c:v>314389</c:v>
                </c:pt>
                <c:pt idx="11">
                  <c:v>381350</c:v>
                </c:pt>
                <c:pt idx="12">
                  <c:v>453324</c:v>
                </c:pt>
                <c:pt idx="13">
                  <c:v>464257</c:v>
                </c:pt>
                <c:pt idx="14">
                  <c:v>643454</c:v>
                </c:pt>
                <c:pt idx="15">
                  <c:v>692074</c:v>
                </c:pt>
                <c:pt idx="16">
                  <c:v>788614</c:v>
                </c:pt>
                <c:pt idx="17">
                  <c:v>900914</c:v>
                </c:pt>
                <c:pt idx="18">
                  <c:v>924174</c:v>
                </c:pt>
                <c:pt idx="19">
                  <c:v>1008374</c:v>
                </c:pt>
                <c:pt idx="20">
                  <c:v>1008274</c:v>
                </c:pt>
                <c:pt idx="21">
                  <c:v>1028574</c:v>
                </c:pt>
                <c:pt idx="22">
                  <c:v>1105654</c:v>
                </c:pt>
                <c:pt idx="23">
                  <c:v>1078100</c:v>
                </c:pt>
                <c:pt idx="24">
                  <c:v>1126100</c:v>
                </c:pt>
                <c:pt idx="25">
                  <c:v>1111600</c:v>
                </c:pt>
                <c:pt idx="26">
                  <c:v>1049400</c:v>
                </c:pt>
                <c:pt idx="27">
                  <c:v>1038700</c:v>
                </c:pt>
                <c:pt idx="28">
                  <c:v>1036100</c:v>
                </c:pt>
                <c:pt idx="29">
                  <c:v>1042700</c:v>
                </c:pt>
                <c:pt idx="30">
                  <c:v>1045500</c:v>
                </c:pt>
                <c:pt idx="31">
                  <c:v>1040700</c:v>
                </c:pt>
                <c:pt idx="32">
                  <c:v>1060200</c:v>
                </c:pt>
                <c:pt idx="33">
                  <c:v>1060200</c:v>
                </c:pt>
                <c:pt idx="34">
                  <c:v>1295925</c:v>
                </c:pt>
                <c:pt idx="35">
                  <c:v>1247850</c:v>
                </c:pt>
                <c:pt idx="36">
                  <c:v>1292925</c:v>
                </c:pt>
                <c:pt idx="37">
                  <c:v>1295725</c:v>
                </c:pt>
                <c:pt idx="38">
                  <c:v>1300925</c:v>
                </c:pt>
                <c:pt idx="39">
                  <c:v>1339150</c:v>
                </c:pt>
                <c:pt idx="40">
                  <c:v>1360100</c:v>
                </c:pt>
                <c:pt idx="41">
                  <c:v>1246900</c:v>
                </c:pt>
                <c:pt idx="42">
                  <c:v>1246900</c:v>
                </c:pt>
                <c:pt idx="43">
                  <c:v>1176200</c:v>
                </c:pt>
                <c:pt idx="44">
                  <c:v>1186300</c:v>
                </c:pt>
                <c:pt idx="45">
                  <c:v>1294799.9999999998</c:v>
                </c:pt>
                <c:pt idx="46">
                  <c:v>1294799.9999999998</c:v>
                </c:pt>
                <c:pt idx="47">
                  <c:v>1294800</c:v>
                </c:pt>
                <c:pt idx="48">
                  <c:v>1295200</c:v>
                </c:pt>
                <c:pt idx="49">
                  <c:v>1295200</c:v>
                </c:pt>
              </c:numCache>
            </c:numRef>
          </c:val>
        </c:ser>
        <c:ser>
          <c:idx val="1"/>
          <c:order val="1"/>
          <c:tx>
            <c:strRef>
              <c:f>'Table 3.1'!$E$9</c:f>
              <c:strCache>
                <c:ptCount val="1"/>
                <c:pt idx="0">
                  <c:v>Internal Combustion (diesel, piston)</c:v>
                </c:pt>
              </c:strCache>
            </c:strRef>
          </c:tx>
          <c:spPr>
            <a:solidFill>
              <a:schemeClr val="accent6"/>
            </a:solidFill>
            <a:ln w="25400">
              <a:noFill/>
            </a:ln>
          </c:spPr>
          <c:cat>
            <c:numRef>
              <c:f>'Table 3.1'!$A$11:$A$60</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3.1'!$E$11:$E$60</c:f>
              <c:numCache>
                <c:formatCode>#,##0</c:formatCode>
                <c:ptCount val="50"/>
                <c:pt idx="0">
                  <c:v>41993</c:v>
                </c:pt>
                <c:pt idx="1">
                  <c:v>47368</c:v>
                </c:pt>
                <c:pt idx="2">
                  <c:v>49482</c:v>
                </c:pt>
                <c:pt idx="3">
                  <c:v>59437</c:v>
                </c:pt>
                <c:pt idx="4">
                  <c:v>69273</c:v>
                </c:pt>
                <c:pt idx="5">
                  <c:v>81023</c:v>
                </c:pt>
                <c:pt idx="6">
                  <c:v>89538</c:v>
                </c:pt>
                <c:pt idx="7">
                  <c:v>98963</c:v>
                </c:pt>
                <c:pt idx="8">
                  <c:v>123256</c:v>
                </c:pt>
                <c:pt idx="9">
                  <c:v>140627</c:v>
                </c:pt>
                <c:pt idx="10">
                  <c:v>144975</c:v>
                </c:pt>
                <c:pt idx="11">
                  <c:v>147700</c:v>
                </c:pt>
                <c:pt idx="12">
                  <c:v>148054</c:v>
                </c:pt>
                <c:pt idx="13">
                  <c:v>176706</c:v>
                </c:pt>
                <c:pt idx="14">
                  <c:v>205110</c:v>
                </c:pt>
                <c:pt idx="15">
                  <c:v>223736</c:v>
                </c:pt>
                <c:pt idx="16">
                  <c:v>221516</c:v>
                </c:pt>
                <c:pt idx="17">
                  <c:v>233611</c:v>
                </c:pt>
                <c:pt idx="18">
                  <c:v>237703</c:v>
                </c:pt>
                <c:pt idx="19">
                  <c:v>251745</c:v>
                </c:pt>
                <c:pt idx="20">
                  <c:v>255790</c:v>
                </c:pt>
                <c:pt idx="21">
                  <c:v>269683</c:v>
                </c:pt>
                <c:pt idx="22">
                  <c:v>276841</c:v>
                </c:pt>
                <c:pt idx="23">
                  <c:v>299614</c:v>
                </c:pt>
                <c:pt idx="24">
                  <c:v>317500</c:v>
                </c:pt>
                <c:pt idx="25">
                  <c:v>316148</c:v>
                </c:pt>
                <c:pt idx="26">
                  <c:v>325924</c:v>
                </c:pt>
                <c:pt idx="27">
                  <c:v>311301</c:v>
                </c:pt>
                <c:pt idx="28">
                  <c:v>312760</c:v>
                </c:pt>
                <c:pt idx="29">
                  <c:v>324851</c:v>
                </c:pt>
                <c:pt idx="30">
                  <c:v>328758</c:v>
                </c:pt>
                <c:pt idx="31">
                  <c:v>336430</c:v>
                </c:pt>
                <c:pt idx="32">
                  <c:v>345383</c:v>
                </c:pt>
                <c:pt idx="33">
                  <c:v>347393</c:v>
                </c:pt>
                <c:pt idx="34">
                  <c:v>418449</c:v>
                </c:pt>
                <c:pt idx="35">
                  <c:v>335392</c:v>
                </c:pt>
                <c:pt idx="36">
                  <c:v>458173</c:v>
                </c:pt>
                <c:pt idx="37">
                  <c:v>472903</c:v>
                </c:pt>
                <c:pt idx="38">
                  <c:v>493437</c:v>
                </c:pt>
                <c:pt idx="39">
                  <c:v>475736</c:v>
                </c:pt>
                <c:pt idx="40">
                  <c:v>317300</c:v>
                </c:pt>
                <c:pt idx="41">
                  <c:v>323600.00000000006</c:v>
                </c:pt>
                <c:pt idx="42">
                  <c:v>323600.00000000006</c:v>
                </c:pt>
                <c:pt idx="43">
                  <c:v>317900</c:v>
                </c:pt>
                <c:pt idx="44">
                  <c:v>325500</c:v>
                </c:pt>
                <c:pt idx="45">
                  <c:v>335500.00000000006</c:v>
                </c:pt>
                <c:pt idx="46">
                  <c:v>359300.00000000006</c:v>
                </c:pt>
                <c:pt idx="47">
                  <c:v>434464</c:v>
                </c:pt>
                <c:pt idx="48">
                  <c:v>453564</c:v>
                </c:pt>
                <c:pt idx="49">
                  <c:v>449838.5</c:v>
                </c:pt>
              </c:numCache>
            </c:numRef>
          </c:val>
        </c:ser>
        <c:ser>
          <c:idx val="2"/>
          <c:order val="2"/>
          <c:tx>
            <c:strRef>
              <c:f>'Table 3.1'!$G$9</c:f>
              <c:strCache>
                <c:ptCount val="1"/>
                <c:pt idx="0">
                  <c:v>Hydro</c:v>
                </c:pt>
              </c:strCache>
            </c:strRef>
          </c:tx>
          <c:spPr>
            <a:solidFill>
              <a:schemeClr val="accent1"/>
            </a:solidFill>
            <a:ln w="25400">
              <a:noFill/>
            </a:ln>
          </c:spPr>
          <c:cat>
            <c:numRef>
              <c:f>'Table 3.1'!$A$11:$A$60</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3.1'!$G$11:$G$60</c:f>
              <c:numCache>
                <c:formatCode>#,##0</c:formatCode>
                <c:ptCount val="50"/>
                <c:pt idx="0">
                  <c:v>82300</c:v>
                </c:pt>
                <c:pt idx="1">
                  <c:v>82300</c:v>
                </c:pt>
                <c:pt idx="2">
                  <c:v>82300</c:v>
                </c:pt>
                <c:pt idx="3">
                  <c:v>82225</c:v>
                </c:pt>
                <c:pt idx="4">
                  <c:v>82225</c:v>
                </c:pt>
                <c:pt idx="5">
                  <c:v>76600</c:v>
                </c:pt>
                <c:pt idx="6">
                  <c:v>78700</c:v>
                </c:pt>
                <c:pt idx="7">
                  <c:v>76600</c:v>
                </c:pt>
                <c:pt idx="8">
                  <c:v>76600</c:v>
                </c:pt>
                <c:pt idx="9">
                  <c:v>75275</c:v>
                </c:pt>
                <c:pt idx="10">
                  <c:v>74275</c:v>
                </c:pt>
                <c:pt idx="11">
                  <c:v>121000</c:v>
                </c:pt>
                <c:pt idx="12">
                  <c:v>122260</c:v>
                </c:pt>
                <c:pt idx="13">
                  <c:v>122535</c:v>
                </c:pt>
                <c:pt idx="14">
                  <c:v>123235</c:v>
                </c:pt>
                <c:pt idx="15">
                  <c:v>122460</c:v>
                </c:pt>
                <c:pt idx="16">
                  <c:v>122460</c:v>
                </c:pt>
                <c:pt idx="17">
                  <c:v>123310</c:v>
                </c:pt>
                <c:pt idx="18">
                  <c:v>123360</c:v>
                </c:pt>
                <c:pt idx="19">
                  <c:v>123690</c:v>
                </c:pt>
                <c:pt idx="20">
                  <c:v>154280</c:v>
                </c:pt>
                <c:pt idx="21">
                  <c:v>153780</c:v>
                </c:pt>
                <c:pt idx="22">
                  <c:v>222990</c:v>
                </c:pt>
                <c:pt idx="23">
                  <c:v>224000</c:v>
                </c:pt>
                <c:pt idx="24">
                  <c:v>225600</c:v>
                </c:pt>
                <c:pt idx="25">
                  <c:v>227625</c:v>
                </c:pt>
                <c:pt idx="26">
                  <c:v>228360</c:v>
                </c:pt>
                <c:pt idx="27">
                  <c:v>260965</c:v>
                </c:pt>
                <c:pt idx="28">
                  <c:v>255907</c:v>
                </c:pt>
                <c:pt idx="29">
                  <c:v>365607</c:v>
                </c:pt>
                <c:pt idx="30">
                  <c:v>365632</c:v>
                </c:pt>
                <c:pt idx="31">
                  <c:v>364357</c:v>
                </c:pt>
                <c:pt idx="32">
                  <c:v>365482</c:v>
                </c:pt>
                <c:pt idx="33">
                  <c:v>369982</c:v>
                </c:pt>
                <c:pt idx="34">
                  <c:v>364461</c:v>
                </c:pt>
                <c:pt idx="35">
                  <c:v>377094</c:v>
                </c:pt>
                <c:pt idx="36">
                  <c:v>373685</c:v>
                </c:pt>
                <c:pt idx="37">
                  <c:v>388085</c:v>
                </c:pt>
                <c:pt idx="38">
                  <c:v>400085</c:v>
                </c:pt>
                <c:pt idx="39">
                  <c:v>443442</c:v>
                </c:pt>
                <c:pt idx="40">
                  <c:v>400100</c:v>
                </c:pt>
                <c:pt idx="41">
                  <c:v>400100</c:v>
                </c:pt>
                <c:pt idx="42">
                  <c:v>400100</c:v>
                </c:pt>
                <c:pt idx="43">
                  <c:v>395100</c:v>
                </c:pt>
                <c:pt idx="44">
                  <c:v>396300</c:v>
                </c:pt>
                <c:pt idx="45">
                  <c:v>396300</c:v>
                </c:pt>
                <c:pt idx="46">
                  <c:v>399300</c:v>
                </c:pt>
                <c:pt idx="47">
                  <c:v>441179</c:v>
                </c:pt>
                <c:pt idx="48">
                  <c:v>441929</c:v>
                </c:pt>
                <c:pt idx="49">
                  <c:v>438159</c:v>
                </c:pt>
              </c:numCache>
            </c:numRef>
          </c:val>
        </c:ser>
        <c:ser>
          <c:idx val="3"/>
          <c:order val="3"/>
          <c:tx>
            <c:strRef>
              <c:f>'Table 3.1'!$I$9</c:f>
              <c:strCache>
                <c:ptCount val="1"/>
                <c:pt idx="0">
                  <c:v>Wind Turbine</c:v>
                </c:pt>
              </c:strCache>
            </c:strRef>
          </c:tx>
          <c:spPr>
            <a:solidFill>
              <a:srgbClr val="FF0000"/>
            </a:solidFill>
            <a:ln w="25400">
              <a:noFill/>
            </a:ln>
          </c:spPr>
          <c:cat>
            <c:numRef>
              <c:f>'Table 3.1'!$A$11:$A$60</c:f>
              <c:numCache>
                <c:formatCode>General</c:formatCode>
                <c:ptCount val="50"/>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numCache>
            </c:numRef>
          </c:cat>
          <c:val>
            <c:numRef>
              <c:f>'Table 3.1'!$I$11:$I$60</c:f>
              <c:numCache>
                <c:formatCode>General</c:formatCode>
                <c:ptCount val="50"/>
                <c:pt idx="35" formatCode="#,##0">
                  <c:v>195</c:v>
                </c:pt>
                <c:pt idx="36" formatCode="#,##0">
                  <c:v>325</c:v>
                </c:pt>
                <c:pt idx="37" formatCode="#,##0">
                  <c:v>780</c:v>
                </c:pt>
                <c:pt idx="38" formatCode="#,##0">
                  <c:v>780</c:v>
                </c:pt>
                <c:pt idx="39" formatCode="#,##0">
                  <c:v>780</c:v>
                </c:pt>
                <c:pt idx="40" formatCode="#,##0">
                  <c:v>880</c:v>
                </c:pt>
                <c:pt idx="41" formatCode="#,##0">
                  <c:v>1140</c:v>
                </c:pt>
                <c:pt idx="42" formatCode="#,##0">
                  <c:v>1140</c:v>
                </c:pt>
                <c:pt idx="43" formatCode="#,##0">
                  <c:v>1270</c:v>
                </c:pt>
                <c:pt idx="44" formatCode="#,##0">
                  <c:v>2355</c:v>
                </c:pt>
                <c:pt idx="45" formatCode="#,##0">
                  <c:v>2355</c:v>
                </c:pt>
                <c:pt idx="46" formatCode="#,##0">
                  <c:v>3330</c:v>
                </c:pt>
                <c:pt idx="47" formatCode="#,##0">
                  <c:v>7884</c:v>
                </c:pt>
                <c:pt idx="48" formatCode="#,##0">
                  <c:v>11706.6</c:v>
                </c:pt>
                <c:pt idx="49" formatCode="#,##0">
                  <c:v>13846</c:v>
                </c:pt>
              </c:numCache>
            </c:numRef>
          </c:val>
        </c:ser>
        <c:dLbls>
          <c:showLegendKey val="0"/>
          <c:showVal val="0"/>
          <c:showCatName val="0"/>
          <c:showSerName val="0"/>
          <c:showPercent val="0"/>
          <c:showBubbleSize val="0"/>
        </c:dLbls>
        <c:axId val="127234816"/>
        <c:axId val="127236352"/>
      </c:areaChart>
      <c:catAx>
        <c:axId val="127234816"/>
        <c:scaling>
          <c:orientation val="minMax"/>
        </c:scaling>
        <c:delete val="0"/>
        <c:axPos val="b"/>
        <c:numFmt formatCode="0" sourceLinked="0"/>
        <c:majorTickMark val="out"/>
        <c:minorTickMark val="none"/>
        <c:tickLblPos val="nextTo"/>
        <c:txPr>
          <a:bodyPr rot="-2700000"/>
          <a:lstStyle/>
          <a:p>
            <a:pPr>
              <a:defRPr/>
            </a:pPr>
            <a:endParaRPr lang="en-US"/>
          </a:p>
        </c:txPr>
        <c:crossAx val="127236352"/>
        <c:crosses val="autoZero"/>
        <c:auto val="1"/>
        <c:lblAlgn val="ctr"/>
        <c:lblOffset val="100"/>
        <c:tickLblSkip val="3"/>
        <c:tickMarkSkip val="1"/>
        <c:noMultiLvlLbl val="0"/>
      </c:catAx>
      <c:valAx>
        <c:axId val="127236352"/>
        <c:scaling>
          <c:orientation val="minMax"/>
        </c:scaling>
        <c:delete val="0"/>
        <c:axPos val="l"/>
        <c:majorGridlines/>
        <c:numFmt formatCode="#,##0" sourceLinked="1"/>
        <c:majorTickMark val="out"/>
        <c:minorTickMark val="none"/>
        <c:tickLblPos val="nextTo"/>
        <c:crossAx val="127234816"/>
        <c:crosses val="autoZero"/>
        <c:crossBetween val="midCat"/>
        <c:dispUnits>
          <c:builtInUnit val="thousands"/>
          <c:dispUnitsLbl>
            <c:layout>
              <c:manualLayout>
                <c:xMode val="edge"/>
                <c:yMode val="edge"/>
                <c:x val="2.2222222222222223E-2"/>
                <c:y val="0.13010425780110821"/>
              </c:manualLayout>
            </c:layout>
            <c:tx>
              <c:rich>
                <a:bodyPr/>
                <a:lstStyle/>
                <a:p>
                  <a:pPr>
                    <a:defRPr/>
                  </a:pPr>
                  <a:r>
                    <a:rPr lang="en-US"/>
                    <a:t>Total Installed Capacity, MW</a:t>
                  </a:r>
                </a:p>
              </c:rich>
            </c:tx>
          </c:dispUnitsLbl>
        </c:dispUnits>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21020914986525"/>
          <c:y val="0.19409922717993583"/>
          <c:w val="0.51165683885926816"/>
          <c:h val="0.79235746573345001"/>
        </c:manualLayout>
      </c:layout>
      <c:pieChart>
        <c:varyColors val="1"/>
        <c:ser>
          <c:idx val="0"/>
          <c:order val="0"/>
          <c:dLbls>
            <c:dLbl>
              <c:idx val="1"/>
              <c:layout>
                <c:manualLayout>
                  <c:x val="-0.11214778921865536"/>
                  <c:y val="-0.18666666666666668"/>
                </c:manualLayout>
              </c:layout>
              <c:showLegendKey val="0"/>
              <c:showVal val="0"/>
              <c:showCatName val="1"/>
              <c:showSerName val="0"/>
              <c:showPercent val="1"/>
              <c:showBubbleSize val="0"/>
            </c:dLbl>
            <c:dLbl>
              <c:idx val="2"/>
              <c:layout>
                <c:manualLayout>
                  <c:x val="9.3494881405506963E-2"/>
                  <c:y val="1.6027996500437444E-2"/>
                </c:manualLayout>
              </c:layout>
              <c:spPr/>
              <c:txPr>
                <a:bodyPr/>
                <a:lstStyle/>
                <a:p>
                  <a:pPr>
                    <a:defRPr sz="1200" b="1">
                      <a:solidFill>
                        <a:schemeClr val="bg1"/>
                      </a:solidFill>
                    </a:defRPr>
                  </a:pPr>
                  <a:endParaRPr lang="en-US"/>
                </a:p>
              </c:txPr>
              <c:showLegendKey val="0"/>
              <c:showVal val="0"/>
              <c:showCatName val="1"/>
              <c:showSerName val="0"/>
              <c:showPercent val="1"/>
              <c:showBubbleSize val="0"/>
            </c:dLbl>
            <c:dLbl>
              <c:idx val="4"/>
              <c:tx>
                <c:rich>
                  <a:bodyPr/>
                  <a:lstStyle/>
                  <a:p>
                    <a:pPr>
                      <a:defRPr sz="1400" b="1">
                        <a:solidFill>
                          <a:sysClr val="windowText" lastClr="000000"/>
                        </a:solidFill>
                      </a:defRPr>
                    </a:pPr>
                    <a:r>
                      <a:rPr lang="en-US"/>
                      <a:t>Wind
0.3%</a:t>
                    </a:r>
                  </a:p>
                </c:rich>
              </c:tx>
              <c:spPr/>
              <c:showLegendKey val="0"/>
              <c:showVal val="0"/>
              <c:showCatName val="1"/>
              <c:showSerName val="0"/>
              <c:showPercent val="1"/>
              <c:showBubbleSize val="0"/>
            </c:dLbl>
            <c:txPr>
              <a:bodyPr/>
              <a:lstStyle/>
              <a:p>
                <a:pPr>
                  <a:defRPr sz="1400" b="1">
                    <a:solidFill>
                      <a:schemeClr val="bg1"/>
                    </a:solidFill>
                  </a:defRPr>
                </a:pPr>
                <a:endParaRPr lang="en-US"/>
              </a:p>
            </c:txPr>
            <c:showLegendKey val="0"/>
            <c:showVal val="0"/>
            <c:showCatName val="1"/>
            <c:showSerName val="0"/>
            <c:showPercent val="1"/>
            <c:showBubbleSize val="0"/>
            <c:showLeaderLines val="1"/>
          </c:dLbls>
          <c:cat>
            <c:strRef>
              <c:f>'Summary Tables'!$C$59:$G$59</c:f>
              <c:strCache>
                <c:ptCount val="5"/>
                <c:pt idx="0">
                  <c:v>Oil</c:v>
                </c:pt>
                <c:pt idx="1">
                  <c:v>Gas</c:v>
                </c:pt>
                <c:pt idx="2">
                  <c:v>Coal</c:v>
                </c:pt>
                <c:pt idx="3">
                  <c:v>Hydro</c:v>
                </c:pt>
                <c:pt idx="4">
                  <c:v>Wind</c:v>
                </c:pt>
              </c:strCache>
            </c:strRef>
          </c:cat>
          <c:val>
            <c:numRef>
              <c:f>'Summary Tables'!$C$72:$G$72</c:f>
              <c:numCache>
                <c:formatCode>0%</c:formatCode>
                <c:ptCount val="5"/>
                <c:pt idx="0">
                  <c:v>0.15571444923499561</c:v>
                </c:pt>
                <c:pt idx="1">
                  <c:v>0.57739707733984513</c:v>
                </c:pt>
                <c:pt idx="2">
                  <c:v>5.9088099507802666E-2</c:v>
                </c:pt>
                <c:pt idx="3">
                  <c:v>0.20456484413751003</c:v>
                </c:pt>
                <c:pt idx="4" formatCode="0.0%">
                  <c:v>3.2340035865542371E-3</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tx>
            <c:strRef>
              <c:f>'Table 3.3'!$F$12</c:f>
              <c:strCache>
                <c:ptCount val="1"/>
                <c:pt idx="0">
                  <c:v>Gas</c:v>
                </c:pt>
              </c:strCache>
            </c:strRef>
          </c:tx>
          <c:spPr>
            <a:solidFill>
              <a:schemeClr val="accent6">
                <a:lumMod val="60000"/>
                <a:lumOff val="40000"/>
              </a:schemeClr>
            </a:solidFill>
            <a:ln w="25400">
              <a:noFill/>
            </a:ln>
          </c:spPr>
          <c:cat>
            <c:numRef>
              <c:f>'Table 3.3'!$A$22:$A$62</c:f>
              <c:numCache>
                <c:formatCode>General</c:formatCode>
                <c:ptCount val="4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numCache>
            </c:numRef>
          </c:cat>
          <c:val>
            <c:numRef>
              <c:f>'Table 3.3'!$F$22:$F$62</c:f>
              <c:numCache>
                <c:formatCode>#,##0</c:formatCode>
                <c:ptCount val="41"/>
                <c:pt idx="0">
                  <c:v>614</c:v>
                </c:pt>
                <c:pt idx="1">
                  <c:v>748</c:v>
                </c:pt>
                <c:pt idx="2">
                  <c:v>950</c:v>
                </c:pt>
                <c:pt idx="3">
                  <c:v>1047</c:v>
                </c:pt>
                <c:pt idx="4">
                  <c:v>1311</c:v>
                </c:pt>
                <c:pt idx="5">
                  <c:v>1468</c:v>
                </c:pt>
                <c:pt idx="6">
                  <c:v>1537</c:v>
                </c:pt>
                <c:pt idx="7">
                  <c:v>1690</c:v>
                </c:pt>
                <c:pt idx="8">
                  <c:v>1827</c:v>
                </c:pt>
                <c:pt idx="9">
                  <c:v>1844</c:v>
                </c:pt>
                <c:pt idx="10">
                  <c:v>1897</c:v>
                </c:pt>
                <c:pt idx="11">
                  <c:v>2211</c:v>
                </c:pt>
                <c:pt idx="12">
                  <c:v>2338</c:v>
                </c:pt>
                <c:pt idx="13">
                  <c:v>2512</c:v>
                </c:pt>
                <c:pt idx="14">
                  <c:v>2631</c:v>
                </c:pt>
                <c:pt idx="15">
                  <c:v>2749</c:v>
                </c:pt>
                <c:pt idx="16">
                  <c:v>2790</c:v>
                </c:pt>
                <c:pt idx="17">
                  <c:v>2767</c:v>
                </c:pt>
                <c:pt idx="18">
                  <c:v>2875</c:v>
                </c:pt>
                <c:pt idx="19">
                  <c:v>2886</c:v>
                </c:pt>
                <c:pt idx="20">
                  <c:v>2666</c:v>
                </c:pt>
                <c:pt idx="21">
                  <c:v>2569</c:v>
                </c:pt>
                <c:pt idx="22">
                  <c:v>2476</c:v>
                </c:pt>
                <c:pt idx="23">
                  <c:v>2654</c:v>
                </c:pt>
                <c:pt idx="24">
                  <c:v>2660</c:v>
                </c:pt>
                <c:pt idx="25">
                  <c:v>2844</c:v>
                </c:pt>
                <c:pt idx="26">
                  <c:v>3031</c:v>
                </c:pt>
                <c:pt idx="27">
                  <c:v>2549</c:v>
                </c:pt>
                <c:pt idx="28">
                  <c:v>2838</c:v>
                </c:pt>
                <c:pt idx="29">
                  <c:v>3194</c:v>
                </c:pt>
                <c:pt idx="30">
                  <c:v>3027.8069999999998</c:v>
                </c:pt>
                <c:pt idx="31">
                  <c:v>2952.995997</c:v>
                </c:pt>
                <c:pt idx="32">
                  <c:v>3148</c:v>
                </c:pt>
                <c:pt idx="33">
                  <c:v>3475.4769999999999</c:v>
                </c:pt>
                <c:pt idx="34">
                  <c:v>3576.7380009999997</c:v>
                </c:pt>
                <c:pt idx="35">
                  <c:v>3939.9210010000002</c:v>
                </c:pt>
                <c:pt idx="36">
                  <c:v>3788.3250459999995</c:v>
                </c:pt>
                <c:pt idx="37">
                  <c:v>3942.2368229999997</c:v>
                </c:pt>
                <c:pt idx="38">
                  <c:v>3518.5540000000001</c:v>
                </c:pt>
                <c:pt idx="39">
                  <c:v>3689.6849999999999</c:v>
                </c:pt>
                <c:pt idx="40">
                  <c:v>3783.2466550000004</c:v>
                </c:pt>
              </c:numCache>
            </c:numRef>
          </c:val>
        </c:ser>
        <c:ser>
          <c:idx val="0"/>
          <c:order val="1"/>
          <c:tx>
            <c:strRef>
              <c:f>'Table 3.3'!$D$12</c:f>
              <c:strCache>
                <c:ptCount val="1"/>
                <c:pt idx="0">
                  <c:v>Oil</c:v>
                </c:pt>
              </c:strCache>
            </c:strRef>
          </c:tx>
          <c:spPr>
            <a:solidFill>
              <a:schemeClr val="accent4">
                <a:lumMod val="75000"/>
              </a:schemeClr>
            </a:solidFill>
            <a:ln w="25400">
              <a:noFill/>
            </a:ln>
          </c:spPr>
          <c:cat>
            <c:numRef>
              <c:f>'Table 3.3'!$A$22:$A$62</c:f>
              <c:numCache>
                <c:formatCode>General</c:formatCode>
                <c:ptCount val="4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numCache>
            </c:numRef>
          </c:cat>
          <c:val>
            <c:numRef>
              <c:f>'Table 3.3'!$D$22:$D$62</c:f>
              <c:numCache>
                <c:formatCode>#,##0</c:formatCode>
                <c:ptCount val="41"/>
                <c:pt idx="0">
                  <c:v>195</c:v>
                </c:pt>
                <c:pt idx="1">
                  <c:v>193</c:v>
                </c:pt>
                <c:pt idx="2">
                  <c:v>189</c:v>
                </c:pt>
                <c:pt idx="3">
                  <c:v>203</c:v>
                </c:pt>
                <c:pt idx="4">
                  <c:v>277</c:v>
                </c:pt>
                <c:pt idx="5">
                  <c:v>351</c:v>
                </c:pt>
                <c:pt idx="6">
                  <c:v>378</c:v>
                </c:pt>
                <c:pt idx="7">
                  <c:v>388</c:v>
                </c:pt>
                <c:pt idx="8">
                  <c:v>383</c:v>
                </c:pt>
                <c:pt idx="9">
                  <c:v>368</c:v>
                </c:pt>
                <c:pt idx="10">
                  <c:v>338</c:v>
                </c:pt>
                <c:pt idx="11">
                  <c:v>466</c:v>
                </c:pt>
                <c:pt idx="12">
                  <c:v>526</c:v>
                </c:pt>
                <c:pt idx="13">
                  <c:v>541</c:v>
                </c:pt>
                <c:pt idx="14">
                  <c:v>538</c:v>
                </c:pt>
                <c:pt idx="15">
                  <c:v>535</c:v>
                </c:pt>
                <c:pt idx="16">
                  <c:v>459</c:v>
                </c:pt>
                <c:pt idx="17">
                  <c:v>451</c:v>
                </c:pt>
                <c:pt idx="18">
                  <c:v>486</c:v>
                </c:pt>
                <c:pt idx="19">
                  <c:v>449</c:v>
                </c:pt>
                <c:pt idx="20">
                  <c:v>547</c:v>
                </c:pt>
                <c:pt idx="21">
                  <c:v>530</c:v>
                </c:pt>
                <c:pt idx="22">
                  <c:v>575</c:v>
                </c:pt>
                <c:pt idx="23">
                  <c:v>593</c:v>
                </c:pt>
                <c:pt idx="24">
                  <c:v>591</c:v>
                </c:pt>
                <c:pt idx="25">
                  <c:v>643</c:v>
                </c:pt>
                <c:pt idx="26">
                  <c:v>740.721</c:v>
                </c:pt>
                <c:pt idx="27">
                  <c:v>756.91399999999999</c:v>
                </c:pt>
                <c:pt idx="28">
                  <c:v>798.03899999999999</c:v>
                </c:pt>
                <c:pt idx="29">
                  <c:v>557.01300000000003</c:v>
                </c:pt>
                <c:pt idx="30">
                  <c:v>848</c:v>
                </c:pt>
                <c:pt idx="31">
                  <c:v>875.1529300000002</c:v>
                </c:pt>
                <c:pt idx="32">
                  <c:v>775</c:v>
                </c:pt>
                <c:pt idx="33">
                  <c:v>682</c:v>
                </c:pt>
                <c:pt idx="34">
                  <c:v>685.55899799999986</c:v>
                </c:pt>
                <c:pt idx="35">
                  <c:v>694.25200099999995</c:v>
                </c:pt>
                <c:pt idx="36">
                  <c:v>853</c:v>
                </c:pt>
                <c:pt idx="37">
                  <c:v>927.68143299999997</c:v>
                </c:pt>
                <c:pt idx="38">
                  <c:v>1183</c:v>
                </c:pt>
                <c:pt idx="39">
                  <c:v>952.94899999999996</c:v>
                </c:pt>
                <c:pt idx="40">
                  <c:v>1020.281531655</c:v>
                </c:pt>
              </c:numCache>
            </c:numRef>
          </c:val>
        </c:ser>
        <c:ser>
          <c:idx val="2"/>
          <c:order val="2"/>
          <c:tx>
            <c:strRef>
              <c:f>'Table 3.3'!$H$12</c:f>
              <c:strCache>
                <c:ptCount val="1"/>
                <c:pt idx="0">
                  <c:v>Coal</c:v>
                </c:pt>
              </c:strCache>
            </c:strRef>
          </c:tx>
          <c:spPr>
            <a:solidFill>
              <a:schemeClr val="bg1">
                <a:lumMod val="65000"/>
              </a:schemeClr>
            </a:solidFill>
            <a:ln w="25400">
              <a:noFill/>
            </a:ln>
          </c:spPr>
          <c:cat>
            <c:numRef>
              <c:f>'Table 3.3'!$A$22:$A$62</c:f>
              <c:numCache>
                <c:formatCode>General</c:formatCode>
                <c:ptCount val="4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numCache>
            </c:numRef>
          </c:cat>
          <c:val>
            <c:numRef>
              <c:f>'Table 3.3'!$H$22:$H$62</c:f>
              <c:numCache>
                <c:formatCode>#,##0</c:formatCode>
                <c:ptCount val="41"/>
                <c:pt idx="0">
                  <c:v>262</c:v>
                </c:pt>
                <c:pt idx="1">
                  <c:v>266</c:v>
                </c:pt>
                <c:pt idx="2">
                  <c:v>267</c:v>
                </c:pt>
                <c:pt idx="3">
                  <c:v>299</c:v>
                </c:pt>
                <c:pt idx="4">
                  <c:v>323</c:v>
                </c:pt>
                <c:pt idx="5">
                  <c:v>314</c:v>
                </c:pt>
                <c:pt idx="6">
                  <c:v>297</c:v>
                </c:pt>
                <c:pt idx="7">
                  <c:v>323</c:v>
                </c:pt>
                <c:pt idx="8">
                  <c:v>308</c:v>
                </c:pt>
                <c:pt idx="9">
                  <c:v>290</c:v>
                </c:pt>
                <c:pt idx="10">
                  <c:v>338</c:v>
                </c:pt>
                <c:pt idx="11">
                  <c:v>354</c:v>
                </c:pt>
                <c:pt idx="12">
                  <c:v>331</c:v>
                </c:pt>
                <c:pt idx="13">
                  <c:v>308</c:v>
                </c:pt>
                <c:pt idx="14">
                  <c:v>290</c:v>
                </c:pt>
                <c:pt idx="15">
                  <c:v>272</c:v>
                </c:pt>
                <c:pt idx="16">
                  <c:v>276</c:v>
                </c:pt>
                <c:pt idx="17">
                  <c:v>295</c:v>
                </c:pt>
                <c:pt idx="18">
                  <c:v>307</c:v>
                </c:pt>
                <c:pt idx="19">
                  <c:v>316</c:v>
                </c:pt>
                <c:pt idx="20">
                  <c:v>323</c:v>
                </c:pt>
                <c:pt idx="21">
                  <c:v>302</c:v>
                </c:pt>
                <c:pt idx="22">
                  <c:v>322</c:v>
                </c:pt>
                <c:pt idx="23">
                  <c:v>294</c:v>
                </c:pt>
                <c:pt idx="24">
                  <c:v>309</c:v>
                </c:pt>
                <c:pt idx="25">
                  <c:v>229</c:v>
                </c:pt>
                <c:pt idx="26">
                  <c:v>237.16499999999999</c:v>
                </c:pt>
                <c:pt idx="27">
                  <c:v>171.053</c:v>
                </c:pt>
                <c:pt idx="28">
                  <c:v>156.18799999999999</c:v>
                </c:pt>
                <c:pt idx="29">
                  <c:v>184.90100000000001</c:v>
                </c:pt>
                <c:pt idx="30">
                  <c:v>194.00800000000001</c:v>
                </c:pt>
                <c:pt idx="31">
                  <c:v>205</c:v>
                </c:pt>
                <c:pt idx="32">
                  <c:v>168</c:v>
                </c:pt>
                <c:pt idx="33">
                  <c:v>211</c:v>
                </c:pt>
                <c:pt idx="34">
                  <c:v>219</c:v>
                </c:pt>
                <c:pt idx="35">
                  <c:v>210</c:v>
                </c:pt>
                <c:pt idx="36">
                  <c:v>214</c:v>
                </c:pt>
                <c:pt idx="37">
                  <c:v>220</c:v>
                </c:pt>
                <c:pt idx="38">
                  <c:v>422</c:v>
                </c:pt>
                <c:pt idx="39">
                  <c:v>393.673</c:v>
                </c:pt>
                <c:pt idx="40">
                  <c:v>387.16</c:v>
                </c:pt>
              </c:numCache>
            </c:numRef>
          </c:val>
        </c:ser>
        <c:ser>
          <c:idx val="3"/>
          <c:order val="3"/>
          <c:tx>
            <c:strRef>
              <c:f>'Table 3.3'!$J$12</c:f>
              <c:strCache>
                <c:ptCount val="1"/>
                <c:pt idx="0">
                  <c:v>Hydro</c:v>
                </c:pt>
              </c:strCache>
            </c:strRef>
          </c:tx>
          <c:spPr>
            <a:solidFill>
              <a:schemeClr val="tx2">
                <a:lumMod val="40000"/>
                <a:lumOff val="60000"/>
              </a:schemeClr>
            </a:solidFill>
            <a:ln w="25400">
              <a:noFill/>
            </a:ln>
          </c:spPr>
          <c:cat>
            <c:numRef>
              <c:f>'Table 3.3'!$A$22:$A$62</c:f>
              <c:numCache>
                <c:formatCode>General</c:formatCode>
                <c:ptCount val="4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numCache>
            </c:numRef>
          </c:cat>
          <c:val>
            <c:numRef>
              <c:f>'Table 3.3'!$J$22:$J$62</c:f>
              <c:numCache>
                <c:formatCode>#,##0</c:formatCode>
                <c:ptCount val="41"/>
                <c:pt idx="3">
                  <c:v>319</c:v>
                </c:pt>
                <c:pt idx="4">
                  <c:v>351</c:v>
                </c:pt>
                <c:pt idx="5">
                  <c:v>369</c:v>
                </c:pt>
                <c:pt idx="6">
                  <c:v>498</c:v>
                </c:pt>
                <c:pt idx="7">
                  <c:v>463</c:v>
                </c:pt>
                <c:pt idx="8">
                  <c:v>450</c:v>
                </c:pt>
                <c:pt idx="9">
                  <c:v>532</c:v>
                </c:pt>
                <c:pt idx="10">
                  <c:v>581</c:v>
                </c:pt>
                <c:pt idx="11">
                  <c:v>576</c:v>
                </c:pt>
                <c:pt idx="12">
                  <c:v>586</c:v>
                </c:pt>
                <c:pt idx="13">
                  <c:v>696</c:v>
                </c:pt>
                <c:pt idx="14">
                  <c:v>775</c:v>
                </c:pt>
                <c:pt idx="15">
                  <c:v>854</c:v>
                </c:pt>
                <c:pt idx="16">
                  <c:v>898</c:v>
                </c:pt>
                <c:pt idx="17">
                  <c:v>989</c:v>
                </c:pt>
                <c:pt idx="18">
                  <c:v>935</c:v>
                </c:pt>
                <c:pt idx="19">
                  <c:v>1024</c:v>
                </c:pt>
                <c:pt idx="20">
                  <c:v>1085</c:v>
                </c:pt>
                <c:pt idx="21">
                  <c:v>1337</c:v>
                </c:pt>
                <c:pt idx="22">
                  <c:v>1359</c:v>
                </c:pt>
                <c:pt idx="23">
                  <c:v>1384</c:v>
                </c:pt>
                <c:pt idx="24">
                  <c:v>1459</c:v>
                </c:pt>
                <c:pt idx="25">
                  <c:v>1266</c:v>
                </c:pt>
                <c:pt idx="26">
                  <c:v>1098.953</c:v>
                </c:pt>
                <c:pt idx="27">
                  <c:v>1113.3320000000001</c:v>
                </c:pt>
                <c:pt idx="28">
                  <c:v>816.60799999999995</c:v>
                </c:pt>
                <c:pt idx="29">
                  <c:v>1001.819</c:v>
                </c:pt>
                <c:pt idx="30">
                  <c:v>1346</c:v>
                </c:pt>
                <c:pt idx="31">
                  <c:v>1439.3510010000002</c:v>
                </c:pt>
                <c:pt idx="32">
                  <c:v>1582.5354899999995</c:v>
                </c:pt>
                <c:pt idx="33">
                  <c:v>1498.0200089999998</c:v>
                </c:pt>
                <c:pt idx="34">
                  <c:v>1463.9420049999999</c:v>
                </c:pt>
                <c:pt idx="35">
                  <c:v>1223.607006</c:v>
                </c:pt>
                <c:pt idx="36">
                  <c:v>1291.2229990000001</c:v>
                </c:pt>
                <c:pt idx="37">
                  <c:v>1171.8009999999999</c:v>
                </c:pt>
                <c:pt idx="38">
                  <c:v>1309</c:v>
                </c:pt>
                <c:pt idx="39">
                  <c:v>1428.837</c:v>
                </c:pt>
                <c:pt idx="40">
                  <c:v>1340.3677859999998</c:v>
                </c:pt>
              </c:numCache>
            </c:numRef>
          </c:val>
        </c:ser>
        <c:ser>
          <c:idx val="4"/>
          <c:order val="4"/>
          <c:tx>
            <c:strRef>
              <c:f>'Table 3.3'!$L$12</c:f>
              <c:strCache>
                <c:ptCount val="1"/>
                <c:pt idx="0">
                  <c:v>Wind</c:v>
                </c:pt>
              </c:strCache>
            </c:strRef>
          </c:tx>
          <c:spPr>
            <a:solidFill>
              <a:srgbClr val="FF0000"/>
            </a:solidFill>
            <a:ln w="25400">
              <a:noFill/>
            </a:ln>
          </c:spPr>
          <c:cat>
            <c:numRef>
              <c:f>'Table 3.3'!$A$22:$A$62</c:f>
              <c:numCache>
                <c:formatCode>General</c:formatCode>
                <c:ptCount val="4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numCache>
            </c:numRef>
          </c:cat>
          <c:val>
            <c:numRef>
              <c:f>'Table 3.3'!$L$22:$L$62</c:f>
              <c:numCache>
                <c:formatCode>General</c:formatCode>
                <c:ptCount val="41"/>
                <c:pt idx="30">
                  <c:v>1</c:v>
                </c:pt>
                <c:pt idx="34" formatCode="#,##0.00">
                  <c:v>0.58899999999999997</c:v>
                </c:pt>
                <c:pt idx="35" formatCode="#,##0.00">
                  <c:v>0.78800099999999995</c:v>
                </c:pt>
                <c:pt idx="37" formatCode="#,##0.00">
                  <c:v>2.25</c:v>
                </c:pt>
                <c:pt idx="38" formatCode="#,##0.00">
                  <c:v>9.1519999999999992</c:v>
                </c:pt>
                <c:pt idx="39" formatCode="#,##0.00">
                  <c:v>20.347999999999999</c:v>
                </c:pt>
                <c:pt idx="40" formatCode="#,##0.00">
                  <c:v>21.194264999999998</c:v>
                </c:pt>
              </c:numCache>
            </c:numRef>
          </c:val>
        </c:ser>
        <c:dLbls>
          <c:showLegendKey val="0"/>
          <c:showVal val="0"/>
          <c:showCatName val="0"/>
          <c:showSerName val="0"/>
          <c:showPercent val="0"/>
          <c:showBubbleSize val="0"/>
        </c:dLbls>
        <c:axId val="128086400"/>
        <c:axId val="128087936"/>
      </c:areaChart>
      <c:catAx>
        <c:axId val="128086400"/>
        <c:scaling>
          <c:orientation val="minMax"/>
        </c:scaling>
        <c:delete val="0"/>
        <c:axPos val="b"/>
        <c:numFmt formatCode="General" sourceLinked="1"/>
        <c:majorTickMark val="out"/>
        <c:minorTickMark val="none"/>
        <c:tickLblPos val="nextTo"/>
        <c:txPr>
          <a:bodyPr rot="-2700000"/>
          <a:lstStyle/>
          <a:p>
            <a:pPr>
              <a:defRPr/>
            </a:pPr>
            <a:endParaRPr lang="en-US"/>
          </a:p>
        </c:txPr>
        <c:crossAx val="128087936"/>
        <c:crosses val="autoZero"/>
        <c:auto val="1"/>
        <c:lblAlgn val="ctr"/>
        <c:lblOffset val="100"/>
        <c:noMultiLvlLbl val="0"/>
      </c:catAx>
      <c:valAx>
        <c:axId val="128087936"/>
        <c:scaling>
          <c:orientation val="minMax"/>
        </c:scaling>
        <c:delete val="0"/>
        <c:axPos val="l"/>
        <c:majorGridlines/>
        <c:title>
          <c:tx>
            <c:rich>
              <a:bodyPr rot="-5400000" vert="horz"/>
              <a:lstStyle/>
              <a:p>
                <a:pPr>
                  <a:defRPr/>
                </a:pPr>
                <a:r>
                  <a:rPr lang="en-US"/>
                  <a:t>Net Generation, GWh</a:t>
                </a:r>
              </a:p>
            </c:rich>
          </c:tx>
          <c:overlay val="0"/>
        </c:title>
        <c:numFmt formatCode="#,##0" sourceLinked="1"/>
        <c:majorTickMark val="out"/>
        <c:minorTickMark val="none"/>
        <c:tickLblPos val="nextTo"/>
        <c:crossAx val="128086400"/>
        <c:crosses val="autoZero"/>
        <c:crossBetween val="midCat"/>
      </c:valAx>
    </c:plotArea>
    <c:legend>
      <c:legendPos val="r"/>
      <c:overlay val="0"/>
    </c:legend>
    <c:plotVisOnly val="1"/>
    <c:dispBlanksAs val="zero"/>
    <c:showDLblsOverMax val="0"/>
  </c:chart>
  <c:spPr>
    <a:solidFill>
      <a:schemeClr val="bg1"/>
    </a:solidFill>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9899315864206"/>
          <c:y val="0.11584281131525226"/>
          <c:w val="0.76920648853319562"/>
          <c:h val="0.81461103820355785"/>
        </c:manualLayout>
      </c:layout>
      <c:pieChart>
        <c:varyColors val="1"/>
        <c:ser>
          <c:idx val="0"/>
          <c:order val="0"/>
          <c:dLbls>
            <c:dLbl>
              <c:idx val="0"/>
              <c:layout>
                <c:manualLayout>
                  <c:x val="-0.10074415568520256"/>
                  <c:y val="0.18884550889472149"/>
                </c:manualLayout>
              </c:layout>
              <c:showLegendKey val="0"/>
              <c:showVal val="0"/>
              <c:showCatName val="1"/>
              <c:showSerName val="0"/>
              <c:showPercent val="1"/>
              <c:showBubbleSize val="0"/>
            </c:dLbl>
            <c:dLbl>
              <c:idx val="1"/>
              <c:layout>
                <c:manualLayout>
                  <c:x val="5.0211469680279605E-2"/>
                  <c:y val="-0.27511227763196267"/>
                </c:manualLayout>
              </c:layout>
              <c:showLegendKey val="0"/>
              <c:showVal val="0"/>
              <c:showCatName val="1"/>
              <c:showSerName val="0"/>
              <c:showPercent val="1"/>
              <c:showBubbleSize val="0"/>
            </c:dLbl>
            <c:dLbl>
              <c:idx val="2"/>
              <c:layout>
                <c:manualLayout>
                  <c:x val="0.10585941006078903"/>
                  <c:y val="0.18894721493146693"/>
                </c:manualLayout>
              </c:layout>
              <c:showLegendKey val="0"/>
              <c:showVal val="0"/>
              <c:showCatName val="1"/>
              <c:showSerName val="0"/>
              <c:showPercent val="1"/>
              <c:showBubbleSize val="0"/>
            </c:dLbl>
            <c:txPr>
              <a:bodyPr/>
              <a:lstStyle/>
              <a:p>
                <a:pPr>
                  <a:defRPr sz="1400" b="1">
                    <a:solidFill>
                      <a:schemeClr val="bg1"/>
                    </a:solidFill>
                  </a:defRPr>
                </a:pPr>
                <a:endParaRPr lang="en-US"/>
              </a:p>
            </c:txPr>
            <c:showLegendKey val="0"/>
            <c:showVal val="0"/>
            <c:showCatName val="1"/>
            <c:showSerName val="0"/>
            <c:showPercent val="1"/>
            <c:showBubbleSize val="0"/>
            <c:showLeaderLines val="0"/>
          </c:dLbls>
          <c:cat>
            <c:strRef>
              <c:f>'Summary Tables'!$C$77:$E$77</c:f>
              <c:strCache>
                <c:ptCount val="3"/>
                <c:pt idx="0">
                  <c:v>Oil</c:v>
                </c:pt>
                <c:pt idx="1">
                  <c:v>Gas</c:v>
                </c:pt>
                <c:pt idx="2">
                  <c:v>Coal</c:v>
                </c:pt>
              </c:strCache>
            </c:strRef>
          </c:cat>
          <c:val>
            <c:numRef>
              <c:f>'Summary Tables'!$C$92:$E$92</c:f>
              <c:numCache>
                <c:formatCode>_(* #,##0_);_(* \(#,##0\);_(* "-"??_);_(@_)</c:formatCode>
                <c:ptCount val="3"/>
                <c:pt idx="0">
                  <c:v>9635990</c:v>
                </c:pt>
                <c:pt idx="1">
                  <c:v>41961200</c:v>
                </c:pt>
                <c:pt idx="2">
                  <c:v>7763020</c:v>
                </c:pt>
              </c:numCache>
            </c:numRef>
          </c:val>
        </c:ser>
        <c:dLbls>
          <c:showLegendKey val="0"/>
          <c:showVal val="1"/>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575810701519263E-3"/>
          <c:y val="2.7635831120692771E-2"/>
          <c:w val="0.88402449693788276"/>
          <c:h val="0.85355259546980222"/>
        </c:manualLayout>
      </c:layout>
      <c:ofPieChart>
        <c:ofPieType val="bar"/>
        <c:varyColors val="1"/>
        <c:ser>
          <c:idx val="0"/>
          <c:order val="0"/>
          <c:dLbls>
            <c:dLbl>
              <c:idx val="0"/>
              <c:layout>
                <c:manualLayout>
                  <c:x val="0.10163706694023653"/>
                  <c:y val="-3.7847909761949995E-2"/>
                </c:manualLayout>
              </c:layout>
              <c:showLegendKey val="0"/>
              <c:showVal val="0"/>
              <c:showCatName val="1"/>
              <c:showSerName val="0"/>
              <c:showPercent val="1"/>
              <c:showBubbleSize val="0"/>
              <c:separator>, </c:separator>
            </c:dLbl>
            <c:dLbl>
              <c:idx val="1"/>
              <c:layout>
                <c:manualLayout>
                  <c:x val="-0.16246400615676249"/>
                  <c:y val="3.7217702779803446E-3"/>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2"/>
              <c:layout>
                <c:manualLayout>
                  <c:x val="-0.16130591321147869"/>
                  <c:y val="4.4099874069759848E-4"/>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3"/>
              <c:layout>
                <c:manualLayout>
                  <c:x val="8.7456555240239639E-2"/>
                  <c:y val="0"/>
                </c:manualLayout>
              </c:layout>
              <c:showLegendKey val="0"/>
              <c:showVal val="0"/>
              <c:showCatName val="1"/>
              <c:showSerName val="0"/>
              <c:showPercent val="1"/>
              <c:showBubbleSize val="0"/>
              <c:separator>, </c:separator>
            </c:dLbl>
            <c:dLbl>
              <c:idx val="4"/>
              <c:layout>
                <c:manualLayout>
                  <c:x val="-0.14315567377668725"/>
                  <c:y val="-3.5746807347244135E-3"/>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5"/>
              <c:spPr/>
              <c:txPr>
                <a:bodyPr/>
                <a:lstStyle/>
                <a:p>
                  <a:pPr>
                    <a:defRPr sz="1100" b="1">
                      <a:solidFill>
                        <a:sysClr val="windowText" lastClr="000000"/>
                      </a:solidFill>
                    </a:defRPr>
                  </a:pPr>
                  <a:endParaRPr lang="en-US"/>
                </a:p>
              </c:txPr>
              <c:showLegendKey val="0"/>
              <c:showVal val="0"/>
              <c:showCatName val="1"/>
              <c:showSerName val="0"/>
              <c:showPercent val="1"/>
              <c:showBubbleSize val="0"/>
            </c:dLbl>
            <c:dLbl>
              <c:idx val="6"/>
              <c:layout>
                <c:manualLayout>
                  <c:x val="-0.17498904652505826"/>
                  <c:y val="3.5746807347244135E-3"/>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7"/>
              <c:layout>
                <c:manualLayout>
                  <c:x val="-0.16762470388617884"/>
                  <c:y val="6.855182382937028E-3"/>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8"/>
              <c:layout>
                <c:manualLayout>
                  <c:x val="0.18091404199475067"/>
                  <c:y val="0.14811283978242665"/>
                </c:manualLayout>
              </c:layout>
              <c:spPr/>
              <c:txPr>
                <a:bodyPr/>
                <a:lstStyle/>
                <a:p>
                  <a:pPr>
                    <a:defRPr sz="1100" b="1">
                      <a:solidFill>
                        <a:sysClr val="windowText" lastClr="000000"/>
                      </a:solidFill>
                    </a:defRPr>
                  </a:pPr>
                  <a:endParaRPr lang="en-US"/>
                </a:p>
              </c:txPr>
              <c:showLegendKey val="0"/>
              <c:showVal val="0"/>
              <c:showCatName val="1"/>
              <c:showSerName val="0"/>
              <c:showPercent val="1"/>
              <c:showBubbleSize val="0"/>
              <c:separator>, </c:separator>
            </c:dLbl>
            <c:dLbl>
              <c:idx val="9"/>
              <c:layout>
                <c:manualLayout>
                  <c:x val="-0.16954267970250947"/>
                  <c:y val="3.4275911914684828E-3"/>
                </c:manualLayout>
              </c:layout>
              <c:spPr/>
              <c:txPr>
                <a:bodyPr/>
                <a:lstStyle/>
                <a:p>
                  <a:pPr>
                    <a:defRPr sz="1100" b="1">
                      <a:solidFill>
                        <a:schemeClr val="bg1"/>
                      </a:solidFill>
                    </a:defRPr>
                  </a:pPr>
                  <a:endParaRPr lang="en-US"/>
                </a:p>
              </c:txPr>
              <c:showLegendKey val="0"/>
              <c:showVal val="0"/>
              <c:showCatName val="1"/>
              <c:showSerName val="0"/>
              <c:showPercent val="1"/>
              <c:showBubbleSize val="0"/>
              <c:separator>, </c:separator>
            </c:dLbl>
            <c:dLbl>
              <c:idx val="10"/>
              <c:layout>
                <c:manualLayout>
                  <c:x val="-2.1453836511658352E-4"/>
                  <c:y val="5.8046121882983658E-2"/>
                </c:manualLayout>
              </c:layout>
              <c:showLegendKey val="0"/>
              <c:showVal val="0"/>
              <c:showCatName val="1"/>
              <c:showSerName val="0"/>
              <c:showPercent val="1"/>
              <c:showBubbleSize val="0"/>
              <c:separator>, </c:separator>
            </c:dLbl>
            <c:dLbl>
              <c:idx val="11"/>
              <c:layout>
                <c:manualLayout>
                  <c:x val="-0.17682502187226598"/>
                  <c:y val="-6.8629893113226802E-3"/>
                </c:manualLayout>
              </c:layout>
              <c:spPr/>
              <c:txPr>
                <a:bodyPr/>
                <a:lstStyle/>
                <a:p>
                  <a:pPr>
                    <a:defRPr sz="1100" b="1">
                      <a:solidFill>
                        <a:sysClr val="windowText" lastClr="000000"/>
                      </a:solidFill>
                    </a:defRPr>
                  </a:pPr>
                  <a:endParaRPr lang="en-US"/>
                </a:p>
              </c:txPr>
              <c:showLegendKey val="0"/>
              <c:showVal val="0"/>
              <c:showCatName val="1"/>
              <c:showSerName val="0"/>
              <c:showPercent val="1"/>
              <c:showBubbleSize val="0"/>
              <c:separator>, </c:separator>
            </c:dLbl>
            <c:txPr>
              <a:bodyPr/>
              <a:lstStyle/>
              <a:p>
                <a:pPr>
                  <a:defRPr sz="1100" b="1"/>
                </a:pPr>
                <a:endParaRPr lang="en-US"/>
              </a:p>
            </c:txPr>
            <c:showLegendKey val="0"/>
            <c:showVal val="0"/>
            <c:showCatName val="1"/>
            <c:showSerName val="0"/>
            <c:showPercent val="1"/>
            <c:showBubbleSize val="0"/>
            <c:separator>, </c:separator>
            <c:showLeaderLines val="1"/>
          </c:dLbls>
          <c:cat>
            <c:strRef>
              <c:f>'Summary Tables'!$B$79:$B$89</c:f>
              <c:strCache>
                <c:ptCount val="11"/>
                <c:pt idx="0">
                  <c:v>Aleutians</c:v>
                </c:pt>
                <c:pt idx="1">
                  <c:v>Bering Straits</c:v>
                </c:pt>
                <c:pt idx="2">
                  <c:v>Bristol Bay</c:v>
                </c:pt>
                <c:pt idx="3">
                  <c:v>Copper River/Chugach</c:v>
                </c:pt>
                <c:pt idx="4">
                  <c:v>Kodiak</c:v>
                </c:pt>
                <c:pt idx="5">
                  <c:v>Lower Yukon-Kuskokwim</c:v>
                </c:pt>
                <c:pt idx="6">
                  <c:v>North Slope</c:v>
                </c:pt>
                <c:pt idx="7">
                  <c:v>Northwest Arctic</c:v>
                </c:pt>
                <c:pt idx="8">
                  <c:v>Railbelt</c:v>
                </c:pt>
                <c:pt idx="9">
                  <c:v>Southeast</c:v>
                </c:pt>
                <c:pt idx="10">
                  <c:v>Yukon-Koyukuk/Upper Tanana</c:v>
                </c:pt>
              </c:strCache>
            </c:strRef>
          </c:cat>
          <c:val>
            <c:numRef>
              <c:f>'Summary Tables'!$C$79:$C$89</c:f>
              <c:numCache>
                <c:formatCode>#,##0_);[Red]\(#,##0\)</c:formatCode>
                <c:ptCount val="11"/>
                <c:pt idx="0">
                  <c:v>4221440</c:v>
                </c:pt>
                <c:pt idx="1">
                  <c:v>3548340</c:v>
                </c:pt>
                <c:pt idx="2">
                  <c:v>3628030</c:v>
                </c:pt>
                <c:pt idx="3">
                  <c:v>4658330</c:v>
                </c:pt>
                <c:pt idx="4">
                  <c:v>1772550</c:v>
                </c:pt>
                <c:pt idx="5">
                  <c:v>7129680</c:v>
                </c:pt>
                <c:pt idx="6">
                  <c:v>2162790</c:v>
                </c:pt>
                <c:pt idx="7">
                  <c:v>2471750</c:v>
                </c:pt>
                <c:pt idx="8">
                  <c:v>34486410</c:v>
                </c:pt>
                <c:pt idx="9">
                  <c:v>2687200</c:v>
                </c:pt>
                <c:pt idx="10">
                  <c:v>2557160</c:v>
                </c:pt>
              </c:numCache>
            </c:numRef>
          </c:val>
        </c:ser>
        <c:dLbls>
          <c:showLegendKey val="0"/>
          <c:showVal val="0"/>
          <c:showCatName val="0"/>
          <c:showSerName val="0"/>
          <c:showPercent val="0"/>
          <c:showBubbleSize val="0"/>
          <c:showLeaderLines val="1"/>
        </c:dLbls>
        <c:gapWidth val="100"/>
        <c:splitType val="percent"/>
        <c:splitPos val="6"/>
        <c:secondPieSize val="75"/>
        <c:serLines/>
      </c:ofPieChart>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36834228208778E-2"/>
          <c:y val="8.2097594943489199E-2"/>
          <c:w val="0.72752281599317847"/>
          <c:h val="0.80428946381702282"/>
        </c:manualLayout>
      </c:layout>
      <c:barChart>
        <c:barDir val="col"/>
        <c:grouping val="percentStacked"/>
        <c:varyColors val="0"/>
        <c:ser>
          <c:idx val="0"/>
          <c:order val="0"/>
          <c:tx>
            <c:strRef>
              <c:f>'Summary Figures'!$O$208</c:f>
              <c:strCache>
                <c:ptCount val="1"/>
                <c:pt idx="0">
                  <c:v>Residential</c:v>
                </c:pt>
              </c:strCache>
            </c:strRef>
          </c:tx>
          <c:invertIfNegative val="0"/>
          <c:dLbls>
            <c:delete val="1"/>
          </c:dLbls>
          <c:cat>
            <c:strRef>
              <c:f>'Summary Figures'!$N$209:$N$211</c:f>
              <c:strCache>
                <c:ptCount val="3"/>
                <c:pt idx="0">
                  <c:v>Sales</c:v>
                </c:pt>
                <c:pt idx="1">
                  <c:v>Revenue</c:v>
                </c:pt>
                <c:pt idx="2">
                  <c:v>Customers</c:v>
                </c:pt>
              </c:strCache>
            </c:strRef>
          </c:cat>
          <c:val>
            <c:numRef>
              <c:f>'Summary Figures'!$O$209:$O$211</c:f>
              <c:numCache>
                <c:formatCode>#,##0</c:formatCode>
                <c:ptCount val="3"/>
                <c:pt idx="0">
                  <c:v>2138370</c:v>
                </c:pt>
                <c:pt idx="1">
                  <c:v>379620</c:v>
                </c:pt>
                <c:pt idx="2">
                  <c:v>274890</c:v>
                </c:pt>
              </c:numCache>
            </c:numRef>
          </c:val>
        </c:ser>
        <c:ser>
          <c:idx val="1"/>
          <c:order val="1"/>
          <c:tx>
            <c:strRef>
              <c:f>'Summary Figures'!$P$208</c:f>
              <c:strCache>
                <c:ptCount val="1"/>
                <c:pt idx="0">
                  <c:v>Commercial</c:v>
                </c:pt>
              </c:strCache>
            </c:strRef>
          </c:tx>
          <c:invertIfNegative val="0"/>
          <c:dLbls>
            <c:delete val="1"/>
          </c:dLbls>
          <c:cat>
            <c:strRef>
              <c:f>'Summary Figures'!$N$209:$N$211</c:f>
              <c:strCache>
                <c:ptCount val="3"/>
                <c:pt idx="0">
                  <c:v>Sales</c:v>
                </c:pt>
                <c:pt idx="1">
                  <c:v>Revenue</c:v>
                </c:pt>
                <c:pt idx="2">
                  <c:v>Customers</c:v>
                </c:pt>
              </c:strCache>
            </c:strRef>
          </c:cat>
          <c:val>
            <c:numRef>
              <c:f>'Summary Figures'!$P$209:$P$211</c:f>
              <c:numCache>
                <c:formatCode>#,##0</c:formatCode>
                <c:ptCount val="3"/>
                <c:pt idx="0">
                  <c:v>2751350</c:v>
                </c:pt>
                <c:pt idx="1">
                  <c:v>403800</c:v>
                </c:pt>
                <c:pt idx="2">
                  <c:v>45990</c:v>
                </c:pt>
              </c:numCache>
            </c:numRef>
          </c:val>
        </c:ser>
        <c:ser>
          <c:idx val="2"/>
          <c:order val="2"/>
          <c:tx>
            <c:strRef>
              <c:f>'Summary Figures'!$Q$208</c:f>
              <c:strCache>
                <c:ptCount val="1"/>
                <c:pt idx="0">
                  <c:v>Other</c:v>
                </c:pt>
              </c:strCache>
            </c:strRef>
          </c:tx>
          <c:invertIfNegative val="0"/>
          <c:dLbls>
            <c:delete val="1"/>
          </c:dLbls>
          <c:cat>
            <c:strRef>
              <c:f>'Summary Figures'!$N$209:$N$211</c:f>
              <c:strCache>
                <c:ptCount val="3"/>
                <c:pt idx="0">
                  <c:v>Sales</c:v>
                </c:pt>
                <c:pt idx="1">
                  <c:v>Revenue</c:v>
                </c:pt>
                <c:pt idx="2">
                  <c:v>Customers</c:v>
                </c:pt>
              </c:strCache>
            </c:strRef>
          </c:cat>
          <c:val>
            <c:numRef>
              <c:f>'Summary Figures'!$Q$209:$Q$211</c:f>
              <c:numCache>
                <c:formatCode>#,##0</c:formatCode>
                <c:ptCount val="3"/>
                <c:pt idx="0">
                  <c:v>1375960</c:v>
                </c:pt>
                <c:pt idx="1">
                  <c:v>238800</c:v>
                </c:pt>
                <c:pt idx="2">
                  <c:v>4440</c:v>
                </c:pt>
              </c:numCache>
            </c:numRef>
          </c:val>
        </c:ser>
        <c:dLbls>
          <c:showLegendKey val="0"/>
          <c:showVal val="1"/>
          <c:showCatName val="0"/>
          <c:showSerName val="0"/>
          <c:showPercent val="0"/>
          <c:showBubbleSize val="0"/>
        </c:dLbls>
        <c:gapWidth val="150"/>
        <c:overlap val="100"/>
        <c:axId val="128724352"/>
        <c:axId val="128730240"/>
      </c:barChart>
      <c:catAx>
        <c:axId val="128724352"/>
        <c:scaling>
          <c:orientation val="minMax"/>
        </c:scaling>
        <c:delete val="0"/>
        <c:axPos val="b"/>
        <c:majorTickMark val="out"/>
        <c:minorTickMark val="none"/>
        <c:tickLblPos val="nextTo"/>
        <c:crossAx val="128730240"/>
        <c:crosses val="autoZero"/>
        <c:auto val="1"/>
        <c:lblAlgn val="ctr"/>
        <c:lblOffset val="100"/>
        <c:noMultiLvlLbl val="0"/>
      </c:catAx>
      <c:valAx>
        <c:axId val="128730240"/>
        <c:scaling>
          <c:orientation val="minMax"/>
        </c:scaling>
        <c:delete val="0"/>
        <c:axPos val="l"/>
        <c:majorGridlines/>
        <c:numFmt formatCode="0%" sourceLinked="1"/>
        <c:majorTickMark val="out"/>
        <c:minorTickMark val="none"/>
        <c:tickLblPos val="nextTo"/>
        <c:crossAx val="12872435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'Table 2.6a'!$I$23:$I$24</c:f>
              <c:strCache>
                <c:ptCount val="2"/>
                <c:pt idx="0">
                  <c:v>Industrial</c:v>
                </c:pt>
                <c:pt idx="1">
                  <c:v>Military</c:v>
                </c:pt>
              </c:strCache>
            </c:strRef>
          </c:cat>
          <c:val>
            <c:numRef>
              <c:f>'Table 2.6a'!$H$23:$H$24</c:f>
              <c:numCache>
                <c:formatCode>#,##0</c:formatCode>
                <c:ptCount val="2"/>
                <c:pt idx="0">
                  <c:v>169638.18100000001</c:v>
                </c:pt>
                <c:pt idx="1">
                  <c:v>218400.649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image" Target="../media/image6.png"/><Relationship Id="rId26" Type="http://schemas.openxmlformats.org/officeDocument/2006/relationships/image" Target="../media/image14.png"/><Relationship Id="rId3" Type="http://schemas.openxmlformats.org/officeDocument/2006/relationships/image" Target="../media/image3.jpeg"/><Relationship Id="rId21" Type="http://schemas.openxmlformats.org/officeDocument/2006/relationships/image" Target="../media/image9.png"/><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image" Target="../media/image5.png"/><Relationship Id="rId25" Type="http://schemas.openxmlformats.org/officeDocument/2006/relationships/image" Target="../media/image13.png"/><Relationship Id="rId2" Type="http://schemas.openxmlformats.org/officeDocument/2006/relationships/image" Target="../media/image2.jpeg"/><Relationship Id="rId16" Type="http://schemas.openxmlformats.org/officeDocument/2006/relationships/image" Target="../media/image4.png"/><Relationship Id="rId20" Type="http://schemas.openxmlformats.org/officeDocument/2006/relationships/image" Target="../media/image8.png"/><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image" Target="../media/image12.png"/><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image" Target="../media/image11.png"/><Relationship Id="rId10" Type="http://schemas.openxmlformats.org/officeDocument/2006/relationships/chart" Target="../charts/chart8.xml"/><Relationship Id="rId19"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image" Target="../media/image10.png"/><Relationship Id="rId27"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gif"/><Relationship Id="rId1" Type="http://schemas.openxmlformats.org/officeDocument/2006/relationships/image" Target="../media/image16.png"/><Relationship Id="rId4"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361949</xdr:colOff>
      <xdr:row>2</xdr:row>
      <xdr:rowOff>114300</xdr:rowOff>
    </xdr:from>
    <xdr:to>
      <xdr:col>16</xdr:col>
      <xdr:colOff>104774</xdr:colOff>
      <xdr:row>41</xdr:row>
      <xdr:rowOff>123825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1949" y="495300"/>
          <a:ext cx="9496425" cy="74390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204792</xdr:colOff>
      <xdr:row>19</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0</xdr:rowOff>
    </xdr:from>
    <xdr:to>
      <xdr:col>9</xdr:col>
      <xdr:colOff>112395</xdr:colOff>
      <xdr:row>34</xdr:row>
      <xdr:rowOff>91440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191000"/>
          <a:ext cx="5684520" cy="2377440"/>
        </a:xfrm>
        <a:prstGeom prst="rect">
          <a:avLst/>
        </a:prstGeom>
      </xdr:spPr>
    </xdr:pic>
    <xdr:clientData/>
  </xdr:twoCellAnchor>
  <xdr:twoCellAnchor editAs="oneCell">
    <xdr:from>
      <xdr:col>0</xdr:col>
      <xdr:colOff>0</xdr:colOff>
      <xdr:row>38</xdr:row>
      <xdr:rowOff>0</xdr:rowOff>
    </xdr:from>
    <xdr:to>
      <xdr:col>9</xdr:col>
      <xdr:colOff>371475</xdr:colOff>
      <xdr:row>57</xdr:row>
      <xdr:rowOff>160020</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7239000"/>
          <a:ext cx="5943600" cy="3779520"/>
        </a:xfrm>
        <a:prstGeom prst="rect">
          <a:avLst/>
        </a:prstGeom>
      </xdr:spPr>
    </xdr:pic>
    <xdr:clientData/>
  </xdr:twoCellAnchor>
  <xdr:twoCellAnchor>
    <xdr:from>
      <xdr:col>0</xdr:col>
      <xdr:colOff>1</xdr:colOff>
      <xdr:row>63</xdr:row>
      <xdr:rowOff>76200</xdr:rowOff>
    </xdr:from>
    <xdr:to>
      <xdr:col>8</xdr:col>
      <xdr:colOff>495300</xdr:colOff>
      <xdr:row>83</xdr:row>
      <xdr:rowOff>47624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11</xdr:col>
      <xdr:colOff>590550</xdr:colOff>
      <xdr:row>101</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105</xdr:row>
      <xdr:rowOff>66675</xdr:rowOff>
    </xdr:from>
    <xdr:to>
      <xdr:col>7</xdr:col>
      <xdr:colOff>9525</xdr:colOff>
      <xdr:row>119</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123</xdr:row>
      <xdr:rowOff>66675</xdr:rowOff>
    </xdr:from>
    <xdr:to>
      <xdr:col>9</xdr:col>
      <xdr:colOff>457200</xdr:colOff>
      <xdr:row>142</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146</xdr:row>
      <xdr:rowOff>0</xdr:rowOff>
    </xdr:from>
    <xdr:to>
      <xdr:col>4</xdr:col>
      <xdr:colOff>342900</xdr:colOff>
      <xdr:row>160</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165</xdr:row>
      <xdr:rowOff>0</xdr:rowOff>
    </xdr:from>
    <xdr:to>
      <xdr:col>13</xdr:col>
      <xdr:colOff>190501</xdr:colOff>
      <xdr:row>184</xdr:row>
      <xdr:rowOff>85726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207</xdr:row>
      <xdr:rowOff>0</xdr:rowOff>
    </xdr:from>
    <xdr:to>
      <xdr:col>12</xdr:col>
      <xdr:colOff>85725</xdr:colOff>
      <xdr:row>223</xdr:row>
      <xdr:rowOff>171450</xdr:rowOff>
    </xdr:to>
    <xdr:grpSp>
      <xdr:nvGrpSpPr>
        <xdr:cNvPr id="11" name="Group 10"/>
        <xdr:cNvGrpSpPr/>
      </xdr:nvGrpSpPr>
      <xdr:grpSpPr>
        <a:xfrm>
          <a:off x="0" y="39881175"/>
          <a:ext cx="7486650" cy="3219450"/>
          <a:chOff x="8048625" y="19669125"/>
          <a:chExt cx="5629275" cy="2838450"/>
        </a:xfrm>
      </xdr:grpSpPr>
      <xdr:graphicFrame macro="">
        <xdr:nvGraphicFramePr>
          <xdr:cNvPr id="12" name="Chart 11"/>
          <xdr:cNvGraphicFramePr>
            <a:graphicFrameLocks/>
          </xdr:cNvGraphicFramePr>
        </xdr:nvGraphicFramePr>
        <xdr:xfrm>
          <a:off x="8048625" y="19707225"/>
          <a:ext cx="5629275" cy="2800350"/>
        </xdr:xfrm>
        <a:graphic>
          <a:graphicData uri="http://schemas.openxmlformats.org/drawingml/2006/chart">
            <c:chart xmlns:c="http://schemas.openxmlformats.org/drawingml/2006/chart" xmlns:r="http://schemas.openxmlformats.org/officeDocument/2006/relationships" r:id="rId10"/>
          </a:graphicData>
        </a:graphic>
      </xdr:graphicFrame>
      <xdr:grpSp>
        <xdr:nvGrpSpPr>
          <xdr:cNvPr id="13" name="Group 12"/>
          <xdr:cNvGrpSpPr/>
        </xdr:nvGrpSpPr>
        <xdr:grpSpPr>
          <a:xfrm>
            <a:off x="9001125" y="19669125"/>
            <a:ext cx="3219450" cy="2247900"/>
            <a:chOff x="9001125" y="19669125"/>
            <a:chExt cx="3219450" cy="2247900"/>
          </a:xfrm>
        </xdr:grpSpPr>
        <xdr:sp macro="" textlink="">
          <xdr:nvSpPr>
            <xdr:cNvPr id="14" name="TextBox 13"/>
            <xdr:cNvSpPr txBox="1"/>
          </xdr:nvSpPr>
          <xdr:spPr>
            <a:xfrm>
              <a:off x="9001125" y="21621750"/>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34%</a:t>
              </a:r>
            </a:p>
          </xdr:txBody>
        </xdr:sp>
        <xdr:sp macro="" textlink="">
          <xdr:nvSpPr>
            <xdr:cNvPr id="15" name="TextBox 14"/>
            <xdr:cNvSpPr txBox="1"/>
          </xdr:nvSpPr>
          <xdr:spPr>
            <a:xfrm>
              <a:off x="9010650" y="20821650"/>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44%</a:t>
              </a:r>
            </a:p>
          </xdr:txBody>
        </xdr:sp>
        <xdr:sp macro="" textlink="">
          <xdr:nvSpPr>
            <xdr:cNvPr id="16" name="TextBox 15"/>
            <xdr:cNvSpPr txBox="1"/>
          </xdr:nvSpPr>
          <xdr:spPr>
            <a:xfrm>
              <a:off x="9039225" y="20031075"/>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22%</a:t>
              </a:r>
            </a:p>
          </xdr:txBody>
        </xdr:sp>
        <xdr:sp macro="" textlink="">
          <xdr:nvSpPr>
            <xdr:cNvPr id="17" name="TextBox 16"/>
            <xdr:cNvSpPr txBox="1"/>
          </xdr:nvSpPr>
          <xdr:spPr>
            <a:xfrm>
              <a:off x="10363200" y="20097750"/>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23%</a:t>
              </a:r>
            </a:p>
          </xdr:txBody>
        </xdr:sp>
        <xdr:sp macro="" textlink="">
          <xdr:nvSpPr>
            <xdr:cNvPr id="18" name="TextBox 17"/>
            <xdr:cNvSpPr txBox="1"/>
          </xdr:nvSpPr>
          <xdr:spPr>
            <a:xfrm>
              <a:off x="10363200" y="20878800"/>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39%</a:t>
              </a:r>
            </a:p>
          </xdr:txBody>
        </xdr:sp>
        <xdr:sp macro="" textlink="">
          <xdr:nvSpPr>
            <xdr:cNvPr id="19" name="TextBox 18"/>
            <xdr:cNvSpPr txBox="1"/>
          </xdr:nvSpPr>
          <xdr:spPr>
            <a:xfrm>
              <a:off x="10363200" y="21593175"/>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37%</a:t>
              </a:r>
            </a:p>
          </xdr:txBody>
        </xdr:sp>
        <xdr:sp macro="" textlink="">
          <xdr:nvSpPr>
            <xdr:cNvPr id="20" name="TextBox 19"/>
            <xdr:cNvSpPr txBox="1"/>
          </xdr:nvSpPr>
          <xdr:spPr>
            <a:xfrm>
              <a:off x="11744325" y="21183600"/>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84%</a:t>
              </a:r>
            </a:p>
          </xdr:txBody>
        </xdr:sp>
        <xdr:sp macro="" textlink="">
          <xdr:nvSpPr>
            <xdr:cNvPr id="21" name="TextBox 20"/>
            <xdr:cNvSpPr txBox="1"/>
          </xdr:nvSpPr>
          <xdr:spPr>
            <a:xfrm>
              <a:off x="11734800" y="19992975"/>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14%</a:t>
              </a:r>
            </a:p>
          </xdr:txBody>
        </xdr:sp>
        <xdr:sp macro="" textlink="">
          <xdr:nvSpPr>
            <xdr:cNvPr id="22" name="TextBox 21"/>
            <xdr:cNvSpPr txBox="1"/>
          </xdr:nvSpPr>
          <xdr:spPr>
            <a:xfrm>
              <a:off x="11791950" y="19669125"/>
              <a:ext cx="428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1%</a:t>
              </a:r>
            </a:p>
          </xdr:txBody>
        </xdr:sp>
      </xdr:grpSp>
    </xdr:grpSp>
    <xdr:clientData/>
  </xdr:twoCellAnchor>
  <xdr:twoCellAnchor>
    <xdr:from>
      <xdr:col>0</xdr:col>
      <xdr:colOff>0</xdr:colOff>
      <xdr:row>228</xdr:row>
      <xdr:rowOff>0</xdr:rowOff>
    </xdr:from>
    <xdr:to>
      <xdr:col>5</xdr:col>
      <xdr:colOff>38100</xdr:colOff>
      <xdr:row>242</xdr:row>
      <xdr:rowOff>76200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246</xdr:row>
      <xdr:rowOff>38100</xdr:rowOff>
    </xdr:from>
    <xdr:to>
      <xdr:col>6</xdr:col>
      <xdr:colOff>0</xdr:colOff>
      <xdr:row>261</xdr:row>
      <xdr:rowOff>161922</xdr:rowOff>
    </xdr:to>
    <xdr:grpSp>
      <xdr:nvGrpSpPr>
        <xdr:cNvPr id="24" name="Group 23"/>
        <xdr:cNvGrpSpPr/>
      </xdr:nvGrpSpPr>
      <xdr:grpSpPr>
        <a:xfrm>
          <a:off x="0" y="47348775"/>
          <a:ext cx="3743325" cy="2981322"/>
          <a:chOff x="19050" y="6305550"/>
          <a:chExt cx="3743325" cy="2981322"/>
        </a:xfrm>
      </xdr:grpSpPr>
      <xdr:graphicFrame macro="">
        <xdr:nvGraphicFramePr>
          <xdr:cNvPr id="25" name="Chart 24"/>
          <xdr:cNvGraphicFramePr/>
        </xdr:nvGraphicFramePr>
        <xdr:xfrm>
          <a:off x="19050" y="6305550"/>
          <a:ext cx="3743325" cy="2981322"/>
        </xdr:xfrm>
        <a:graphic>
          <a:graphicData uri="http://schemas.openxmlformats.org/drawingml/2006/chart">
            <c:chart xmlns:c="http://schemas.openxmlformats.org/drawingml/2006/chart" xmlns:r="http://schemas.openxmlformats.org/officeDocument/2006/relationships" r:id="rId12"/>
          </a:graphicData>
        </a:graphic>
      </xdr:graphicFrame>
      <xdr:cxnSp macro="">
        <xdr:nvCxnSpPr>
          <xdr:cNvPr id="26" name="Straight Arrow Connector 25"/>
          <xdr:cNvCxnSpPr/>
        </xdr:nvCxnSpPr>
        <xdr:spPr>
          <a:xfrm flipV="1">
            <a:off x="1368927" y="7248626"/>
            <a:ext cx="141963" cy="378929"/>
          </a:xfrm>
          <a:prstGeom prst="straightConnector1">
            <a:avLst/>
          </a:prstGeom>
          <a:ln>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xdr:cNvCxnSpPr/>
        </xdr:nvCxnSpPr>
        <xdr:spPr>
          <a:xfrm flipV="1">
            <a:off x="1718479" y="7826458"/>
            <a:ext cx="272246" cy="79795"/>
          </a:xfrm>
          <a:prstGeom prst="straightConnector1">
            <a:avLst/>
          </a:prstGeom>
          <a:ln>
            <a:solidFill>
              <a:schemeClr val="accent4"/>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7"/>
          <xdr:cNvCxnSpPr/>
        </xdr:nvCxnSpPr>
        <xdr:spPr>
          <a:xfrm flipV="1">
            <a:off x="1559086" y="7575854"/>
            <a:ext cx="164939" cy="189157"/>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188</xdr:row>
      <xdr:rowOff>0</xdr:rowOff>
    </xdr:from>
    <xdr:to>
      <xdr:col>7</xdr:col>
      <xdr:colOff>219075</xdr:colOff>
      <xdr:row>202</xdr:row>
      <xdr:rowOff>76200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133350</xdr:colOff>
      <xdr:row>266</xdr:row>
      <xdr:rowOff>114299</xdr:rowOff>
    </xdr:from>
    <xdr:to>
      <xdr:col>7</xdr:col>
      <xdr:colOff>352425</xdr:colOff>
      <xdr:row>280</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284</xdr:row>
      <xdr:rowOff>0</xdr:rowOff>
    </xdr:from>
    <xdr:to>
      <xdr:col>7</xdr:col>
      <xdr:colOff>219075</xdr:colOff>
      <xdr:row>298</xdr:row>
      <xdr:rowOff>76200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302</xdr:row>
      <xdr:rowOff>0</xdr:rowOff>
    </xdr:from>
    <xdr:to>
      <xdr:col>7</xdr:col>
      <xdr:colOff>524298</xdr:colOff>
      <xdr:row>315</xdr:row>
      <xdr:rowOff>102332</xdr:rowOff>
    </xdr:to>
    <xdr:pic>
      <xdr:nvPicPr>
        <xdr:cNvPr id="34" name="Picture 33"/>
        <xdr:cNvPicPr>
          <a:picLocks noChangeAspect="1"/>
        </xdr:cNvPicPr>
      </xdr:nvPicPr>
      <xdr:blipFill>
        <a:blip xmlns:r="http://schemas.openxmlformats.org/officeDocument/2006/relationships" r:embed="rId16"/>
        <a:stretch>
          <a:fillRect/>
        </a:stretch>
      </xdr:blipFill>
      <xdr:spPr>
        <a:xfrm>
          <a:off x="0" y="57978675"/>
          <a:ext cx="4877223" cy="2578832"/>
        </a:xfrm>
        <a:prstGeom prst="rect">
          <a:avLst/>
        </a:prstGeom>
      </xdr:spPr>
    </xdr:pic>
    <xdr:clientData/>
  </xdr:twoCellAnchor>
  <xdr:twoCellAnchor editAs="oneCell">
    <xdr:from>
      <xdr:col>0</xdr:col>
      <xdr:colOff>0</xdr:colOff>
      <xdr:row>319</xdr:row>
      <xdr:rowOff>0</xdr:rowOff>
    </xdr:from>
    <xdr:to>
      <xdr:col>7</xdr:col>
      <xdr:colOff>219471</xdr:colOff>
      <xdr:row>333</xdr:row>
      <xdr:rowOff>76438</xdr:rowOff>
    </xdr:to>
    <xdr:pic>
      <xdr:nvPicPr>
        <xdr:cNvPr id="35" name="Picture 34"/>
        <xdr:cNvPicPr>
          <a:picLocks noChangeAspect="1"/>
        </xdr:cNvPicPr>
      </xdr:nvPicPr>
      <xdr:blipFill>
        <a:blip xmlns:r="http://schemas.openxmlformats.org/officeDocument/2006/relationships" r:embed="rId17"/>
        <a:stretch>
          <a:fillRect/>
        </a:stretch>
      </xdr:blipFill>
      <xdr:spPr>
        <a:xfrm>
          <a:off x="0" y="61026675"/>
          <a:ext cx="4572396" cy="2743438"/>
        </a:xfrm>
        <a:prstGeom prst="rect">
          <a:avLst/>
        </a:prstGeom>
      </xdr:spPr>
    </xdr:pic>
    <xdr:clientData/>
  </xdr:twoCellAnchor>
  <xdr:twoCellAnchor editAs="oneCell">
    <xdr:from>
      <xdr:col>0</xdr:col>
      <xdr:colOff>0</xdr:colOff>
      <xdr:row>337</xdr:row>
      <xdr:rowOff>0</xdr:rowOff>
    </xdr:from>
    <xdr:to>
      <xdr:col>9</xdr:col>
      <xdr:colOff>207384</xdr:colOff>
      <xdr:row>351</xdr:row>
      <xdr:rowOff>131307</xdr:rowOff>
    </xdr:to>
    <xdr:pic>
      <xdr:nvPicPr>
        <xdr:cNvPr id="36" name="Picture 35"/>
        <xdr:cNvPicPr>
          <a:picLocks noChangeAspect="1"/>
        </xdr:cNvPicPr>
      </xdr:nvPicPr>
      <xdr:blipFill>
        <a:blip xmlns:r="http://schemas.openxmlformats.org/officeDocument/2006/relationships" r:embed="rId18"/>
        <a:stretch>
          <a:fillRect/>
        </a:stretch>
      </xdr:blipFill>
      <xdr:spPr>
        <a:xfrm>
          <a:off x="0" y="64265175"/>
          <a:ext cx="5779509" cy="2798307"/>
        </a:xfrm>
        <a:prstGeom prst="rect">
          <a:avLst/>
        </a:prstGeom>
      </xdr:spPr>
    </xdr:pic>
    <xdr:clientData/>
  </xdr:twoCellAnchor>
  <xdr:twoCellAnchor editAs="oneCell">
    <xdr:from>
      <xdr:col>0</xdr:col>
      <xdr:colOff>0</xdr:colOff>
      <xdr:row>355</xdr:row>
      <xdr:rowOff>0</xdr:rowOff>
    </xdr:from>
    <xdr:to>
      <xdr:col>9</xdr:col>
      <xdr:colOff>207384</xdr:colOff>
      <xdr:row>370</xdr:row>
      <xdr:rowOff>141992</xdr:rowOff>
    </xdr:to>
    <xdr:pic>
      <xdr:nvPicPr>
        <xdr:cNvPr id="37" name="Picture 36"/>
        <xdr:cNvPicPr>
          <a:picLocks noChangeAspect="1"/>
        </xdr:cNvPicPr>
      </xdr:nvPicPr>
      <xdr:blipFill>
        <a:blip xmlns:r="http://schemas.openxmlformats.org/officeDocument/2006/relationships" r:embed="rId19"/>
        <a:stretch>
          <a:fillRect/>
        </a:stretch>
      </xdr:blipFill>
      <xdr:spPr>
        <a:xfrm>
          <a:off x="0" y="68075175"/>
          <a:ext cx="5779509" cy="2999492"/>
        </a:xfrm>
        <a:prstGeom prst="rect">
          <a:avLst/>
        </a:prstGeom>
      </xdr:spPr>
    </xdr:pic>
    <xdr:clientData/>
  </xdr:twoCellAnchor>
  <xdr:twoCellAnchor editAs="oneCell">
    <xdr:from>
      <xdr:col>0</xdr:col>
      <xdr:colOff>0</xdr:colOff>
      <xdr:row>374</xdr:row>
      <xdr:rowOff>0</xdr:rowOff>
    </xdr:from>
    <xdr:to>
      <xdr:col>6</xdr:col>
      <xdr:colOff>402314</xdr:colOff>
      <xdr:row>386</xdr:row>
      <xdr:rowOff>183094</xdr:rowOff>
    </xdr:to>
    <xdr:pic>
      <xdr:nvPicPr>
        <xdr:cNvPr id="38" name="Picture 37"/>
        <xdr:cNvPicPr>
          <a:picLocks noChangeAspect="1"/>
        </xdr:cNvPicPr>
      </xdr:nvPicPr>
      <xdr:blipFill>
        <a:blip xmlns:r="http://schemas.openxmlformats.org/officeDocument/2006/relationships" r:embed="rId20"/>
        <a:stretch>
          <a:fillRect/>
        </a:stretch>
      </xdr:blipFill>
      <xdr:spPr>
        <a:xfrm>
          <a:off x="0" y="71694675"/>
          <a:ext cx="4145639" cy="2469094"/>
        </a:xfrm>
        <a:prstGeom prst="rect">
          <a:avLst/>
        </a:prstGeom>
      </xdr:spPr>
    </xdr:pic>
    <xdr:clientData/>
  </xdr:twoCellAnchor>
  <xdr:twoCellAnchor editAs="oneCell">
    <xdr:from>
      <xdr:col>0</xdr:col>
      <xdr:colOff>0</xdr:colOff>
      <xdr:row>390</xdr:row>
      <xdr:rowOff>0</xdr:rowOff>
    </xdr:from>
    <xdr:to>
      <xdr:col>8</xdr:col>
      <xdr:colOff>554833</xdr:colOff>
      <xdr:row>402</xdr:row>
      <xdr:rowOff>170901</xdr:rowOff>
    </xdr:to>
    <xdr:pic>
      <xdr:nvPicPr>
        <xdr:cNvPr id="39" name="Picture 38"/>
        <xdr:cNvPicPr>
          <a:picLocks noChangeAspect="1"/>
        </xdr:cNvPicPr>
      </xdr:nvPicPr>
      <xdr:blipFill>
        <a:blip xmlns:r="http://schemas.openxmlformats.org/officeDocument/2006/relationships" r:embed="rId21"/>
        <a:stretch>
          <a:fillRect/>
        </a:stretch>
      </xdr:blipFill>
      <xdr:spPr>
        <a:xfrm>
          <a:off x="0" y="74742675"/>
          <a:ext cx="5517358" cy="2456901"/>
        </a:xfrm>
        <a:prstGeom prst="rect">
          <a:avLst/>
        </a:prstGeom>
      </xdr:spPr>
    </xdr:pic>
    <xdr:clientData/>
  </xdr:twoCellAnchor>
  <xdr:twoCellAnchor editAs="oneCell">
    <xdr:from>
      <xdr:col>0</xdr:col>
      <xdr:colOff>0</xdr:colOff>
      <xdr:row>406</xdr:row>
      <xdr:rowOff>0</xdr:rowOff>
    </xdr:from>
    <xdr:to>
      <xdr:col>9</xdr:col>
      <xdr:colOff>268349</xdr:colOff>
      <xdr:row>420</xdr:row>
      <xdr:rowOff>21569</xdr:rowOff>
    </xdr:to>
    <xdr:pic>
      <xdr:nvPicPr>
        <xdr:cNvPr id="40" name="Picture 39"/>
        <xdr:cNvPicPr>
          <a:picLocks noChangeAspect="1"/>
        </xdr:cNvPicPr>
      </xdr:nvPicPr>
      <xdr:blipFill>
        <a:blip xmlns:r="http://schemas.openxmlformats.org/officeDocument/2006/relationships" r:embed="rId22"/>
        <a:stretch>
          <a:fillRect/>
        </a:stretch>
      </xdr:blipFill>
      <xdr:spPr>
        <a:xfrm>
          <a:off x="0" y="77790675"/>
          <a:ext cx="5840474" cy="2688569"/>
        </a:xfrm>
        <a:prstGeom prst="rect">
          <a:avLst/>
        </a:prstGeom>
      </xdr:spPr>
    </xdr:pic>
    <xdr:clientData/>
  </xdr:twoCellAnchor>
  <xdr:twoCellAnchor editAs="oneCell">
    <xdr:from>
      <xdr:col>0</xdr:col>
      <xdr:colOff>0</xdr:colOff>
      <xdr:row>424</xdr:row>
      <xdr:rowOff>0</xdr:rowOff>
    </xdr:from>
    <xdr:to>
      <xdr:col>8</xdr:col>
      <xdr:colOff>554833</xdr:colOff>
      <xdr:row>437</xdr:row>
      <xdr:rowOff>47463</xdr:rowOff>
    </xdr:to>
    <xdr:pic>
      <xdr:nvPicPr>
        <xdr:cNvPr id="42" name="Picture 41"/>
        <xdr:cNvPicPr>
          <a:picLocks noChangeAspect="1"/>
        </xdr:cNvPicPr>
      </xdr:nvPicPr>
      <xdr:blipFill>
        <a:blip xmlns:r="http://schemas.openxmlformats.org/officeDocument/2006/relationships" r:embed="rId23"/>
        <a:stretch>
          <a:fillRect/>
        </a:stretch>
      </xdr:blipFill>
      <xdr:spPr>
        <a:xfrm>
          <a:off x="0" y="81219675"/>
          <a:ext cx="5517358" cy="2523963"/>
        </a:xfrm>
        <a:prstGeom prst="rect">
          <a:avLst/>
        </a:prstGeom>
      </xdr:spPr>
    </xdr:pic>
    <xdr:clientData/>
  </xdr:twoCellAnchor>
  <xdr:twoCellAnchor editAs="oneCell">
    <xdr:from>
      <xdr:col>0</xdr:col>
      <xdr:colOff>0</xdr:colOff>
      <xdr:row>441</xdr:row>
      <xdr:rowOff>0</xdr:rowOff>
    </xdr:from>
    <xdr:to>
      <xdr:col>9</xdr:col>
      <xdr:colOff>371990</xdr:colOff>
      <xdr:row>458</xdr:row>
      <xdr:rowOff>35336</xdr:rowOff>
    </xdr:to>
    <xdr:pic>
      <xdr:nvPicPr>
        <xdr:cNvPr id="43" name="Picture 42"/>
        <xdr:cNvPicPr>
          <a:picLocks noChangeAspect="1"/>
        </xdr:cNvPicPr>
      </xdr:nvPicPr>
      <xdr:blipFill>
        <a:blip xmlns:r="http://schemas.openxmlformats.org/officeDocument/2006/relationships" r:embed="rId24"/>
        <a:stretch>
          <a:fillRect/>
        </a:stretch>
      </xdr:blipFill>
      <xdr:spPr>
        <a:xfrm>
          <a:off x="0" y="84458175"/>
          <a:ext cx="5944115" cy="3273836"/>
        </a:xfrm>
        <a:prstGeom prst="rect">
          <a:avLst/>
        </a:prstGeom>
      </xdr:spPr>
    </xdr:pic>
    <xdr:clientData/>
  </xdr:twoCellAnchor>
  <xdr:twoCellAnchor editAs="oneCell">
    <xdr:from>
      <xdr:col>0</xdr:col>
      <xdr:colOff>0</xdr:colOff>
      <xdr:row>462</xdr:row>
      <xdr:rowOff>0</xdr:rowOff>
    </xdr:from>
    <xdr:to>
      <xdr:col>9</xdr:col>
      <xdr:colOff>371990</xdr:colOff>
      <xdr:row>477</xdr:row>
      <xdr:rowOff>74930</xdr:rowOff>
    </xdr:to>
    <xdr:pic>
      <xdr:nvPicPr>
        <xdr:cNvPr id="45" name="Picture 44"/>
        <xdr:cNvPicPr>
          <a:picLocks noChangeAspect="1"/>
        </xdr:cNvPicPr>
      </xdr:nvPicPr>
      <xdr:blipFill>
        <a:blip xmlns:r="http://schemas.openxmlformats.org/officeDocument/2006/relationships" r:embed="rId25"/>
        <a:stretch>
          <a:fillRect/>
        </a:stretch>
      </xdr:blipFill>
      <xdr:spPr>
        <a:xfrm>
          <a:off x="0" y="88458675"/>
          <a:ext cx="5944115" cy="2932430"/>
        </a:xfrm>
        <a:prstGeom prst="rect">
          <a:avLst/>
        </a:prstGeom>
      </xdr:spPr>
    </xdr:pic>
    <xdr:clientData/>
  </xdr:twoCellAnchor>
  <xdr:twoCellAnchor editAs="oneCell">
    <xdr:from>
      <xdr:col>0</xdr:col>
      <xdr:colOff>0</xdr:colOff>
      <xdr:row>481</xdr:row>
      <xdr:rowOff>0</xdr:rowOff>
    </xdr:from>
    <xdr:to>
      <xdr:col>9</xdr:col>
      <xdr:colOff>371990</xdr:colOff>
      <xdr:row>496</xdr:row>
      <xdr:rowOff>68834</xdr:rowOff>
    </xdr:to>
    <xdr:pic>
      <xdr:nvPicPr>
        <xdr:cNvPr id="46" name="Picture 45"/>
        <xdr:cNvPicPr>
          <a:picLocks noChangeAspect="1"/>
        </xdr:cNvPicPr>
      </xdr:nvPicPr>
      <xdr:blipFill>
        <a:blip xmlns:r="http://schemas.openxmlformats.org/officeDocument/2006/relationships" r:embed="rId26"/>
        <a:stretch>
          <a:fillRect/>
        </a:stretch>
      </xdr:blipFill>
      <xdr:spPr>
        <a:xfrm>
          <a:off x="0" y="92078175"/>
          <a:ext cx="5944115" cy="2926334"/>
        </a:xfrm>
        <a:prstGeom prst="rect">
          <a:avLst/>
        </a:prstGeom>
      </xdr:spPr>
    </xdr:pic>
    <xdr:clientData/>
  </xdr:twoCellAnchor>
  <xdr:twoCellAnchor editAs="oneCell">
    <xdr:from>
      <xdr:col>0</xdr:col>
      <xdr:colOff>0</xdr:colOff>
      <xdr:row>500</xdr:row>
      <xdr:rowOff>0</xdr:rowOff>
    </xdr:from>
    <xdr:to>
      <xdr:col>9</xdr:col>
      <xdr:colOff>371990</xdr:colOff>
      <xdr:row>514</xdr:row>
      <xdr:rowOff>27666</xdr:rowOff>
    </xdr:to>
    <xdr:pic>
      <xdr:nvPicPr>
        <xdr:cNvPr id="48" name="Picture 47"/>
        <xdr:cNvPicPr>
          <a:picLocks noChangeAspect="1"/>
        </xdr:cNvPicPr>
      </xdr:nvPicPr>
      <xdr:blipFill>
        <a:blip xmlns:r="http://schemas.openxmlformats.org/officeDocument/2006/relationships" r:embed="rId27"/>
        <a:stretch>
          <a:fillRect/>
        </a:stretch>
      </xdr:blipFill>
      <xdr:spPr>
        <a:xfrm>
          <a:off x="0" y="95697675"/>
          <a:ext cx="5944115" cy="2694666"/>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0.11042</cdr:x>
      <cdr:y>0.11556</cdr:y>
    </cdr:from>
    <cdr:to>
      <cdr:x>0.28958</cdr:x>
      <cdr:y>0.17778</cdr:y>
    </cdr:to>
    <cdr:sp macro="" textlink="">
      <cdr:nvSpPr>
        <cdr:cNvPr id="2" name="TextBox 1"/>
        <cdr:cNvSpPr txBox="1"/>
      </cdr:nvSpPr>
      <cdr:spPr>
        <a:xfrm xmlns:a="http://schemas.openxmlformats.org/drawingml/2006/main">
          <a:off x="504825" y="371475"/>
          <a:ext cx="81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0.01199</cdr:x>
      <cdr:y>0.05419</cdr:y>
    </cdr:from>
    <cdr:to>
      <cdr:x>0.97432</cdr:x>
      <cdr:y>0.85333</cdr:y>
    </cdr:to>
    <cdr:grpSp>
      <cdr:nvGrpSpPr>
        <cdr:cNvPr id="8" name="Group 7"/>
        <cdr:cNvGrpSpPr/>
      </cdr:nvGrpSpPr>
      <cdr:grpSpPr>
        <a:xfrm xmlns:a="http://schemas.openxmlformats.org/drawingml/2006/main">
          <a:off x="65439" y="204915"/>
          <a:ext cx="5252228" cy="3021888"/>
          <a:chOff x="66675" y="218355"/>
          <a:chExt cx="5353051" cy="3219791"/>
        </a:xfrm>
      </cdr:grpSpPr>
      <cdr:sp macro="" textlink="">
        <cdr:nvSpPr>
          <cdr:cNvPr id="3" name="TextBox 2"/>
          <cdr:cNvSpPr txBox="1"/>
        </cdr:nvSpPr>
        <cdr:spPr>
          <a:xfrm xmlns:a="http://schemas.openxmlformats.org/drawingml/2006/main">
            <a:off x="4685826" y="2562986"/>
            <a:ext cx="733900" cy="6069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Fossil Fuel Turbines</a:t>
            </a:r>
          </a:p>
        </cdr:txBody>
      </cdr:sp>
      <cdr:sp macro="" textlink="">
        <cdr:nvSpPr>
          <cdr:cNvPr id="5" name="TextBox 1"/>
          <cdr:cNvSpPr txBox="1"/>
        </cdr:nvSpPr>
        <cdr:spPr>
          <a:xfrm xmlns:a="http://schemas.openxmlformats.org/drawingml/2006/main">
            <a:off x="2787225" y="218355"/>
            <a:ext cx="575100" cy="267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Wind</a:t>
            </a:r>
          </a:p>
        </cdr:txBody>
      </cdr:sp>
      <cdr:sp macro="" textlink="">
        <cdr:nvSpPr>
          <cdr:cNvPr id="6" name="TextBox 1"/>
          <cdr:cNvSpPr txBox="1"/>
        </cdr:nvSpPr>
        <cdr:spPr>
          <a:xfrm xmlns:a="http://schemas.openxmlformats.org/drawingml/2006/main">
            <a:off x="66675" y="2815379"/>
            <a:ext cx="1664917" cy="6227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Reciprocating</a:t>
            </a:r>
            <a:r>
              <a:rPr lang="en-US" sz="1200" b="1" baseline="0"/>
              <a:t> Internal Combustion Engine</a:t>
            </a:r>
            <a:endParaRPr lang="en-US" sz="1200" b="1"/>
          </a:p>
        </cdr:txBody>
      </cdr:sp>
      <cdr:sp macro="" textlink="">
        <cdr:nvSpPr>
          <cdr:cNvPr id="7" name="TextBox 1"/>
          <cdr:cNvSpPr txBox="1"/>
        </cdr:nvSpPr>
        <cdr:spPr>
          <a:xfrm xmlns:a="http://schemas.openxmlformats.org/drawingml/2006/main">
            <a:off x="1057142" y="984546"/>
            <a:ext cx="1085983" cy="2441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Hydroelectric</a:t>
            </a:r>
          </a:p>
        </cdr:txBody>
      </cdr:sp>
    </cdr:grpSp>
  </cdr:relSizeAnchor>
</c:userShapes>
</file>

<file path=xl/drawings/drawing4.xml><?xml version="1.0" encoding="utf-8"?>
<c:userShapes xmlns:c="http://schemas.openxmlformats.org/drawingml/2006/chart">
  <cdr:relSizeAnchor xmlns:cdr="http://schemas.openxmlformats.org/drawingml/2006/chartDrawing">
    <cdr:from>
      <cdr:x>0.17592</cdr:x>
      <cdr:y>0.50695</cdr:y>
    </cdr:from>
    <cdr:to>
      <cdr:x>0.5297</cdr:x>
      <cdr:y>0.71528</cdr:y>
    </cdr:to>
    <cdr:sp macro="" textlink="">
      <cdr:nvSpPr>
        <cdr:cNvPr id="2" name="TextBox 1"/>
        <cdr:cNvSpPr txBox="1"/>
      </cdr:nvSpPr>
      <cdr:spPr>
        <a:xfrm xmlns:a="http://schemas.openxmlformats.org/drawingml/2006/main">
          <a:off x="542911" y="1390659"/>
          <a:ext cx="1091801" cy="571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bg1"/>
              </a:solidFill>
            </a:rPr>
            <a:t>Military 56%,</a:t>
          </a:r>
        </a:p>
        <a:p xmlns:a="http://schemas.openxmlformats.org/drawingml/2006/main">
          <a:r>
            <a:rPr lang="en-US" sz="1100" b="1">
              <a:solidFill>
                <a:schemeClr val="bg1"/>
              </a:solidFill>
            </a:rPr>
            <a:t>218.4</a:t>
          </a:r>
          <a:r>
            <a:rPr lang="en-US" sz="1100" b="1" baseline="0">
              <a:solidFill>
                <a:schemeClr val="bg1"/>
              </a:solidFill>
            </a:rPr>
            <a:t> GWh</a:t>
          </a:r>
          <a:endParaRPr lang="en-US" sz="1100" b="1">
            <a:solidFill>
              <a:schemeClr val="bg1"/>
            </a:solidFill>
          </a:endParaRPr>
        </a:p>
      </cdr:txBody>
    </cdr:sp>
  </cdr:relSizeAnchor>
  <cdr:relSizeAnchor xmlns:cdr="http://schemas.openxmlformats.org/drawingml/2006/chartDrawing">
    <cdr:from>
      <cdr:x>0.52878</cdr:x>
      <cdr:y>0.38309</cdr:y>
    </cdr:from>
    <cdr:to>
      <cdr:x>0.90432</cdr:x>
      <cdr:y>0.56597</cdr:y>
    </cdr:to>
    <cdr:sp macro="" textlink="">
      <cdr:nvSpPr>
        <cdr:cNvPr id="3" name="TextBox 1"/>
        <cdr:cNvSpPr txBox="1"/>
      </cdr:nvSpPr>
      <cdr:spPr>
        <a:xfrm xmlns:a="http://schemas.openxmlformats.org/drawingml/2006/main">
          <a:off x="1631861" y="1050905"/>
          <a:ext cx="1158954" cy="5016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solidFill>
            </a:rPr>
            <a:t>Industrial 44%,</a:t>
          </a:r>
        </a:p>
        <a:p xmlns:a="http://schemas.openxmlformats.org/drawingml/2006/main">
          <a:r>
            <a:rPr lang="en-US" sz="1100" b="1">
              <a:solidFill>
                <a:schemeClr val="bg1"/>
              </a:solidFill>
            </a:rPr>
            <a:t>169.6</a:t>
          </a:r>
          <a:r>
            <a:rPr lang="en-US" sz="1100" b="1" baseline="0">
              <a:solidFill>
                <a:schemeClr val="bg1"/>
              </a:solidFill>
            </a:rPr>
            <a:t> GWh</a:t>
          </a:r>
          <a:endParaRPr lang="en-US" sz="1100" b="1">
            <a:solidFill>
              <a:schemeClr val="bg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0.01181</cdr:x>
      <cdr:y>0.14377</cdr:y>
    </cdr:from>
    <cdr:to>
      <cdr:x>0.86005</cdr:x>
      <cdr:y>0.83037</cdr:y>
    </cdr:to>
    <cdr:grpSp>
      <cdr:nvGrpSpPr>
        <cdr:cNvPr id="7" name="Group 6"/>
        <cdr:cNvGrpSpPr/>
      </cdr:nvGrpSpPr>
      <cdr:grpSpPr>
        <a:xfrm xmlns:a="http://schemas.openxmlformats.org/drawingml/2006/main">
          <a:off x="44209" y="428625"/>
          <a:ext cx="3175238" cy="2046975"/>
          <a:chOff x="408930" y="219033"/>
          <a:chExt cx="4080168" cy="2047904"/>
        </a:xfrm>
      </cdr:grpSpPr>
      <cdr:sp macro="" textlink="">
        <cdr:nvSpPr>
          <cdr:cNvPr id="2" name="TextBox 1"/>
          <cdr:cNvSpPr txBox="1"/>
        </cdr:nvSpPr>
        <cdr:spPr>
          <a:xfrm xmlns:a="http://schemas.openxmlformats.org/drawingml/2006/main">
            <a:off x="628536" y="1795450"/>
            <a:ext cx="2110305" cy="47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Sub-bituminous Coal</a:t>
            </a:r>
            <a:r>
              <a:rPr lang="en-US" sz="1100" b="1" baseline="0"/>
              <a:t> </a:t>
            </a:r>
            <a:r>
              <a:rPr lang="en-US" sz="1100" b="1"/>
              <a:t>85%</a:t>
            </a:r>
            <a:r>
              <a:rPr lang="en-US" sz="1100"/>
              <a:t>, 549,567 Short</a:t>
            </a:r>
            <a:r>
              <a:rPr lang="en-US" sz="1100" baseline="0"/>
              <a:t> Tons</a:t>
            </a:r>
            <a:endParaRPr lang="en-US" sz="1100"/>
          </a:p>
        </cdr:txBody>
      </cdr:sp>
      <cdr:sp macro="" textlink="">
        <cdr:nvSpPr>
          <cdr:cNvPr id="3" name="TextBox 1"/>
          <cdr:cNvSpPr txBox="1"/>
        </cdr:nvSpPr>
        <cdr:spPr>
          <a:xfrm xmlns:a="http://schemas.openxmlformats.org/drawingml/2006/main">
            <a:off x="408930" y="408414"/>
            <a:ext cx="1926007"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Distillate Fuel Oil</a:t>
            </a:r>
            <a:r>
              <a:rPr lang="en-US" sz="1100" b="1" baseline="0"/>
              <a:t> </a:t>
            </a:r>
            <a:r>
              <a:rPr lang="en-US" sz="1100" b="1"/>
              <a:t>7%</a:t>
            </a:r>
            <a:r>
              <a:rPr lang="en-US" sz="1100"/>
              <a:t>, 4,594,002</a:t>
            </a:r>
            <a:r>
              <a:rPr lang="en-US" sz="1100" baseline="0"/>
              <a:t> Gallons</a:t>
            </a:r>
            <a:endParaRPr lang="en-US" sz="1100"/>
          </a:p>
        </cdr:txBody>
      </cdr:sp>
      <cdr:sp macro="" textlink="">
        <cdr:nvSpPr>
          <cdr:cNvPr id="4" name="TextBox 1"/>
          <cdr:cNvSpPr txBox="1"/>
        </cdr:nvSpPr>
        <cdr:spPr>
          <a:xfrm xmlns:a="http://schemas.openxmlformats.org/drawingml/2006/main">
            <a:off x="2206426" y="219033"/>
            <a:ext cx="2258184" cy="419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Other Biomass Liquids 0%</a:t>
            </a:r>
            <a:r>
              <a:rPr lang="en-US" sz="1100"/>
              <a:t>, 440,202 Gallons</a:t>
            </a:r>
          </a:p>
        </cdr:txBody>
      </cdr:sp>
      <cdr:sp macro="" textlink="">
        <cdr:nvSpPr>
          <cdr:cNvPr id="5" name="TextBox 1"/>
          <cdr:cNvSpPr txBox="1"/>
        </cdr:nvSpPr>
        <cdr:spPr>
          <a:xfrm xmlns:a="http://schemas.openxmlformats.org/drawingml/2006/main">
            <a:off x="2533159" y="651987"/>
            <a:ext cx="1588743" cy="452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Natural Gas 8%</a:t>
            </a:r>
            <a:r>
              <a:rPr lang="en-US" sz="1100"/>
              <a:t>,</a:t>
            </a:r>
          </a:p>
          <a:p xmlns:a="http://schemas.openxmlformats.org/drawingml/2006/main">
            <a:r>
              <a:rPr lang="en-US" sz="1100"/>
              <a:t> 897,467 Mcf</a:t>
            </a:r>
          </a:p>
        </cdr:txBody>
      </cdr:sp>
      <cdr:sp macro="" textlink="">
        <cdr:nvSpPr>
          <cdr:cNvPr id="6" name="TextBox 1"/>
          <cdr:cNvSpPr txBox="1"/>
        </cdr:nvSpPr>
        <cdr:spPr>
          <a:xfrm xmlns:a="http://schemas.openxmlformats.org/drawingml/2006/main">
            <a:off x="2889630" y="1051421"/>
            <a:ext cx="1599468" cy="485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Other Gases 0.4%</a:t>
            </a:r>
            <a:r>
              <a:rPr lang="en-US" sz="1100"/>
              <a:t>, 10,900 Mcf</a:t>
            </a:r>
          </a:p>
        </cdr:txBody>
      </cdr:sp>
    </cdr:grpSp>
  </cdr:relSizeAnchor>
  <cdr:relSizeAnchor xmlns:cdr="http://schemas.openxmlformats.org/drawingml/2006/chartDrawing">
    <cdr:from>
      <cdr:x>0.28499</cdr:x>
      <cdr:y>0.34185</cdr:y>
    </cdr:from>
    <cdr:to>
      <cdr:x>0.32079</cdr:x>
      <cdr:y>0.43859</cdr:y>
    </cdr:to>
    <cdr:cxnSp macro="">
      <cdr:nvCxnSpPr>
        <cdr:cNvPr id="9" name="Straight Arrow Connector 8"/>
        <cdr:cNvCxnSpPr/>
      </cdr:nvCxnSpPr>
      <cdr:spPr>
        <a:xfrm xmlns:a="http://schemas.openxmlformats.org/drawingml/2006/main" flipH="1" flipV="1">
          <a:off x="1066800" y="1019175"/>
          <a:ext cx="134037" cy="288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0.08125</cdr:x>
      <cdr:y>0.5274</cdr:y>
    </cdr:from>
    <cdr:to>
      <cdr:x>0.47292</cdr:x>
      <cdr:y>0.79452</cdr:y>
    </cdr:to>
    <cdr:sp macro="" textlink="">
      <cdr:nvSpPr>
        <cdr:cNvPr id="5" name="TextBox 4"/>
        <cdr:cNvSpPr txBox="1"/>
      </cdr:nvSpPr>
      <cdr:spPr>
        <a:xfrm xmlns:a="http://schemas.openxmlformats.org/drawingml/2006/main">
          <a:off x="371475" y="1466850"/>
          <a:ext cx="17907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190499</xdr:rowOff>
    </xdr:from>
    <xdr:to>
      <xdr:col>10</xdr:col>
      <xdr:colOff>552450</xdr:colOff>
      <xdr:row>23</xdr:row>
      <xdr:rowOff>161924</xdr:rowOff>
    </xdr:to>
    <xdr:pic>
      <xdr:nvPicPr>
        <xdr:cNvPr id="2" name="Picture 1"/>
        <xdr:cNvPicPr/>
      </xdr:nvPicPr>
      <xdr:blipFill>
        <a:blip xmlns:r="http://schemas.openxmlformats.org/officeDocument/2006/relationships" r:embed="rId1" cstate="print"/>
        <a:srcRect/>
        <a:stretch>
          <a:fillRect/>
        </a:stretch>
      </xdr:blipFill>
      <xdr:spPr bwMode="auto">
        <a:xfrm>
          <a:off x="0" y="571499"/>
          <a:ext cx="6648450" cy="3971925"/>
        </a:xfrm>
        <a:prstGeom prst="rect">
          <a:avLst/>
        </a:prstGeom>
        <a:noFill/>
        <a:ln w="9525">
          <a:noFill/>
          <a:miter lim="800000"/>
          <a:headEnd/>
          <a:tailEnd/>
        </a:ln>
      </xdr:spPr>
    </xdr:pic>
    <xdr:clientData/>
  </xdr:twoCellAnchor>
  <xdr:twoCellAnchor editAs="oneCell">
    <xdr:from>
      <xdr:col>0</xdr:col>
      <xdr:colOff>0</xdr:colOff>
      <xdr:row>26</xdr:row>
      <xdr:rowOff>190499</xdr:rowOff>
    </xdr:from>
    <xdr:to>
      <xdr:col>11</xdr:col>
      <xdr:colOff>457200</xdr:colOff>
      <xdr:row>52</xdr:row>
      <xdr:rowOff>123824</xdr:rowOff>
    </xdr:to>
    <xdr:pic>
      <xdr:nvPicPr>
        <xdr:cNvPr id="3" name="akmap" descr="Map of Alaska"/>
        <xdr:cNvPicPr/>
      </xdr:nvPicPr>
      <xdr:blipFill>
        <a:blip xmlns:r="http://schemas.openxmlformats.org/officeDocument/2006/relationships" r:embed="rId2" cstate="print"/>
        <a:srcRect/>
        <a:stretch>
          <a:fillRect/>
        </a:stretch>
      </xdr:blipFill>
      <xdr:spPr bwMode="auto">
        <a:xfrm>
          <a:off x="0" y="5143499"/>
          <a:ext cx="7162800" cy="4886325"/>
        </a:xfrm>
        <a:prstGeom prst="rect">
          <a:avLst/>
        </a:prstGeom>
        <a:noFill/>
        <a:ln w="9525">
          <a:noFill/>
          <a:miter lim="800000"/>
          <a:headEnd/>
          <a:tailEnd/>
        </a:ln>
      </xdr:spPr>
    </xdr:pic>
    <xdr:clientData/>
  </xdr:twoCellAnchor>
  <xdr:twoCellAnchor editAs="oneCell">
    <xdr:from>
      <xdr:col>14</xdr:col>
      <xdr:colOff>609599</xdr:colOff>
      <xdr:row>27</xdr:row>
      <xdr:rowOff>0</xdr:rowOff>
    </xdr:from>
    <xdr:to>
      <xdr:col>31</xdr:col>
      <xdr:colOff>142874</xdr:colOff>
      <xdr:row>68</xdr:row>
      <xdr:rowOff>142875</xdr:rowOff>
    </xdr:to>
    <xdr:pic>
      <xdr:nvPicPr>
        <xdr:cNvPr id="4" name="Picture 3"/>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3999" y="5238750"/>
          <a:ext cx="9896475" cy="7953375"/>
        </a:xfrm>
        <a:prstGeom prst="rect">
          <a:avLst/>
        </a:prstGeom>
      </xdr:spPr>
    </xdr:pic>
    <xdr:clientData/>
  </xdr:twoCellAnchor>
  <xdr:twoCellAnchor editAs="oneCell">
    <xdr:from>
      <xdr:col>15</xdr:col>
      <xdr:colOff>0</xdr:colOff>
      <xdr:row>2</xdr:row>
      <xdr:rowOff>0</xdr:rowOff>
    </xdr:from>
    <xdr:to>
      <xdr:col>27</xdr:col>
      <xdr:colOff>514350</xdr:colOff>
      <xdr:row>22</xdr:row>
      <xdr:rowOff>142876</xdr:rowOff>
    </xdr:to>
    <xdr:pic>
      <xdr:nvPicPr>
        <xdr:cNvPr id="5" name="Picture 4"/>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00" y="428625"/>
          <a:ext cx="7829550" cy="39528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590550</xdr:colOff>
      <xdr:row>66</xdr:row>
      <xdr:rowOff>6</xdr:rowOff>
    </xdr:from>
    <xdr:to>
      <xdr:col>11</xdr:col>
      <xdr:colOff>285750</xdr:colOff>
      <xdr:row>80</xdr:row>
      <xdr:rowOff>76206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590550</xdr:colOff>
      <xdr:row>63</xdr:row>
      <xdr:rowOff>4762</xdr:rowOff>
    </xdr:from>
    <xdr:to>
      <xdr:col>10</xdr:col>
      <xdr:colOff>285750</xdr:colOff>
      <xdr:row>77</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ex/Local%20Settings/Temporary%20Internet%20Files/Content.Outlook/S9FILCJB/Industry_AKEPS_V1_03142011_G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IA"/>
      <sheetName val="AIRTOOLS Pivot"/>
      <sheetName val="AIRTOOLS"/>
      <sheetName val="Conversion Factors-Assumptions"/>
      <sheetName val="comparison"/>
    </sheetNames>
    <sheetDataSet>
      <sheetData sheetId="0" refreshError="1"/>
      <sheetData sheetId="1">
        <row r="26">
          <cell r="J26">
            <v>8</v>
          </cell>
        </row>
      </sheetData>
      <sheetData sheetId="2">
        <row r="21">
          <cell r="B21">
            <v>751566.4776000001</v>
          </cell>
        </row>
      </sheetData>
      <sheetData sheetId="3" refreshError="1"/>
      <sheetData sheetId="4">
        <row r="14">
          <cell r="B14">
            <v>15.2</v>
          </cell>
        </row>
        <row r="23">
          <cell r="B23">
            <v>0.3</v>
          </cell>
        </row>
        <row r="28">
          <cell r="E28">
            <v>1027000</v>
          </cell>
        </row>
        <row r="29">
          <cell r="E29">
            <v>3412</v>
          </cell>
        </row>
        <row r="32">
          <cell r="B32">
            <v>13.8</v>
          </cell>
        </row>
        <row r="43">
          <cell r="C43">
            <v>19.988</v>
          </cell>
          <cell r="F43">
            <v>97.09</v>
          </cell>
        </row>
        <row r="44">
          <cell r="F44">
            <v>73.150000000000006</v>
          </cell>
        </row>
        <row r="45">
          <cell r="F45">
            <v>53.06</v>
          </cell>
        </row>
        <row r="47">
          <cell r="C47">
            <v>138690</v>
          </cell>
        </row>
        <row r="49">
          <cell r="C49">
            <v>3.4119999999999999</v>
          </cell>
        </row>
      </sheetData>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alexmelendez" refreshedDate="41493.641748726855" createdVersion="4" refreshedVersion="4" minRefreshableVersion="3" recordCount="328">
  <cacheSource type="worksheet">
    <worksheetSource ref="A3:J331" sheet="CommunityList"/>
  </cacheSource>
  <cacheFields count="10">
    <cacheField name="Community Name" numFmtId="0">
      <sharedItems count="328">
        <s v="Akhiok"/>
        <s v="Akiachak"/>
        <s v="Akiak"/>
        <s v="Akutan"/>
        <s v="Douglas"/>
        <s v="Juneau"/>
        <s v="Alatna"/>
        <s v="Alcan Border"/>
        <s v="Allakaket"/>
        <s v="Bettles"/>
        <s v="Chistochina"/>
        <s v="Coffman Cove"/>
        <s v="Covenant Life"/>
        <s v="Craig"/>
        <s v="Dot Lake"/>
        <s v="Dot Lake Village"/>
        <s v="Eagle"/>
        <s v="Eagle Village"/>
        <s v="Evansville"/>
        <s v="Haines"/>
        <s v="Healy Lake"/>
        <s v="Hollis"/>
        <s v="Hydaburg"/>
        <s v="Kasaan"/>
        <s v="Klawock"/>
        <s v="Loring"/>
        <s v="Mentasta Lake"/>
        <s v="Mosquito Lake"/>
        <s v="Naukati Bay"/>
        <s v="New Allakaket"/>
        <s v="Northway"/>
        <s v="Northway Junction"/>
        <s v="Northway Village"/>
        <s v="Skagway"/>
        <s v="Slana"/>
        <s v="Tanacross"/>
        <s v="Tetlin"/>
        <s v="Thorne Bay"/>
        <s v="Tok"/>
        <s v="Whale Pass"/>
        <s v="Alakanuk"/>
        <s v="Ambler"/>
        <s v="Andreafsky"/>
        <s v="Anvik"/>
        <s v="Brevig Mission"/>
        <s v="Chevak"/>
        <s v="Eek"/>
        <s v="Ekwok"/>
        <s v="Elim"/>
        <s v="Emmonak"/>
        <s v="Gambell"/>
        <s v="Goodnews Bay"/>
        <s v="Grayling"/>
        <s v="Holy Cross"/>
        <s v="Hooper Bay"/>
        <s v="Huslia"/>
        <s v="Kalskag"/>
        <s v="Kaltag"/>
        <s v="Kasigluk"/>
        <s v="Kiana"/>
        <s v="Kivalina"/>
        <s v="Kotlik"/>
        <s v="Koyuk"/>
        <s v="Lower Kalskag"/>
        <s v="Marshall"/>
        <s v="Mekoryuk"/>
        <s v="Minto"/>
        <s v="Mountain Village"/>
        <s v="New Stuyahok"/>
        <s v="Nightmute"/>
        <s v="Noatak"/>
        <s v="Noorvik"/>
        <s v="Nulato"/>
        <s v="Nunapitchuk"/>
        <s v="Old Harbor"/>
        <s v="Pilot Station"/>
        <s v="Pitkas Point"/>
        <s v="Quinhagak"/>
        <s v="Russian Mission"/>
        <s v="Saint Mary's"/>
        <s v="Saint Michael"/>
        <s v="Savoonga"/>
        <s v="Scammon Bay"/>
        <s v="Selawik"/>
        <s v="Shageluk"/>
        <s v="Shaktoolik"/>
        <s v="Shishmaref"/>
        <s v="Shungnak"/>
        <s v="Stebbins"/>
        <s v="Teller"/>
        <s v="Togiak"/>
        <s v="Toksook Bay"/>
        <s v="Tununak"/>
        <s v="Wales"/>
        <s v="Karluk"/>
        <s v="Anchorage"/>
        <s v="Aniak"/>
        <s v="Arctic Village"/>
        <s v="Atka"/>
        <s v="Atmautluak"/>
        <s v="Barrow"/>
        <s v="Beaver"/>
        <s v="Bethel"/>
        <s v="Oscarville"/>
        <s v="Birch Creek"/>
        <s v="Buckland"/>
        <s v="Chalkyitsik"/>
        <s v="Chenega Bay"/>
        <s v="Chignik Lagoon"/>
        <s v="Chignik Lake"/>
        <s v="Chignik"/>
        <s v="Chitina"/>
        <s v="Beluga"/>
        <s v="Cooper Landing"/>
        <s v="Girdwood"/>
        <s v="Hope"/>
        <s v="Moose Pass"/>
        <s v="Point Possession"/>
        <s v="Sunrise"/>
        <s v="Tyonek"/>
        <s v="Whittier"/>
        <s v="Circle"/>
        <s v="Clark's Point"/>
        <s v="Copper Center"/>
        <s v="Copperville"/>
        <s v="Gakona"/>
        <s v="Glennallen"/>
        <s v="Gulkana"/>
        <s v="Kenny Lake"/>
        <s v="Mendeltna"/>
        <s v="Nabesna"/>
        <s v="Nelchina"/>
        <s v="Silver Springs"/>
        <s v="Tazlina"/>
        <s v="Tolsona"/>
        <s v="Tonsina"/>
        <s v="Valdez"/>
        <s v="Willow Creek"/>
        <s v="Cordova"/>
        <s v="Eyak"/>
        <s v="Diomede"/>
        <s v="Egegik"/>
        <s v="Elfin Cove"/>
        <s v="False Pass"/>
        <s v="Cold Bay"/>
        <s v="Galena"/>
        <s v="Central"/>
        <s v="Anderson"/>
        <s v="Badger"/>
        <s v="Big Delta"/>
        <s v="Cantwell"/>
        <s v="Chena Ridge"/>
        <s v="College"/>
        <s v="Delta Junction"/>
        <s v="Deltana"/>
        <s v="Ester"/>
        <s v="Farmers Loop"/>
        <s v="Four Mile Road"/>
        <s v="Fox"/>
        <s v="Goldstream"/>
        <s v="Harding-Birch Lakes"/>
        <s v="Healy"/>
        <s v="McKinley Park"/>
        <s v="Moose Creek"/>
        <s v="Nenana"/>
        <s v="North Pole"/>
        <s v="Pleasant Valley"/>
        <s v="Salcha"/>
        <s v="South Van Horn"/>
        <s v="Steele Creek"/>
        <s v="Two Rivers"/>
        <s v="Whitestone"/>
        <s v="Fairbanks"/>
        <s v="Golovin"/>
        <s v="Gustavus"/>
        <s v="Fort Yukon"/>
        <s v="Anchor Point"/>
        <s v="Clam Gulch"/>
        <s v="Cohoe"/>
        <s v="Diamond Ridge"/>
        <s v="Fox River"/>
        <s v="Fritz Creek"/>
        <s v="Funny River"/>
        <s v="Halibut Cove"/>
        <s v="Happy Valley"/>
        <s v="Homer"/>
        <s v="Jakolof Bay"/>
        <s v="Kachemak"/>
        <s v="Kalifornsky"/>
        <s v="Kasilof"/>
        <s v="Kenai"/>
        <s v="Nanwalek"/>
        <s v="Nikiski"/>
        <s v="Nikolaevsk"/>
        <s v="Ninilchik"/>
        <s v="Port Graham"/>
        <s v="Ridgeway"/>
        <s v="Salamatof"/>
        <s v="Seldovia"/>
        <s v="Soldotna"/>
        <s v="Sterling"/>
        <s v="Hughes"/>
        <s v="Igiugig"/>
        <s v="Iliamna"/>
        <s v="Newhalen"/>
        <s v="Nondalton"/>
        <s v="Angoon"/>
        <s v="Chilkat Valley"/>
        <s v="Hoonah"/>
        <s v="Kake"/>
        <s v="Klukwan"/>
        <s v="Deering"/>
        <s v="Ketchikan"/>
        <s v="King Cove"/>
        <s v="Kipnuk"/>
        <s v="Kobuk"/>
        <s v="Chiniak"/>
        <s v="Kodiak"/>
        <s v="Kodiak Station"/>
        <s v="Port Lions"/>
        <s v="Womens Bay"/>
        <s v="Kokhanok"/>
        <s v="Kotzebue"/>
        <s v="Koyukuk"/>
        <s v="Kwethluk"/>
        <s v="Kwigillingok"/>
        <s v="Larsen Bay"/>
        <s v="Levelock"/>
        <s v="Lime Village"/>
        <s v="Manokotak"/>
        <s v="Big Lake"/>
        <s v="Buffalo Soapstone"/>
        <s v="Butte"/>
        <s v="Chase"/>
        <s v="Chickaloon"/>
        <s v="Chugiak"/>
        <s v="Eagle River"/>
        <s v="Eklutna"/>
        <s v="Farm Loop"/>
        <s v="Fishhook"/>
        <s v="Gateway"/>
        <s v="Glacier View"/>
        <s v="Houston"/>
        <s v="Knik River"/>
        <s v="Knik, Fairview"/>
        <s v="Lake Louise"/>
        <s v="Lakes"/>
        <s v="Lazy Mountain"/>
        <s v="Meadow Lakes"/>
        <s v="Palmer"/>
        <s v="Petersville"/>
        <s v="Point MacKenzie"/>
        <s v="Susitna North"/>
        <s v="Sutton-Alpine"/>
        <s v="Talkeetna"/>
        <s v="Tanaina"/>
        <s v="Trapper Creek"/>
        <s v="Wasilla"/>
        <s v="Willow"/>
        <s v="McGrath"/>
        <s v="Metlakatla"/>
        <s v="Chuathbaluk"/>
        <s v="Crooked Creek"/>
        <s v="Red Devil"/>
        <s v="Sleetmute"/>
        <s v="Stony River"/>
        <s v="Lake Minchumina"/>
        <s v="King Salmon"/>
        <s v="Naknek"/>
        <s v="South Naknek"/>
        <s v="Napakiak"/>
        <s v="Napaskiak"/>
        <s v="Chefornak"/>
        <s v="Perryville"/>
        <s v="Nelson Lagoon"/>
        <s v="Koliganek"/>
        <s v="Nikolai"/>
        <s v="Nome"/>
        <s v="Anaktuvuk Pass"/>
        <s v="Atqasuk"/>
        <s v="Kaktovik"/>
        <s v="Nuiqsut"/>
        <s v="Point Hope"/>
        <s v="Point Lay"/>
        <s v="Wainwright"/>
        <s v="Nunam Iqua"/>
        <s v="Aleknagik"/>
        <s v="Dillingham"/>
        <s v="Ouzinkie"/>
        <s v="Pedro Bay"/>
        <s v="Pelican"/>
        <s v="Petersburg"/>
        <s v="Pilot Point"/>
        <s v="Platinum"/>
        <s v="Port Heiden"/>
        <s v="Kongiganak"/>
        <s v="Rampart"/>
        <s v="Ruby"/>
        <s v="Saint George"/>
        <s v="Saint Paul"/>
        <s v="Bear Creek"/>
        <s v="Crown Point"/>
        <s v="Lowell Point"/>
        <s v="Primrose"/>
        <s v="Seward"/>
        <s v="Sitka"/>
        <s v="Stevens Village"/>
        <s v="Takotna"/>
        <s v="Port Alsworth"/>
        <s v="Tanana"/>
        <s v="Tatitlek"/>
        <s v="Adak"/>
        <s v="Sand Point"/>
        <s v="Manley Hot Springs"/>
        <s v="Deadhorse"/>
        <s v="Tenakee Springs"/>
        <s v="Tuluksak"/>
        <s v="Tuntutuliak"/>
        <s v="Twin Hills"/>
        <s v="Nikolski"/>
        <s v="Unalakleet"/>
        <s v="Dutch Harbor"/>
        <s v="Unalaska"/>
        <s v="Newtok"/>
        <s v="Venetie"/>
        <s v="White Mountain"/>
        <s v="Wrangell"/>
        <s v="Yakutat"/>
      </sharedItems>
    </cacheField>
    <cacheField name="Utility Name" numFmtId="0">
      <sharedItems count="113">
        <s v="Akhiok, City of"/>
        <s v="Akiachak Native Community"/>
        <s v="Akiak City Council"/>
        <s v="Akutan, City of"/>
        <s v="Alaska Electric Light &amp; Power Company"/>
        <s v="Alaska Power &amp; Telephone Company"/>
        <s v="Alaska Village Electric Cooperative"/>
        <s v="Alutiiq Power Company"/>
        <s v="Anchorage Municipal Light &amp; Power, Chugach Electric Assn Inc"/>
        <s v="Aniak Light &amp; Power"/>
        <s v="Arctic Village Electric Company"/>
        <s v="Atka, City of"/>
        <s v="Atmautluak Tribal Utilities"/>
        <s v="Barrow Utilities &amp; Electric Cooperative Inc."/>
        <s v="Beaver Joint Utilities"/>
        <s v="Bethel Utilities Corporation"/>
        <s v="Birch Creek Village Electric"/>
        <s v="Buckland, City of"/>
        <s v="Chalkyitsik Village Council"/>
        <s v="Chenega Ira Council"/>
        <s v="Chignik Lagoon Power Utility"/>
        <s v="Chignik Lake Electric Utility"/>
        <s v="Chignik, City of"/>
        <s v="Chitina Electric Inc"/>
        <s v="Chugach Electric Assn Inc"/>
        <s v="Circle Electric Utility"/>
        <s v="Clark's Point, City of"/>
        <s v="Copper Valley Elec Assn Inc"/>
        <s v="Cordova Electric Cooperative"/>
        <s v="Diomede Joint Utilities"/>
        <s v="Egegik Light &amp; Power Co"/>
        <s v="Elfin Cove Utility Commission"/>
        <s v="False Pass, City of"/>
        <s v="G &amp; K Inc"/>
        <s v="Galena, City of"/>
        <s v="Gold Country Energy"/>
        <s v="Golden Valley Elec Assn Inc"/>
        <s v="Golden Valley Elec Assn Inc, Aurora Energy LLC Chena"/>
        <s v="Golovin Power Utilities"/>
        <s v="Gustavus Electric Co"/>
        <s v="Gwitchyaa Zhee Utilities Company"/>
        <s v="Homer Electric Assn Inc"/>
        <s v="Hughes Power &amp; Light"/>
        <s v="Igiugig Electric Company"/>
        <s v="I-N-N Electric Coop, Inc"/>
        <s v="Inside Passage Electric"/>
        <s v="Ipnatchiaq Electric Company"/>
        <s v="Ketchikan Public Utilities"/>
        <s v="King Cove, City of"/>
        <s v="Kipnuk Light Plant"/>
        <s v="Kobuk Valley Electric Company"/>
        <s v="Kodiak Electric Assn Inc"/>
        <s v="Kokhanok Village Council"/>
        <s v="Kotzebue Electric Association"/>
        <s v="Koyukuk, City of"/>
        <s v="Kwethluk Incorporated"/>
        <s v="Kwigillingok Power Company"/>
        <s v="Larsen Bay Utility Company"/>
        <s v="Levelock Electrical Coop"/>
        <s v="Lime Village Electric Utility"/>
        <s v="Manokotak Power Company"/>
        <s v="Matanuska Electric Association"/>
        <s v="Mcgrath Light &amp; Power"/>
        <s v="Metlakatla Power &amp; Light"/>
        <s v="Middle Kuskokwim Electric"/>
        <s v="Minchumina Power Company"/>
        <s v="Naknek Electric Association"/>
        <s v="Napakiak Ircinraq"/>
        <s v="Napaskiak Electric Utility"/>
        <s v="Naterkaq Light Plant"/>
        <s v="Native Village of Perryville"/>
        <s v="Nelson Lagoon Electrical Coop"/>
        <s v="New Koliganek Village Council"/>
        <s v="Nikolai, City of"/>
        <s v="Nome Joint Utility Systems, Banner Wind LLC"/>
        <s v="North Slope Borough Power &amp; Light"/>
        <s v="Nunam Iqua Electric Company"/>
        <s v="Nushagak Electric Cooperative"/>
        <s v="Ouzinkie, City of"/>
        <s v="Pedro Bay Village Council"/>
        <s v="Pelican Utility"/>
        <s v="Petersburg, City of"/>
        <s v="Pilot Point Electric Utility"/>
        <s v="Platinum, City of"/>
        <s v="Port Heiden Utilities"/>
        <s v="Puvurnaq Power Company"/>
        <s v="Rampart Village Council"/>
        <s v="Ruby, City of"/>
        <s v="Saint George, City of"/>
        <s v="Saint Paul Municipal Electric"/>
        <s v="Seward, City of"/>
        <s v="Sitka, City &amp; Borough Of"/>
        <s v="Stevens Village Ira Council"/>
        <s v="Takotna Community Assoc Inc"/>
        <s v="Tanalian Electric Cooperative"/>
        <s v="Tanana Power Company Inc"/>
        <s v="Tatitlek Village Ira Council"/>
        <s v="TDX Adak Generating Llc"/>
        <s v="TDX Corporation"/>
        <s v="TDX Manley Generating LLC"/>
        <s v="TDX North Slope Generating Company"/>
        <s v="Tenakee Springs, City of"/>
        <s v="Tuluksak Traditional"/>
        <s v="Tuntutuliak Community"/>
        <s v="Twin Hills Village Council"/>
        <s v="Umnak Power Company"/>
        <s v="Unalakleet Valley Electric Cooperative"/>
        <s v="Unalaska, City of"/>
        <s v="Ungusraq Power Company"/>
        <s v="Venetie Village Electric"/>
        <s v="White Mountain, City of"/>
        <s v="Wrangell, City of"/>
        <s v="Yakutat Power Inc"/>
      </sharedItems>
    </cacheField>
    <cacheField name="PCE" numFmtId="0">
      <sharedItems count="3">
        <s v="PCE Eligible Inactive"/>
        <s v="PCE Eligible Active"/>
        <s v="PCE Ineligible"/>
      </sharedItems>
    </cacheField>
    <cacheField name="AEA Energy Region" numFmtId="0">
      <sharedItems count="11">
        <s v="Kodiak"/>
        <s v="Lower Yukon-Kuskokwim"/>
        <s v="Aleutians"/>
        <s v="Southeast"/>
        <s v="Yukon-Koyukuk/Upper Tanana"/>
        <s v="Copper River/Chugach"/>
        <s v="Northwest Arctic"/>
        <s v="Bering Straits"/>
        <s v="Bristol Bay"/>
        <s v="Railbelt"/>
        <s v="North Slope"/>
      </sharedItems>
    </cacheField>
    <cacheField name="Census Region" numFmtId="0">
      <sharedItems/>
    </cacheField>
    <cacheField name="Native Corporation Region" numFmtId="0">
      <sharedItems/>
    </cacheField>
    <cacheField name="Region" numFmtId="0">
      <sharedItems/>
    </cacheField>
    <cacheField name="Community Feature ID" numFmtId="0">
      <sharedItems containsSemiMixedTypes="0" containsString="0" containsNumber="1" containsInteger="1" minValue="1397658" maxValue="2582718"/>
    </cacheField>
    <cacheField name="Community Latitude" numFmtId="0">
      <sharedItems/>
    </cacheField>
    <cacheField name="Community Longitud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lexmelendez" refreshedDate="41499.351100347223" createdVersion="4" refreshedVersion="4" minRefreshableVersion="3" recordCount="216">
  <cacheSource type="worksheet">
    <worksheetSource ref="A8:S224" sheet="Table 2.4a"/>
  </cacheSource>
  <cacheFields count="19">
    <cacheField name="Utility Name" numFmtId="0">
      <sharedItems/>
    </cacheField>
    <cacheField name="Plant Name" numFmtId="0">
      <sharedItems containsBlank="1"/>
    </cacheField>
    <cacheField name="Community Name" numFmtId="0">
      <sharedItems containsBlank="1"/>
    </cacheField>
    <cacheField name="Fuel Type(1)" numFmtId="0">
      <sharedItems/>
    </cacheField>
    <cacheField name="Prime Mover(2)" numFmtId="0">
      <sharedItems/>
    </cacheField>
    <cacheField name="Net Generation MMBtu" numFmtId="38">
      <sharedItems containsSemiMixedTypes="0" containsString="0" containsNumber="1" minValue="-580.04" maxValue="4127032.3679999998"/>
    </cacheField>
    <cacheField name="Total Fuel MMBtu" numFmtId="38">
      <sharedItems containsSemiMixedTypes="0" containsString="0" containsNumber="1" minValue="0" maxValue="14708372.588"/>
    </cacheField>
    <cacheField name="Emission Factor (kg CO2/MMBtu)" numFmtId="40">
      <sharedItems containsSemiMixedTypes="0" containsString="0" containsNumber="1" minValue="53.06" maxValue="97.17"/>
    </cacheField>
    <cacheField name="CO2 Metric Tons from Fuel" numFmtId="38">
      <sharedItems containsSemiMixedTypes="0" containsString="0" containsNumber="1" minValue="0" maxValue="780426.24951927993"/>
    </cacheField>
    <cacheField name="Efficiency(3)" numFmtId="9">
      <sharedItems containsMixedTypes="1" containsNumber="1" minValue="4.4755034329617575E-2" maxValue="0.48877610940734967"/>
    </cacheField>
    <cacheField name="Net Generation MWh" numFmtId="3">
      <sharedItems containsSemiMixedTypes="0" containsString="0" containsNumber="1" minValue="-170" maxValue="1209564"/>
    </cacheField>
    <cacheField name="Fuel Use(4)" numFmtId="3">
      <sharedItems containsSemiMixedTypes="0" containsString="0" containsNumber="1" minValue="0" maxValue="14391754"/>
    </cacheField>
    <cacheField name="Estimated Average Heat Content (MMBtu/barrel or MCF or short ton)." numFmtId="165">
      <sharedItems containsSemiMixedTypes="0" containsString="0" containsNumber="1" minValue="1.022" maxValue="15.178723404255328"/>
    </cacheField>
    <cacheField name="Source" numFmtId="0">
      <sharedItems/>
    </cacheField>
    <cacheField name="Notes" numFmtId="166">
      <sharedItems containsMixedTypes="1" containsNumber="1" containsInteger="1" minValue="0" maxValue="0"/>
    </cacheField>
    <cacheField name="AEA Energy Region" numFmtId="166">
      <sharedItems count="11">
        <s v="Lower Yukon-Kuskokwim"/>
        <s v="Aleutians"/>
        <s v="Southeast"/>
        <s v="Yukon-Koyukuk/Upper Tanana"/>
        <s v="Copper River/Chugach"/>
        <s v="Northwest Arctic"/>
        <s v="Bering Straits"/>
        <s v="Bristol Bay"/>
        <s v="Kodiak"/>
        <s v="Railbelt"/>
        <s v="North Slope"/>
      </sharedItems>
    </cacheField>
    <cacheField name="Census Region" numFmtId="166">
      <sharedItems/>
    </cacheField>
    <cacheField name="Native Corporation Region" numFmtId="166">
      <sharedItems/>
    </cacheField>
    <cacheField name="AKEPS Region" numFmtId="166">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lexmelendez" refreshedDate="41500.51842083333" createdVersion="4" refreshedVersion="4" minRefreshableVersion="3" recordCount="231">
  <cacheSource type="worksheet">
    <worksheetSource ref="A7:P238" sheet="Table 2.3a"/>
  </cacheSource>
  <cacheFields count="16">
    <cacheField name="Utility Name" numFmtId="0">
      <sharedItems/>
    </cacheField>
    <cacheField name="Plant Name" numFmtId="0">
      <sharedItems containsBlank="1"/>
    </cacheField>
    <cacheField name="Community Name" numFmtId="0">
      <sharedItems containsBlank="1"/>
    </cacheField>
    <cacheField name="Fossil Fuel Turbines" numFmtId="3">
      <sharedItems containsSemiMixedTypes="0" containsString="0" containsNumber="1" containsInteger="1" minValue="-170" maxValue="2281306"/>
    </cacheField>
    <cacheField name="Reciprocating Internal Combustion" numFmtId="0">
      <sharedItems containsSemiMixedTypes="0" containsString="0" containsNumber="1" minValue="-68.440910000000002" maxValue="43500"/>
    </cacheField>
    <cacheField name="Hydroelectric" numFmtId="0">
      <sharedItems containsSemiMixedTypes="0" containsString="0" containsNumber="1" minValue="0" maxValue="303900"/>
    </cacheField>
    <cacheField name="Wind Turbine" numFmtId="0">
      <sharedItems containsSemiMixedTypes="0" containsString="0" containsNumber="1" minValue="0" maxValue="12364"/>
    </cacheField>
    <cacheField name="Total Net Generation (1)" numFmtId="38">
      <sharedItems containsSemiMixedTypes="0" containsString="0" containsNumber="1" minValue="-170" maxValue="2281306"/>
    </cacheField>
    <cacheField name="Station Service Consumption" numFmtId="0">
      <sharedItems containsString="0" containsBlank="1" containsNumber="1" minValue="0" maxValue="18554"/>
    </cacheField>
    <cacheField name="Gross Generation" numFmtId="3">
      <sharedItems containsMixedTypes="1" containsNumber="1" minValue="0" maxValue="2299860"/>
    </cacheField>
    <cacheField name="Source" numFmtId="0">
      <sharedItems/>
    </cacheField>
    <cacheField name="Notes" numFmtId="166">
      <sharedItems containsMixedTypes="1" containsNumber="1" containsInteger="1" minValue="0" maxValue="0"/>
    </cacheField>
    <cacheField name="AEA Energy Region" numFmtId="0">
      <sharedItems count="11">
        <s v="Lower Yukon-Kuskokwim"/>
        <s v="Aleutians"/>
        <s v="Southeast"/>
        <s v="Railbelt"/>
        <s v="Yukon-Koyukuk/Upper Tanana"/>
        <s v="Copper River/Chugach"/>
        <s v="Northwest Arctic"/>
        <s v="Bering Straits"/>
        <s v="Bristol Bay"/>
        <s v="Kodiak"/>
        <s v="North Slope"/>
      </sharedItems>
    </cacheField>
    <cacheField name="Census Region" numFmtId="0">
      <sharedItems/>
    </cacheField>
    <cacheField name="Native Corporation Region" numFmtId="0">
      <sharedItems/>
    </cacheField>
    <cacheField name="AKEPS Region" numFmtId="0">
      <sharedItems count="5">
        <s v="SW"/>
        <s v="SE"/>
        <s v="YU"/>
        <s v="AN"/>
        <s v="SC"/>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lexmelendez" refreshedDate="41582.406832291665" createdVersion="4" refreshedVersion="4" minRefreshableVersion="3" recordCount="242">
  <cacheSource type="worksheet">
    <worksheetSource ref="A3:P244" sheet="Table 2.1a"/>
  </cacheSource>
  <cacheFields count="16">
    <cacheField name="Utility/IPP Name" numFmtId="0">
      <sharedItems/>
    </cacheField>
    <cacheField name="Plant Name" numFmtId="0">
      <sharedItems/>
    </cacheField>
    <cacheField name="Community Name" numFmtId="0">
      <sharedItems containsBlank="1"/>
    </cacheField>
    <cacheField name="Total Capacity, kW (1)" numFmtId="167">
      <sharedItems containsSemiMixedTypes="0" containsString="0" containsNumber="1" minValue="20" maxValue="374400"/>
    </cacheField>
    <cacheField name="Fossil Fuel Turbines" numFmtId="167">
      <sharedItems containsString="0" containsBlank="1" containsNumber="1" containsInteger="1" minValue="0" maxValue="374400"/>
    </cacheField>
    <cacheField name="Internal Combustion" numFmtId="167">
      <sharedItems containsString="0" containsBlank="1" containsNumber="1" minValue="0" maxValue="25900"/>
    </cacheField>
    <cacheField name="Hydroelectric" numFmtId="167">
      <sharedItems containsSemiMixedTypes="0" containsString="0" containsNumber="1" containsInteger="1" minValue="0" maxValue="119700"/>
    </cacheField>
    <cacheField name="Wind Turbine" numFmtId="167">
      <sharedItems containsString="0" containsBlank="1" containsNumber="1" containsInteger="1" minValue="0" maxValue="4500"/>
    </cacheField>
    <cacheField name="Source" numFmtId="0">
      <sharedItems/>
    </cacheField>
    <cacheField name="PCE Utility/Community" numFmtId="0">
      <sharedItems/>
    </cacheField>
    <cacheField name="Notes" numFmtId="166">
      <sharedItems containsMixedTypes="1" containsNumber="1" containsInteger="1" minValue="0" maxValue="0" longText="1"/>
    </cacheField>
    <cacheField name="Utility Acronym" numFmtId="0">
      <sharedItems containsMixedTypes="1" containsNumber="1" containsInteger="1" minValue="0" maxValue="0"/>
    </cacheField>
    <cacheField name="AEA Energy Region" numFmtId="166">
      <sharedItems count="11">
        <s v="Kodiak"/>
        <s v="Lower Yukon-Kuskokwim"/>
        <s v="Aleutians"/>
        <s v="Southeast"/>
        <s v="Railbelt"/>
        <s v="Yukon-Koyukuk/Upper Tanana"/>
        <s v="Copper River/Chugach"/>
        <s v="Northwest Arctic"/>
        <s v="Bering Straits"/>
        <s v="Bristol Bay"/>
        <s v="North Slope"/>
      </sharedItems>
    </cacheField>
    <cacheField name="Census Region" numFmtId="166">
      <sharedItems/>
    </cacheField>
    <cacheField name="Native Corporation Region" numFmtId="166">
      <sharedItems/>
    </cacheField>
    <cacheField name="AKEPS Region" numFmtId="166">
      <sharedItems count="5">
        <s v="SC"/>
        <s v="SW"/>
        <s v="SE"/>
        <s v="YU"/>
        <s v="A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lexmelendez" refreshedDate="41583.530566666668" createdVersion="4" refreshedVersion="4" minRefreshableVersion="3" recordCount="184">
  <cacheSource type="worksheet">
    <worksheetSource ref="A7:X192" sheet="Table 2.5a"/>
  </cacheSource>
  <cacheFields count="24">
    <cacheField name="UtilityName" numFmtId="0">
      <sharedItems/>
    </cacheField>
    <cacheField name="CommunityName" numFmtId="0">
      <sharedItems containsBlank="1"/>
    </cacheField>
    <cacheField name="Revenue ($000)" numFmtId="38">
      <sharedItems containsSemiMixedTypes="0" containsString="0" containsNumber="1" minValue="22.290545123220003" maxValue="77575"/>
    </cacheField>
    <cacheField name="Sales (MWh)" numFmtId="38">
      <sharedItems containsSemiMixedTypes="0" containsString="0" containsNumber="1" minValue="26.966000000000001" maxValue="545129"/>
    </cacheField>
    <cacheField name="Customers (Accounts)" numFmtId="38">
      <sharedItems containsSemiMixedTypes="0" containsString="0" containsNumber="1" minValue="8" maxValue="69729"/>
    </cacheField>
    <cacheField name="$/kWh" numFmtId="40">
      <sharedItems containsSemiMixedTypes="0" containsString="0" containsNumber="1" minValue="0.08" maxValue="1.022"/>
    </cacheField>
    <cacheField name="Revenue ($000)2" numFmtId="38">
      <sharedItems containsSemiMixedTypes="0" containsString="0" containsNumber="1" minValue="8.4099507428399995" maxValue="97883.3"/>
    </cacheField>
    <cacheField name="Sales  (MWh)" numFmtId="38">
      <sharedItems containsSemiMixedTypes="0" containsString="0" containsNumber="1" minValue="17.148" maxValue="967799"/>
    </cacheField>
    <cacheField name="Customers (Accounts)2" numFmtId="38">
      <sharedItems containsSemiMixedTypes="0" containsString="0" containsNumber="1" minValue="2" maxValue="9230"/>
    </cacheField>
    <cacheField name="$/kWh2" numFmtId="40">
      <sharedItems containsSemiMixedTypes="0" containsString="0" containsNumber="1" minValue="0.08" maxValue="1.022"/>
    </cacheField>
    <cacheField name="Revenue ($000)3" numFmtId="38">
      <sharedItems containsSemiMixedTypes="0" containsString="0" containsNumber="1" minValue="0" maxValue="144490.70000000001"/>
    </cacheField>
    <cacheField name="Sales (MWh)2" numFmtId="38">
      <sharedItems containsSemiMixedTypes="0" containsString="0" containsNumber="1" minValue="0" maxValue="846303"/>
    </cacheField>
    <cacheField name="Customers (Accounts)3" numFmtId="38">
      <sharedItems containsSemiMixedTypes="0" containsString="0" containsNumber="1" minValue="0" maxValue="483"/>
    </cacheField>
    <cacheField name="$/kWh3" numFmtId="40">
      <sharedItems containsString="0" containsBlank="1" containsNumber="1" minValue="0.08" maxValue="1.022"/>
    </cacheField>
    <cacheField name="Revenue ($000)4" numFmtId="38">
      <sharedItems containsSemiMixedTypes="0" containsString="0" containsNumber="1" minValue="59.14855582185001" maxValue="241657.2"/>
    </cacheField>
    <cacheField name="Sales (MWh)3" numFmtId="38">
      <sharedItems containsSemiMixedTypes="0" containsString="0" containsNumber="1" minValue="71.555000000000007" maxValue="1289927"/>
    </cacheField>
    <cacheField name="Customers (Accounts)4" numFmtId="38">
      <sharedItems containsSemiMixedTypes="0" containsString="0" containsNumber="1" minValue="18.750000190000002" maxValue="78966"/>
    </cacheField>
    <cacheField name="$/kWh4" numFmtId="40">
      <sharedItems containsSemiMixedTypes="0" containsString="0" containsNumber="1" minValue="0.08" maxValue="1.022"/>
    </cacheField>
    <cacheField name="Source" numFmtId="0">
      <sharedItems/>
    </cacheField>
    <cacheField name="Notes" numFmtId="166">
      <sharedItems containsBlank="1" containsMixedTypes="1" containsNumber="1" containsInteger="1" minValue="0" maxValue="0"/>
    </cacheField>
    <cacheField name="AEA Energy Region" numFmtId="164">
      <sharedItems count="11">
        <s v="Lower Yukon-Kuskokwim"/>
        <s v="Aleutians"/>
        <s v="Southeast"/>
        <s v="Yukon-Koyukuk/Upper Tanana"/>
        <s v="Copper River/Chugach"/>
        <s v="Northwest Arctic"/>
        <s v="Bering Straits"/>
        <s v="Bristol Bay"/>
        <s v="Kodiak"/>
        <s v="Railbelt"/>
        <s v="North Slope"/>
      </sharedItems>
    </cacheField>
    <cacheField name="Census Region" numFmtId="164">
      <sharedItems count="27">
        <s v="Bethel (CA)"/>
        <s v="Aleutians East"/>
        <s v="Juneau"/>
        <s v="Yukon-Koyukuk (CA)"/>
        <s v="Valdez-Cordova (CA)"/>
        <s v="Prince of Wales-Hyder (CA)"/>
        <s v="Southeast Fairbanks (CA)"/>
        <s v="Haines"/>
        <s v="Wade Hampton (CA)"/>
        <s v="Northwest Arctic"/>
        <s v="Nome (CA)"/>
        <s v="Dillingham (CA)"/>
        <s v="Kodiak Island"/>
        <s v="Anchorage"/>
        <s v="Aleutians West (CA)"/>
        <s v="North Slope"/>
        <s v="Lake and Peninsula"/>
        <s v="Hoonah-Angoon (CA)"/>
        <s v="Fairbanks North Star"/>
        <s v="Petersburg (CA)"/>
        <s v="Ketchikan Gateway"/>
        <s v="Matanuska Susitna"/>
        <s v="Bristol Bay"/>
        <s v="Kenai Peninsula"/>
        <s v="Sitka"/>
        <s v="Wrangell"/>
        <s v="Yakutat"/>
      </sharedItems>
    </cacheField>
    <cacheField name="Native Corporation Region" numFmtId="164">
      <sharedItems/>
    </cacheField>
    <cacheField name="AKEPS Region" numFmtId="164">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lexmelendez" refreshedDate="41592.519612731485" createdVersion="4" refreshedVersion="4" minRefreshableVersion="3" recordCount="229">
  <cacheSource type="worksheet">
    <worksheetSource ref="A5:Q234" sheet="Table 2.3b"/>
  </cacheSource>
  <cacheFields count="17">
    <cacheField name="Utility Name" numFmtId="0">
      <sharedItems count="104">
        <s v="Akiachak Native Community"/>
        <s v="Akiak City Council"/>
        <s v="Akutan, City of"/>
        <s v="Alaska Electric Light &amp; Power Company"/>
        <s v="Alaska Environmental LLC"/>
        <s v="Alaska Power &amp; Telephone Company"/>
        <s v="Alaska Village Electric Cooperative"/>
        <s v="Alutiiq Power Company"/>
        <s v="Anchorage Municipal Light &amp; Power"/>
        <s v="Aniak Light &amp; Power"/>
        <s v="Atka, City of"/>
        <s v="Atmautluak Tribal Utilities"/>
        <s v="Aurora Energy LLC Chena"/>
        <s v="Banner Wind, LLC"/>
        <s v="Barrow Utilities &amp; Electric Cooperative Inc."/>
        <s v="Beaver Joint Utilities"/>
        <s v="Bethel Utilities Corporation"/>
        <s v="Buckland, City of"/>
        <s v="Chalkyitsik Village Council"/>
        <s v="Chenega Ira Council"/>
        <s v="Chignik Lagoon Power Utility"/>
        <s v="Chignik Lake Electric Utility"/>
        <s v="Chignik, City of"/>
        <s v="Chitina Electric Inc"/>
        <s v="Chugach Electric Assn Inc"/>
        <s v="Circle Electric Utility"/>
        <s v="Copper Valley Elec Assn Inc"/>
        <s v="Cordova Electric Cooperative"/>
        <s v="Diomede Joint Utilities"/>
        <s v="Egegik Light &amp; Power Co"/>
        <s v="Elfin Cove Utility Commission"/>
        <s v="False Pass, City of"/>
        <s v="G &amp; K Inc"/>
        <s v="Galena, City of"/>
        <s v="Gold Country Energy"/>
        <s v="Golden Valley Elec Assn Inc"/>
        <s v="Golovin Power Utilities"/>
        <s v="Gustavus Electric Co"/>
        <s v="Gwitchyaa Zhee Utilities Company"/>
        <s v="Homer Electric Assn Inc"/>
        <s v="Hughes Power &amp; Light"/>
        <s v="Igiugig Electric Company"/>
        <s v="I-N-N Electric Coop, Inc"/>
        <s v="Inside Passage Electric"/>
        <s v="Ipnatchiaq Electric Company"/>
        <s v="Ketchikan Public Utilities"/>
        <s v="King Cove, City of"/>
        <s v="Kipnuk Light Plant"/>
        <s v="Kobuk Valley Electric Company"/>
        <s v="Kodiak Electric Assn Inc"/>
        <s v="Kokhanok Village Council"/>
        <s v="Kotzebue Electric Association"/>
        <s v="Koyukuk, City of"/>
        <s v="Kwethluk Incorporated"/>
        <s v="Kwigillingok Power Company"/>
        <s v="Larsen Bay Utility Company"/>
        <s v="Levelock Electrical Coop"/>
        <s v="Lime Village Electric Utility"/>
        <s v="Manokotak Power Company"/>
        <s v="Mcgrath Light &amp; Power"/>
        <s v="Metlakatla Power &amp; Light"/>
        <s v="Middle Kuskokwim Electric"/>
        <s v="Naknek Electric Association"/>
        <s v="Napakiak Ircinraq"/>
        <s v="Napaskiak Electric Utility"/>
        <s v="Naterkaq Light Plant"/>
        <s v="Native Village of Perryville"/>
        <s v="Nelson Lagoon Electrical Coop"/>
        <s v="New Koliganek Village Council"/>
        <s v="Nikolai, City of"/>
        <s v="Nome Joint Utility Systems"/>
        <s v="North Slope Borough Power &amp; Light"/>
        <s v="Nunam Iqua Electric Company"/>
        <s v="Nushagak Electric Cooperative"/>
        <s v="Ouzinkie, City of"/>
        <s v="Pedro Bay Village Council"/>
        <s v="Pelican Utility"/>
        <s v="Petersburg, City of"/>
        <s v="Pilot Point Electric Utility"/>
        <s v="Port Heiden Utilities"/>
        <s v="Puvurnaq Power Company"/>
        <s v="Ruby, City of"/>
        <s v="Saint George, City of"/>
        <s v="Saint Paul Municipal Electric"/>
        <s v="Seward, City of"/>
        <s v="Sitka, City &amp; Borough of"/>
        <s v="Takotna Community Assoc Inc"/>
        <s v="Tanalian Electric Cooperative"/>
        <s v="Tanana Power Company Inc"/>
        <s v="Tatitlek Village Ira Council"/>
        <s v="TDX Adak Generating LLC"/>
        <s v="TDX Corporation"/>
        <s v="TDX Manley Generating LLC"/>
        <s v="Tenakee Springs, City of"/>
        <s v="Tuluksak Traditional"/>
        <s v="Tuntutuliak Community"/>
        <s v="Twin Hills Village Council"/>
        <s v="Umnak Power Company"/>
        <s v="Unalakleet Valley Electric Cooperative"/>
        <s v="Unalaska, City of"/>
        <s v="Ungusraq Power Company"/>
        <s v="White Mountain, City of"/>
        <s v="Wrangell, City of"/>
        <s v="Yakutat Power Inc"/>
      </sharedItems>
    </cacheField>
    <cacheField name="Plant Name" numFmtId="0">
      <sharedItems containsBlank="1"/>
    </cacheField>
    <cacheField name="Community Name" numFmtId="0">
      <sharedItems containsBlank="1"/>
    </cacheField>
    <cacheField name="Oil" numFmtId="0">
      <sharedItems containsSemiMixedTypes="0" containsString="0" containsNumber="1" minValue="-170" maxValue="486542"/>
    </cacheField>
    <cacheField name="Gas" numFmtId="0">
      <sharedItems containsString="0" containsBlank="1" containsNumber="1" minValue="0" maxValue="2281306"/>
    </cacheField>
    <cacheField name="Coal" numFmtId="0">
      <sharedItems containsString="0" containsBlank="1" containsNumber="1" containsInteger="1" minValue="0" maxValue="209150"/>
    </cacheField>
    <cacheField name="Hydro" numFmtId="0">
      <sharedItems containsSemiMixedTypes="0" containsString="0" containsNumber="1" minValue="0" maxValue="303900"/>
    </cacheField>
    <cacheField name="Wind" numFmtId="0">
      <sharedItems containsSemiMixedTypes="0" containsString="0" containsNumber="1" minValue="0" maxValue="12364"/>
    </cacheField>
    <cacheField name="Oil (gallons)" numFmtId="0">
      <sharedItems containsSemiMixedTypes="0" containsString="0" containsNumber="1" minValue="0" maxValue="32928882"/>
    </cacheField>
    <cacheField name="Gas (Mcf)" numFmtId="0">
      <sharedItems containsString="0" containsBlank="1" containsNumber="1" containsInteger="1" minValue="0" maxValue="24008970"/>
    </cacheField>
    <cacheField name="Coal (Short Tons)" numFmtId="0">
      <sharedItems containsString="0" containsBlank="1" containsNumber="1" containsInteger="1" minValue="0" maxValue="222349"/>
    </cacheField>
    <cacheField name="Source" numFmtId="0">
      <sharedItems/>
    </cacheField>
    <cacheField name="Notes" numFmtId="166">
      <sharedItems containsMixedTypes="1" containsNumber="1" containsInteger="1" minValue="0" maxValue="0"/>
    </cacheField>
    <cacheField name="AEA Energy Region" numFmtId="0">
      <sharedItems count="11">
        <s v="Lower Yukon-Kuskokwim"/>
        <s v="Aleutians"/>
        <s v="Southeast"/>
        <s v="Railbelt"/>
        <s v="Yukon-Koyukuk/Upper Tanana"/>
        <s v="Copper River/Chugach"/>
        <s v="Northwest Arctic"/>
        <s v="Bering Straits"/>
        <s v="Bristol Bay"/>
        <s v="Kodiak"/>
        <s v="North Slope"/>
      </sharedItems>
    </cacheField>
    <cacheField name="Census Region" numFmtId="0">
      <sharedItems/>
    </cacheField>
    <cacheField name="Native Corporation Region" numFmtId="0">
      <sharedItems/>
    </cacheField>
    <cacheField name="AKEPS Region"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lexmelendez" refreshedDate="41732.453220254632" createdVersion="4" refreshedVersion="4" minRefreshableVersion="3" recordCount="184">
  <cacheSource type="worksheet">
    <worksheetSource ref="A3:M187" sheet="Table 2.5c"/>
  </cacheSource>
  <cacheFields count="13">
    <cacheField name="Utility Name" numFmtId="0">
      <sharedItems/>
    </cacheField>
    <cacheField name="Community Name" numFmtId="0">
      <sharedItems containsBlank="1"/>
    </cacheField>
    <cacheField name="Residential Rate ($/kWh)" numFmtId="2">
      <sharedItems containsSemiMixedTypes="0" containsString="0" containsNumber="1" minValue="0.08" maxValue="1.022"/>
    </cacheField>
    <cacheField name="PCE reimbursment rate ($/kWh)" numFmtId="2">
      <sharedItems containsSemiMixedTypes="0" containsString="0" containsNumber="1" minValue="0" maxValue="0.66300000000000003"/>
    </cacheField>
    <cacheField name="Residential Rate after PCE ($/kWh)" numFmtId="2">
      <sharedItems containsSemiMixedTypes="0" containsString="0" containsNumber="1" minValue="0.08" maxValue="0.70628332999999999"/>
    </cacheField>
    <cacheField name="Percent PCE reimbursment" numFmtId="9">
      <sharedItems containsSemiMixedTypes="0" containsString="0" containsNumber="1" minValue="0" maxValue="0.77759571114976467"/>
    </cacheField>
    <cacheField name="Source" numFmtId="0">
      <sharedItems/>
    </cacheField>
    <cacheField name="PCE Community" numFmtId="0">
      <sharedItems count="2">
        <s v="YES"/>
        <s v="NO"/>
      </sharedItems>
    </cacheField>
    <cacheField name="Notes" numFmtId="166">
      <sharedItems containsBlank="1" containsMixedTypes="1" containsNumber="1" containsInteger="1" minValue="0" maxValue="0"/>
    </cacheField>
    <cacheField name="AEA Energy Region" numFmtId="166">
      <sharedItems/>
    </cacheField>
    <cacheField name="Census Region" numFmtId="166">
      <sharedItems/>
    </cacheField>
    <cacheField name="Native Corporation Region" numFmtId="166">
      <sharedItems/>
    </cacheField>
    <cacheField name="AKEPS Region" numFmtId="16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8">
  <r>
    <x v="0"/>
    <x v="0"/>
    <x v="0"/>
    <x v="0"/>
    <s v="Kodiak Island"/>
    <s v="Koniag"/>
    <s v="SC"/>
    <n v="1398007"/>
    <s v="565644N"/>
    <s v="1541013W"/>
  </r>
  <r>
    <x v="1"/>
    <x v="1"/>
    <x v="1"/>
    <x v="1"/>
    <s v="Bethel (CA)"/>
    <s v="Calista"/>
    <s v="SW"/>
    <n v="1398011"/>
    <s v="605434N"/>
    <s v="1612553W"/>
  </r>
  <r>
    <x v="2"/>
    <x v="2"/>
    <x v="1"/>
    <x v="1"/>
    <s v="Bethel (CA)"/>
    <s v="Calista"/>
    <s v="SW"/>
    <n v="1398012"/>
    <s v="605444N"/>
    <s v="1611250W"/>
  </r>
  <r>
    <x v="3"/>
    <x v="3"/>
    <x v="1"/>
    <x v="2"/>
    <s v="Aleutians East"/>
    <s v="Aleut"/>
    <s v="SW"/>
    <n v="1418123"/>
    <s v="540808N"/>
    <s v="1654623W"/>
  </r>
  <r>
    <x v="4"/>
    <x v="4"/>
    <x v="2"/>
    <x v="3"/>
    <s v="Juneau"/>
    <s v="Sealaska"/>
    <s v="SE"/>
    <n v="1401374"/>
    <s v="581632N"/>
    <s v="1342333W"/>
  </r>
  <r>
    <x v="5"/>
    <x v="4"/>
    <x v="2"/>
    <x v="3"/>
    <s v="Juneau"/>
    <s v="Sealaska"/>
    <s v="SE"/>
    <n v="1404263"/>
    <s v="581807N"/>
    <s v="1342511W"/>
  </r>
  <r>
    <x v="6"/>
    <x v="5"/>
    <x v="1"/>
    <x v="4"/>
    <s v="Yukon-Koyukuk (CA)"/>
    <s v="Doyon"/>
    <s v="YU"/>
    <n v="1398055"/>
    <s v="663350N"/>
    <s v="1524000W"/>
  </r>
  <r>
    <x v="7"/>
    <x v="5"/>
    <x v="2"/>
    <x v="4"/>
    <s v="Southeast Fairbanks (CA)"/>
    <s v="Doyon"/>
    <s v="YU"/>
    <n v="1866931"/>
    <s v="624323N"/>
    <s v="1411117W"/>
  </r>
  <r>
    <x v="8"/>
    <x v="5"/>
    <x v="1"/>
    <x v="4"/>
    <s v="Yukon-Koyukuk (CA)"/>
    <s v="Doyon"/>
    <s v="YU"/>
    <n v="1398129"/>
    <s v="663356N"/>
    <s v="1523844W"/>
  </r>
  <r>
    <x v="9"/>
    <x v="5"/>
    <x v="1"/>
    <x v="4"/>
    <s v="Yukon-Koyukuk (CA)"/>
    <s v="Doyon"/>
    <s v="YU"/>
    <n v="1926949"/>
    <s v="665508N"/>
    <s v="1513058W"/>
  </r>
  <r>
    <x v="10"/>
    <x v="5"/>
    <x v="1"/>
    <x v="5"/>
    <s v="Valdez-Cordova (CA)"/>
    <s v="Ahtna"/>
    <s v="YU"/>
    <n v="1400333"/>
    <s v="623418N"/>
    <s v="1443915W"/>
  </r>
  <r>
    <x v="11"/>
    <x v="5"/>
    <x v="1"/>
    <x v="3"/>
    <s v="Prince of Wales-Hyder (CA)"/>
    <s v="Sealaska"/>
    <s v="SE"/>
    <n v="1669437"/>
    <s v="560050N"/>
    <s v="1324940W"/>
  </r>
  <r>
    <x v="12"/>
    <x v="5"/>
    <x v="1"/>
    <x v="3"/>
    <s v="Prince of Wales-Hyder (CA)"/>
    <s v="Sealaska"/>
    <s v="SE"/>
    <n v="1866938"/>
    <s v="592502N"/>
    <s v="1360130W"/>
  </r>
  <r>
    <x v="13"/>
    <x v="5"/>
    <x v="1"/>
    <x v="3"/>
    <s v="Prince of Wales-Hyder (CA)"/>
    <s v="Sealaska"/>
    <s v="SE"/>
    <n v="1421260"/>
    <s v="552835N"/>
    <s v="1330854W"/>
  </r>
  <r>
    <x v="14"/>
    <x v="5"/>
    <x v="1"/>
    <x v="4"/>
    <s v="Southeast Fairbanks (CA)"/>
    <s v="Doyon"/>
    <s v="YU"/>
    <n v="1401364"/>
    <s v="633941N"/>
    <s v="1440352W"/>
  </r>
  <r>
    <x v="15"/>
    <x v="5"/>
    <x v="1"/>
    <x v="4"/>
    <s v="Southeast Fairbanks (CA)"/>
    <s v="Doyon"/>
    <s v="YU"/>
    <n v="1865550"/>
    <s v="633903N"/>
    <s v="1440238W"/>
  </r>
  <r>
    <x v="16"/>
    <x v="5"/>
    <x v="1"/>
    <x v="4"/>
    <s v="Southeast Fairbanks (CA)"/>
    <s v="Doyon"/>
    <s v="YU"/>
    <n v="1401499"/>
    <s v="644717N"/>
    <s v="1411200W"/>
  </r>
  <r>
    <x v="17"/>
    <x v="5"/>
    <x v="1"/>
    <x v="4"/>
    <s v="Southeast Fairbanks (CA)"/>
    <s v="Doyon"/>
    <s v="YU"/>
    <n v="1401553"/>
    <s v="644650N"/>
    <s v="1410649W"/>
  </r>
  <r>
    <x v="18"/>
    <x v="5"/>
    <x v="1"/>
    <x v="4"/>
    <s v="Yukon-Koyukuk (CA)"/>
    <s v="Doyon"/>
    <s v="YU"/>
    <n v="1401936"/>
    <s v="665522N"/>
    <s v="1513029W"/>
  </r>
  <r>
    <x v="19"/>
    <x v="5"/>
    <x v="1"/>
    <x v="3"/>
    <s v="Prince of Wales-Hyder (CA)"/>
    <s v="Sealaska"/>
    <s v="SE"/>
    <n v="1422400"/>
    <s v="591343N"/>
    <s v="1352639W"/>
  </r>
  <r>
    <x v="20"/>
    <x v="5"/>
    <x v="1"/>
    <x v="4"/>
    <s v="Southeast Fairbanks (CA)"/>
    <s v="Doyon"/>
    <s v="YU"/>
    <n v="2419534"/>
    <s v="635914N"/>
    <s v="1444159W"/>
  </r>
  <r>
    <x v="21"/>
    <x v="5"/>
    <x v="1"/>
    <x v="3"/>
    <s v="Prince of Wales-Hyder (CA)"/>
    <s v="Sealaska"/>
    <s v="SE"/>
    <n v="1866952"/>
    <s v="553324N"/>
    <s v="1323811W"/>
  </r>
  <r>
    <x v="22"/>
    <x v="5"/>
    <x v="1"/>
    <x v="3"/>
    <s v="Prince of Wales-Hyder (CA)"/>
    <s v="Sealaska"/>
    <s v="SE"/>
    <n v="1422709"/>
    <s v="551229N"/>
    <s v="1324936W"/>
  </r>
  <r>
    <x v="23"/>
    <x v="5"/>
    <x v="1"/>
    <x v="3"/>
    <s v="Prince of Wales-Hyder (CA)"/>
    <s v="Sealaska"/>
    <s v="SE"/>
    <n v="1404468"/>
    <s v="553220N"/>
    <s v="1322403W"/>
  </r>
  <r>
    <x v="24"/>
    <x v="5"/>
    <x v="1"/>
    <x v="3"/>
    <s v="Prince of Wales-Hyder (CA)"/>
    <s v="Sealaska"/>
    <s v="SE"/>
    <n v="1423100"/>
    <s v="553308N"/>
    <s v="1330545W"/>
  </r>
  <r>
    <x v="25"/>
    <x v="5"/>
    <x v="2"/>
    <x v="3"/>
    <s v="Ketchikan Gateway"/>
    <s v="Sealaska"/>
    <s v="SE"/>
    <n v="1423422"/>
    <s v="553609N"/>
    <s v="1313810W"/>
  </r>
  <r>
    <x v="26"/>
    <x v="5"/>
    <x v="1"/>
    <x v="5"/>
    <s v="Valdez-Cordova (CA)"/>
    <s v="Ahtna"/>
    <s v="YU"/>
    <n v="1406241"/>
    <s v="625516N"/>
    <s v="1434609W"/>
  </r>
  <r>
    <x v="27"/>
    <x v="5"/>
    <x v="2"/>
    <x v="3"/>
    <s v="Haines"/>
    <s v="Sealaska"/>
    <s v="SE"/>
    <n v="1866963"/>
    <s v="593145N"/>
    <s v="1360528W"/>
  </r>
  <r>
    <x v="28"/>
    <x v="5"/>
    <x v="1"/>
    <x v="3"/>
    <s v="Prince of Wales-Hyder (CA)"/>
    <s v="Sealaska"/>
    <s v="SE"/>
    <n v="1866964"/>
    <s v="555225N"/>
    <s v="1331105W"/>
  </r>
  <r>
    <x v="29"/>
    <x v="5"/>
    <x v="1"/>
    <x v="4"/>
    <s v="Yukon-Koyukuk (CA)"/>
    <s v="Doyon"/>
    <s v="YU"/>
    <n v="2419536"/>
    <s v="663234N"/>
    <s v="1523852W"/>
  </r>
  <r>
    <x v="30"/>
    <x v="5"/>
    <x v="1"/>
    <x v="4"/>
    <s v="Southeast Fairbanks (CA)"/>
    <s v="Doyon"/>
    <s v="YU"/>
    <n v="1407253"/>
    <s v="625742N"/>
    <s v="1415614W"/>
  </r>
  <r>
    <x v="31"/>
    <x v="5"/>
    <x v="1"/>
    <x v="4"/>
    <s v="Southeast Fairbanks (CA)"/>
    <s v="Doyon"/>
    <s v="YU"/>
    <n v="1866965"/>
    <s v="630008N"/>
    <s v="1414638W"/>
  </r>
  <r>
    <x v="32"/>
    <x v="5"/>
    <x v="1"/>
    <x v="4"/>
    <s v="Southeast Fairbanks (CA)"/>
    <s v="Doyon"/>
    <s v="YU"/>
    <n v="1407254"/>
    <s v="625856N"/>
    <s v="1415706W"/>
  </r>
  <r>
    <x v="33"/>
    <x v="5"/>
    <x v="1"/>
    <x v="3"/>
    <s v="Skagway"/>
    <s v="Sealaska"/>
    <s v="SE"/>
    <n v="1414754"/>
    <s v="592730N"/>
    <s v="1351850W"/>
  </r>
  <r>
    <x v="34"/>
    <x v="5"/>
    <x v="1"/>
    <x v="5"/>
    <s v="Valdez-Cordova (CA)"/>
    <s v="Ahtna"/>
    <s v="YU"/>
    <n v="1409698"/>
    <s v="624225N"/>
    <s v="1435740W"/>
  </r>
  <r>
    <x v="35"/>
    <x v="5"/>
    <x v="1"/>
    <x v="4"/>
    <s v="Southeast Fairbanks (CA)"/>
    <s v="Doyon"/>
    <s v="YU"/>
    <n v="1410618"/>
    <s v="632307N"/>
    <s v="1432047W"/>
  </r>
  <r>
    <x v="36"/>
    <x v="5"/>
    <x v="1"/>
    <x v="4"/>
    <s v="Southeast Fairbanks (CA)"/>
    <s v="Dyon"/>
    <s v="YU"/>
    <n v="1410765"/>
    <s v="630806N"/>
    <s v="1423126W"/>
  </r>
  <r>
    <x v="37"/>
    <x v="5"/>
    <x v="1"/>
    <x v="3"/>
    <s v="Prince of Wales-Hyder (CA)"/>
    <s v="Sealaska"/>
    <s v="SE"/>
    <n v="1669435"/>
    <s v="554116N"/>
    <s v="1323120W"/>
  </r>
  <r>
    <x v="38"/>
    <x v="5"/>
    <x v="1"/>
    <x v="4"/>
    <s v="Southeast Fairbanks (CA)"/>
    <s v="Doyon"/>
    <s v="YU"/>
    <n v="1411046"/>
    <s v="632012N"/>
    <s v="1425908W"/>
  </r>
  <r>
    <x v="39"/>
    <x v="5"/>
    <x v="1"/>
    <x v="3"/>
    <s v="Prince of Wales-Hyder (CA)"/>
    <s v="Sealaska"/>
    <s v="SE"/>
    <n v="1744590"/>
    <s v="560655N"/>
    <s v="1330715W"/>
  </r>
  <r>
    <x v="40"/>
    <x v="6"/>
    <x v="1"/>
    <x v="1"/>
    <s v="Wade Hampton (CA)"/>
    <s v="Calista"/>
    <s v="YU"/>
    <n v="1398042"/>
    <s v="624120N"/>
    <s v="1643655W"/>
  </r>
  <r>
    <x v="41"/>
    <x v="6"/>
    <x v="1"/>
    <x v="6"/>
    <s v="Northwest Arctic"/>
    <s v="NANA"/>
    <s v="AN"/>
    <n v="1412509"/>
    <s v="670510N"/>
    <s v="1575105W"/>
  </r>
  <r>
    <x v="42"/>
    <x v="6"/>
    <x v="1"/>
    <x v="1"/>
    <s v="Wade Hampton (CA)"/>
    <s v="Calista"/>
    <s v="YU"/>
    <n v="2418771"/>
    <s v="620341N"/>
    <s v="1631648W"/>
  </r>
  <r>
    <x v="43"/>
    <x v="6"/>
    <x v="1"/>
    <x v="4"/>
    <s v="Yukon-Koyukuk (CA)"/>
    <s v="Doyon"/>
    <s v="YU"/>
    <n v="1398335"/>
    <s v="623922N"/>
    <s v="1601224W"/>
  </r>
  <r>
    <x v="44"/>
    <x v="6"/>
    <x v="1"/>
    <x v="7"/>
    <s v="Nome (CA)"/>
    <s v="Bering Straits"/>
    <s v="AN"/>
    <n v="1420670"/>
    <s v="652005N"/>
    <s v="1662921W"/>
  </r>
  <r>
    <x v="45"/>
    <x v="6"/>
    <x v="1"/>
    <x v="1"/>
    <s v="Wade Hampton (CA)"/>
    <s v="Calista"/>
    <s v="YU"/>
    <n v="1400219"/>
    <s v="613140N"/>
    <s v="1653511W"/>
  </r>
  <r>
    <x v="46"/>
    <x v="6"/>
    <x v="1"/>
    <x v="1"/>
    <s v="Bethel (CA)"/>
    <s v="Calista"/>
    <s v="SW"/>
    <n v="1401666"/>
    <s v="601308N"/>
    <s v="1620128W"/>
  </r>
  <r>
    <x v="47"/>
    <x v="6"/>
    <x v="1"/>
    <x v="8"/>
    <s v="Dillingham (CA)"/>
    <s v="Bristol Bay"/>
    <s v="SW"/>
    <n v="1401738"/>
    <s v="592059N"/>
    <s v="1572831W"/>
  </r>
  <r>
    <x v="48"/>
    <x v="6"/>
    <x v="1"/>
    <x v="7"/>
    <s v="Nome (CA)"/>
    <s v="Bering Straits"/>
    <s v="AN"/>
    <n v="1401788"/>
    <s v="643703N"/>
    <s v="1621538W"/>
  </r>
  <r>
    <x v="49"/>
    <x v="6"/>
    <x v="1"/>
    <x v="1"/>
    <s v="Wade Hampton (CA)"/>
    <s v="Calista"/>
    <s v="YU"/>
    <n v="1401837"/>
    <s v="624640N"/>
    <s v="1643123W"/>
  </r>
  <r>
    <x v="50"/>
    <x v="6"/>
    <x v="1"/>
    <x v="7"/>
    <s v="Nome (CA)"/>
    <s v="Bering Straits"/>
    <s v="AN"/>
    <n v="1402463"/>
    <s v="634647N"/>
    <s v="1714428W"/>
  </r>
  <r>
    <x v="51"/>
    <x v="6"/>
    <x v="1"/>
    <x v="1"/>
    <s v="Bethel (CA)"/>
    <s v="Calista"/>
    <s v="SW"/>
    <n v="1415910"/>
    <s v="590708N"/>
    <s v="1613515W"/>
  </r>
  <r>
    <x v="52"/>
    <x v="6"/>
    <x v="1"/>
    <x v="4"/>
    <s v="Yukon-Koyukuk (CA)"/>
    <s v="Doyon"/>
    <s v="YU"/>
    <n v="1402921"/>
    <s v="625413N"/>
    <s v="1600353W"/>
  </r>
  <r>
    <x v="53"/>
    <x v="6"/>
    <x v="1"/>
    <x v="4"/>
    <s v="Yukon-Koyukuk (CA)"/>
    <s v="Doyon"/>
    <s v="YU"/>
    <n v="1403447"/>
    <s v="621158N"/>
    <s v="1594617W"/>
  </r>
  <r>
    <x v="54"/>
    <x v="6"/>
    <x v="1"/>
    <x v="1"/>
    <s v="Wade Hampton (CA)"/>
    <s v="Calista"/>
    <s v="YU"/>
    <n v="1403493"/>
    <s v="613152N"/>
    <s v="1660548W"/>
  </r>
  <r>
    <x v="55"/>
    <x v="6"/>
    <x v="1"/>
    <x v="4"/>
    <s v="Yukon-Koyukuk (CA)"/>
    <s v="Doyon"/>
    <s v="YU"/>
    <n v="1403644"/>
    <s v="654155N"/>
    <s v="1562359W"/>
  </r>
  <r>
    <x v="56"/>
    <x v="6"/>
    <x v="1"/>
    <x v="1"/>
    <s v="Bethel (CA)"/>
    <s v="Calista"/>
    <s v="SW"/>
    <n v="1404378"/>
    <s v="613214N"/>
    <s v="1601819W"/>
  </r>
  <r>
    <x v="57"/>
    <x v="6"/>
    <x v="1"/>
    <x v="4"/>
    <s v="Yukon-Koyukuk (CA)"/>
    <s v="Doyon"/>
    <s v="YU"/>
    <n v="1404379"/>
    <s v="641938N"/>
    <s v="1584319W"/>
  </r>
  <r>
    <x v="58"/>
    <x v="6"/>
    <x v="1"/>
    <x v="1"/>
    <s v="Bethel (CA)"/>
    <s v="Calista"/>
    <s v="SW"/>
    <n v="1404483"/>
    <s v="605344N"/>
    <s v="1623105W"/>
  </r>
  <r>
    <x v="59"/>
    <x v="6"/>
    <x v="1"/>
    <x v="6"/>
    <s v="Northwest Arctic"/>
    <s v="NANA"/>
    <s v="AN"/>
    <n v="1413311"/>
    <s v="665830N"/>
    <s v="1602522W"/>
  </r>
  <r>
    <x v="60"/>
    <x v="6"/>
    <x v="1"/>
    <x v="6"/>
    <s v="Northwest Arctic"/>
    <s v="NANA"/>
    <s v="AN"/>
    <n v="1413348"/>
    <s v="674337N"/>
    <s v="1643200W"/>
  </r>
  <r>
    <x v="61"/>
    <x v="6"/>
    <x v="1"/>
    <x v="1"/>
    <s v="Wade Hampton (CA)"/>
    <s v="Calista"/>
    <s v="YU"/>
    <n v="1404964"/>
    <s v="630203N"/>
    <s v="1633312W"/>
  </r>
  <r>
    <x v="62"/>
    <x v="6"/>
    <x v="1"/>
    <x v="7"/>
    <s v="Nome (CA)"/>
    <s v="Bering Straits"/>
    <s v="AN"/>
    <n v="1404981"/>
    <s v="645555N"/>
    <s v="1610925W"/>
  </r>
  <r>
    <x v="63"/>
    <x v="6"/>
    <x v="1"/>
    <x v="1"/>
    <s v="Bethel (CA)"/>
    <s v="Calista"/>
    <s v="SW"/>
    <n v="1405763"/>
    <s v="613044N"/>
    <s v="1602129W"/>
  </r>
  <r>
    <x v="64"/>
    <x v="6"/>
    <x v="1"/>
    <x v="1"/>
    <s v="Wade Hampton (CA)"/>
    <s v="Calista"/>
    <s v="YU"/>
    <n v="1405984"/>
    <s v="615240N"/>
    <s v="1620452W"/>
  </r>
  <r>
    <x v="65"/>
    <x v="6"/>
    <x v="1"/>
    <x v="1"/>
    <s v="Bethel (CA)"/>
    <s v="Calista"/>
    <s v="SW"/>
    <n v="1406211"/>
    <s v="602317N"/>
    <s v="1661106W"/>
  </r>
  <r>
    <x v="66"/>
    <x v="6"/>
    <x v="1"/>
    <x v="4"/>
    <s v="Yukon-Koyukuk (CA)"/>
    <s v="Doyon"/>
    <s v="YU"/>
    <n v="1406419"/>
    <s v="650901N"/>
    <s v="1492059W"/>
  </r>
  <r>
    <x v="67"/>
    <x v="6"/>
    <x v="1"/>
    <x v="1"/>
    <s v="Wade Hampton (CA)"/>
    <s v="Calista"/>
    <s v="YU"/>
    <n v="1406655"/>
    <s v="620508N"/>
    <s v="1634346W"/>
  </r>
  <r>
    <x v="68"/>
    <x v="6"/>
    <x v="1"/>
    <x v="8"/>
    <s v="Dillingham (CA)"/>
    <s v="Bristol Bay"/>
    <s v="SW"/>
    <n v="1406972"/>
    <s v="592710N"/>
    <s v="1571843W"/>
  </r>
  <r>
    <x v="69"/>
    <x v="6"/>
    <x v="1"/>
    <x v="1"/>
    <s v="Bethel (CA)"/>
    <s v="Calista"/>
    <s v="SW"/>
    <n v="1407008"/>
    <s v="602846N"/>
    <s v="1644326W"/>
  </r>
  <r>
    <x v="70"/>
    <x v="6"/>
    <x v="1"/>
    <x v="6"/>
    <s v="Northwest Arctic"/>
    <s v="NANA"/>
    <s v="AN"/>
    <n v="1413638"/>
    <s v="673416N"/>
    <s v="1625755W"/>
  </r>
  <r>
    <x v="71"/>
    <x v="6"/>
    <x v="1"/>
    <x v="6"/>
    <s v="Northwest Arctic"/>
    <s v="NANA"/>
    <s v="AN"/>
    <n v="1413646"/>
    <s v="665018N"/>
    <s v="1610158W"/>
  </r>
  <r>
    <x v="72"/>
    <x v="6"/>
    <x v="1"/>
    <x v="4"/>
    <s v="Yukon-Koyukuk (CA)"/>
    <s v="Doyon"/>
    <s v="YU"/>
    <n v="1407321"/>
    <s v="644310N"/>
    <s v="1580611W"/>
  </r>
  <r>
    <x v="73"/>
    <x v="6"/>
    <x v="1"/>
    <x v="1"/>
    <s v="Bethel (CA)"/>
    <s v="Calista"/>
    <s v="SW"/>
    <n v="1407339"/>
    <s v="605349N"/>
    <s v="1622734W"/>
  </r>
  <r>
    <x v="74"/>
    <x v="6"/>
    <x v="1"/>
    <x v="0"/>
    <s v="Kodiak Island"/>
    <s v="Koniag"/>
    <s v="SC"/>
    <n v="1407483"/>
    <s v="571210N"/>
    <s v="1531814W"/>
  </r>
  <r>
    <x v="75"/>
    <x v="6"/>
    <x v="1"/>
    <x v="1"/>
    <s v="Wade Hampton (CA)"/>
    <s v="Calista"/>
    <s v="YU"/>
    <n v="1407993"/>
    <s v="615620N"/>
    <s v="1625230W"/>
  </r>
  <r>
    <x v="76"/>
    <x v="6"/>
    <x v="1"/>
    <x v="1"/>
    <s v="Wade Hampton (CA)"/>
    <s v="Calista"/>
    <s v="YU"/>
    <n v="1408054"/>
    <s v="620158N"/>
    <s v="1631716W"/>
  </r>
  <r>
    <x v="77"/>
    <x v="6"/>
    <x v="1"/>
    <x v="1"/>
    <s v="Bethel (CA)"/>
    <s v="Calista"/>
    <s v="SW"/>
    <n v="1408462"/>
    <s v="594456N"/>
    <s v="1615457W"/>
  </r>
  <r>
    <x v="78"/>
    <x v="6"/>
    <x v="1"/>
    <x v="1"/>
    <s v="Wade Hampton (CA)"/>
    <s v="Calista"/>
    <s v="YU"/>
    <n v="1408925"/>
    <s v="614706N"/>
    <s v="1611913W"/>
  </r>
  <r>
    <x v="79"/>
    <x v="6"/>
    <x v="1"/>
    <x v="1"/>
    <s v="Wade Hampton (CA)"/>
    <s v="Calista"/>
    <s v="YU"/>
    <n v="1398261"/>
    <s v="620311N"/>
    <s v="1630957W"/>
  </r>
  <r>
    <x v="80"/>
    <x v="6"/>
    <x v="1"/>
    <x v="7"/>
    <s v="Nome (CA)"/>
    <s v="Bering Straits"/>
    <s v="AN"/>
    <n v="1408977"/>
    <s v="632841N"/>
    <s v="1620221W"/>
  </r>
  <r>
    <x v="81"/>
    <x v="6"/>
    <x v="1"/>
    <x v="7"/>
    <s v="Nome (CA)"/>
    <s v="Bering Straits"/>
    <s v="AN"/>
    <n v="1409106"/>
    <s v="634139N"/>
    <s v="1702844W"/>
  </r>
  <r>
    <x v="82"/>
    <x v="6"/>
    <x v="1"/>
    <x v="1"/>
    <s v="Wade Hampton (CA)"/>
    <s v="Calista"/>
    <s v="YU"/>
    <n v="1409133"/>
    <s v="615034N"/>
    <s v="1653454W"/>
  </r>
  <r>
    <x v="83"/>
    <x v="6"/>
    <x v="1"/>
    <x v="6"/>
    <s v="Northwest Arctic"/>
    <s v="NANA"/>
    <s v="AN"/>
    <n v="1413930"/>
    <s v="663614N"/>
    <s v="1600025W"/>
  </r>
  <r>
    <x v="84"/>
    <x v="6"/>
    <x v="1"/>
    <x v="4"/>
    <s v="Yukon-Koyukuk (CA)"/>
    <s v="Doyon"/>
    <s v="YU"/>
    <n v="1409306"/>
    <s v="624056N"/>
    <s v="1593343W"/>
  </r>
  <r>
    <x v="85"/>
    <x v="6"/>
    <x v="1"/>
    <x v="7"/>
    <s v="Nome (CA)"/>
    <s v="Bering Straits"/>
    <s v="AN"/>
    <n v="1669434"/>
    <s v="642002N"/>
    <s v="1610914W"/>
  </r>
  <r>
    <x v="86"/>
    <x v="6"/>
    <x v="1"/>
    <x v="7"/>
    <s v="Nome (CA)"/>
    <s v="Bering Straits"/>
    <s v="AN"/>
    <n v="1409434"/>
    <s v="661524N"/>
    <s v="1660419W"/>
  </r>
  <r>
    <x v="87"/>
    <x v="6"/>
    <x v="1"/>
    <x v="6"/>
    <s v="Northwest Arctic"/>
    <s v="NANA"/>
    <s v="AN"/>
    <n v="1413983"/>
    <s v="665317N"/>
    <s v="1570811W"/>
  </r>
  <r>
    <x v="88"/>
    <x v="6"/>
    <x v="1"/>
    <x v="7"/>
    <s v="Nome (CA)"/>
    <s v="Bering Straits"/>
    <s v="AN"/>
    <n v="1410158"/>
    <s v="633120N"/>
    <s v="1621717W"/>
  </r>
  <r>
    <x v="89"/>
    <x v="6"/>
    <x v="1"/>
    <x v="7"/>
    <s v="Nome (CA)"/>
    <s v="Bering Straits"/>
    <s v="AN"/>
    <n v="1410730"/>
    <s v="651549N"/>
    <s v="1662139W"/>
  </r>
  <r>
    <x v="90"/>
    <x v="6"/>
    <x v="1"/>
    <x v="8"/>
    <s v="Dillingham (CA)"/>
    <s v="Bristol Bay"/>
    <s v="SW"/>
    <n v="1411039"/>
    <s v="590343N"/>
    <s v="1602235W"/>
  </r>
  <r>
    <x v="91"/>
    <x v="6"/>
    <x v="1"/>
    <x v="1"/>
    <s v="Bethel (CA)"/>
    <s v="Calista"/>
    <s v="SW"/>
    <n v="1411060"/>
    <s v="603202N"/>
    <s v="1650613W"/>
  </r>
  <r>
    <x v="92"/>
    <x v="6"/>
    <x v="1"/>
    <x v="1"/>
    <s v="Bethel (CA)"/>
    <s v="Calista"/>
    <s v="SW"/>
    <n v="1410644"/>
    <s v="603508N"/>
    <s v="1651521W"/>
  </r>
  <r>
    <x v="93"/>
    <x v="6"/>
    <x v="1"/>
    <x v="7"/>
    <s v="Nome (CA)"/>
    <s v="Bering Straits"/>
    <s v="AN"/>
    <n v="1404755"/>
    <s v="653633N"/>
    <s v="1680515W"/>
  </r>
  <r>
    <x v="94"/>
    <x v="7"/>
    <x v="1"/>
    <x v="0"/>
    <s v="Kodiak Island"/>
    <s v="Koniag"/>
    <s v="SC"/>
    <n v="1404456"/>
    <s v="573419N"/>
    <s v="1542720W"/>
  </r>
  <r>
    <x v="95"/>
    <x v="8"/>
    <x v="2"/>
    <x v="9"/>
    <s v="Anchorage"/>
    <s v="Cook Inlet"/>
    <s v="SC"/>
    <n v="1398242"/>
    <s v="611305N"/>
    <s v="1495401W"/>
  </r>
  <r>
    <x v="96"/>
    <x v="9"/>
    <x v="1"/>
    <x v="1"/>
    <s v="Bethel (CA)"/>
    <s v="Calista"/>
    <s v="SW"/>
    <n v="1398286"/>
    <s v="613442N"/>
    <s v="1593120W"/>
  </r>
  <r>
    <x v="97"/>
    <x v="10"/>
    <x v="0"/>
    <x v="4"/>
    <s v="Yukon-Koyukuk (CA)"/>
    <s v="Doyon"/>
    <s v="YU"/>
    <n v="1398382"/>
    <s v="680737N"/>
    <s v="1453216W"/>
  </r>
  <r>
    <x v="98"/>
    <x v="11"/>
    <x v="1"/>
    <x v="2"/>
    <s v="Aleutians West (CA)"/>
    <s v="Aleut"/>
    <s v="SW"/>
    <n v="1418170"/>
    <s v="521146N"/>
    <s v="1741202W"/>
  </r>
  <r>
    <x v="99"/>
    <x v="12"/>
    <x v="1"/>
    <x v="1"/>
    <s v="Bethel (CA)"/>
    <s v="Calista"/>
    <s v="SW"/>
    <n v="1699811"/>
    <s v="605201N"/>
    <s v="1621623W"/>
  </r>
  <r>
    <x v="100"/>
    <x v="13"/>
    <x v="2"/>
    <x v="10"/>
    <s v="North Slope"/>
    <s v="Arctic Slope"/>
    <s v="AN"/>
    <n v="1398635"/>
    <s v="711726N"/>
    <s v="1564719W"/>
  </r>
  <r>
    <x v="101"/>
    <x v="14"/>
    <x v="1"/>
    <x v="4"/>
    <s v="Yukon-Koyukuk (CA)"/>
    <s v="Doyon"/>
    <s v="YU"/>
    <n v="1398776"/>
    <s v="662134N"/>
    <s v="1472347W"/>
  </r>
  <r>
    <x v="102"/>
    <x v="15"/>
    <x v="1"/>
    <x v="1"/>
    <s v="Bethel (CA)"/>
    <s v="Calista"/>
    <s v="SW"/>
    <n v="1398908"/>
    <s v="604732N"/>
    <s v="1614521W"/>
  </r>
  <r>
    <x v="103"/>
    <x v="15"/>
    <x v="1"/>
    <x v="1"/>
    <s v="Bethel (CA)"/>
    <s v="Calista"/>
    <s v="SW"/>
    <n v="1407624"/>
    <s v="604322N"/>
    <s v="1614612W"/>
  </r>
  <r>
    <x v="104"/>
    <x v="16"/>
    <x v="0"/>
    <x v="4"/>
    <s v="Yukon-Koyukuk (CA)"/>
    <s v="Doyon"/>
    <s v="YU"/>
    <n v="1399049"/>
    <s v="661533N"/>
    <s v="1454908W"/>
  </r>
  <r>
    <x v="105"/>
    <x v="17"/>
    <x v="1"/>
    <x v="6"/>
    <s v="Northwest Arctic"/>
    <s v="NANA"/>
    <s v="AN"/>
    <n v="1412684"/>
    <s v="655847N"/>
    <s v="1610723W"/>
  </r>
  <r>
    <x v="106"/>
    <x v="18"/>
    <x v="1"/>
    <x v="4"/>
    <s v="Yukon-Koyukuk (CA)"/>
    <s v="Doyon"/>
    <s v="YU"/>
    <n v="1400128"/>
    <s v="663916N"/>
    <s v="1434320W"/>
  </r>
  <r>
    <x v="107"/>
    <x v="19"/>
    <x v="1"/>
    <x v="5"/>
    <s v="Valdez-Cordova (CA)"/>
    <s v="Chugach"/>
    <s v="SC"/>
    <n v="1421254"/>
    <s v="600348N"/>
    <s v="1480041W"/>
  </r>
  <r>
    <x v="108"/>
    <x v="20"/>
    <x v="1"/>
    <x v="8"/>
    <s v="Lake and Peninsula"/>
    <s v="Bristol Bay"/>
    <s v="SW"/>
    <n v="1400274"/>
    <s v="561830N"/>
    <s v="1583149W"/>
  </r>
  <r>
    <x v="109"/>
    <x v="21"/>
    <x v="1"/>
    <x v="8"/>
    <s v="Lake and Peninsula"/>
    <s v="Bristol Bay"/>
    <s v="SW"/>
    <n v="1893911"/>
    <s v="561520N"/>
    <s v="1584545W"/>
  </r>
  <r>
    <x v="110"/>
    <x v="22"/>
    <x v="1"/>
    <x v="8"/>
    <s v="Lake and Peninsula"/>
    <s v="Bristol Bay"/>
    <s v="SW"/>
    <n v="1400269"/>
    <s v="561743N"/>
    <s v="1582408W"/>
  </r>
  <r>
    <x v="111"/>
    <x v="23"/>
    <x v="1"/>
    <x v="5"/>
    <s v="Valdez-Cordova (CA)"/>
    <s v="Ahtna"/>
    <s v="SC"/>
    <n v="1400337"/>
    <s v="613057N"/>
    <s v="1442613W"/>
  </r>
  <r>
    <x v="112"/>
    <x v="24"/>
    <x v="2"/>
    <x v="9"/>
    <s v="Kenai Peninsula"/>
    <s v="Cook Inlet"/>
    <s v="SC"/>
    <n v="1865548"/>
    <s v="610828N"/>
    <s v="1510458W"/>
  </r>
  <r>
    <x v="113"/>
    <x v="24"/>
    <x v="2"/>
    <x v="9"/>
    <s v="Kenai Peninsula"/>
    <s v="Cook Inlet"/>
    <s v="SC"/>
    <n v="1421192"/>
    <s v="602924N"/>
    <s v="1495003W"/>
  </r>
  <r>
    <x v="114"/>
    <x v="24"/>
    <x v="2"/>
    <x v="9"/>
    <s v="Anchorage"/>
    <s v="Cook Inlet"/>
    <s v="SC"/>
    <n v="1422161"/>
    <s v="605633N"/>
    <s v="1490959W"/>
  </r>
  <r>
    <x v="115"/>
    <x v="24"/>
    <x v="2"/>
    <x v="9"/>
    <s v="Kenai Peninsula"/>
    <s v="Cook Inlet"/>
    <s v="SC"/>
    <n v="1422645"/>
    <s v="605513N"/>
    <s v="1493825W"/>
  </r>
  <r>
    <x v="116"/>
    <x v="24"/>
    <x v="2"/>
    <x v="9"/>
    <s v="Kenai Peninsula"/>
    <s v="Cook Inlet"/>
    <s v="SC"/>
    <n v="1417076"/>
    <s v="602915N"/>
    <s v="1492208W"/>
  </r>
  <r>
    <x v="117"/>
    <x v="24"/>
    <x v="2"/>
    <x v="9"/>
    <s v="Kenai Peninsula"/>
    <s v="Cook Inlet"/>
    <s v="SC"/>
    <n v="2582716"/>
    <s v="605523N"/>
    <s v="1504118W"/>
  </r>
  <r>
    <x v="118"/>
    <x v="24"/>
    <x v="2"/>
    <x v="9"/>
    <s v="Kenai Peninsula"/>
    <s v="Cook Inlet"/>
    <s v="SC"/>
    <n v="1415091"/>
    <s v="605323N"/>
    <s v="1492516W"/>
  </r>
  <r>
    <x v="119"/>
    <x v="24"/>
    <x v="2"/>
    <x v="9"/>
    <s v="Kenai Peninsula"/>
    <s v="Cook Inlet"/>
    <s v="SC"/>
    <n v="1414206"/>
    <s v="610405N"/>
    <s v="1510813W"/>
  </r>
  <r>
    <x v="120"/>
    <x v="24"/>
    <x v="2"/>
    <x v="9"/>
    <s v="Valdez-Cordova (CA)"/>
    <s v="Cook Inlet"/>
    <s v="SC"/>
    <n v="1415757"/>
    <s v="604623N"/>
    <s v="1484102W"/>
  </r>
  <r>
    <x v="121"/>
    <x v="25"/>
    <x v="1"/>
    <x v="4"/>
    <s v="Yukon-Koyukuk (CA)"/>
    <s v="Doyon"/>
    <s v="YU"/>
    <n v="1400404"/>
    <s v="654932N"/>
    <s v="1440338W"/>
  </r>
  <r>
    <x v="122"/>
    <x v="26"/>
    <x v="0"/>
    <x v="8"/>
    <s v="Dillingham (CA)"/>
    <s v="Bristol Bay"/>
    <s v="YU"/>
    <n v="1400426"/>
    <s v="585039N"/>
    <s v="1583303W"/>
  </r>
  <r>
    <x v="123"/>
    <x v="27"/>
    <x v="2"/>
    <x v="5"/>
    <s v="Valdez-Cordova (CA)"/>
    <s v="Chugach"/>
    <s v="SC"/>
    <n v="1400669"/>
    <s v="615837N"/>
    <s v="1451947W"/>
  </r>
  <r>
    <x v="124"/>
    <x v="27"/>
    <x v="2"/>
    <x v="5"/>
    <s v="Valdez-Cordova (CA)"/>
    <s v="Chugach"/>
    <s v="SC"/>
    <n v="1866937"/>
    <s v="620238N"/>
    <s v="1452514W"/>
  </r>
  <r>
    <x v="125"/>
    <x v="27"/>
    <x v="2"/>
    <x v="5"/>
    <s v="Valdez-Cordova (CA)"/>
    <s v="Chugach"/>
    <s v="SC"/>
    <n v="1402448"/>
    <s v="621807N"/>
    <s v="1451807W"/>
  </r>
  <r>
    <x v="126"/>
    <x v="27"/>
    <x v="2"/>
    <x v="5"/>
    <s v="Valdez-Cordova (CA)"/>
    <s v="Chugach"/>
    <s v="SC"/>
    <n v="1402643"/>
    <s v="620633N"/>
    <s v="1453247W"/>
  </r>
  <r>
    <x v="127"/>
    <x v="27"/>
    <x v="2"/>
    <x v="5"/>
    <s v="Valdez-Cordova (CA)"/>
    <s v="Chugach"/>
    <s v="SC"/>
    <n v="1403046"/>
    <s v="621617N"/>
    <s v="1452256W"/>
  </r>
  <r>
    <x v="128"/>
    <x v="27"/>
    <x v="2"/>
    <x v="5"/>
    <s v="Valdez-Cordova (CA)"/>
    <s v="Chugach"/>
    <s v="SC"/>
    <n v="1866955"/>
    <s v="614309N"/>
    <s v="1445654W"/>
  </r>
  <r>
    <x v="129"/>
    <x v="27"/>
    <x v="2"/>
    <x v="5"/>
    <s v="Valdez-Cordova (CA)"/>
    <s v="Chugach"/>
    <s v="SC"/>
    <n v="1866962"/>
    <s v="620358N"/>
    <s v="1462700W"/>
  </r>
  <r>
    <x v="130"/>
    <x v="27"/>
    <x v="2"/>
    <x v="5"/>
    <s v="Valdez-Cordova (CA)"/>
    <s v="Chugach"/>
    <s v="SC"/>
    <n v="1406770"/>
    <s v="622219N"/>
    <s v="1430031W"/>
  </r>
  <r>
    <x v="131"/>
    <x v="27"/>
    <x v="2"/>
    <x v="5"/>
    <s v="Valdez-Cordova (CA)"/>
    <s v="Chugach"/>
    <s v="SC"/>
    <n v="1865559"/>
    <s v="615931N"/>
    <s v="1464607W"/>
  </r>
  <r>
    <x v="132"/>
    <x v="27"/>
    <x v="2"/>
    <x v="5"/>
    <s v="Valdez-Cordova (CA)"/>
    <s v="Chugach"/>
    <s v="SC"/>
    <n v="2419219"/>
    <s v="620108N"/>
    <s v="1452118W"/>
  </r>
  <r>
    <x v="133"/>
    <x v="27"/>
    <x v="2"/>
    <x v="5"/>
    <s v="Valdez-Cordova (CA)"/>
    <s v="Chugach"/>
    <s v="SC"/>
    <n v="1410694"/>
    <s v="620332N"/>
    <s v="1452542W"/>
  </r>
  <r>
    <x v="134"/>
    <x v="27"/>
    <x v="2"/>
    <x v="5"/>
    <s v="Valdez-Cordova (CA)"/>
    <s v="Chugach"/>
    <s v="SC"/>
    <n v="1865569"/>
    <s v="620502N"/>
    <s v="1460413W"/>
  </r>
  <r>
    <x v="135"/>
    <x v="27"/>
    <x v="2"/>
    <x v="5"/>
    <s v="Valdez-Cordova (CA)"/>
    <s v="Chugach"/>
    <s v="SC"/>
    <n v="1411105"/>
    <s v="613921N"/>
    <s v="1451031W"/>
  </r>
  <r>
    <x v="136"/>
    <x v="27"/>
    <x v="2"/>
    <x v="5"/>
    <s v="Valdez-Cordova (CA)"/>
    <s v="Chugach"/>
    <s v="SC"/>
    <n v="1412465"/>
    <s v="610751N"/>
    <s v="1462054W"/>
  </r>
  <r>
    <x v="137"/>
    <x v="27"/>
    <x v="2"/>
    <x v="5"/>
    <s v="Valdez-Cordova (CA)"/>
    <s v="Chugach"/>
    <s v="SC"/>
    <n v="1412074"/>
    <s v="614911N"/>
    <s v="1451244W"/>
  </r>
  <r>
    <x v="138"/>
    <x v="28"/>
    <x v="1"/>
    <x v="5"/>
    <s v="Valdez-Cordova (CA)"/>
    <s v="Chugach"/>
    <s v="SC"/>
    <n v="1421215"/>
    <s v="603234N"/>
    <s v="1454527W"/>
  </r>
  <r>
    <x v="139"/>
    <x v="28"/>
    <x v="1"/>
    <x v="5"/>
    <s v="Valdez-Cordova (CA)"/>
    <s v="Chugach"/>
    <s v="SC"/>
    <n v="1805281"/>
    <s v="603135N"/>
    <s v="1453806W"/>
  </r>
  <r>
    <x v="140"/>
    <x v="29"/>
    <x v="1"/>
    <x v="7"/>
    <s v="Nome (CA)"/>
    <s v="Bering Straits"/>
    <s v="AN"/>
    <n v="1401213"/>
    <s v="654529N"/>
    <s v="1685707W"/>
  </r>
  <r>
    <x v="141"/>
    <x v="30"/>
    <x v="1"/>
    <x v="8"/>
    <s v="Lake and Peninsula"/>
    <s v="Bristol Bay"/>
    <s v="SW"/>
    <n v="1401686"/>
    <s v="581256N"/>
    <s v="1572233W"/>
  </r>
  <r>
    <x v="142"/>
    <x v="31"/>
    <x v="1"/>
    <x v="3"/>
    <s v="Hoonah-Angoon (CA)"/>
    <s v="Sealaska"/>
    <s v="SE"/>
    <n v="1401787"/>
    <s v="581140N"/>
    <s v="1362036W"/>
  </r>
  <r>
    <x v="143"/>
    <x v="32"/>
    <x v="1"/>
    <x v="2"/>
    <s v="Aleutians East"/>
    <s v="Aleut"/>
    <s v="SW"/>
    <n v="1418574"/>
    <s v="545103N"/>
    <s v="1632454W"/>
  </r>
  <r>
    <x v="144"/>
    <x v="33"/>
    <x v="1"/>
    <x v="2"/>
    <s v="Aleutians East"/>
    <s v="Aleut"/>
    <s v="SW"/>
    <n v="1418448"/>
    <s v="551109N"/>
    <s v="1624316W"/>
  </r>
  <r>
    <x v="145"/>
    <x v="34"/>
    <x v="1"/>
    <x v="4"/>
    <s v="Yukon-Koyukuk (CA)"/>
    <s v="Doyon"/>
    <s v="YU"/>
    <n v="1402457"/>
    <s v="644400N"/>
    <s v="1565539W"/>
  </r>
  <r>
    <x v="146"/>
    <x v="35"/>
    <x v="1"/>
    <x v="4"/>
    <s v="Yukon-Koyukuk (CA)"/>
    <s v="Doyon"/>
    <s v="YU"/>
    <n v="1400106"/>
    <s v="653421N"/>
    <s v="1444811W"/>
  </r>
  <r>
    <x v="147"/>
    <x v="36"/>
    <x v="2"/>
    <x v="9"/>
    <s v="Denali"/>
    <s v="Doyon"/>
    <s v="YU"/>
    <n v="1398245"/>
    <s v="642039N"/>
    <s v="1491113W"/>
  </r>
  <r>
    <x v="148"/>
    <x v="36"/>
    <x v="2"/>
    <x v="9"/>
    <s v="Fairbanks North Star"/>
    <s v="Doyon"/>
    <s v="YU"/>
    <n v="1893447"/>
    <s v="644800N"/>
    <s v="1473200W"/>
  </r>
  <r>
    <x v="149"/>
    <x v="36"/>
    <x v="2"/>
    <x v="9"/>
    <s v="Southeast Fairbanks (CA)"/>
    <s v="Doyon"/>
    <s v="YU"/>
    <n v="1398949"/>
    <s v="640909N"/>
    <s v="1455032W"/>
  </r>
  <r>
    <x v="150"/>
    <x v="36"/>
    <x v="2"/>
    <x v="9"/>
    <s v="Denali"/>
    <s v="Doyon"/>
    <s v="YU"/>
    <n v="1399788"/>
    <s v="632330N"/>
    <s v="1485703W"/>
  </r>
  <r>
    <x v="151"/>
    <x v="36"/>
    <x v="2"/>
    <x v="9"/>
    <s v="Fairbanks North Star"/>
    <s v="Doyon"/>
    <s v="YU"/>
    <n v="2582710"/>
    <s v="644739N"/>
    <s v="1480209W"/>
  </r>
  <r>
    <x v="152"/>
    <x v="36"/>
    <x v="2"/>
    <x v="9"/>
    <s v="Fairbanks North Star"/>
    <s v="Doyon"/>
    <s v="SC"/>
    <n v="1400578"/>
    <s v="645125N"/>
    <s v="1474810W"/>
  </r>
  <r>
    <x v="153"/>
    <x v="36"/>
    <x v="2"/>
    <x v="9"/>
    <s v="Southeast Fairbanks (CA)"/>
    <s v="Doyon"/>
    <s v="SC"/>
    <n v="1401104"/>
    <s v="640216N"/>
    <s v="1454356W"/>
  </r>
  <r>
    <x v="154"/>
    <x v="36"/>
    <x v="2"/>
    <x v="9"/>
    <s v="Southeast Fairbanks (CA)"/>
    <s v="Doyon"/>
    <s v="YU"/>
    <n v="2418552"/>
    <s v="635218N"/>
    <s v="1451253W"/>
  </r>
  <r>
    <x v="155"/>
    <x v="36"/>
    <x v="2"/>
    <x v="9"/>
    <s v="Fairbanks North Star"/>
    <s v="Doyon"/>
    <s v="SC"/>
    <n v="1397658"/>
    <s v="645050N"/>
    <s v="1480052W"/>
  </r>
  <r>
    <x v="156"/>
    <x v="36"/>
    <x v="2"/>
    <x v="9"/>
    <s v="Fairbanks North Star"/>
    <s v="Doyon"/>
    <s v="YU"/>
    <n v="2582712"/>
    <s v="645422N"/>
    <s v="1474143W"/>
  </r>
  <r>
    <x v="157"/>
    <x v="36"/>
    <x v="2"/>
    <x v="9"/>
    <s v="Yukon-Koyukuk (CA)"/>
    <s v="Doyon"/>
    <s v="YU"/>
    <n v="2418586"/>
    <s v="643617N"/>
    <s v="1490721W"/>
  </r>
  <r>
    <x v="158"/>
    <x v="36"/>
    <x v="2"/>
    <x v="9"/>
    <s v="Fairbanks North Star"/>
    <s v="Doyon"/>
    <s v="SC"/>
    <n v="1402342"/>
    <s v="645729N"/>
    <s v="1473706W"/>
  </r>
  <r>
    <x v="159"/>
    <x v="36"/>
    <x v="2"/>
    <x v="9"/>
    <s v="Fairbanks North Star"/>
    <s v="Doyon"/>
    <s v="YU"/>
    <n v="2582713"/>
    <s v="645602N"/>
    <s v="1480030W"/>
  </r>
  <r>
    <x v="160"/>
    <x v="36"/>
    <x v="2"/>
    <x v="9"/>
    <s v="Fairbanks North Star"/>
    <s v="Doyon"/>
    <s v="SC"/>
    <n v="1866950"/>
    <s v="642517N"/>
    <s v="1464856W"/>
  </r>
  <r>
    <x v="161"/>
    <x v="36"/>
    <x v="2"/>
    <x v="9"/>
    <s v="Denali"/>
    <s v="Doyon"/>
    <s v="YU"/>
    <n v="1403275"/>
    <s v="635125N"/>
    <s v="1485758W"/>
  </r>
  <r>
    <x v="162"/>
    <x v="36"/>
    <x v="2"/>
    <x v="9"/>
    <s v="Denali"/>
    <s v="Doyon"/>
    <s v="SC"/>
    <n v="1423625"/>
    <s v="634358N"/>
    <s v="1485451W"/>
  </r>
  <r>
    <x v="163"/>
    <x v="36"/>
    <x v="2"/>
    <x v="9"/>
    <s v="Fairbanks North Star"/>
    <s v="Doyon"/>
    <s v="SC"/>
    <n v="1406548"/>
    <s v="644236N"/>
    <s v="1470837W"/>
  </r>
  <r>
    <x v="164"/>
    <x v="36"/>
    <x v="2"/>
    <x v="9"/>
    <s v="Yukon-Koyukuk (CA)"/>
    <s v="Doyon"/>
    <s v="SC"/>
    <n v="1406940"/>
    <s v="643350N"/>
    <s v="1490535W"/>
  </r>
  <r>
    <x v="165"/>
    <x v="36"/>
    <x v="2"/>
    <x v="9"/>
    <s v="Fairbanks North Star"/>
    <s v="Doyon"/>
    <s v="YU"/>
    <n v="1407230"/>
    <s v="644504N"/>
    <s v="1472058W"/>
  </r>
  <r>
    <x v="166"/>
    <x v="36"/>
    <x v="2"/>
    <x v="9"/>
    <s v="Fairbanks North Star"/>
    <s v="Doyon"/>
    <s v="SC"/>
    <n v="1866967"/>
    <s v="645253N"/>
    <s v="1465207W"/>
  </r>
  <r>
    <x v="167"/>
    <x v="36"/>
    <x v="2"/>
    <x v="9"/>
    <s v="Fairbanks North Star"/>
    <s v="Doyon"/>
    <s v="YU"/>
    <n v="2419205"/>
    <s v="643135N"/>
    <s v="1465410W"/>
  </r>
  <r>
    <x v="168"/>
    <x v="36"/>
    <x v="2"/>
    <x v="9"/>
    <s v="Fairbanks North Star"/>
    <s v="Doyon"/>
    <s v="YU"/>
    <n v="2582717"/>
    <s v="644833N"/>
    <s v="1474708W"/>
  </r>
  <r>
    <x v="169"/>
    <x v="36"/>
    <x v="2"/>
    <x v="9"/>
    <s v="Fairbanks North Star"/>
    <s v="Doyon"/>
    <s v="YU"/>
    <n v="2582718"/>
    <s v="645546N"/>
    <s v="1472343W"/>
  </r>
  <r>
    <x v="170"/>
    <x v="36"/>
    <x v="2"/>
    <x v="9"/>
    <s v="Fairbanks North Star"/>
    <s v="Doyon"/>
    <s v="SC"/>
    <n v="1397685"/>
    <s v="645220N"/>
    <s v="1470218W"/>
  </r>
  <r>
    <x v="171"/>
    <x v="36"/>
    <x v="2"/>
    <x v="9"/>
    <s v="Southeast Fairbanks (CA)"/>
    <s v="Doyon"/>
    <s v="SC"/>
    <n v="1866976"/>
    <s v="580416N"/>
    <s v="1352547W"/>
  </r>
  <r>
    <x v="172"/>
    <x v="37"/>
    <x v="2"/>
    <x v="9"/>
    <s v="Fairbanks North Star"/>
    <s v="Doyon"/>
    <s v="YU"/>
    <n v="1401958"/>
    <s v="645016N"/>
    <s v="1474259W"/>
  </r>
  <r>
    <x v="173"/>
    <x v="38"/>
    <x v="1"/>
    <x v="7"/>
    <s v="Nome (CA)"/>
    <s v="Bering Straits"/>
    <s v="AN"/>
    <n v="1402760"/>
    <s v="643236N"/>
    <s v="1630145W"/>
  </r>
  <r>
    <x v="174"/>
    <x v="39"/>
    <x v="1"/>
    <x v="3"/>
    <s v="Hoonah-Angoon (CA)"/>
    <s v="Sealaska"/>
    <s v="SE"/>
    <n v="1403078"/>
    <s v="582448N"/>
    <s v="1354413W"/>
  </r>
  <r>
    <x v="175"/>
    <x v="40"/>
    <x v="1"/>
    <x v="4"/>
    <s v="Yukon-Koyukuk (CA)"/>
    <s v="Doyon"/>
    <s v="YU"/>
    <n v="1402276"/>
    <s v="663353N"/>
    <s v="1451626W"/>
  </r>
  <r>
    <x v="176"/>
    <x v="41"/>
    <x v="2"/>
    <x v="9"/>
    <s v="Kenai Peninsula"/>
    <s v="Cook Inlet"/>
    <s v="SC"/>
    <n v="1412516"/>
    <s v="594636N"/>
    <s v="1514953W"/>
  </r>
  <r>
    <x v="177"/>
    <x v="41"/>
    <x v="2"/>
    <x v="9"/>
    <s v="Kenai Peninsula"/>
    <s v="Cook Inlet"/>
    <s v="SC"/>
    <n v="1412797"/>
    <s v="601352N"/>
    <s v="1512337W"/>
  </r>
  <r>
    <x v="178"/>
    <x v="41"/>
    <x v="2"/>
    <x v="9"/>
    <s v="Kenai Peninsula"/>
    <s v="Cook Inlet"/>
    <s v="SC"/>
    <n v="1412828"/>
    <s v="602207N"/>
    <s v="1511823W"/>
  </r>
  <r>
    <x v="179"/>
    <x v="41"/>
    <x v="2"/>
    <x v="9"/>
    <s v="Kenai Peninsula"/>
    <s v="Cook Inlet"/>
    <s v="SC"/>
    <n v="1865549"/>
    <s v="594034N"/>
    <s v="1513327W"/>
  </r>
  <r>
    <x v="180"/>
    <x v="41"/>
    <x v="2"/>
    <x v="9"/>
    <s v="Kenai Peninsula"/>
    <s v="Cook Inlet"/>
    <s v="SC"/>
    <n v="1866945"/>
    <s v="595130N"/>
    <s v="1505730W"/>
  </r>
  <r>
    <x v="181"/>
    <x v="41"/>
    <x v="2"/>
    <x v="9"/>
    <s v="Kenai Peninsula"/>
    <s v="Cook Inlet"/>
    <s v="SC"/>
    <n v="1866947"/>
    <s v="594410N"/>
    <s v="1511743W"/>
  </r>
  <r>
    <x v="182"/>
    <x v="41"/>
    <x v="2"/>
    <x v="9"/>
    <s v="Kenai Peninsula"/>
    <s v="Cook Inlet"/>
    <s v="SC"/>
    <n v="1865552"/>
    <s v="603007N"/>
    <s v="1504544W"/>
  </r>
  <r>
    <x v="183"/>
    <x v="41"/>
    <x v="2"/>
    <x v="9"/>
    <s v="Kenai Peninsula"/>
    <s v="Cook Inlet"/>
    <s v="SC"/>
    <n v="1781963"/>
    <s v="593542N"/>
    <s v="1511330W"/>
  </r>
  <r>
    <x v="184"/>
    <x v="41"/>
    <x v="2"/>
    <x v="9"/>
    <s v="Kenai Peninsula"/>
    <s v="Cook Inlet"/>
    <s v="SC"/>
    <n v="1866949"/>
    <s v="595650N"/>
    <s v="1514356W"/>
  </r>
  <r>
    <x v="185"/>
    <x v="41"/>
    <x v="2"/>
    <x v="9"/>
    <s v="Kenai Peninsula"/>
    <s v="Cook Inlet"/>
    <s v="SC"/>
    <n v="1413141"/>
    <s v="593833N"/>
    <s v="1513254W"/>
  </r>
  <r>
    <x v="186"/>
    <x v="41"/>
    <x v="2"/>
    <x v="9"/>
    <s v="Kenai Peninsula"/>
    <s v="Cook Inlet"/>
    <s v="SC"/>
    <n v="1866953"/>
    <s v="592649N"/>
    <s v="1513037W"/>
  </r>
  <r>
    <x v="187"/>
    <x v="41"/>
    <x v="2"/>
    <x v="9"/>
    <s v="Kenai Peninsula"/>
    <s v="Cook Inlet"/>
    <s v="SC"/>
    <n v="1413247"/>
    <s v="594003N"/>
    <s v="1512703W"/>
  </r>
  <r>
    <x v="188"/>
    <x v="41"/>
    <x v="2"/>
    <x v="9"/>
    <s v="Kenai Peninsula"/>
    <s v="Cook Inlet"/>
    <s v="SC"/>
    <n v="1413260"/>
    <s v="602506N"/>
    <s v="1511724W"/>
  </r>
  <r>
    <x v="189"/>
    <x v="41"/>
    <x v="2"/>
    <x v="9"/>
    <s v="Kenai Peninsula"/>
    <s v="Cook Inlet"/>
    <s v="SC"/>
    <n v="1413283"/>
    <s v="602015N"/>
    <s v="1511628W"/>
  </r>
  <r>
    <x v="190"/>
    <x v="41"/>
    <x v="2"/>
    <x v="9"/>
    <s v="Kenai Peninsula"/>
    <s v="Cook Inlet"/>
    <s v="SC"/>
    <n v="1413299"/>
    <s v="603316N"/>
    <s v="1511530W"/>
  </r>
  <r>
    <x v="191"/>
    <x v="41"/>
    <x v="2"/>
    <x v="9"/>
    <s v="Kenai Peninsula"/>
    <s v="Cook Inlet"/>
    <s v="SC"/>
    <n v="1412986"/>
    <s v="592123N"/>
    <s v="1515515W"/>
  </r>
  <r>
    <x v="192"/>
    <x v="41"/>
    <x v="2"/>
    <x v="9"/>
    <s v="Kenai Peninsula"/>
    <s v="Cook Inlet"/>
    <s v="SC"/>
    <n v="1416651"/>
    <s v="604125N"/>
    <s v="1511720W"/>
  </r>
  <r>
    <x v="193"/>
    <x v="41"/>
    <x v="2"/>
    <x v="9"/>
    <s v="Kenai Peninsula"/>
    <s v="Cook Inlet"/>
    <s v="SC"/>
    <n v="1417063"/>
    <s v="594843N"/>
    <s v="1513638W"/>
  </r>
  <r>
    <x v="194"/>
    <x v="41"/>
    <x v="2"/>
    <x v="9"/>
    <s v="Kenai Peninsula"/>
    <s v="Cook Inlet"/>
    <s v="SC"/>
    <n v="1413634"/>
    <s v="600305N"/>
    <s v="1514008W"/>
  </r>
  <r>
    <x v="195"/>
    <x v="41"/>
    <x v="2"/>
    <x v="9"/>
    <s v="Kenai Peninsula"/>
    <s v="Cook Inlet"/>
    <s v="SC"/>
    <n v="1413800"/>
    <s v="592105N"/>
    <s v="1514947W"/>
  </r>
  <r>
    <x v="196"/>
    <x v="41"/>
    <x v="2"/>
    <x v="9"/>
    <s v="Kenai Peninsula"/>
    <s v="Cook Inlet"/>
    <s v="SC"/>
    <n v="1866972"/>
    <s v="603155N"/>
    <s v="1510507W"/>
  </r>
  <r>
    <x v="197"/>
    <x v="41"/>
    <x v="2"/>
    <x v="9"/>
    <s v="Kenai Peninsula"/>
    <s v="Cook Inlet"/>
    <s v="SC"/>
    <n v="1413901"/>
    <s v="603655N"/>
    <s v="1511910W"/>
  </r>
  <r>
    <x v="198"/>
    <x v="41"/>
    <x v="2"/>
    <x v="9"/>
    <s v="Kenai Peninsula"/>
    <s v="Cook Inlet"/>
    <s v="SC"/>
    <n v="1413937"/>
    <s v="592617N"/>
    <s v="1514241W"/>
  </r>
  <r>
    <x v="199"/>
    <x v="41"/>
    <x v="2"/>
    <x v="9"/>
    <s v="Kenai Peninsula"/>
    <s v="Cook Inlet"/>
    <s v="SC"/>
    <n v="1414025"/>
    <s v="602916N"/>
    <s v="1510330W"/>
  </r>
  <r>
    <x v="200"/>
    <x v="41"/>
    <x v="2"/>
    <x v="9"/>
    <s v="Kenai Peninsula"/>
    <s v="Cook Inlet"/>
    <s v="SC"/>
    <n v="1414063"/>
    <s v="603214N"/>
    <s v="1504553W"/>
  </r>
  <r>
    <x v="201"/>
    <x v="42"/>
    <x v="1"/>
    <x v="4"/>
    <s v="Yukon-Koyukuk (CA)"/>
    <s v="Doyon"/>
    <s v="YU"/>
    <n v="1403596"/>
    <s v="660256N"/>
    <s v="1541520W"/>
  </r>
  <r>
    <x v="202"/>
    <x v="43"/>
    <x v="1"/>
    <x v="8"/>
    <s v="Lake and Peninsula"/>
    <s v="Bristol Bay"/>
    <s v="SW"/>
    <n v="1403706"/>
    <s v="591940N"/>
    <s v="1555341W"/>
  </r>
  <r>
    <x v="203"/>
    <x v="44"/>
    <x v="1"/>
    <x v="8"/>
    <s v="Lake and Peninsula"/>
    <s v="Bristol Bay"/>
    <s v="SW"/>
    <n v="1403763"/>
    <s v="594524N"/>
    <s v="1545440W"/>
  </r>
  <r>
    <x v="204"/>
    <x v="44"/>
    <x v="1"/>
    <x v="8"/>
    <s v="Lake and Peninsula"/>
    <s v="Bristol Bay"/>
    <s v="SW"/>
    <n v="1406978"/>
    <s v="594312N"/>
    <s v="1545350W"/>
  </r>
  <r>
    <x v="205"/>
    <x v="44"/>
    <x v="1"/>
    <x v="8"/>
    <s v="Lake and Peninsula"/>
    <s v="Bristol Bay"/>
    <s v="SW"/>
    <n v="1407129"/>
    <s v="595825N"/>
    <s v="1545045W"/>
  </r>
  <r>
    <x v="206"/>
    <x v="45"/>
    <x v="1"/>
    <x v="3"/>
    <s v="Hoonah-Angoon (CA)"/>
    <s v="Sealaska"/>
    <s v="SE"/>
    <n v="1420113"/>
    <s v="573012N"/>
    <s v="1343502W"/>
  </r>
  <r>
    <x v="207"/>
    <x v="45"/>
    <x v="1"/>
    <x v="3"/>
    <s v="Haines"/>
    <s v="Sealaska"/>
    <s v="SE"/>
    <n v="1421022"/>
    <s v="592359N"/>
    <s v="1355347W"/>
  </r>
  <r>
    <x v="208"/>
    <x v="45"/>
    <x v="1"/>
    <x v="3"/>
    <s v="Hoonah-Angoon (CA)"/>
    <s v="Sealaska"/>
    <s v="SE"/>
    <n v="1403488"/>
    <s v="580636N"/>
    <s v="1352637W"/>
  </r>
  <r>
    <x v="209"/>
    <x v="45"/>
    <x v="1"/>
    <x v="3"/>
    <s v="Petersburg (CA)"/>
    <s v="Sealaska"/>
    <s v="SE"/>
    <n v="1422926"/>
    <s v="565833N"/>
    <s v="1335650W"/>
  </r>
  <r>
    <x v="210"/>
    <x v="45"/>
    <x v="1"/>
    <x v="3"/>
    <s v="Hoonah-Angoon (CA)"/>
    <s v="Sealaska"/>
    <s v="SE"/>
    <n v="1866956"/>
    <s v="592414N"/>
    <s v="1355304W"/>
  </r>
  <r>
    <x v="211"/>
    <x v="46"/>
    <x v="1"/>
    <x v="6"/>
    <s v="Northwest Arctic"/>
    <s v="NANA"/>
    <s v="AN"/>
    <n v="1412894"/>
    <s v="660432N"/>
    <s v="1624302W"/>
  </r>
  <r>
    <x v="212"/>
    <x v="47"/>
    <x v="2"/>
    <x v="3"/>
    <s v="Ketchikan Gateway"/>
    <s v="Sealaska"/>
    <s v="SE"/>
    <n v="1423039"/>
    <s v="552032N"/>
    <s v="1313846W"/>
  </r>
  <r>
    <x v="213"/>
    <x v="48"/>
    <x v="1"/>
    <x v="2"/>
    <s v="Aleutians East"/>
    <s v="Aleut"/>
    <s v="SW"/>
    <n v="1418792"/>
    <s v="550342N"/>
    <s v="1621837W"/>
  </r>
  <r>
    <x v="214"/>
    <x v="49"/>
    <x v="1"/>
    <x v="1"/>
    <s v="Bethel (CA)"/>
    <s v="Calista"/>
    <s v="SW"/>
    <n v="1404781"/>
    <s v="595620N"/>
    <s v="1640229W"/>
  </r>
  <r>
    <x v="215"/>
    <x v="50"/>
    <x v="1"/>
    <x v="6"/>
    <s v="Northwest Arctic"/>
    <s v="NANA"/>
    <s v="AN"/>
    <n v="1413362"/>
    <s v="665426N"/>
    <s v="1565252W"/>
  </r>
  <r>
    <x v="216"/>
    <x v="51"/>
    <x v="2"/>
    <x v="0"/>
    <s v="Kodiak Island"/>
    <s v="Koniag"/>
    <s v="SC"/>
    <n v="1866935"/>
    <s v="573755N"/>
    <s v="1521057W"/>
  </r>
  <r>
    <x v="217"/>
    <x v="51"/>
    <x v="2"/>
    <x v="0"/>
    <s v="Kodiak Island"/>
    <s v="Koniag"/>
    <s v="SC"/>
    <n v="1404875"/>
    <s v="574724N"/>
    <s v="1522426W"/>
  </r>
  <r>
    <x v="218"/>
    <x v="51"/>
    <x v="2"/>
    <x v="0"/>
    <s v="Kodiak Island"/>
    <s v="Koniag"/>
    <s v="SC"/>
    <n v="2418665"/>
    <s v="574627N"/>
    <s v="1523558W"/>
  </r>
  <r>
    <x v="219"/>
    <x v="51"/>
    <x v="2"/>
    <x v="0"/>
    <s v="Kodiak Island"/>
    <s v="Koniag"/>
    <s v="SC"/>
    <n v="1408218"/>
    <s v="575203N"/>
    <s v="1525256W"/>
  </r>
  <r>
    <x v="220"/>
    <x v="51"/>
    <x v="2"/>
    <x v="0"/>
    <s v="Kodiak Island"/>
    <s v="Koniag"/>
    <s v="SC"/>
    <n v="1866977"/>
    <s v="574056N"/>
    <s v="1524007W"/>
  </r>
  <r>
    <x v="221"/>
    <x v="52"/>
    <x v="1"/>
    <x v="8"/>
    <s v="Lake and Peninsula"/>
    <s v="Bristol Bay"/>
    <s v="SW"/>
    <n v="1404333"/>
    <s v="592631N"/>
    <s v="1544521W"/>
  </r>
  <r>
    <x v="222"/>
    <x v="53"/>
    <x v="1"/>
    <x v="6"/>
    <s v="Northwest Arctic"/>
    <s v="NANA"/>
    <s v="AN"/>
    <n v="1413378"/>
    <s v="665354N"/>
    <s v="1623548W"/>
  </r>
  <r>
    <x v="223"/>
    <x v="54"/>
    <x v="1"/>
    <x v="4"/>
    <s v="Yukon-Koyukuk (CA)"/>
    <s v="Doyon"/>
    <s v="YU"/>
    <n v="1404984"/>
    <s v="645249N"/>
    <s v="1574203W"/>
  </r>
  <r>
    <x v="224"/>
    <x v="55"/>
    <x v="1"/>
    <x v="1"/>
    <s v="Bethel (CA)"/>
    <s v="Calista"/>
    <s v="SW"/>
    <n v="1405119"/>
    <s v="604844N"/>
    <s v="1612609W"/>
  </r>
  <r>
    <x v="225"/>
    <x v="56"/>
    <x v="1"/>
    <x v="1"/>
    <s v="Bethel (CA)"/>
    <s v="Calista"/>
    <s v="SW"/>
    <n v="1405122"/>
    <s v="595152N"/>
    <s v="1630803W"/>
  </r>
  <r>
    <x v="226"/>
    <x v="57"/>
    <x v="1"/>
    <x v="0"/>
    <s v="Kodiak Island"/>
    <s v="Koniag"/>
    <s v="SC"/>
    <n v="1405216"/>
    <s v="573224N"/>
    <s v="1535843W"/>
  </r>
  <r>
    <x v="227"/>
    <x v="58"/>
    <x v="1"/>
    <x v="8"/>
    <s v="Lake and Peninsula"/>
    <s v="Bristol Bay"/>
    <s v="SW"/>
    <n v="1405300"/>
    <s v="590651N"/>
    <s v="1565132W"/>
  </r>
  <r>
    <x v="228"/>
    <x v="59"/>
    <x v="1"/>
    <x v="1"/>
    <s v="Bethel (CA)"/>
    <s v="Calista"/>
    <s v="SW"/>
    <n v="1405351"/>
    <s v="612123N"/>
    <s v="1552608W"/>
  </r>
  <r>
    <x v="229"/>
    <x v="60"/>
    <x v="1"/>
    <x v="8"/>
    <s v="Dillingham (CA)"/>
    <s v="Bristol Bay"/>
    <s v="SW"/>
    <n v="1405927"/>
    <s v="585853N"/>
    <s v="1590330W"/>
  </r>
  <r>
    <x v="230"/>
    <x v="61"/>
    <x v="2"/>
    <x v="9"/>
    <s v="Matanuska-Susitna"/>
    <s v="Cook Inlet"/>
    <s v="SC"/>
    <n v="1398989"/>
    <s v="673011N"/>
    <s v="1492647W"/>
  </r>
  <r>
    <x v="231"/>
    <x v="61"/>
    <x v="2"/>
    <x v="9"/>
    <s v="Matanuska-Susitna"/>
    <s v="Cook Inlet"/>
    <s v="SC"/>
    <n v="2418798"/>
    <s v="614226N"/>
    <s v="1490634W"/>
  </r>
  <r>
    <x v="232"/>
    <x v="61"/>
    <x v="2"/>
    <x v="9"/>
    <s v="Matanuska-Susitna"/>
    <s v="Cook Inlet"/>
    <s v="SC"/>
    <n v="1416898"/>
    <s v="613232N"/>
    <s v="1490200W"/>
  </r>
  <r>
    <x v="233"/>
    <x v="61"/>
    <x v="2"/>
    <x v="9"/>
    <s v="Matanuska-Susitna"/>
    <s v="Cook Inlet"/>
    <s v="SC"/>
    <n v="1866934"/>
    <s v="622657N"/>
    <s v="1500606W"/>
  </r>
  <r>
    <x v="234"/>
    <x v="61"/>
    <x v="2"/>
    <x v="9"/>
    <s v="Matanuska-Susitna"/>
    <s v="Cook Inlet"/>
    <s v="SC"/>
    <n v="1400239"/>
    <s v="614748N"/>
    <s v="1482746W"/>
  </r>
  <r>
    <x v="235"/>
    <x v="61"/>
    <x v="2"/>
    <x v="9"/>
    <s v="Matanuska-Susitna"/>
    <s v="Cook Inlet"/>
    <s v="SC"/>
    <n v="1400378"/>
    <s v="612320N"/>
    <s v="1492855W"/>
  </r>
  <r>
    <x v="236"/>
    <x v="61"/>
    <x v="2"/>
    <x v="9"/>
    <s v="Matanuska-Susitna"/>
    <s v="Cook Inlet"/>
    <s v="SC"/>
    <n v="1401545"/>
    <s v="611917N"/>
    <s v="1493404W"/>
  </r>
  <r>
    <x v="237"/>
    <x v="61"/>
    <x v="2"/>
    <x v="9"/>
    <s v="Matanuska-Susitna"/>
    <s v="Cook Inlet"/>
    <s v="SC"/>
    <n v="1401727"/>
    <s v="612729N"/>
    <s v="1492144W"/>
  </r>
  <r>
    <x v="238"/>
    <x v="61"/>
    <x v="2"/>
    <x v="9"/>
    <s v="Matanuska-Susitna"/>
    <s v="Cook Inlet"/>
    <s v="SC"/>
    <n v="2418580"/>
    <s v="613822N"/>
    <s v="1490850W"/>
  </r>
  <r>
    <x v="239"/>
    <x v="61"/>
    <x v="2"/>
    <x v="9"/>
    <s v="Matanuska-Susitna"/>
    <s v="Cook Inlet"/>
    <s v="SC"/>
    <n v="2418582"/>
    <s v="614239N"/>
    <s v="1491557W"/>
  </r>
  <r>
    <x v="240"/>
    <x v="61"/>
    <x v="2"/>
    <x v="9"/>
    <s v="Matanuska-Susitna"/>
    <s v="Cook Inlet"/>
    <s v="SC"/>
    <n v="1865553"/>
    <s v="613422N"/>
    <s v="1491427W"/>
  </r>
  <r>
    <x v="241"/>
    <x v="61"/>
    <x v="2"/>
    <x v="9"/>
    <s v="Matanuska-Susitna"/>
    <s v="Cook Inlet"/>
    <s v="SC"/>
    <n v="2418599"/>
    <s v="615104N"/>
    <s v="1474635W"/>
  </r>
  <r>
    <x v="242"/>
    <x v="61"/>
    <x v="2"/>
    <x v="9"/>
    <s v="Matanuska-Susitna"/>
    <s v="Cook Inlet"/>
    <s v="SC"/>
    <n v="1416613"/>
    <s v="613749N"/>
    <s v="1494905W"/>
  </r>
  <r>
    <x v="243"/>
    <x v="61"/>
    <x v="2"/>
    <x v="9"/>
    <s v="Matanuska-Susitna"/>
    <s v="Cook Inlet"/>
    <s v="SC"/>
    <n v="2418662"/>
    <s v="612738N"/>
    <s v="1485511W"/>
  </r>
  <r>
    <x v="244"/>
    <x v="61"/>
    <x v="2"/>
    <x v="9"/>
    <s v="Matanuska-Susitna"/>
    <s v="Cook Inlet"/>
    <s v="SC"/>
    <n v="1404853"/>
    <s v="612728N"/>
    <s v="1494344W"/>
  </r>
  <r>
    <x v="245"/>
    <x v="61"/>
    <x v="2"/>
    <x v="9"/>
    <s v="Matanuska-Susitna"/>
    <s v="Cook Inlet"/>
    <s v="SC"/>
    <n v="1865556"/>
    <s v="621653N"/>
    <s v="1463304W"/>
  </r>
  <r>
    <x v="246"/>
    <x v="61"/>
    <x v="2"/>
    <x v="9"/>
    <s v="Matanuska-Susitna"/>
    <s v="Cook Inlet"/>
    <s v="SC"/>
    <n v="2418681"/>
    <s v="613619N"/>
    <s v="1491824W"/>
  </r>
  <r>
    <x v="247"/>
    <x v="61"/>
    <x v="2"/>
    <x v="9"/>
    <s v="Matanuska-Susitna"/>
    <s v="Cook Inlet"/>
    <s v="SC"/>
    <n v="1866958"/>
    <s v="613734N"/>
    <s v="1485644W"/>
  </r>
  <r>
    <x v="248"/>
    <x v="61"/>
    <x v="2"/>
    <x v="9"/>
    <s v="Matanuska-Susitna"/>
    <s v="Cook Inlet"/>
    <s v="SC"/>
    <n v="1866961"/>
    <s v="613729N"/>
    <s v="1493604W"/>
  </r>
  <r>
    <x v="249"/>
    <x v="61"/>
    <x v="2"/>
    <x v="9"/>
    <s v="Matanuska-Susitna"/>
    <s v="Cook Inlet"/>
    <s v="SC"/>
    <n v="1407737"/>
    <s v="613559N"/>
    <s v="1490646W"/>
  </r>
  <r>
    <x v="250"/>
    <x v="61"/>
    <x v="2"/>
    <x v="9"/>
    <s v="Matanuska-Susitna"/>
    <s v="Cook Inlet"/>
    <s v="SC"/>
    <n v="1407927"/>
    <s v="622947N"/>
    <s v="1504556W"/>
  </r>
  <r>
    <x v="251"/>
    <x v="61"/>
    <x v="2"/>
    <x v="9"/>
    <s v="Matanuska-Susitna"/>
    <s v="Cook Inlet"/>
    <s v="SC"/>
    <n v="1865561"/>
    <s v="612135N"/>
    <s v="1495842W"/>
  </r>
  <r>
    <x v="252"/>
    <x v="61"/>
    <x v="2"/>
    <x v="9"/>
    <s v="Matanuska-Susitna"/>
    <s v="Cook Inlet"/>
    <s v="SC"/>
    <n v="1410439"/>
    <s v="613237N"/>
    <s v="1503045W"/>
  </r>
  <r>
    <x v="253"/>
    <x v="61"/>
    <x v="2"/>
    <x v="9"/>
    <s v="Matanuska-Susitna"/>
    <s v="Cook Inlet"/>
    <s v="SC"/>
    <n v="1410456"/>
    <s v="614241N"/>
    <s v="1485339W"/>
  </r>
  <r>
    <x v="254"/>
    <x v="61"/>
    <x v="2"/>
    <x v="9"/>
    <s v="Matanuska-Susitna"/>
    <s v="Cook Inlet"/>
    <s v="SC"/>
    <n v="1410591"/>
    <s v="621926N"/>
    <s v="1500634W"/>
  </r>
  <r>
    <x v="255"/>
    <x v="61"/>
    <x v="2"/>
    <x v="9"/>
    <s v="Matanuska-Susitna"/>
    <s v="Cook Inlet"/>
    <s v="SC"/>
    <n v="1865567"/>
    <s v="613737N"/>
    <s v="1492541W"/>
  </r>
  <r>
    <x v="256"/>
    <x v="61"/>
    <x v="2"/>
    <x v="9"/>
    <s v="Matanuska-Susitna"/>
    <s v="Cook Inlet"/>
    <s v="SC"/>
    <n v="1417100"/>
    <s v="621900N"/>
    <s v="1501353W"/>
  </r>
  <r>
    <x v="257"/>
    <x v="61"/>
    <x v="2"/>
    <x v="9"/>
    <s v="Matanuska-Susitna"/>
    <s v="Cook Inlet"/>
    <s v="SC"/>
    <n v="1411788"/>
    <s v="613453N"/>
    <s v="1492622W"/>
  </r>
  <r>
    <x v="258"/>
    <x v="61"/>
    <x v="2"/>
    <x v="9"/>
    <s v="Matanuska-Susitna"/>
    <s v="Cook Inlet"/>
    <s v="SC"/>
    <n v="1417146"/>
    <s v="614450N"/>
    <s v="1500215W"/>
  </r>
  <r>
    <x v="259"/>
    <x v="62"/>
    <x v="1"/>
    <x v="4"/>
    <s v="Yukon-Koyukuk (CA)"/>
    <s v="Doyon"/>
    <s v="SW"/>
    <n v="1406131"/>
    <s v="625723N"/>
    <s v="1553545W"/>
  </r>
  <r>
    <x v="260"/>
    <x v="63"/>
    <x v="2"/>
    <x v="3"/>
    <s v="Prince of Wales-Hyder (CA)"/>
    <s v="Sealaska"/>
    <s v="SE"/>
    <n v="1423661"/>
    <s v="550745N"/>
    <s v="1313420W"/>
  </r>
  <r>
    <x v="261"/>
    <x v="64"/>
    <x v="1"/>
    <x v="1"/>
    <s v="Bethel (CA)"/>
    <s v="Calista"/>
    <s v="SW"/>
    <n v="1400376"/>
    <s v="613419N"/>
    <s v="1591442W"/>
  </r>
  <r>
    <x v="262"/>
    <x v="64"/>
    <x v="1"/>
    <x v="1"/>
    <s v="Bethel (CA)"/>
    <s v="Calista"/>
    <s v="SW"/>
    <n v="1400824"/>
    <s v="615212N"/>
    <s v="1580639W"/>
  </r>
  <r>
    <x v="263"/>
    <x v="64"/>
    <x v="1"/>
    <x v="1"/>
    <s v="Bethel (CA)"/>
    <s v="Calista"/>
    <s v="SW"/>
    <n v="1408580"/>
    <s v="614540N"/>
    <s v="1571845W"/>
  </r>
  <r>
    <x v="264"/>
    <x v="64"/>
    <x v="1"/>
    <x v="1"/>
    <s v="Bethel (CA)"/>
    <s v="Calista"/>
    <s v="SW"/>
    <n v="1409747"/>
    <s v="614209N"/>
    <s v="1571011W"/>
  </r>
  <r>
    <x v="265"/>
    <x v="64"/>
    <x v="1"/>
    <x v="1"/>
    <s v="Bethel (CA)"/>
    <s v="Calista"/>
    <s v="SW"/>
    <n v="1410241"/>
    <s v="614659N"/>
    <s v="1563517W"/>
  </r>
  <r>
    <x v="266"/>
    <x v="65"/>
    <x v="2"/>
    <x v="4"/>
    <s v="Yukon-Koyukuk (CA)"/>
    <s v="Doyon"/>
    <s v="SW"/>
    <n v="1405185"/>
    <s v="635258N"/>
    <s v="1521844W"/>
  </r>
  <r>
    <x v="267"/>
    <x v="66"/>
    <x v="1"/>
    <x v="8"/>
    <s v="Bristol Bay"/>
    <s v="Bristol Bay"/>
    <s v="SW"/>
    <n v="1404738"/>
    <s v="584118N"/>
    <s v="1563941W"/>
  </r>
  <r>
    <x v="268"/>
    <x v="66"/>
    <x v="1"/>
    <x v="8"/>
    <s v="Bristol Bay"/>
    <s v="Bristol Bay"/>
    <s v="SW"/>
    <n v="1406798"/>
    <s v="584342N"/>
    <s v="1570050W"/>
  </r>
  <r>
    <x v="269"/>
    <x v="66"/>
    <x v="1"/>
    <x v="8"/>
    <s v="Bristol Bay"/>
    <s v="Bristol Bay"/>
    <s v="SW"/>
    <n v="1409961"/>
    <s v="584256N"/>
    <s v="1565953W"/>
  </r>
  <r>
    <x v="270"/>
    <x v="67"/>
    <x v="1"/>
    <x v="1"/>
    <s v="Bethel (CA)"/>
    <s v="Calista"/>
    <s v="SW"/>
    <n v="1406829"/>
    <s v="604148N"/>
    <s v="1615707W"/>
  </r>
  <r>
    <x v="271"/>
    <x v="68"/>
    <x v="1"/>
    <x v="1"/>
    <s v="Bethel (CA)"/>
    <s v="Calista"/>
    <s v="SW"/>
    <n v="1406834"/>
    <s v="604229N"/>
    <s v="1614558W"/>
  </r>
  <r>
    <x v="272"/>
    <x v="69"/>
    <x v="1"/>
    <x v="1"/>
    <s v="Bethel (CA)"/>
    <s v="Calista"/>
    <s v="SW"/>
    <n v="1400188"/>
    <s v="600936N"/>
    <s v="1641557W"/>
  </r>
  <r>
    <x v="273"/>
    <x v="70"/>
    <x v="1"/>
    <x v="8"/>
    <s v="Lake and Peninsula"/>
    <s v="Bristol Bay"/>
    <s v="SW"/>
    <n v="1407902"/>
    <s v="555450N"/>
    <s v="1590948W"/>
  </r>
  <r>
    <x v="274"/>
    <x v="71"/>
    <x v="1"/>
    <x v="2"/>
    <s v="Aleutians East"/>
    <s v="Aleut"/>
    <s v="SW"/>
    <n v="1418948"/>
    <s v="560002N"/>
    <s v="1611225W"/>
  </r>
  <r>
    <x v="275"/>
    <x v="72"/>
    <x v="1"/>
    <x v="8"/>
    <s v="Dillingham (CA)"/>
    <s v="Bristol Bay"/>
    <s v="SW"/>
    <n v="1404914"/>
    <s v="594343N"/>
    <s v="1571704W"/>
  </r>
  <r>
    <x v="276"/>
    <x v="73"/>
    <x v="1"/>
    <x v="4"/>
    <s v="Yukon-Koyukuk (CA)"/>
    <s v="Doyon"/>
    <s v="SW"/>
    <n v="1407022"/>
    <s v="630048N"/>
    <s v="1542230W"/>
  </r>
  <r>
    <x v="277"/>
    <x v="74"/>
    <x v="1"/>
    <x v="7"/>
    <s v="Nome (CA)"/>
    <s v="Bering Straits"/>
    <s v="AN"/>
    <n v="1407125"/>
    <s v="643004N"/>
    <s v="1652423W"/>
  </r>
  <r>
    <x v="278"/>
    <x v="75"/>
    <x v="1"/>
    <x v="10"/>
    <s v="North Slope"/>
    <s v="Arctic Slope"/>
    <s v="AN"/>
    <n v="1398235"/>
    <s v="680836N"/>
    <s v="1514409W"/>
  </r>
  <r>
    <x v="279"/>
    <x v="75"/>
    <x v="1"/>
    <x v="10"/>
    <s v="North Slope"/>
    <s v="Arctic Slope"/>
    <s v="AN"/>
    <n v="1406178"/>
    <s v="702809N"/>
    <s v="1572358W"/>
  </r>
  <r>
    <x v="280"/>
    <x v="75"/>
    <x v="1"/>
    <x v="10"/>
    <s v="North Slope"/>
    <s v="Arctic Slope"/>
    <s v="AN"/>
    <n v="1404349"/>
    <s v="700755N"/>
    <s v="1433726W"/>
  </r>
  <r>
    <x v="281"/>
    <x v="75"/>
    <x v="1"/>
    <x v="10"/>
    <s v="North Slope"/>
    <s v="Arctic Slope"/>
    <s v="AN"/>
    <n v="1416680"/>
    <s v="701303N"/>
    <s v="1505835W"/>
  </r>
  <r>
    <x v="282"/>
    <x v="75"/>
    <x v="1"/>
    <x v="10"/>
    <s v="North Slope"/>
    <s v="Arctic Slope"/>
    <s v="AN"/>
    <n v="1408110"/>
    <s v="682055N"/>
    <s v="1664405W"/>
  </r>
  <r>
    <x v="283"/>
    <x v="75"/>
    <x v="1"/>
    <x v="10"/>
    <s v="North Slope"/>
    <s v="Arctic Slope"/>
    <s v="AN"/>
    <n v="1408115"/>
    <s v="694438N"/>
    <s v="1630030W"/>
  </r>
  <r>
    <x v="284"/>
    <x v="75"/>
    <x v="1"/>
    <x v="10"/>
    <s v="North Slope"/>
    <s v="Arctic Slope"/>
    <s v="AN"/>
    <n v="1411728"/>
    <s v="703813N"/>
    <s v="1600218W"/>
  </r>
  <r>
    <x v="285"/>
    <x v="76"/>
    <x v="1"/>
    <x v="1"/>
    <s v="Wade Hampton (CA)"/>
    <s v="Calista"/>
    <s v="YU"/>
    <n v="1409405"/>
    <s v="623201N"/>
    <s v="1645028W"/>
  </r>
  <r>
    <x v="286"/>
    <x v="77"/>
    <x v="1"/>
    <x v="8"/>
    <s v="Dillingham (CA)"/>
    <s v="Bristol Bay"/>
    <s v="SW"/>
    <n v="1398091"/>
    <s v="591623N"/>
    <s v="1583704W"/>
  </r>
  <r>
    <x v="287"/>
    <x v="77"/>
    <x v="1"/>
    <x v="8"/>
    <s v="Dillingham (CA)"/>
    <s v="Bristol Bay"/>
    <s v="SW"/>
    <n v="1401203"/>
    <s v="590223N"/>
    <s v="1582727W"/>
  </r>
  <r>
    <x v="288"/>
    <x v="78"/>
    <x v="1"/>
    <x v="0"/>
    <s v="Kodiak Island"/>
    <s v="Koniag"/>
    <s v="SC"/>
    <n v="1407684"/>
    <s v="575525N"/>
    <s v="1523008W"/>
  </r>
  <r>
    <x v="289"/>
    <x v="79"/>
    <x v="1"/>
    <x v="8"/>
    <s v="Lake and Peninsula"/>
    <s v="Bristol Bay"/>
    <s v="SW"/>
    <n v="1407862"/>
    <s v="594714N"/>
    <s v="1540622W"/>
  </r>
  <r>
    <x v="290"/>
    <x v="80"/>
    <x v="1"/>
    <x v="3"/>
    <s v="Hoonah-Angoon (CA)"/>
    <s v="Sealaska"/>
    <s v="SE"/>
    <n v="1424201"/>
    <s v="575739N"/>
    <s v="1361339W"/>
  </r>
  <r>
    <x v="291"/>
    <x v="81"/>
    <x v="2"/>
    <x v="3"/>
    <s v="Petersburg (CA)"/>
    <s v="Sealaska"/>
    <s v="SE"/>
    <n v="1424228"/>
    <s v="564841N"/>
    <s v="1325704W"/>
  </r>
  <r>
    <x v="292"/>
    <x v="82"/>
    <x v="1"/>
    <x v="8"/>
    <s v="Lake and Peninsula"/>
    <s v="Bristol Bay"/>
    <s v="SW"/>
    <n v="1407992"/>
    <s v="573351N"/>
    <s v="1573445W"/>
  </r>
  <r>
    <x v="293"/>
    <x v="83"/>
    <x v="0"/>
    <x v="1"/>
    <s v="Bethel (CA)"/>
    <s v="Calista"/>
    <s v="SW"/>
    <n v="1408072"/>
    <s v="590047N"/>
    <s v="1614859W"/>
  </r>
  <r>
    <x v="294"/>
    <x v="84"/>
    <x v="1"/>
    <x v="8"/>
    <s v="Lake and Peninsula"/>
    <s v="Bristol Bay"/>
    <s v="SW"/>
    <n v="1419072"/>
    <s v="565557N"/>
    <s v="1583730W"/>
  </r>
  <r>
    <x v="295"/>
    <x v="85"/>
    <x v="1"/>
    <x v="1"/>
    <s v="Bethel (CA)"/>
    <s v="Calista"/>
    <s v="SW"/>
    <n v="1404934"/>
    <s v="595712N"/>
    <s v="1625342W"/>
  </r>
  <r>
    <x v="296"/>
    <x v="86"/>
    <x v="0"/>
    <x v="4"/>
    <s v="Yukon-Koyukuk (CA)"/>
    <s v="Doyon"/>
    <s v="YU"/>
    <n v="1408519"/>
    <s v="653018N"/>
    <s v="1501012W"/>
  </r>
  <r>
    <x v="297"/>
    <x v="87"/>
    <x v="1"/>
    <x v="4"/>
    <s v="Yukon-Koyukuk (CA)"/>
    <s v="Doyon"/>
    <s v="YU"/>
    <n v="1408878"/>
    <s v="644422N"/>
    <s v="1552913W"/>
  </r>
  <r>
    <x v="298"/>
    <x v="88"/>
    <x v="0"/>
    <x v="2"/>
    <s v="Aleutians West (CA)"/>
    <s v="Aleut"/>
    <s v="SW"/>
    <n v="1419161"/>
    <s v="563600N"/>
    <s v="1693230W"/>
  </r>
  <r>
    <x v="299"/>
    <x v="89"/>
    <x v="1"/>
    <x v="2"/>
    <s v="Aleutians West (CA)"/>
    <s v="Aleut"/>
    <s v="SW"/>
    <n v="1419163"/>
    <s v="570720N"/>
    <s v="1701630W"/>
  </r>
  <r>
    <x v="300"/>
    <x v="90"/>
    <x v="2"/>
    <x v="9"/>
    <s v="Kenai Peninsula"/>
    <s v="Chugach"/>
    <s v="SC"/>
    <n v="1865547"/>
    <s v="600951N"/>
    <s v="1492342W"/>
  </r>
  <r>
    <x v="301"/>
    <x v="90"/>
    <x v="2"/>
    <x v="9"/>
    <s v="Kenai Peninsula"/>
    <s v="Chugach"/>
    <s v="SC"/>
    <n v="1417059"/>
    <s v="602520N"/>
    <s v="1492200W"/>
  </r>
  <r>
    <x v="302"/>
    <x v="90"/>
    <x v="2"/>
    <x v="9"/>
    <s v="Kenai Peninsula"/>
    <s v="Chugach"/>
    <s v="SC"/>
    <n v="1865557"/>
    <s v="600421N"/>
    <s v="1492628W"/>
  </r>
  <r>
    <x v="303"/>
    <x v="90"/>
    <x v="2"/>
    <x v="9"/>
    <s v="Kenai Peninsula"/>
    <s v="Chugach"/>
    <s v="SC"/>
    <n v="2419191"/>
    <s v="602059N"/>
    <s v="1491911W"/>
  </r>
  <r>
    <x v="304"/>
    <x v="90"/>
    <x v="2"/>
    <x v="9"/>
    <s v="Kenai Peninsula"/>
    <s v="Chugach"/>
    <s v="SC"/>
    <n v="1414598"/>
    <s v="600615N"/>
    <s v="1492632W"/>
  </r>
  <r>
    <x v="305"/>
    <x v="91"/>
    <x v="2"/>
    <x v="3"/>
    <s v="Sitka"/>
    <s v="Sealaska"/>
    <s v="SE"/>
    <n v="1414736"/>
    <s v="570311N"/>
    <s v="1351948W"/>
  </r>
  <r>
    <x v="306"/>
    <x v="92"/>
    <x v="0"/>
    <x v="4"/>
    <s v="Yukon-Koyukuk (CA)"/>
    <s v="Doyon"/>
    <s v="YU"/>
    <n v="1410198"/>
    <s v="660023N"/>
    <s v="1490527W"/>
  </r>
  <r>
    <x v="307"/>
    <x v="93"/>
    <x v="1"/>
    <x v="4"/>
    <s v="Yukon-Koyukuk (CA)"/>
    <s v="Doyon"/>
    <s v="SW"/>
    <n v="1410562"/>
    <s v="625919N"/>
    <s v="1560351W"/>
  </r>
  <r>
    <x v="308"/>
    <x v="94"/>
    <x v="1"/>
    <x v="8"/>
    <s v="Lake and Peninsula"/>
    <s v="Cook Inlet"/>
    <s v="SW"/>
    <n v="1408208"/>
    <s v="601209N"/>
    <s v="1541846W"/>
  </r>
  <r>
    <x v="309"/>
    <x v="95"/>
    <x v="1"/>
    <x v="4"/>
    <s v="Yukon-Koyukuk (CA)"/>
    <s v="Doyon"/>
    <s v="YU"/>
    <n v="1410629"/>
    <s v="651019N"/>
    <s v="1520444W"/>
  </r>
  <r>
    <x v="310"/>
    <x v="96"/>
    <x v="1"/>
    <x v="5"/>
    <s v="Valdez-Cordova (CA)"/>
    <s v="Chugach"/>
    <s v="SC"/>
    <n v="1415193"/>
    <s v="605153N"/>
    <s v="1464043W"/>
  </r>
  <r>
    <x v="311"/>
    <x v="97"/>
    <x v="1"/>
    <x v="2"/>
    <s v="Aleutians West (CA)"/>
    <s v="Aleut"/>
    <s v="SW"/>
    <n v="1418109"/>
    <s v="515248N"/>
    <s v="1763929W"/>
  </r>
  <r>
    <x v="312"/>
    <x v="98"/>
    <x v="1"/>
    <x v="2"/>
    <s v="Aleutians East"/>
    <s v="Aleut"/>
    <s v="SW"/>
    <n v="1419182"/>
    <s v="552023N"/>
    <s v="1602950W"/>
  </r>
  <r>
    <x v="313"/>
    <x v="99"/>
    <x v="1"/>
    <x v="4"/>
    <s v="Yukon-Koyukuk (CA)"/>
    <s v="Doyon"/>
    <s v="YU"/>
    <n v="1405922"/>
    <s v="650004N"/>
    <s v="1503802W"/>
  </r>
  <r>
    <x v="314"/>
    <x v="100"/>
    <x v="2"/>
    <x v="10"/>
    <s v="Northwest Arctic"/>
    <s v="NANA"/>
    <s v="SC"/>
    <n v="1866941"/>
    <s v="701220N"/>
    <s v="1483042W"/>
  </r>
  <r>
    <x v="315"/>
    <x v="101"/>
    <x v="1"/>
    <x v="3"/>
    <s v="Hoonah-Angoon (CA)"/>
    <s v="Sealaska"/>
    <s v="SE"/>
    <n v="1415210"/>
    <s v="574651N"/>
    <s v="1351308W"/>
  </r>
  <r>
    <x v="316"/>
    <x v="102"/>
    <x v="1"/>
    <x v="1"/>
    <s v="Bethel (CA)"/>
    <s v="Calista"/>
    <s v="SW"/>
    <n v="1411295"/>
    <s v="610609N"/>
    <s v="1605742W"/>
  </r>
  <r>
    <x v="317"/>
    <x v="103"/>
    <x v="1"/>
    <x v="1"/>
    <s v="Bethel (CA)"/>
    <s v="Calista"/>
    <s v="SW"/>
    <n v="1411324"/>
    <s v="602035N"/>
    <s v="1623947W"/>
  </r>
  <r>
    <x v="318"/>
    <x v="104"/>
    <x v="1"/>
    <x v="8"/>
    <s v="Dillingham (CA)"/>
    <s v="Bristol Bay"/>
    <s v="SW"/>
    <n v="1416737"/>
    <s v="590445N"/>
    <s v="1601630W"/>
  </r>
  <r>
    <x v="319"/>
    <x v="105"/>
    <x v="1"/>
    <x v="2"/>
    <s v="Aleutians West (CA)"/>
    <s v="Aleut"/>
    <s v="SW"/>
    <n v="1418954"/>
    <s v="525617N"/>
    <s v="1685204W"/>
  </r>
  <r>
    <x v="320"/>
    <x v="106"/>
    <x v="1"/>
    <x v="7"/>
    <s v="Nome (CA)"/>
    <s v="Bering Straits"/>
    <s v="AN"/>
    <n v="1411517"/>
    <s v="635223N"/>
    <s v="1604717W"/>
  </r>
  <r>
    <x v="321"/>
    <x v="107"/>
    <x v="1"/>
    <x v="2"/>
    <s v="Aleutians West (CA)"/>
    <s v="Aleut"/>
    <s v="SW"/>
    <n v="1419726"/>
    <s v="535323N"/>
    <s v="1663232W"/>
  </r>
  <r>
    <x v="322"/>
    <x v="107"/>
    <x v="1"/>
    <x v="2"/>
    <s v="Aleutians West (CA)"/>
    <s v="Aleut"/>
    <s v="SW"/>
    <n v="1419424"/>
    <s v="535225N"/>
    <s v="1663212W"/>
  </r>
  <r>
    <x v="323"/>
    <x v="108"/>
    <x v="1"/>
    <x v="1"/>
    <s v="Bethel (CA)"/>
    <s v="Calista"/>
    <s v="SW"/>
    <n v="1406985"/>
    <s v="605634N"/>
    <s v="1643746W"/>
  </r>
  <r>
    <x v="324"/>
    <x v="109"/>
    <x v="0"/>
    <x v="4"/>
    <s v="Yukon-Koyukuk (CA)"/>
    <s v="Doyon"/>
    <s v="YU"/>
    <n v="1411644"/>
    <s v="670050N"/>
    <s v="1462507W"/>
  </r>
  <r>
    <x v="325"/>
    <x v="110"/>
    <x v="1"/>
    <x v="7"/>
    <s v="Nome (CA)"/>
    <s v="Bering Straits"/>
    <s v="AN"/>
    <n v="1411989"/>
    <s v="644053N"/>
    <s v="1632420W"/>
  </r>
  <r>
    <x v="326"/>
    <x v="111"/>
    <x v="2"/>
    <x v="3"/>
    <s v="Wrangell"/>
    <s v="Sealaska"/>
    <s v="SE"/>
    <n v="1415843"/>
    <s v="562815N"/>
    <s v="1322236W"/>
  </r>
  <r>
    <x v="327"/>
    <x v="112"/>
    <x v="1"/>
    <x v="3"/>
    <s v="Yakutat"/>
    <s v="Sealaska"/>
    <s v="SE"/>
    <n v="1415858"/>
    <s v="593249N"/>
    <s v="1394338W"/>
  </r>
</pivotCacheRecords>
</file>

<file path=xl/pivotCache/pivotCacheRecords2.xml><?xml version="1.0" encoding="utf-8"?>
<pivotCacheRecords xmlns="http://schemas.openxmlformats.org/spreadsheetml/2006/main" xmlns:r="http://schemas.openxmlformats.org/officeDocument/2006/relationships" count="216">
  <r>
    <s v="Akiachak Native Community"/>
    <s v="Akiachak"/>
    <s v="Akiachak"/>
    <s v="DFO"/>
    <s v="IC"/>
    <n v="6317.4340080000002"/>
    <n v="19578.934523809523"/>
    <n v="73.150000000000006"/>
    <n v="1432.1990604166667"/>
    <n v="0.32266485187523886"/>
    <n v="1851.5340000000001"/>
    <n v="3361.1904761904761"/>
    <n v="5.8250000000000002"/>
    <s v="PCE"/>
    <n v="0"/>
    <x v="0"/>
    <s v="Bethel (CA)"/>
    <s v="Calista"/>
    <s v="SW"/>
  </r>
  <r>
    <s v="Akiak City Council"/>
    <s v="Akiak"/>
    <s v="Akiak"/>
    <s v="DFO"/>
    <s v="IC"/>
    <n v="3512.7597719999999"/>
    <n v="12065.100595238095"/>
    <n v="73.150000000000006"/>
    <n v="882.5621085416667"/>
    <n v="0.29115047522989002"/>
    <n v="1029.5309999999999"/>
    <n v="2071.2619047619046"/>
    <n v="5.8250000000000002"/>
    <s v="PCE"/>
    <n v="0"/>
    <x v="0"/>
    <s v="Bethel (CA)"/>
    <s v="Calista"/>
    <s v="SW"/>
  </r>
  <r>
    <s v="Akutan, City of"/>
    <s v="Akutan"/>
    <s v="Akutan"/>
    <s v="DFO"/>
    <s v="IC"/>
    <n v="1670.4148871999998"/>
    <n v="6288.9196428571431"/>
    <n v="73.150000000000006"/>
    <n v="460.03447187500007"/>
    <n v="0.26561237574361934"/>
    <n v="489.57059999999996"/>
    <n v="1079.6428571428571"/>
    <n v="5.8250000000000002"/>
    <s v="PCE"/>
    <n v="0"/>
    <x v="1"/>
    <s v="Aleutians East"/>
    <s v="Aleut"/>
    <s v="SW"/>
  </r>
  <r>
    <s v="Alaska Electric Light &amp; Power Company"/>
    <s v="Auke Bay"/>
    <s v="Juneau"/>
    <s v="DFO"/>
    <s v="GT"/>
    <n v="3633.7799999999997"/>
    <n v="18861.350000000002"/>
    <n v="73.150000000000006"/>
    <n v="1379.7077525000002"/>
    <n v="0.19265747149594273"/>
    <n v="1065"/>
    <n v="3238"/>
    <n v="5.8250000000000002"/>
    <s v="EIA"/>
    <n v="0"/>
    <x v="2"/>
    <s v="Juneau"/>
    <s v="Sealaska"/>
    <s v="SE"/>
  </r>
  <r>
    <s v="Alaska Electric Light &amp; Power Company"/>
    <s v="Auke Bay"/>
    <s v="Juneau"/>
    <s v="DFO"/>
    <s v="IC"/>
    <n v="184.24799999999999"/>
    <n v="681.52499999999998"/>
    <n v="73.150000000000006"/>
    <n v="49.853553749999996"/>
    <n v="0.27034664905909539"/>
    <n v="54"/>
    <n v="117"/>
    <n v="5.8250000000000002"/>
    <s v="EIA"/>
    <n v="0"/>
    <x v="2"/>
    <s v="Juneau"/>
    <s v="Sealaska"/>
    <s v="SE"/>
  </r>
  <r>
    <s v="Alaska Electric Light &amp; Power Company"/>
    <s v="Gold Creek"/>
    <s v="Juneau"/>
    <s v="DFO"/>
    <s v="IC"/>
    <n v="78.475999999999999"/>
    <n v="168.92500000000001"/>
    <n v="73.150000000000006"/>
    <n v="12.356863750000002"/>
    <n v="0.46456119579695127"/>
    <n v="23"/>
    <n v="29"/>
    <n v="5.8250000000000002"/>
    <s v="EIA"/>
    <n v="0"/>
    <x v="2"/>
    <s v="Juneau"/>
    <s v="Sealaska"/>
    <s v="SE"/>
  </r>
  <r>
    <s v="Alaska Electric Light &amp; Power Company"/>
    <s v="Lemon Creek"/>
    <s v="Juneau"/>
    <s v="DFO"/>
    <s v="GT"/>
    <n v="4346.8879999999999"/>
    <n v="23317.475000000002"/>
    <n v="73.150000000000006"/>
    <n v="1705.6732962500005"/>
    <n v="0.18642190031296269"/>
    <n v="1274"/>
    <n v="4003"/>
    <n v="5.8250000000000002"/>
    <s v="EIA"/>
    <n v="0"/>
    <x v="2"/>
    <s v="Juneau"/>
    <s v="Sealaska"/>
    <s v="SE"/>
  </r>
  <r>
    <s v="Alaska Electric Light &amp; Power Company"/>
    <s v="Lemon Creek"/>
    <s v="Juneau"/>
    <s v="DFO"/>
    <s v="IC"/>
    <n v="3442.7080000000001"/>
    <n v="11702.425000000001"/>
    <n v="73.150000000000006"/>
    <n v="856.03238875000011"/>
    <n v="0.29418757223396003"/>
    <n v="1009"/>
    <n v="2009"/>
    <n v="5.8250000000000002"/>
    <s v="EIA"/>
    <n v="0"/>
    <x v="2"/>
    <s v="Juneau"/>
    <s v="Sealaska"/>
    <s v="SE"/>
  </r>
  <r>
    <s v="Alaska Power &amp; Telephone Company"/>
    <s v="Allakaket"/>
    <s v="Allakaket, Alatna"/>
    <s v="DFO"/>
    <s v="IC"/>
    <n v="2236.115616"/>
    <n v="7910.9047619047624"/>
    <n v="73.150000000000006"/>
    <n v="578.68268333333344"/>
    <n v="0.28266243663658963"/>
    <n v="655.36800000000005"/>
    <n v="1358.0952380952381"/>
    <n v="5.8250000000000002"/>
    <s v="PCE"/>
    <s v="Provides power to Alatna via intertie. Data includes Alatna's information."/>
    <x v="3"/>
    <s v="Yukon-Koyukuk (CA)"/>
    <s v="Doyon"/>
    <s v="YU"/>
  </r>
  <r>
    <s v="Alaska Power &amp; Telephone Company"/>
    <s v="Bettles"/>
    <s v="Bettles, Evansville"/>
    <s v="DFO"/>
    <s v="IC"/>
    <n v="1957.9591400000002"/>
    <n v="6863.3755952380961"/>
    <n v="73.150000000000006"/>
    <n v="502.05592479166677"/>
    <n v="0.28527640850057207"/>
    <n v="573.84500000000003"/>
    <n v="1178.2619047619048"/>
    <n v="5.8250000000000002"/>
    <s v="PCE"/>
    <s v="Provides power to Evansville via intertie. Data includes Evansville's information."/>
    <x v="3"/>
    <s v="Yukon-Koyukuk (CA)"/>
    <s v="Doyon"/>
    <s v="YU"/>
  </r>
  <r>
    <s v="Alaska Power &amp; Telephone Company"/>
    <s v="Chistochina"/>
    <s v="Chistochina"/>
    <s v="DFO"/>
    <s v="IC"/>
    <n v="-7.3289759999999999"/>
    <n v="7.0732142857142852"/>
    <n v="73.150000000000006"/>
    <n v="0.51740562499999998"/>
    <s v=" "/>
    <n v="-2.1480000000000001"/>
    <n v="1.2142857142857142"/>
    <n v="5.8250000000000002"/>
    <s v="PCE"/>
    <s v="Receives power from Slana via intertie."/>
    <x v="4"/>
    <s v="Valdez-Cordova (CA)"/>
    <s v="Ahtna"/>
    <s v="YU"/>
  </r>
  <r>
    <s v="Alaska Power &amp; Telephone Company"/>
    <s v="Coffman Cove"/>
    <s v="Coffman Cove"/>
    <s v="DFO"/>
    <s v="IC"/>
    <n v="2158.373196"/>
    <n v="6708.4583333333339"/>
    <n v="73.150000000000006"/>
    <n v="490.72372708333342"/>
    <n v="0.32173907755756104"/>
    <n v="632.58299999999997"/>
    <n v="1151.6666666666667"/>
    <n v="5.8250000000000002"/>
    <s v="PCE"/>
    <s v="Part of the Alaska Power Company's grid on Prince of Wales Island."/>
    <x v="2"/>
    <s v="Prince of Wales-Hyder (CA)"/>
    <s v="Sealaska"/>
    <s v="SE"/>
  </r>
  <r>
    <s v="Alaska Power &amp; Telephone Company"/>
    <s v="Craig"/>
    <s v="Craig"/>
    <s v="DFO"/>
    <s v="IC"/>
    <n v="9481.9480000000003"/>
    <n v="28594.924999999999"/>
    <n v="73.150000000000006"/>
    <n v="2091.7187637500001"/>
    <n v="0.33159548416371087"/>
    <n v="2779"/>
    <n v="4909"/>
    <n v="5.8250000000000002"/>
    <s v="EIA"/>
    <e v="#N/A"/>
    <x v="2"/>
    <s v="Prince of Wales-Hyder (CA)"/>
    <s v="Sealaska"/>
    <s v="SE"/>
  </r>
  <r>
    <s v="Alaska Power &amp; Telephone Company"/>
    <s v="Viking"/>
    <s v="Craig"/>
    <s v="DFO"/>
    <s v="IC"/>
    <n v="221.78"/>
    <n v="1031.0250000000001"/>
    <n v="73.150000000000006"/>
    <n v="75.41947875000001"/>
    <n v="0.21510632622875292"/>
    <n v="65"/>
    <n v="177"/>
    <n v="5.8250000000000002"/>
    <s v="EIA"/>
    <s v="Provides power to Hollis, Klawock, Thorne Bay/Kasaan and Hydaburg via intertie."/>
    <x v="2"/>
    <s v="Prince of Wales-Hyder (CA)"/>
    <s v="Sealaska"/>
    <s v="SE"/>
  </r>
  <r>
    <s v="Alaska Power &amp; Telephone Company"/>
    <s v="Tok"/>
    <s v="Dot Lake, Dot Lake Village"/>
    <s v="DFO"/>
    <s v="IC"/>
    <n v="-2.0471999999999997"/>
    <n v="0"/>
    <n v="73.150000000000006"/>
    <n v="0"/>
    <s v=" "/>
    <n v="-0.6"/>
    <n v="0"/>
    <n v="5.8250000000000002"/>
    <s v="PCE"/>
    <s v="Receives power form Tok via intertie. Dot Lake's data includes Dot Lake Village's information. For fuel use and cost information, please refer to Tok."/>
    <x v="3"/>
    <s v="Southeast Fairbanks (CA)"/>
    <s v="Doyon"/>
    <s v="YU"/>
  </r>
  <r>
    <s v="Alaska Power &amp; Telephone Company"/>
    <s v="Eagle"/>
    <s v="Eagle, Eagle Village"/>
    <s v="DFO"/>
    <s v="IC"/>
    <n v="2558.1197039999997"/>
    <n v="7539.4916666666668"/>
    <n v="73.150000000000006"/>
    <n v="551.51381541666672"/>
    <n v="0.33929604502513983"/>
    <n v="749.74199999999996"/>
    <n v="1294.3333333333333"/>
    <n v="5.8250000000000002"/>
    <s v="PCE"/>
    <s v="Provides power to Eagle Village via intertie. Data includes Eagle Village's information."/>
    <x v="3"/>
    <s v="Southeast Fairbanks (CA)"/>
    <s v="Doyon"/>
    <s v="YU"/>
  </r>
  <r>
    <s v="Alaska Power &amp; Telephone Company"/>
    <s v="Haines"/>
    <s v="Haines, Skagway"/>
    <s v="DFO"/>
    <s v="IC"/>
    <n v="631.22"/>
    <n v="5115.5982142857138"/>
    <n v="73.150000000000006"/>
    <n v="374.20600937499995"/>
    <n v="0.1233912386311474"/>
    <n v="185"/>
    <n v="878.21428571428567"/>
    <n v="5.8250000000000002"/>
    <s v="PCE"/>
    <s v="Plant is also referred to as Lutak. Part of the Alaska Power Company's grid in the Upper Lynn Canal service area."/>
    <x v="2"/>
    <s v="Haines"/>
    <s v="Sealaska"/>
    <s v="SE"/>
  </r>
  <r>
    <s v="Alaska Power &amp; Telephone Company"/>
    <s v="Skagway"/>
    <s v="Haines, Skagway"/>
    <s v="DFO"/>
    <s v="IC"/>
    <n v="324.14"/>
    <n v="2070.3714285714286"/>
    <n v="73.150000000000006"/>
    <n v="151.44767000000002"/>
    <n v="0.15656127954956323"/>
    <n v="95"/>
    <n v="355.42857142857144"/>
    <n v="5.8250000000000002"/>
    <s v="EIA, PCE"/>
    <s v="Plant is also referred to as Dewey Lake. Part of the Alaska Power Company's grid in the Upper Lynn Canal service area."/>
    <x v="2"/>
    <s v="Skagway"/>
    <s v="Sealaska"/>
    <s v="SE"/>
  </r>
  <r>
    <s v="Alaska Power &amp; Telephone Company"/>
    <s v="Healy Lake"/>
    <s v="Healy Lake"/>
    <s v="DFO"/>
    <s v="IC"/>
    <n v="284.21959999999996"/>
    <n v="1262.0833333333333"/>
    <n v="73.150000000000006"/>
    <n v="92.321395833333327"/>
    <n v="0.22519875866622646"/>
    <n v="83.3"/>
    <n v="216.66666666666666"/>
    <n v="5.8250000000000002"/>
    <s v="PCE"/>
    <n v="0"/>
    <x v="3"/>
    <s v="Southeast Fairbanks (CA)"/>
    <s v="Doyon"/>
    <s v="YU"/>
  </r>
  <r>
    <s v="Alaska Power &amp; Telephone Company"/>
    <s v="Hollis"/>
    <s v="Hollis"/>
    <s v="DFO"/>
    <s v="IC"/>
    <n v="-42.131376000000003"/>
    <n v="0"/>
    <n v="73.150000000000006"/>
    <n v="0"/>
    <s v=" "/>
    <n v="-12.348000000000001"/>
    <n v="0"/>
    <n v="5.8250000000000002"/>
    <s v="PCE"/>
    <s v="Part of the Alaska Power Company's grid on Prince of Wales Island. Receives power from Craig. Refer to Craig for fuel use and cost."/>
    <x v="2"/>
    <s v="Prince of Wales-Hyder (CA)"/>
    <s v="Sealaska"/>
    <s v="SE"/>
  </r>
  <r>
    <s v="Alaska Power &amp; Telephone Company"/>
    <s v="Hydaburg"/>
    <s v="Hydaburg"/>
    <s v="DFO"/>
    <s v="IC"/>
    <n v="78.475999999999999"/>
    <n v="535.9"/>
    <n v="73.150000000000006"/>
    <n v="39.201084999999999"/>
    <n v="0.14643776824034335"/>
    <n v="23"/>
    <n v="92"/>
    <n v="5.8250000000000002"/>
    <s v="EIA"/>
    <s v="Part of the Alaska Power Company's grid on Prince of Wales Island. Receives power from Craig. Refer to Craig for fuel use and cost."/>
    <x v="2"/>
    <s v="Prince of Wales-Hyder (CA)"/>
    <s v="Sealaska"/>
    <s v="SE"/>
  </r>
  <r>
    <s v="Alaska Power &amp; Telephone Company"/>
    <s v="Craig"/>
    <s v="Klawock"/>
    <s v="DFO"/>
    <s v="IC"/>
    <n v="-93.488799999999998"/>
    <n v="0"/>
    <n v="73.150000000000006"/>
    <n v="0"/>
    <s v=" "/>
    <n v="-27.4"/>
    <n v="0"/>
    <n v="5.8250000000000002"/>
    <s v="PCE"/>
    <s v="Part of the Alaska Power Company's grid on Prince of Wales Island. Receives power from Craig. Refer to Craig for fuel use and cost."/>
    <x v="2"/>
    <s v="Prince of Wales-Hyder (CA)"/>
    <s v="Sealaska"/>
    <s v="SE"/>
  </r>
  <r>
    <s v="Alaska Power &amp; Telephone Company"/>
    <s v="Mentasta Lake"/>
    <s v="Mentasta Lake"/>
    <s v="DFO"/>
    <s v="IC"/>
    <n v="809.01249599999994"/>
    <n v="2743.1589285714285"/>
    <n v="73.150000000000006"/>
    <n v="200.66207562500003"/>
    <n v="0.29492002361719316"/>
    <n v="237.108"/>
    <n v="470.92857142857144"/>
    <n v="5.8250000000000002"/>
    <s v="PCE"/>
    <n v="0"/>
    <x v="4"/>
    <s v="Valdez-Cordova (CA)"/>
    <s v="Ahtna"/>
    <s v="YU"/>
  </r>
  <r>
    <s v="Alaska Power &amp; Telephone Company"/>
    <s v="Naukati Bay"/>
    <s v="Naukati Bay"/>
    <s v="DFO"/>
    <s v="IC"/>
    <n v="1535.086096"/>
    <n v="5176.2059523809521"/>
    <n v="73.150000000000006"/>
    <n v="378.63946541666672"/>
    <n v="0.2965658843798305"/>
    <n v="449.90800000000002"/>
    <n v="888.61904761904759"/>
    <n v="5.8250000000000002"/>
    <s v="PCE"/>
    <n v="0"/>
    <x v="2"/>
    <s v="Prince of Wales-Hyder (CA)"/>
    <s v="Sealaska"/>
    <s v="SE"/>
  </r>
  <r>
    <s v="Alaska Power &amp; Telephone Company"/>
    <s v="Northway"/>
    <s v="Northway, Northway Village"/>
    <s v="DFO"/>
    <s v="IC"/>
    <n v="4401.4799999999996"/>
    <n v="13677.1"/>
    <n v="73.150000000000006"/>
    <n v="1000.4798650000001"/>
    <n v="0.32181383480416165"/>
    <n v="1290"/>
    <n v="2348"/>
    <n v="5.8250000000000002"/>
    <s v="EIA"/>
    <s v="Provides power to Northway Village via intertie. Data includes Northway Village's information."/>
    <x v="3"/>
    <s v="Southeast Fairbanks (CA)"/>
    <s v="Doyon"/>
    <s v="YU"/>
  </r>
  <r>
    <s v="Alaska Power &amp; Telephone Company"/>
    <s v="Slana"/>
    <s v="Slana, Chistochina"/>
    <s v="DFO"/>
    <s v="IC"/>
    <n v="3925.3626960000001"/>
    <n v="13124.279761904761"/>
    <n v="73.150000000000006"/>
    <n v="960.04106458333331"/>
    <n v="0.29909166576850704"/>
    <n v="1150.4580000000001"/>
    <n v="2253.0952380952381"/>
    <n v="5.8250000000000002"/>
    <s v="PCE"/>
    <s v="Provides power to Chistochina via intertie. Includes Chistochina's fuel use and fuel cost."/>
    <x v="4"/>
    <s v="Valdez-Cordova (CA)"/>
    <s v="Ahtna"/>
    <s v="YU"/>
  </r>
  <r>
    <s v="Alaska Power &amp; Telephone Company"/>
    <s v="Tok"/>
    <s v="Tetlin"/>
    <s v="DFO"/>
    <s v="IC"/>
    <n v="0"/>
    <n v="0"/>
    <n v="73.150000000000006"/>
    <n v="0"/>
    <s v=" "/>
    <n v="0"/>
    <n v="0"/>
    <n v="5.8250000000000002"/>
    <s v="PCE"/>
    <s v="Receives power from Tok via intertie. For fuel use and cost information please refer to Tok."/>
    <x v="3"/>
    <s v="Southeast Fairbanks (CA)"/>
    <s v="Dyon"/>
    <s v="YU"/>
  </r>
  <r>
    <s v="Alaska Power &amp; Telephone Company"/>
    <s v="False Island"/>
    <s v="Thorne Bay, Kasaan"/>
    <s v="DFO"/>
    <s v="IC"/>
    <n v="3169.748"/>
    <n v="9424.85"/>
    <n v="73.150000000000006"/>
    <n v="689.42777750000005"/>
    <n v="0.336318137689194"/>
    <n v="929"/>
    <n v="1618"/>
    <n v="5.8250000000000002"/>
    <s v="EIA"/>
    <s v="Part of the Alaska Power Company's grid on Prince of Wales Island. Receives power from Craig. Refer to Craig for fuel use and cost. Includes data for Kaasan."/>
    <x v="2"/>
    <s v="Prince of Wales-Hyder (CA)"/>
    <s v="Sealaska"/>
    <s v="SE"/>
  </r>
  <r>
    <s v="Alaska Power &amp; Telephone Company"/>
    <s v="Thorne Bay Plant"/>
    <s v="Thorne Bay, Kasaan"/>
    <s v="DFO"/>
    <s v="IC"/>
    <n v="406.02799999999996"/>
    <n v="1898.95"/>
    <n v="73.150000000000006"/>
    <n v="138.90819250000001"/>
    <n v="0.21381710945522522"/>
    <n v="119"/>
    <n v="326"/>
    <n v="5.8250000000000002"/>
    <s v="EIA"/>
    <s v="Part of the Alaska Power Company's grid on Prince of Wales Island. Receives power from Craig. Refer to Craig for fuel use and cost. Includes data for Kaasan."/>
    <x v="2"/>
    <s v="Prince of Wales-Hyder (CA)"/>
    <s v="Sealaska"/>
    <s v="SE"/>
  </r>
  <r>
    <s v="Alaska Power &amp; Telephone Company"/>
    <s v="Tok"/>
    <s v="Tok, Tanacross"/>
    <s v="DFO"/>
    <s v="IC"/>
    <n v="35484.799999999996"/>
    <n v="104284.00416666667"/>
    <n v="73.150000000000006"/>
    <n v="7628.3749047916672"/>
    <n v="0.34027078537652045"/>
    <n v="10400"/>
    <n v="17902.833333333332"/>
    <n v="5.8250000000000002"/>
    <s v="PCE"/>
    <s v="Provides power to Tanacross, Tetlin and Dot Lake via intertie. Includes Tanacross' information. Fuel use and cost also includes Tetlin's and Dot Lake's information."/>
    <x v="3"/>
    <s v="Southeast Fairbanks (CA)"/>
    <s v="Doyon"/>
    <s v="YU"/>
  </r>
  <r>
    <s v="Alaska Power &amp; Telephone Company"/>
    <s v="Whale Pass"/>
    <s v="Whale Pass"/>
    <s v="DFO"/>
    <s v="IC"/>
    <n v="911.14730399999985"/>
    <n v="3243.1380952380955"/>
    <n v="73.150000000000006"/>
    <n v="237.23555166666671"/>
    <n v="0.28094619385398323"/>
    <n v="267.04199999999997"/>
    <n v="556.76190476190482"/>
    <n v="5.8250000000000002"/>
    <s v="PCE"/>
    <n v="0"/>
    <x v="2"/>
    <s v="Prince of Wales-Hyder (CA)"/>
    <s v="Sealaska"/>
    <s v="SE"/>
  </r>
  <r>
    <s v="Alaska Village Electric Cooperative"/>
    <s v="Alakanuk"/>
    <s v="Alakanuk"/>
    <s v="DFO"/>
    <s v="IC"/>
    <n v="6640.4616960000003"/>
    <n v="21182.47380952381"/>
    <n v="73.150000000000006"/>
    <n v="1549.4979591666668"/>
    <n v="0.31348848844153393"/>
    <n v="1946.2080000000001"/>
    <n v="3636.4761904761904"/>
    <n v="5.8250000000000002"/>
    <s v="PCE"/>
    <n v="0"/>
    <x v="0"/>
    <s v="Wade Hampton (CA)"/>
    <s v="Calista"/>
    <s v="YU"/>
  </r>
  <r>
    <s v="Alaska Village Electric Cooperative"/>
    <s v="Ambler"/>
    <s v="Ambler"/>
    <s v="DFO"/>
    <s v="IC"/>
    <n v="4359.7648879999997"/>
    <n v="13249.239880952382"/>
    <n v="73.150000000000006"/>
    <n v="969.18189729166681"/>
    <n v="0.32905773668327687"/>
    <n v="1277.7739999999999"/>
    <n v="2274.5476190476193"/>
    <n v="5.8250000000000002"/>
    <s v="PCE"/>
    <n v="0"/>
    <x v="5"/>
    <s v="Northwest Arctic"/>
    <s v="NANA"/>
    <s v="AN"/>
  </r>
  <r>
    <s v="Alaska Village Electric Cooperative"/>
    <s v="Anvik"/>
    <s v="Anvik"/>
    <s v="DFO"/>
    <s v="IC"/>
    <n v="1383.29304"/>
    <n v="4688.7089285714292"/>
    <n v="73.150000000000006"/>
    <n v="342.97905812500011"/>
    <n v="0.2950264264797231"/>
    <n v="405.42"/>
    <n v="804.92857142857144"/>
    <n v="5.8250000000000002"/>
    <s v="PCE"/>
    <n v="0"/>
    <x v="3"/>
    <s v="Yukon-Koyukuk (CA)"/>
    <s v="Doyon"/>
    <s v="YU"/>
  </r>
  <r>
    <s v="Alaska Village Electric Cooperative"/>
    <s v="Brevig Mission"/>
    <s v="Brevig Mission"/>
    <s v="DFO"/>
    <s v="IC"/>
    <n v="4013.6447840000001"/>
    <n v="12346.642261904763"/>
    <n v="73.150000000000006"/>
    <n v="903.15688145833349"/>
    <n v="0.32507986372813236"/>
    <n v="1176.3320000000001"/>
    <n v="2119.5952380952381"/>
    <n v="5.8250000000000002"/>
    <s v="PCE"/>
    <n v="0"/>
    <x v="6"/>
    <s v="Nome (CA)"/>
    <s v="Bering Straits"/>
    <s v="AN"/>
  </r>
  <r>
    <s v="Alaska Village Electric Cooperative"/>
    <s v="Chevak"/>
    <s v="Chevak"/>
    <s v="DFO"/>
    <s v="IC"/>
    <n v="5654.5950039999998"/>
    <n v="18345.560119047619"/>
    <n v="73.150000000000006"/>
    <n v="1341.9777227083334"/>
    <n v="0.30822689344486198"/>
    <n v="1657.2670000000001"/>
    <n v="3149.4523809523807"/>
    <n v="5.8250000000000002"/>
    <s v="PCE"/>
    <n v="0"/>
    <x v="0"/>
    <s v="Wade Hampton (CA)"/>
    <s v="Calista"/>
    <s v="YU"/>
  </r>
  <r>
    <s v="Alaska Village Electric Cooperative"/>
    <s v="Eek"/>
    <s v="Eek"/>
    <s v="DFO"/>
    <s v="IC"/>
    <n v="2731.5721359999998"/>
    <n v="8088.8446428571433"/>
    <n v="73.150000000000006"/>
    <n v="591.69898562500009"/>
    <n v="0.33769620466281491"/>
    <n v="800.57799999999997"/>
    <n v="1388.6428571428571"/>
    <n v="5.8250000000000002"/>
    <s v="PCE"/>
    <n v="0"/>
    <x v="0"/>
    <s v="Bethel (CA)"/>
    <s v="Calista"/>
    <s v="SW"/>
  </r>
  <r>
    <s v="Alaska Village Electric Cooperative"/>
    <s v="Ekwok"/>
    <s v="Ekwok"/>
    <s v="DFO"/>
    <s v="IC"/>
    <n v="892.29088599999989"/>
    <n v="3218.425948809524"/>
    <n v="73.150000000000006"/>
    <n v="235.42785815541671"/>
    <n v="0.27724449783598493"/>
    <n v="261.51549999999997"/>
    <n v="552.51947619047621"/>
    <n v="5.8250000000000002"/>
    <s v="PCE"/>
    <n v="0"/>
    <x v="7"/>
    <s v="Dillingham (CA)"/>
    <s v="Bristol Bay"/>
    <s v="SW"/>
  </r>
  <r>
    <s v="Alaska Village Electric Cooperative"/>
    <s v="Elim"/>
    <s v="Elim"/>
    <s v="DFO"/>
    <s v="IC"/>
    <n v="3956.0263399999999"/>
    <n v="11320.61011904762"/>
    <n v="73.150000000000006"/>
    <n v="828.10263020833349"/>
    <n v="0.34945345687188212"/>
    <n v="1159.4449999999999"/>
    <n v="1943.452380952381"/>
    <n v="5.8250000000000002"/>
    <s v="PCE"/>
    <n v="0"/>
    <x v="6"/>
    <s v="Nome (CA)"/>
    <s v="Bering Straits"/>
    <s v="AN"/>
  </r>
  <r>
    <s v="Alaska Village Electric Cooperative"/>
    <s v="Emmonak"/>
    <s v="Emmonak"/>
    <s v="DFO"/>
    <s v="IC"/>
    <n v="10542.684208000001"/>
    <n v="31470.394642857143"/>
    <n v="73.150000000000006"/>
    <n v="2302.0593681250002"/>
    <n v="0.33500324122541247"/>
    <n v="3089.884"/>
    <n v="5402.6428571428569"/>
    <n v="5.8250000000000002"/>
    <s v="PCE"/>
    <n v="0"/>
    <x v="0"/>
    <s v="Wade Hampton (CA)"/>
    <s v="Calista"/>
    <s v="YU"/>
  </r>
  <r>
    <s v="Alaska Village Electric Cooperative"/>
    <s v="Gambell"/>
    <s v="Gambell"/>
    <s v="DFO"/>
    <s v="IC"/>
    <n v="5103.9459720000004"/>
    <n v="17456.831547619047"/>
    <n v="73.150000000000006"/>
    <n v="1276.9672277083334"/>
    <n v="0.29237527772880023"/>
    <n v="1495.8810000000001"/>
    <n v="2996.8809523809523"/>
    <n v="5.8250000000000002"/>
    <s v="PCE"/>
    <n v="0"/>
    <x v="6"/>
    <s v="Nome (CA)"/>
    <s v="Bering Straits"/>
    <s v="AN"/>
  </r>
  <r>
    <s v="Alaska Village Electric Cooperative"/>
    <s v="Goodnews Bay"/>
    <s v="Goodnews Bay"/>
    <s v="DFO"/>
    <s v="IC"/>
    <n v="2637.7250759999997"/>
    <n v="8167.2047619047617"/>
    <n v="73.150000000000006"/>
    <n v="597.4310283333333"/>
    <n v="0.32296546405980248"/>
    <n v="773.07299999999998"/>
    <n v="1402.0952380952381"/>
    <n v="5.8250000000000002"/>
    <s v="PCE"/>
    <n v="0"/>
    <x v="0"/>
    <s v="Bethel (CA)"/>
    <s v="Calista"/>
    <s v="SW"/>
  </r>
  <r>
    <s v="Alaska Village Electric Cooperative"/>
    <s v="Grayling"/>
    <s v="Grayling"/>
    <s v="DFO"/>
    <s v="IC"/>
    <n v="1941.588364"/>
    <n v="6766.5696428571428"/>
    <n v="73.150000000000006"/>
    <n v="494.97456937500004"/>
    <n v="0.28693835524911204"/>
    <n v="569.04700000000003"/>
    <n v="1161.6428571428571"/>
    <n v="5.8250000000000002"/>
    <s v="PCE"/>
    <n v="0"/>
    <x v="3"/>
    <s v="Yukon-Koyukuk (CA)"/>
    <s v="Doyon"/>
    <s v="YU"/>
  </r>
  <r>
    <s v="Alaska Village Electric Cooperative"/>
    <s v="Holy Cross"/>
    <s v="Holy Cross"/>
    <s v="DFO"/>
    <s v="IC"/>
    <n v="2027.9972639999999"/>
    <n v="6587.2428571428572"/>
    <n v="73.150000000000006"/>
    <n v="481.85681500000004"/>
    <n v="0.30786738973817357"/>
    <n v="594.37199999999996"/>
    <n v="1130.8571428571429"/>
    <n v="5.8250000000000002"/>
    <s v="PCE"/>
    <n v="0"/>
    <x v="3"/>
    <s v="Yukon-Koyukuk (CA)"/>
    <s v="Doyon"/>
    <s v="YU"/>
  </r>
  <r>
    <s v="Alaska Village Electric Cooperative"/>
    <s v="Hooper Bay"/>
    <s v="Hooper Bay"/>
    <s v="DFO"/>
    <s v="IC"/>
    <n v="9251.528816"/>
    <n v="28560.945833333335"/>
    <n v="73.150000000000006"/>
    <n v="2089.2331877083334"/>
    <n v="0.3239223543221243"/>
    <n v="2711.4679999999998"/>
    <n v="4903.166666666667"/>
    <n v="5.8250000000000002"/>
    <s v="PCE"/>
    <n v="0"/>
    <x v="0"/>
    <s v="Wade Hampton (CA)"/>
    <s v="Calista"/>
    <s v="YU"/>
  </r>
  <r>
    <s v="Alaska Village Electric Cooperative"/>
    <s v="Huslia"/>
    <s v="Huslia"/>
    <s v="DFO"/>
    <s v="IC"/>
    <n v="3431.7895999999996"/>
    <n v="10408.026785714286"/>
    <n v="73.150000000000006"/>
    <n v="761.34715937500005"/>
    <n v="0.32972528517224425"/>
    <n v="1005.8"/>
    <n v="1786.7857142857142"/>
    <n v="5.8250000000000002"/>
    <s v="PCE"/>
    <n v="0"/>
    <x v="3"/>
    <s v="Yukon-Koyukuk (CA)"/>
    <s v="Doyon"/>
    <s v="YU"/>
  </r>
  <r>
    <s v="Alaska Village Electric Cooperative"/>
    <s v="Upper Kalskag"/>
    <s v="Kalskag, Lower Kalskag"/>
    <s v="DFO"/>
    <s v="IC"/>
    <n v="5023.1668719999998"/>
    <n v="14855.552976190476"/>
    <n v="73.150000000000006"/>
    <n v="1086.6837002083332"/>
    <n v="0.33813395435705479"/>
    <n v="1472.2059999999999"/>
    <n v="2550.3095238095239"/>
    <n v="5.8250000000000002"/>
    <s v="PCE"/>
    <s v="Provides power to Lower Kalskag via intertie. Fuel use and cost data includes information for Lower Kalskag."/>
    <x v="0"/>
    <s v="Bethel (CA)"/>
    <s v="Calista"/>
    <s v="SW"/>
  </r>
  <r>
    <s v="Alaska Village Electric Cooperative"/>
    <s v="Kaltag"/>
    <s v="Kaltag"/>
    <s v="DFO"/>
    <s v="IC"/>
    <n v="2480.653656"/>
    <n v="7419.8017857142859"/>
    <n v="73.150000000000006"/>
    <n v="542.75850062500012"/>
    <n v="0.33432883082889436"/>
    <n v="727.03800000000001"/>
    <n v="1273.7857142857142"/>
    <n v="5.8250000000000002"/>
    <s v="PCE"/>
    <n v="0"/>
    <x v="3"/>
    <s v="Yukon-Koyukuk (CA)"/>
    <s v="Doyon"/>
    <s v="YU"/>
  </r>
  <r>
    <s v="Alaska Village Electric Cooperative"/>
    <s v="Kasigluk"/>
    <s v="Kasigluk, Nunapitchuk"/>
    <s v="DFO"/>
    <s v="IC"/>
    <n v="7801.2650400000002"/>
    <n v="23418.99642857143"/>
    <n v="73.150000000000006"/>
    <n v="1713.0995887500003"/>
    <n v="0.3331169661259426"/>
    <n v="2286.42"/>
    <n v="4020.4285714285716"/>
    <n v="5.8250000000000002"/>
    <s v="PCE"/>
    <s v="Provides power to Nunapitchuk via intertie.  Fuel use and cost includes Nunapitchuk's information."/>
    <x v="0"/>
    <s v="Bethel (CA)"/>
    <s v="Calista"/>
    <s v="SW"/>
  </r>
  <r>
    <s v="Alaska Village Electric Cooperative"/>
    <s v="Kiana"/>
    <s v="Kiana"/>
    <s v="DFO"/>
    <s v="IC"/>
    <n v="5158.0295839999999"/>
    <n v="16767.968434523809"/>
    <n v="73.150000000000006"/>
    <n v="1226.5768909854166"/>
    <n v="0.30761207621193148"/>
    <n v="1511.732"/>
    <n v="2878.6211904761903"/>
    <n v="5.8250000000000002"/>
    <s v="PCE"/>
    <n v="0"/>
    <x v="5"/>
    <s v="Northwest Arctic"/>
    <s v="NANA"/>
    <s v="AN"/>
  </r>
  <r>
    <s v="Alaska Village Electric Cooperative"/>
    <s v="Kivalina"/>
    <s v="Kivalina"/>
    <s v="DFO"/>
    <s v="IC"/>
    <n v="4135.6340200000004"/>
    <n v="13040.649404761905"/>
    <n v="73.150000000000006"/>
    <n v="953.92350395833341"/>
    <n v="0.31713405457322075"/>
    <n v="1212.085"/>
    <n v="2238.7380952380954"/>
    <n v="5.8250000000000002"/>
    <s v="PCE"/>
    <n v="0"/>
    <x v="5"/>
    <s v="Northwest Arctic"/>
    <s v="NANA"/>
    <s v="AN"/>
  </r>
  <r>
    <s v="Alaska Village Electric Cooperative"/>
    <s v="Kotlik"/>
    <s v="Kotlik"/>
    <s v="DFO"/>
    <s v="IC"/>
    <n v="6709.5512840000001"/>
    <n v="21000.650595238094"/>
    <n v="73.150000000000006"/>
    <n v="1536.1975910416668"/>
    <n v="0.31949254398439414"/>
    <n v="1966.4570000000001"/>
    <n v="3605.2619047619046"/>
    <n v="5.8250000000000002"/>
    <s v="PCE"/>
    <n v="0"/>
    <x v="0"/>
    <s v="Wade Hampton (CA)"/>
    <s v="Calista"/>
    <s v="YU"/>
  </r>
  <r>
    <s v="Alaska Village Electric Cooperative"/>
    <s v="Koyuk"/>
    <s v="Koyuk"/>
    <s v="DFO"/>
    <s v="IC"/>
    <n v="4489.9122159999997"/>
    <n v="13318.585119047619"/>
    <n v="73.150000000000006"/>
    <n v="974.25450145833338"/>
    <n v="0.33711630596396736"/>
    <n v="1315.9179999999999"/>
    <n v="2286.4523809523807"/>
    <n v="5.8250000000000002"/>
    <s v="PCE"/>
    <n v="0"/>
    <x v="6"/>
    <s v="Nome (CA)"/>
    <s v="Bering Straits"/>
    <s v="AN"/>
  </r>
  <r>
    <s v="Alaska Village Electric Cooperative"/>
    <s v="Upper Kalskag"/>
    <s v="Lower Kalskag"/>
    <s v="DFO"/>
    <s v="IC"/>
    <n v="0"/>
    <n v="0"/>
    <n v="73.150000000000006"/>
    <n v="0"/>
    <s v=" "/>
    <n v="0"/>
    <n v="0"/>
    <n v="5.8250000000000002"/>
    <s v="PCE"/>
    <s v="Receives power from (Upper) Kalskag via intertie. For fuel use and cost, please refer to (Upper) Kalskag."/>
    <x v="0"/>
    <s v="Bethel (CA)"/>
    <s v="Calista"/>
    <s v="SW"/>
  </r>
  <r>
    <s v="Alaska Village Electric Cooperative"/>
    <s v="Marshall"/>
    <s v="Marshall"/>
    <s v="DFO"/>
    <s v="IC"/>
    <n v="5609.9285119999995"/>
    <n v="17130.354166666668"/>
    <n v="73.150000000000006"/>
    <n v="1253.0854072916668"/>
    <n v="0.32748467763241901"/>
    <n v="1644.1759999999999"/>
    <n v="2940.8333333333335"/>
    <n v="5.8250000000000002"/>
    <s v="PCE"/>
    <n v="0"/>
    <x v="0"/>
    <s v="Wade Hampton (CA)"/>
    <s v="Calista"/>
    <s v="YU"/>
  </r>
  <r>
    <s v="Alaska Village Electric Cooperative"/>
    <s v="Mekoryuk"/>
    <s v="Mekoryuk"/>
    <s v="DFO"/>
    <s v="IC"/>
    <n v="2418.5313719999999"/>
    <n v="8074.8369047619044"/>
    <n v="73.150000000000006"/>
    <n v="590.67431958333339"/>
    <n v="0.29951457850173296"/>
    <n v="708.83100000000002"/>
    <n v="1386.2380952380952"/>
    <n v="5.8250000000000002"/>
    <s v="PCE"/>
    <n v="0"/>
    <x v="0"/>
    <s v="Bethel (CA)"/>
    <s v="Calista"/>
    <s v="SW"/>
  </r>
  <r>
    <s v="Alaska Village Electric Cooperative"/>
    <s v="Minto"/>
    <s v="Minto"/>
    <s v="DFO"/>
    <s v="IC"/>
    <n v="2226.886156"/>
    <n v="6678.6398809523807"/>
    <n v="73.150000000000006"/>
    <n v="488.54250729166671"/>
    <n v="0.33343408174336897"/>
    <n v="652.66300000000001"/>
    <n v="1146.547619047619"/>
    <n v="5.8250000000000002"/>
    <s v="PCE"/>
    <n v="0"/>
    <x v="3"/>
    <s v="Yukon-Koyukuk (CA)"/>
    <s v="Doyon"/>
    <s v="YU"/>
  </r>
  <r>
    <s v="Alaska Village Electric Cooperative"/>
    <s v="Mountain Village"/>
    <s v="Mountain Village"/>
    <s v="DFO"/>
    <s v="IC"/>
    <n v="9542.9067919999998"/>
    <n v="28442.504166666666"/>
    <n v="73.150000000000006"/>
    <n v="2080.569179791667"/>
    <n v="0.33551570340222914"/>
    <n v="2796.866"/>
    <n v="4882.833333333333"/>
    <n v="5.8250000000000002"/>
    <s v="PCE"/>
    <n v="0"/>
    <x v="0"/>
    <s v="Wade Hampton (CA)"/>
    <s v="Calista"/>
    <s v="YU"/>
  </r>
  <r>
    <s v="Alaska Village Electric Cooperative"/>
    <s v="New Stuyahok"/>
    <s v="New Stuyahok"/>
    <s v="DFO"/>
    <s v="IC"/>
    <n v="5003.2817359999999"/>
    <n v="15855.23392857143"/>
    <n v="73.150000000000006"/>
    <n v="1159.8103618750001"/>
    <n v="0.31556025969342477"/>
    <n v="1466.3779999999999"/>
    <n v="2721.9285714285716"/>
    <n v="5.8250000000000002"/>
    <s v="PCE"/>
    <n v="0"/>
    <x v="7"/>
    <s v="Dillingham (CA)"/>
    <s v="Bristol Bay"/>
    <s v="SW"/>
  </r>
  <r>
    <s v="Alaska Village Electric Cooperative"/>
    <s v="Nightmute"/>
    <s v="Nightmute"/>
    <s v="DFO"/>
    <s v="IC"/>
    <n v="0"/>
    <n v="0"/>
    <n v="73.150000000000006"/>
    <n v="0"/>
    <s v=" "/>
    <n v="0"/>
    <n v="0"/>
    <n v="5.8250000000000002"/>
    <s v="PCE"/>
    <s v="Receives power from Toksook Bay via intertie. For fuel use and cost, please refer to Toksook Bay."/>
    <x v="0"/>
    <s v="Bethel (CA)"/>
    <s v="Calista"/>
    <s v="SW"/>
  </r>
  <r>
    <s v="Alaska Village Electric Cooperative"/>
    <s v="Noatak"/>
    <s v="Noatak"/>
    <s v="DFO"/>
    <s v="IC"/>
    <n v="6143.7836800000005"/>
    <n v="17659.874404761907"/>
    <n v="73.150000000000006"/>
    <n v="1291.8198127083335"/>
    <n v="0.34789509478863317"/>
    <n v="1800.64"/>
    <n v="3031.7380952380954"/>
    <n v="5.8250000000000002"/>
    <s v="PCE"/>
    <n v="0"/>
    <x v="5"/>
    <s v="Northwest Arctic"/>
    <s v="NANA"/>
    <s v="AN"/>
  </r>
  <r>
    <s v="Alaska Village Electric Cooperative"/>
    <s v="Noorvik"/>
    <s v="Noorvik"/>
    <s v="DFO"/>
    <s v="IC"/>
    <n v="6829.0292879999997"/>
    <n v="21269.294047619049"/>
    <n v="73.150000000000006"/>
    <n v="1555.8488595833337"/>
    <n v="0.32107456282802499"/>
    <n v="2001.4739999999999"/>
    <n v="3651.3809523809523"/>
    <n v="5.8250000000000002"/>
    <s v="PCE"/>
    <n v="0"/>
    <x v="5"/>
    <s v="Northwest Arctic"/>
    <s v="NANA"/>
    <s v="AN"/>
  </r>
  <r>
    <s v="Alaska Village Electric Cooperative"/>
    <s v="Nulato"/>
    <s v="Nulato"/>
    <s v="DFO"/>
    <s v="IC"/>
    <n v="3788.0501679999998"/>
    <n v="11618.239880952382"/>
    <n v="73.150000000000006"/>
    <n v="849.87424729166685"/>
    <n v="0.32604337720813886"/>
    <n v="1110.2139999999999"/>
    <n v="1994.547619047619"/>
    <n v="5.8250000000000002"/>
    <s v="PCE"/>
    <n v="0"/>
    <x v="3"/>
    <s v="Yukon-Koyukuk (CA)"/>
    <s v="Doyon"/>
    <s v="YU"/>
  </r>
  <r>
    <s v="Alaska Village Electric Cooperative"/>
    <s v="Nunapitchuk"/>
    <s v="Nunapitchuk"/>
    <s v="DFO"/>
    <s v="IC"/>
    <n v="0"/>
    <n v="0"/>
    <n v="73.150000000000006"/>
    <n v="0"/>
    <s v=" "/>
    <n v="0"/>
    <n v="0"/>
    <n v="5.8250000000000002"/>
    <s v="PCE"/>
    <s v="Receives power from Kasigluk. Please refer to Kasigluk for fuel use and cost."/>
    <x v="0"/>
    <s v="Bethel (CA)"/>
    <s v="Calista"/>
    <s v="SW"/>
  </r>
  <r>
    <s v="Alaska Village Electric Cooperative"/>
    <s v="Old Harbor"/>
    <s v="Old Harbor"/>
    <s v="DFO"/>
    <s v="IC"/>
    <n v="2688.720828"/>
    <n v="7820.7559523809532"/>
    <n v="73.150000000000006"/>
    <n v="572.08829791666676"/>
    <n v="0.34379295868213927"/>
    <n v="788.01900000000001"/>
    <n v="1342.6190476190477"/>
    <n v="5.8250000000000002"/>
    <s v="PCE"/>
    <n v="0"/>
    <x v="8"/>
    <s v="Kodiak Island"/>
    <s v="Koniag"/>
    <s v="SC"/>
  </r>
  <r>
    <s v="Alaska Village Electric Cooperative"/>
    <s v="Pilot Station"/>
    <s v="Pilot Station"/>
    <s v="DFO"/>
    <s v="IC"/>
    <n v="5973.289452"/>
    <n v="18519.477976190476"/>
    <n v="73.150000000000006"/>
    <n v="1354.6998139583334"/>
    <n v="0.322540919332583"/>
    <n v="1750.671"/>
    <n v="3179.3095238095239"/>
    <n v="5.8250000000000002"/>
    <s v="PCE"/>
    <n v="0"/>
    <x v="0"/>
    <s v="Wade Hampton (CA)"/>
    <s v="Calista"/>
    <s v="YU"/>
  </r>
  <r>
    <s v="Alaska Village Electric Cooperative"/>
    <s v="Saint Mary's"/>
    <s v="Pitkas Point"/>
    <s v="DFO"/>
    <s v="IC"/>
    <n v="0"/>
    <n v="0"/>
    <n v="73.150000000000006"/>
    <n v="0"/>
    <s v=" "/>
    <n v="0"/>
    <n v="0"/>
    <n v="5.8250000000000002"/>
    <s v="PCE"/>
    <s v="Receives power from Saint Mary's via intertie. For fuel use and cost, please refer to Saint Mary's."/>
    <x v="0"/>
    <s v="Wade Hampton (CA)"/>
    <s v="Calista"/>
    <s v="YU"/>
  </r>
  <r>
    <s v="Alaska Village Electric Cooperative"/>
    <s v="Quinhagak"/>
    <s v="Quinhagak"/>
    <s v="DFO"/>
    <s v="IC"/>
    <n v="4828.5429800000002"/>
    <n v="15731.938095238094"/>
    <n v="73.150000000000006"/>
    <n v="1150.7912716666667"/>
    <n v="0.30692613654903417"/>
    <n v="1415.165"/>
    <n v="2700.7619047619046"/>
    <n v="5.8250000000000002"/>
    <s v="PCE"/>
    <n v="0"/>
    <x v="0"/>
    <s v="Bethel (CA)"/>
    <s v="Calista"/>
    <s v="SW"/>
  </r>
  <r>
    <s v="Alaska Village Electric Cooperative"/>
    <s v="Russian Mission"/>
    <s v="Russian Mission"/>
    <s v="DFO"/>
    <s v="IC"/>
    <n v="3834.3578320000001"/>
    <n v="11123.253571428573"/>
    <n v="73.150000000000006"/>
    <n v="813.6659987500002"/>
    <n v="0.34471549240314125"/>
    <n v="1123.7860000000001"/>
    <n v="1909.5714285714287"/>
    <n v="5.8250000000000002"/>
    <s v="PCE"/>
    <n v="0"/>
    <x v="0"/>
    <s v="Wade Hampton (CA)"/>
    <s v="Calista"/>
    <s v="YU"/>
  </r>
  <r>
    <s v="Alaska Village Electric Cooperative"/>
    <s v="Saint Mary's"/>
    <s v="Saint Mary's, Andreafsky, Pitkas Point"/>
    <s v="DFO"/>
    <s v="IC"/>
    <n v="10824.344808"/>
    <n v="33549.087500000001"/>
    <n v="73.150000000000006"/>
    <n v="2454.1157506250001"/>
    <n v="0.3226420035418251"/>
    <n v="3172.4340000000002"/>
    <n v="5759.5"/>
    <n v="5.8250000000000002"/>
    <s v="PCE"/>
    <s v="Provides power to Andreafsky and Pitkas Point via intertie. Includes Andreafsky's information. Fuel use and cost also includes Pitkas Point."/>
    <x v="0"/>
    <s v="Wade Hampton (CA)"/>
    <s v="Calista"/>
    <s v="YU"/>
  </r>
  <r>
    <s v="Alaska Village Electric Cooperative"/>
    <s v="Saint Michael"/>
    <s v="Saint Michael"/>
    <s v="DFO"/>
    <s v="IC"/>
    <n v="5919.6903439999996"/>
    <n v="17534.775595238094"/>
    <n v="73.150000000000006"/>
    <n v="1282.6688347916665"/>
    <n v="0.33759715440028815"/>
    <n v="1734.962"/>
    <n v="3010.2619047619046"/>
    <n v="5.8250000000000002"/>
    <s v="PCE"/>
    <n v="0"/>
    <x v="6"/>
    <s v="Nome (CA)"/>
    <s v="Bering Straits"/>
    <s v="AN"/>
  </r>
  <r>
    <s v="Alaska Village Electric Cooperative"/>
    <s v="Savoonga"/>
    <s v="Savoonga"/>
    <s v="DFO"/>
    <s v="IC"/>
    <n v="5983.4094439999999"/>
    <n v="19638.84880952381"/>
    <n v="73.150000000000006"/>
    <n v="1436.5817904166668"/>
    <n v="0.30467210690569402"/>
    <n v="1753.6369999999999"/>
    <n v="3371.4761904761904"/>
    <n v="5.8250000000000002"/>
    <s v="PCE"/>
    <n v="0"/>
    <x v="6"/>
    <s v="Nome (CA)"/>
    <s v="Bering Straits"/>
    <s v="AN"/>
  </r>
  <r>
    <s v="Alaska Village Electric Cooperative"/>
    <s v="Scammon Bay"/>
    <s v="Scammon Bay"/>
    <s v="DFO"/>
    <s v="IC"/>
    <n v="5921.7034239999994"/>
    <n v="18410.605952380953"/>
    <n v="73.150000000000006"/>
    <n v="1346.7358254166668"/>
    <n v="0.32164630753145712"/>
    <n v="1735.5519999999999"/>
    <n v="3160.6190476190477"/>
    <n v="5.8250000000000002"/>
    <s v="PCE"/>
    <n v="0"/>
    <x v="0"/>
    <s v="Wade Hampton (CA)"/>
    <s v="Calista"/>
    <s v="YU"/>
  </r>
  <r>
    <s v="Alaska Village Electric Cooperative"/>
    <s v="Selawik"/>
    <s v="Selawik"/>
    <s v="DFO"/>
    <s v="IC"/>
    <n v="9368.5160599999999"/>
    <n v="28671.343452380956"/>
    <n v="73.150000000000006"/>
    <n v="2097.3087735416671"/>
    <n v="0.32675539168786349"/>
    <n v="2745.7550000000001"/>
    <n v="4922.1190476190477"/>
    <n v="5.8250000000000002"/>
    <s v="PCE"/>
    <n v="0"/>
    <x v="5"/>
    <s v="Northwest Arctic"/>
    <s v="NANA"/>
    <s v="AN"/>
  </r>
  <r>
    <s v="Alaska Village Electric Cooperative"/>
    <s v="Shageluk"/>
    <s v="Shageluk"/>
    <s v="DFO"/>
    <s v="IC"/>
    <n v="1259.07918"/>
    <n v="4344.8952380952387"/>
    <n v="73.150000000000006"/>
    <n v="317.82908666666674"/>
    <n v="0.2897835531132319"/>
    <n v="369.01499999999999"/>
    <n v="745.90476190476193"/>
    <n v="5.8250000000000002"/>
    <s v="PCE"/>
    <n v="0"/>
    <x v="3"/>
    <s v="Yukon-Koyukuk (CA)"/>
    <s v="Doyon"/>
    <s v="YU"/>
  </r>
  <r>
    <s v="Alaska Village Electric Cooperative"/>
    <s v="Shaktoolik"/>
    <s v="Shaktoolik"/>
    <s v="DFO"/>
    <s v="IC"/>
    <n v="3083.8986680000003"/>
    <n v="9711.8005952380954"/>
    <n v="73.150000000000006"/>
    <n v="710.41821354166677"/>
    <n v="0.31754139078103621"/>
    <n v="903.83900000000006"/>
    <n v="1667.2619047619048"/>
    <n v="5.8250000000000002"/>
    <s v="PCE"/>
    <n v="0"/>
    <x v="6"/>
    <s v="Nome (CA)"/>
    <s v="Bering Straits"/>
    <s v="AN"/>
  </r>
  <r>
    <s v="Alaska Village Electric Cooperative"/>
    <s v="Shishmaref"/>
    <s v="Shishmaref"/>
    <s v="DFO"/>
    <s v="IC"/>
    <n v="5438.4209200000005"/>
    <n v="16192.251785714287"/>
    <n v="73.150000000000006"/>
    <n v="1184.4632181250001"/>
    <n v="0.33586563450045165"/>
    <n v="1593.91"/>
    <n v="2779.7857142857142"/>
    <n v="5.8250000000000002"/>
    <s v="PCE"/>
    <n v="0"/>
    <x v="6"/>
    <s v="Nome (CA)"/>
    <s v="Bering Straits"/>
    <s v="AN"/>
  </r>
  <r>
    <s v="Alaska Village Electric Cooperative"/>
    <s v="Shungnak"/>
    <s v="Shungnak, Kobuk"/>
    <s v="DFO"/>
    <s v="IC"/>
    <n v="5211.2977280000005"/>
    <n v="15787.275595238094"/>
    <n v="73.150000000000006"/>
    <n v="1154.8392097916667"/>
    <n v="0.33009480936482044"/>
    <n v="1527.3440000000001"/>
    <n v="2710.2619047619046"/>
    <n v="5.8250000000000002"/>
    <s v="PCE"/>
    <s v="Provides power to Kobuk via intertie. Fuel use and cost includes Kobu's information."/>
    <x v="5"/>
    <s v="Northwest Arctic"/>
    <s v="NANA"/>
    <s v="AN"/>
  </r>
  <r>
    <s v="Alaska Village Electric Cooperative"/>
    <s v="Stebbins"/>
    <s v="Stebbins"/>
    <s v="DFO"/>
    <s v="IC"/>
    <n v="4620.6498199999996"/>
    <n v="14163.626190476192"/>
    <n v="73.150000000000006"/>
    <n v="1036.0692558333335"/>
    <n v="0.32623353354997359"/>
    <n v="1354.2349999999999"/>
    <n v="2431.5238095238096"/>
    <n v="5.8250000000000002"/>
    <s v="PCE"/>
    <n v="0"/>
    <x v="6"/>
    <s v="Nome (CA)"/>
    <s v="Bering Straits"/>
    <s v="AN"/>
  </r>
  <r>
    <s v="Alaska Village Electric Cooperative"/>
    <s v="Teller"/>
    <s v="Teller"/>
    <s v="DFO"/>
    <s v="IC"/>
    <n v="2859.218468"/>
    <n v="9990.5684523809523"/>
    <n v="73.150000000000006"/>
    <n v="730.81008229166673"/>
    <n v="0.286191769930628"/>
    <n v="837.98900000000003"/>
    <n v="1715.1190476190477"/>
    <n v="5.8250000000000002"/>
    <s v="PCE"/>
    <n v="0"/>
    <x v="6"/>
    <s v="Nome (CA)"/>
    <s v="Bering Straits"/>
    <s v="AN"/>
  </r>
  <r>
    <s v="Alaska Village Electric Cooperative"/>
    <s v="Togiak"/>
    <s v="Togiak"/>
    <s v="DFO"/>
    <s v="IC"/>
    <n v="10388.707472"/>
    <n v="31277.337500000001"/>
    <n v="73.150000000000006"/>
    <n v="2287.937238125"/>
    <n v="0.33214807596714391"/>
    <n v="3044.7559999999999"/>
    <n v="5369.5"/>
    <n v="5.8250000000000002"/>
    <s v="PCE"/>
    <n v="0"/>
    <x v="7"/>
    <s v="Dillingham (CA)"/>
    <s v="Bristol Bay"/>
    <s v="SW"/>
  </r>
  <r>
    <s v="Alaska Village Electric Cooperative"/>
    <s v="Toksook Bay"/>
    <s v="Toksook Bay, Nightmute, Tununak"/>
    <s v="DFO"/>
    <s v="IC"/>
    <n v="8844.2724959999996"/>
    <n v="27793.294047619049"/>
    <n v="73.150000000000006"/>
    <n v="2033.0794595833338"/>
    <n v="0.31821605891143573"/>
    <n v="2592.1080000000002"/>
    <n v="4771.3809523809523"/>
    <n v="5.8250000000000002"/>
    <s v="PCE"/>
    <s v="Provides power to Nightmute and Tununak via intertie. Fuel use and cost includes Nightmute's and Tununak's information."/>
    <x v="0"/>
    <s v="Bethel (CA)"/>
    <s v="Calista"/>
    <s v="SW"/>
  </r>
  <r>
    <s v="Alaska Village Electric Cooperative"/>
    <s v="Tununak"/>
    <s v="Tununak"/>
    <s v="DFO"/>
    <s v="IC"/>
    <n v="0"/>
    <n v="0"/>
    <n v="73.150000000000006"/>
    <n v="0"/>
    <s v=" "/>
    <n v="0"/>
    <n v="0"/>
    <n v="5.8250000000000002"/>
    <s v="PCE"/>
    <s v="Receives power from Toksook Bay via intertie. For fuel use and cost, please refer to Toksook Bay."/>
    <x v="0"/>
    <s v="Bethel (CA)"/>
    <s v="Calista"/>
    <s v="SW"/>
  </r>
  <r>
    <s v="Alaska Village Electric Cooperative"/>
    <s v="Wales"/>
    <s v="Wales"/>
    <s v="DFO"/>
    <s v="IC"/>
    <n v="1986.10814"/>
    <n v="6563.5267857142853"/>
    <n v="73.150000000000006"/>
    <n v="480.12198437500001"/>
    <n v="0.30259770468566144"/>
    <n v="582.09500000000003"/>
    <n v="1126.7857142857142"/>
    <n v="5.8250000000000002"/>
    <s v="PCE"/>
    <n v="0"/>
    <x v="6"/>
    <s v="Nome (CA)"/>
    <s v="Bering Straits"/>
    <s v="AN"/>
  </r>
  <r>
    <s v="Alutiiq Power Company"/>
    <s v="Karluk"/>
    <s v="Karluk"/>
    <s v="DFO"/>
    <s v="IC"/>
    <n v="861.89849600000002"/>
    <n v="3063.5339285714285"/>
    <n v="73.150000000000006"/>
    <n v="224.09750687500002"/>
    <n v="0.28134126015764943"/>
    <n v="252.608"/>
    <n v="525.92857142857144"/>
    <n v="5.8250000000000002"/>
    <s v="PCE"/>
    <n v="0"/>
    <x v="8"/>
    <s v="Kodiak Island"/>
    <s v="Koniag"/>
    <s v="SC"/>
  </r>
  <r>
    <s v="Anchorage Municipal Light &amp; Power"/>
    <s v="Anchorage 1"/>
    <s v="Anchorage"/>
    <s v="DFO"/>
    <s v="GT"/>
    <n v="156.952"/>
    <n v="588.32500000000005"/>
    <n v="73.150000000000006"/>
    <n v="43.035973750000004"/>
    <n v="0.26677771639824926"/>
    <n v="46"/>
    <n v="101"/>
    <n v="5.8250000000000002"/>
    <s v="EIA"/>
    <n v="0"/>
    <x v="9"/>
    <s v="Anchorage"/>
    <s v="Cook Inlet"/>
    <s v="SC"/>
  </r>
  <r>
    <s v="Anchorage Municipal Light &amp; Power"/>
    <s v="Anchorage 1"/>
    <s v="Anchorage"/>
    <s v="NG"/>
    <s v="GT"/>
    <n v="308533.51199999999"/>
    <n v="1113134.8060000001"/>
    <n v="53.06"/>
    <n v="59062.932806360004"/>
    <n v="0.27717533432334335"/>
    <n v="90426"/>
    <n v="1089173"/>
    <n v="1.022"/>
    <s v="EIA"/>
    <n v="0"/>
    <x v="9"/>
    <s v="Anchorage"/>
    <s v="Cook Inlet"/>
    <s v="SC"/>
  </r>
  <r>
    <s v="Anchorage Municipal Light &amp; Power"/>
    <s v="Anchorage 1"/>
    <s v="Anchorage"/>
    <s v="DFO"/>
    <s v="IC"/>
    <n v="0"/>
    <n v="0"/>
    <n v="73.150000000000006"/>
    <n v="0"/>
    <s v=" "/>
    <n v="0"/>
    <n v="0"/>
    <n v="5.8250000000000002"/>
    <s v="EIA"/>
    <n v="0"/>
    <x v="9"/>
    <s v="Anchorage"/>
    <s v="Cook Inlet"/>
    <s v="SC"/>
  </r>
  <r>
    <s v="Anchorage Municipal Light &amp; Power"/>
    <s v="George M Sullivan Generation Plant 2"/>
    <s v="Anchorage"/>
    <s v="DFO"/>
    <s v="CT"/>
    <n v="638.04399999999998"/>
    <n v="2650.375"/>
    <n v="73.150000000000006"/>
    <n v="193.87493125000003"/>
    <n v="0.24073725416214686"/>
    <n v="187"/>
    <n v="455"/>
    <n v="5.8250000000000002"/>
    <s v="EIA"/>
    <n v="0"/>
    <x v="9"/>
    <s v="Anchorage"/>
    <s v="Cook Inlet"/>
    <s v="SC"/>
  </r>
  <r>
    <s v="Anchorage Municipal Light &amp; Power"/>
    <s v="George M Sullivan Generation Plant 2"/>
    <s v="Anchorage"/>
    <s v="NG"/>
    <s v="CT"/>
    <n v="2499692.6159999999"/>
    <n v="9929991.148"/>
    <n v="53.06"/>
    <n v="526885.33031287999"/>
    <n v="0.25173160567252501"/>
    <n v="732618"/>
    <n v="9716234"/>
    <n v="1.022"/>
    <s v="EIA"/>
    <n v="0"/>
    <x v="9"/>
    <s v="Anchorage"/>
    <s v="Cook Inlet"/>
    <s v="SC"/>
  </r>
  <r>
    <s v="Anchorage Municipal Light &amp; Power"/>
    <s v="George M Sullivan Generation Plant 2"/>
    <s v="Anchorage"/>
    <s v="NG"/>
    <s v="GT"/>
    <n v="434047.34399999998"/>
    <n v="1671431.9440000001"/>
    <n v="53.06"/>
    <n v="88686.178948640008"/>
    <n v="0.25968592113972422"/>
    <n v="127212"/>
    <n v="1635452"/>
    <n v="1.022"/>
    <s v="EIA"/>
    <n v="0"/>
    <x v="9"/>
    <s v="Anchorage"/>
    <s v="Cook Inlet"/>
    <s v="SC"/>
  </r>
  <r>
    <s v="Anchorage Municipal Light &amp; Power"/>
    <s v="George M Sullivan Generation Plant 2"/>
    <s v="Anchorage"/>
    <s v="NG"/>
    <s v="CA"/>
    <n v="760347.14"/>
    <n v="0"/>
    <n v="53.06"/>
    <n v="0"/>
    <s v=" "/>
    <n v="222845"/>
    <n v="0"/>
    <n v="1.022"/>
    <s v="EIA"/>
    <n v="0"/>
    <x v="9"/>
    <s v="Anchorage"/>
    <s v="Cook Inlet"/>
    <s v="SC"/>
  </r>
  <r>
    <s v="Aniak Light &amp; Power"/>
    <s v="Aniak"/>
    <s v="Aniak"/>
    <s v="DFO"/>
    <s v="IC"/>
    <n v="8934.656375999999"/>
    <n v="28314.215476190479"/>
    <n v="73.150000000000006"/>
    <n v="2071.1848620833339"/>
    <n v="0.31555373248865687"/>
    <n v="2618.598"/>
    <n v="4860.8095238095239"/>
    <n v="5.8250000000000002"/>
    <s v="PCE"/>
    <n v="0"/>
    <x v="0"/>
    <s v="Bethel (CA)"/>
    <s v="Calista"/>
    <s v="SW"/>
  </r>
  <r>
    <s v="Atka, City of"/>
    <s v="Atka"/>
    <s v="Atka"/>
    <s v="DFO"/>
    <s v="IC"/>
    <n v="1516.026664"/>
    <n v="6800.8261904761912"/>
    <n v="73.150000000000006"/>
    <n v="497.48043583333339"/>
    <n v="0.2229180134206383"/>
    <n v="444.322"/>
    <n v="1167.5238095238096"/>
    <n v="5.8250000000000002"/>
    <s v="PCE"/>
    <n v="0"/>
    <x v="1"/>
    <s v="Aleutians West (CA)"/>
    <s v="Aleut"/>
    <s v="SW"/>
  </r>
  <r>
    <s v="Atmautluak Tribal Utilities"/>
    <s v="Atmautluak"/>
    <s v="Atmautluak"/>
    <s v="DFO"/>
    <s v="IC"/>
    <n v="2718.7293679999998"/>
    <n v="7537.1339285714284"/>
    <n v="73.150000000000006"/>
    <n v="551.341346875"/>
    <n v="0.36071129871979091"/>
    <n v="796.81399999999996"/>
    <n v="1293.9285714285713"/>
    <n v="5.8250000000000002"/>
    <s v="PCE"/>
    <n v="0"/>
    <x v="0"/>
    <s v="Bethel (CA)"/>
    <s v="Calista"/>
    <s v="SW"/>
  </r>
  <r>
    <s v="Aurora Energy LLC Chena"/>
    <s v="Aurora Energy"/>
    <s v="Fairbanks"/>
    <s v="SUB"/>
    <s v="ST"/>
    <n v="713619.79999999993"/>
    <n v="3557088.2936170232"/>
    <n v="97.17"/>
    <n v="345642.26949076616"/>
    <n v="0.20061908535712958"/>
    <n v="209150"/>
    <n v="234347"/>
    <n v="15.178723404255328"/>
    <s v="EIA"/>
    <s v=" Aurora Energy LLC is an independent power producer that sells all its power to GVEA."/>
    <x v="9"/>
    <s v="Fairbanks North Star"/>
    <s v="Doyon"/>
    <s v="YU"/>
  </r>
  <r>
    <s v="Barrow Utilities &amp; Electric Cooperative Inc."/>
    <s v="Barrow"/>
    <s v="Barrow"/>
    <s v="NG"/>
    <s v="GT"/>
    <n v="171319.932"/>
    <n v="762391.56"/>
    <n v="53.06"/>
    <n v="40452.496173600004"/>
    <n v="0.22471383602410289"/>
    <n v="50211"/>
    <n v="745980"/>
    <n v="1.022"/>
    <s v="EIA"/>
    <n v="0"/>
    <x v="10"/>
    <s v="North Slope"/>
    <s v="Arctic Slope"/>
    <s v="AN"/>
  </r>
  <r>
    <s v="Beaver Joint Utilities"/>
    <s v="Beaver"/>
    <s v="Beaver"/>
    <s v="DFO"/>
    <s v="IC"/>
    <n v="1085.1183599999999"/>
    <n v="4230.8916666666673"/>
    <n v="73.150000000000006"/>
    <n v="309.48972541666672"/>
    <n v="0.2564750992206134"/>
    <n v="318.02999999999997"/>
    <n v="726.33333333333337"/>
    <n v="5.8250000000000002"/>
    <s v="PCE"/>
    <n v="0"/>
    <x v="3"/>
    <s v="Yukon-Koyukuk (CA)"/>
    <s v="Doyon"/>
    <s v="YU"/>
  </r>
  <r>
    <s v="Bethel Utilities Corporation"/>
    <s v="Bethel"/>
    <s v="Bethel, Oscarville"/>
    <s v="DFO"/>
    <s v="IC"/>
    <n v="142621.6"/>
    <n v="429125.66964285716"/>
    <n v="73.150000000000006"/>
    <n v="31390.542734375005"/>
    <n v="0.33235392354574789"/>
    <n v="41800"/>
    <n v="73669.642857142855"/>
    <n v="5.8250000000000002"/>
    <s v="PCE"/>
    <s v="Provides power to Oscarville and sells power to Napakiak Ircinraq via intertie. Data includes Oscarville's information."/>
    <x v="0"/>
    <s v="Bethel (CA)"/>
    <s v="Calista"/>
    <s v="SW"/>
  </r>
  <r>
    <s v="Buckland, City of"/>
    <s v="Buckland"/>
    <s v="Buckland"/>
    <s v="DFO"/>
    <s v="IC"/>
    <n v="5432.6000479999993"/>
    <n v="16095.861904761907"/>
    <n v="73.150000000000006"/>
    <n v="1177.4122983333336"/>
    <n v="0.33751532413388702"/>
    <n v="1592.204"/>
    <n v="2763.2380952380954"/>
    <n v="5.8250000000000002"/>
    <s v="PCE"/>
    <n v="0"/>
    <x v="5"/>
    <s v="Northwest Arctic"/>
    <s v="NANA"/>
    <s v="AN"/>
  </r>
  <r>
    <s v="Chalkyitsik Village Council"/>
    <s v="Chalkyitsik"/>
    <s v="Chalkyitsik"/>
    <s v="DFO"/>
    <s v="IC"/>
    <n v="1037.81098"/>
    <n v="4245.1767857142859"/>
    <n v="73.150000000000006"/>
    <n v="310.53468187499999"/>
    <n v="0.24446825948271544"/>
    <n v="304.16500000000002"/>
    <n v="728.78571428571433"/>
    <n v="5.8250000000000002"/>
    <s v="PCE"/>
    <n v="0"/>
    <x v="3"/>
    <s v="Yukon-Koyukuk (CA)"/>
    <s v="Doyon"/>
    <s v="YU"/>
  </r>
  <r>
    <s v="Chenega IRA Council"/>
    <s v="Chenega Bay"/>
    <s v="Chenega Bay"/>
    <s v="DFO"/>
    <s v="IC"/>
    <n v="1051.837712"/>
    <n v="4109.5375000000004"/>
    <n v="73.150000000000006"/>
    <n v="300.61266812500003"/>
    <n v="0.25595038663109898"/>
    <n v="308.27600000000001"/>
    <n v="705.5"/>
    <n v="5.8250000000000002"/>
    <s v="PCE"/>
    <n v="0"/>
    <x v="4"/>
    <s v="Valdez-Cordova (CA)"/>
    <s v="Chugach"/>
    <s v="SC"/>
  </r>
  <r>
    <s v="Chignik Lagoon Power Utility"/>
    <s v="Chignik Lagoon"/>
    <s v="Chignik Lagoon"/>
    <s v="DFO"/>
    <s v="IC"/>
    <n v="1728.283772"/>
    <n v="6021.6630952380956"/>
    <n v="73.150000000000006"/>
    <n v="440.48465541666673"/>
    <n v="0.28701103742697248"/>
    <n v="506.53100000000001"/>
    <n v="1033.7619047619048"/>
    <n v="5.8250000000000002"/>
    <s v="PCE"/>
    <n v="0"/>
    <x v="7"/>
    <s v="Lake and Peninsula"/>
    <s v="Bristol Bay"/>
    <s v="SW"/>
  </r>
  <r>
    <s v="Chignik Lake Electric Utility"/>
    <s v="Chignik Lake"/>
    <s v="Chignik Lake"/>
    <s v="DFO"/>
    <s v="IC"/>
    <n v="679.13471600000003"/>
    <n v="2406.4184523809522"/>
    <n v="73.150000000000006"/>
    <n v="176.02950979166667"/>
    <n v="0.28221804704333625"/>
    <n v="199.04300000000001"/>
    <n v="413.11904761904759"/>
    <n v="5.8250000000000002"/>
    <s v="PCE"/>
    <n v="0"/>
    <x v="7"/>
    <s v="Lake and Peninsula"/>
    <s v="Bristol Bay"/>
    <s v="SW"/>
  </r>
  <r>
    <s v="Chignik, City of"/>
    <s v="Chignik"/>
    <s v="Chignik"/>
    <s v="DFO"/>
    <s v="IC"/>
    <n v="2961.8957839999998"/>
    <n v="9432.8184613095236"/>
    <n v="73.150000000000006"/>
    <n v="690.01067044479169"/>
    <n v="0.31399902331935803"/>
    <n v="868.08199999999999"/>
    <n v="1619.3679761904762"/>
    <n v="5.8250000000000002"/>
    <s v="PCE"/>
    <n v="0"/>
    <x v="7"/>
    <s v="Lake and Peninsula"/>
    <s v="Bristol Bay"/>
    <s v="SW"/>
  </r>
  <r>
    <s v="Chitina Electric Inc"/>
    <s v="Chitina"/>
    <s v="Chitina"/>
    <s v="DFO"/>
    <s v="IC"/>
    <n v="1771.6332319999999"/>
    <n v="5813.6273809523809"/>
    <n v="73.150000000000006"/>
    <n v="425.26684291666669"/>
    <n v="0.30473800880402713"/>
    <n v="519.23599999999999"/>
    <n v="998.04761904761904"/>
    <n v="5.8250000000000002"/>
    <s v="PCE"/>
    <n v="0"/>
    <x v="4"/>
    <s v="Valdez-Cordova (CA)"/>
    <s v="Ahtna"/>
    <s v="SC"/>
  </r>
  <r>
    <s v="Chugach Electric Assn Inc"/>
    <s v="Beluga"/>
    <m/>
    <s v="NG"/>
    <s v="GT"/>
    <n v="2459686.9159999997"/>
    <n v="9828794.7520000003"/>
    <n v="53.06"/>
    <n v="521515.84954112006"/>
    <n v="0.25025315698036055"/>
    <n v="720893"/>
    <n v="9617216"/>
    <n v="1.022"/>
    <s v="EIA"/>
    <n v="0"/>
    <x v="9"/>
    <s v="Anchorage"/>
    <s v="Cook Inlet"/>
    <s v="SC"/>
  </r>
  <r>
    <s v="Chugach Electric Assn Inc"/>
    <s v="Beluga"/>
    <m/>
    <s v="NG"/>
    <s v="CT"/>
    <n v="4127032.3679999998"/>
    <n v="14708372.588"/>
    <n v="53.06"/>
    <n v="780426.24951927993"/>
    <n v="0.28059068692392847"/>
    <n v="1209564"/>
    <n v="14391754"/>
    <n v="1.022"/>
    <s v="EIA"/>
    <n v="0"/>
    <x v="9"/>
    <s v="Anchorage"/>
    <s v="Cook Inlet"/>
    <s v="SC"/>
  </r>
  <r>
    <s v="Chugach Electric Assn Inc"/>
    <s v="Bernice Lake"/>
    <m/>
    <s v="NG"/>
    <s v="GT"/>
    <n v="143286.94"/>
    <n v="615010.98400000005"/>
    <n v="53.06"/>
    <n v="32632.482811040001"/>
    <n v="0.23298273319944476"/>
    <n v="41995"/>
    <n v="601772"/>
    <n v="1.022"/>
    <s v="EIA"/>
    <n v="0"/>
    <x v="9"/>
    <s v="Kenai Peninsula"/>
    <s v="Cook Inlet"/>
    <s v="SC"/>
  </r>
  <r>
    <s v="Chugach Electric Assn Inc"/>
    <s v="International"/>
    <m/>
    <s v="NG"/>
    <s v="GT"/>
    <n v="74344.067999999999"/>
    <n v="359824.73800000001"/>
    <n v="53.06"/>
    <n v="19092.300598280002"/>
    <n v="0.20661188670135291"/>
    <n v="21789"/>
    <n v="352079"/>
    <n v="1.022"/>
    <s v="EIA"/>
    <n v="0"/>
    <x v="9"/>
    <s v="Anchorage"/>
    <s v="Cook Inlet"/>
    <s v="SC"/>
  </r>
  <r>
    <s v="Circle Electric Utility"/>
    <s v="Circle"/>
    <s v="Circle"/>
    <s v="DFO"/>
    <s v="IC"/>
    <n v="1329.00812"/>
    <n v="5037.5154761904769"/>
    <n v="73.150000000000006"/>
    <n v="368.49425708333337"/>
    <n v="0.26382214134755105"/>
    <n v="389.51"/>
    <n v="864.80952380952385"/>
    <n v="5.8250000000000002"/>
    <s v="PCE"/>
    <n v="0"/>
    <x v="3"/>
    <s v="Yukon-Koyukuk (CA)"/>
    <s v="Doyon"/>
    <s v="YU"/>
  </r>
  <r>
    <s v="Copper Valley Elec Assn Inc"/>
    <s v="Glennallen"/>
    <s v="Glennallen"/>
    <s v="DFO"/>
    <s v="IC"/>
    <n v="51565.555999999997"/>
    <n v="157583.72500000001"/>
    <n v="73.150000000000006"/>
    <n v="11527.24948375"/>
    <n v="0.3272264061533004"/>
    <n v="15113"/>
    <n v="27053"/>
    <n v="5.8250000000000002"/>
    <s v="EIA"/>
    <n v="0"/>
    <x v="4"/>
    <s v="Valdez-Cordova (CA)"/>
    <s v="Ahtna"/>
    <s v="SC"/>
  </r>
  <r>
    <s v="Copper Valley Elec Assn Inc"/>
    <s v="Valdez"/>
    <s v="Valdez"/>
    <s v="DFO"/>
    <s v="GT"/>
    <n v="160.364"/>
    <n v="873.75"/>
    <n v="73.150000000000006"/>
    <n v="63.914812500000011"/>
    <n v="0.18353533619456366"/>
    <n v="47"/>
    <n v="150"/>
    <n v="5.8250000000000002"/>
    <s v="EIA"/>
    <n v="0"/>
    <x v="4"/>
    <s v="Valdez-Cordova (CA)"/>
    <s v="Chugach"/>
    <s v="SC"/>
  </r>
  <r>
    <s v="Copper Valley Elec Assn Inc"/>
    <s v="Valdez"/>
    <s v="Valdez"/>
    <s v="DFO"/>
    <s v="IC"/>
    <n v="24876.892"/>
    <n v="88336.125"/>
    <n v="73.150000000000006"/>
    <n v="6461.7875437500006"/>
    <n v="0.28161629231529001"/>
    <n v="7291"/>
    <n v="15165"/>
    <n v="5.8250000000000002"/>
    <s v="EIA"/>
    <n v="0"/>
    <x v="4"/>
    <s v="Valdez-Cordova (CA)"/>
    <s v="Chugach"/>
    <s v="SC"/>
  </r>
  <r>
    <s v="Copper Valley Elec Assn Inc"/>
    <s v="Valdez Cogen"/>
    <s v="Valdez"/>
    <s v="JF"/>
    <s v="GT"/>
    <n v="59774.828000000001"/>
    <n v="252349.02"/>
    <n v="70.88"/>
    <n v="17886.4985376"/>
    <n v="0.23687362843731274"/>
    <n v="17519"/>
    <n v="44506"/>
    <n v="5.67"/>
    <s v="EIA"/>
    <n v="0"/>
    <x v="4"/>
    <s v="Valdez-Cordova (CA)"/>
    <s v="Chugach"/>
    <s v="SC"/>
  </r>
  <r>
    <s v="Cordova Electric Cooperative"/>
    <s v="Orca"/>
    <s v="Cordova"/>
    <s v="DFO"/>
    <s v="IC"/>
    <n v="32705.845419999998"/>
    <n v="108319.34226190476"/>
    <n v="73.150000000000006"/>
    <n v="7923.5598864583344"/>
    <n v="0.30193910650713429"/>
    <n v="9585.5349999999999"/>
    <n v="18595.595238095237"/>
    <n v="5.8250000000000002"/>
    <s v="PCE"/>
    <n v="0"/>
    <x v="4"/>
    <s v="Valdez-Cordova (CA)"/>
    <s v="Chugach"/>
    <s v="SC"/>
  </r>
  <r>
    <s v="Diomede Joint Utilities"/>
    <s v="Diomede"/>
    <s v="Diomede"/>
    <s v="DFO"/>
    <s v="IC"/>
    <n v="961.31394"/>
    <n v="3827.9958333333334"/>
    <n v="73.150000000000006"/>
    <n v="280.01789520833341"/>
    <n v="0.25112721691833956"/>
    <n v="281.745"/>
    <n v="657.16666666666663"/>
    <n v="5.8250000000000002"/>
    <s v="PCE"/>
    <n v="0"/>
    <x v="6"/>
    <s v="Nome (CA)"/>
    <s v="Bering Straits"/>
    <s v="AN"/>
  </r>
  <r>
    <s v="Egegik Light &amp; Power Co"/>
    <s v="Egegik"/>
    <s v="Egegik"/>
    <s v="DFO"/>
    <s v="IC"/>
    <n v="892.29088599999989"/>
    <n v="3218.425948809524"/>
    <n v="73.150000000000006"/>
    <n v="235.42785815541671"/>
    <n v="0.27724449783598493"/>
    <n v="261.51549999999997"/>
    <n v="552.51947619047621"/>
    <n v="5.8250000000000002"/>
    <s v="PCE"/>
    <n v="0"/>
    <x v="7"/>
    <s v="Lake and Peninsula"/>
    <s v="Bristol Bay"/>
    <s v="SW"/>
  </r>
  <r>
    <s v="Elfin Cove Utility Commission"/>
    <s v="Elfin Cove"/>
    <s v="Elfin Cove"/>
    <s v="DFO"/>
    <s v="IC"/>
    <n v="946.68396640000003"/>
    <n v="3480.714880952381"/>
    <n v="73.150000000000006"/>
    <n v="254.61429354166671"/>
    <n v="0.27197975093581112"/>
    <n v="277.4572"/>
    <n v="597.54761904761904"/>
    <n v="5.8250000000000002"/>
    <s v="PCE"/>
    <n v="0"/>
    <x v="2"/>
    <s v="Hoonah-Angoon (CA)"/>
    <s v="Sealaska"/>
    <s v="SE"/>
  </r>
  <r>
    <s v="False Pass, City of"/>
    <s v="False Pass"/>
    <s v="False Pass"/>
    <s v="DFO"/>
    <s v="IC"/>
    <n v="1574.129612"/>
    <n v="6270.473809523809"/>
    <n v="73.150000000000006"/>
    <n v="458.68515916666666"/>
    <n v="0.25103838399088091"/>
    <n v="461.351"/>
    <n v="1076.4761904761904"/>
    <n v="5.8250000000000002"/>
    <s v="PCE"/>
    <n v="0"/>
    <x v="1"/>
    <s v="Aleutians East"/>
    <s v="Aleut"/>
    <s v="SW"/>
  </r>
  <r>
    <s v="G &amp; K Inc"/>
    <s v="Cold Bay"/>
    <s v="Cold Bay"/>
    <s v="DFO"/>
    <s v="IC"/>
    <n v="8758.3344519999991"/>
    <n v="28530.017857142859"/>
    <n v="73.150000000000006"/>
    <n v="2086.9708062500004"/>
    <n v="0.30698664458799968"/>
    <n v="2566.9209999999998"/>
    <n v="4897.8571428571431"/>
    <n v="5.8250000000000002"/>
    <s v="PCE"/>
    <n v="0"/>
    <x v="1"/>
    <s v="Aleutians East"/>
    <s v="Aleut"/>
    <s v="SW"/>
  </r>
  <r>
    <s v="Gold Country Energy"/>
    <s v="Central"/>
    <s v="Central"/>
    <s v="DFO"/>
    <s v="IC"/>
    <n v="1619.3454360000001"/>
    <n v="6276.8535714285717"/>
    <n v="73.150000000000006"/>
    <n v="459.15183875000008"/>
    <n v="0.2579868109989138"/>
    <n v="474.60300000000001"/>
    <n v="1077.5714285714287"/>
    <n v="5.8250000000000002"/>
    <s v="PCE"/>
    <n v="0"/>
    <x v="3"/>
    <s v="Yukon-Koyukuk (CA)"/>
    <s v="Doyon"/>
    <s v="YU"/>
  </r>
  <r>
    <s v="Golden Valley Elec Assn Inc"/>
    <s v="Delta Power"/>
    <m/>
    <s v="DFO"/>
    <s v="GT"/>
    <n v="-580.04"/>
    <n v="250.47499999999999"/>
    <n v="73.150000000000006"/>
    <n v="18.322246249999999"/>
    <s v=" "/>
    <n v="-170"/>
    <n v="43"/>
    <n v="5.8250000000000002"/>
    <s v="EIA"/>
    <n v="0"/>
    <x v="9"/>
    <s v="Fairbanks North Star"/>
    <s v="Doyon"/>
    <s v="YU"/>
  </r>
  <r>
    <s v="Golden Valley Elec Assn Inc"/>
    <s v="Fairbanks"/>
    <m/>
    <s v="DFO"/>
    <s v="GT"/>
    <n v="805.23199999999997"/>
    <n v="6104.6"/>
    <n v="73.150000000000006"/>
    <n v="446.55149000000006"/>
    <n v="0.13190577597221767"/>
    <n v="236"/>
    <n v="1048"/>
    <n v="5.8250000000000002"/>
    <s v="EIA"/>
    <n v="0"/>
    <x v="9"/>
    <s v="Fairbanks North Star"/>
    <s v="Doyon"/>
    <s v="YU"/>
  </r>
  <r>
    <s v="Golden Valley Elec Assn Inc"/>
    <s v="Fairbanks"/>
    <m/>
    <s v="RFO"/>
    <s v="GT"/>
    <n v="28589.148000000001"/>
    <n v="215920.728"/>
    <n v="78.8"/>
    <n v="17014.5533664"/>
    <n v="0.13240575958043269"/>
    <n v="8379"/>
    <n v="34344"/>
    <n v="6.2869999999999999"/>
    <s v="EIA"/>
    <n v="0"/>
    <x v="9"/>
    <s v="Fairbanks North Star"/>
    <s v="Doyon"/>
    <s v="YU"/>
  </r>
  <r>
    <s v="Golden Valley Elec Assn Inc"/>
    <s v="Fairbanks"/>
    <m/>
    <s v="DFO"/>
    <s v="IC"/>
    <n v="-71.652000000000001"/>
    <n v="1287.325"/>
    <n v="73.150000000000006"/>
    <n v="94.167823750000011"/>
    <s v=" "/>
    <n v="-21"/>
    <n v="221"/>
    <n v="5.8250000000000002"/>
    <s v="EIA"/>
    <n v="0"/>
    <x v="9"/>
    <s v="Fairbanks North Star"/>
    <s v="Doyon"/>
    <s v="YU"/>
  </r>
  <r>
    <s v="Golden Valley Elec Assn Inc"/>
    <s v="Healy"/>
    <m/>
    <s v="DFO"/>
    <s v="ST"/>
    <n v="760.87599999999998"/>
    <n v="3104.7249999999999"/>
    <n v="73.150000000000006"/>
    <n v="227.11063375000001"/>
    <n v="0.24507033634218811"/>
    <n v="223"/>
    <n v="533"/>
    <n v="5.8250000000000002"/>
    <s v="EIA"/>
    <n v="0"/>
    <x v="9"/>
    <s v="Denali"/>
    <s v="Doyon"/>
    <s v="YU"/>
  </r>
  <r>
    <s v="Golden Valley Elec Assn Inc"/>
    <s v="Healy"/>
    <m/>
    <s v="WC"/>
    <s v="ST"/>
    <n v="605449.16399999999"/>
    <n v="2432750.2000000002"/>
    <n v="97.17"/>
    <n v="236390.33693400002"/>
    <n v="0.24887436613919503"/>
    <n v="177447"/>
    <n v="175018"/>
    <n v="13.9"/>
    <s v="EIA"/>
    <n v="0"/>
    <x v="9"/>
    <s v="Denali"/>
    <s v="Doyon"/>
    <s v="YU"/>
  </r>
  <r>
    <s v="Golden Valley Elec Assn Inc"/>
    <s v="Healy"/>
    <m/>
    <s v="DFO"/>
    <s v="IC"/>
    <n v="85.3"/>
    <n v="250.47499999999999"/>
    <n v="73.150000000000006"/>
    <n v="18.322246249999999"/>
    <n v="0.34055294939614733"/>
    <n v="25"/>
    <n v="43"/>
    <n v="5.8250000000000002"/>
    <s v="EIA"/>
    <n v="0"/>
    <x v="9"/>
    <s v="Denali"/>
    <s v="Doyon"/>
    <s v="YU"/>
  </r>
  <r>
    <s v="Golden Valley Elec Assn Inc"/>
    <s v="North Pole"/>
    <m/>
    <s v="DFO"/>
    <s v="GT"/>
    <n v="4834.8040000000001"/>
    <n v="18902.125"/>
    <n v="73.150000000000006"/>
    <n v="1382.69044375"/>
    <n v="0.2557809770065535"/>
    <n v="1417"/>
    <n v="3245"/>
    <n v="5.8250000000000002"/>
    <s v="EIA"/>
    <n v="0"/>
    <x v="9"/>
    <s v="Fairbanks North Star"/>
    <s v="Doyon"/>
    <s v="YU"/>
  </r>
  <r>
    <s v="Golden Valley Elec Assn Inc"/>
    <s v="North Pole"/>
    <m/>
    <s v="JF"/>
    <s v="GT"/>
    <n v="1073043.2919999999"/>
    <n v="3292427.25"/>
    <n v="70.88"/>
    <n v="233367.24347999998"/>
    <n v="0.32591252912270119"/>
    <n v="314491"/>
    <n v="580675"/>
    <n v="5.67"/>
    <s v="EIA"/>
    <n v="0"/>
    <x v="9"/>
    <s v="Fairbanks North Star"/>
    <s v="Doyon"/>
    <s v="YU"/>
  </r>
  <r>
    <s v="Golden Valley Elec Assn Inc"/>
    <s v="North Pole"/>
    <m/>
    <s v="RFO"/>
    <s v="GT"/>
    <n v="321683.36"/>
    <n v="1245725.041"/>
    <n v="78.8"/>
    <n v="98163.133230799984"/>
    <n v="0.25822982553338591"/>
    <n v="94280"/>
    <n v="198143"/>
    <n v="6.2869999999999999"/>
    <s v="EIA"/>
    <n v="0"/>
    <x v="9"/>
    <s v="Fairbanks North Star"/>
    <s v="Doyon"/>
    <s v="YU"/>
  </r>
  <r>
    <s v="Golovin Power Utilities"/>
    <s v="Golovin"/>
    <s v="Golovin"/>
    <s v="DFO"/>
    <s v="IC"/>
    <n v="2578.4518119999998"/>
    <n v="8456.6517857142862"/>
    <n v="73.150000000000006"/>
    <n v="618.60407812500011"/>
    <n v="0.30490220921189465"/>
    <n v="755.70100000000002"/>
    <n v="1451.7857142857142"/>
    <n v="5.8250000000000002"/>
    <s v="PCE"/>
    <n v="0"/>
    <x v="6"/>
    <s v="Nome (CA)"/>
    <s v="Bering Straits"/>
    <s v="AN"/>
  </r>
  <r>
    <s v="Gustavus Electric Co"/>
    <s v="Gustavus"/>
    <s v="Gustavus"/>
    <s v="DFO"/>
    <s v="IC"/>
    <n v="335.04802752000001"/>
    <n v="1750.9796053571431"/>
    <n v="73.150000000000006"/>
    <n v="128.08415813187503"/>
    <n v="0.19134890349088965"/>
    <n v="98.196960000000004"/>
    <n v="300.59735714285716"/>
    <n v="5.8250000000000002"/>
    <s v="PCE"/>
    <n v="0"/>
    <x v="2"/>
    <s v="Hoonah-Angoon (CA)"/>
    <s v="Sealaska"/>
    <s v="SE"/>
  </r>
  <r>
    <s v="Gwitchyaa Zhee Utilities Company"/>
    <s v="Fort Yukon"/>
    <s v="Fort Yukon"/>
    <s v="DFO"/>
    <s v="IC"/>
    <n v="10446.247439999999"/>
    <n v="33129.410119047621"/>
    <n v="73.150000000000006"/>
    <n v="2423.4163502083338"/>
    <n v="0.31531643341859478"/>
    <n v="3061.62"/>
    <n v="5687.4523809523807"/>
    <n v="5.8250000000000002"/>
    <s v="PCE"/>
    <n v="0"/>
    <x v="3"/>
    <s v="Yukon-Koyukuk (CA)"/>
    <s v="Doyon"/>
    <s v="YU"/>
  </r>
  <r>
    <s v="Homer Electric Assn Inc"/>
    <s v="Nikiski Co-Generation"/>
    <m/>
    <s v="NG"/>
    <s v="GT"/>
    <n v="942698.06799999997"/>
    <n v="3656480.94"/>
    <n v="53.06"/>
    <n v="194012.8786764"/>
    <n v="0.25781566579149184"/>
    <n v="276289"/>
    <n v="3577770"/>
    <n v="1.022"/>
    <s v="EIA"/>
    <n v="0"/>
    <x v="9"/>
    <s v="Kenai Peninsula"/>
    <s v="Cook Inlet"/>
    <s v="SC"/>
  </r>
  <r>
    <s v="Homer Electric Assn Inc"/>
    <s v="Seldovia"/>
    <m/>
    <s v="DFO"/>
    <s v="IC"/>
    <n v="487.916"/>
    <n v="1415.4750000000001"/>
    <n v="73.150000000000006"/>
    <n v="103.54199625000001"/>
    <n v="0.34470124869743368"/>
    <n v="143"/>
    <n v="243"/>
    <n v="5.8250000000000002"/>
    <s v="EIA"/>
    <n v="0"/>
    <x v="9"/>
    <s v="Kenai Peninsula"/>
    <s v="Cook Inlet"/>
    <s v="SC"/>
  </r>
  <r>
    <s v="Hughes Power &amp; Light"/>
    <s v="Hughes"/>
    <s v="Hughes"/>
    <s v="DFO"/>
    <s v="IC"/>
    <n v="1270.27054"/>
    <n v="5685.2"/>
    <n v="73.150000000000006"/>
    <n v="415.87238000000002"/>
    <n v="0.22343462675015832"/>
    <n v="372.29500000000002"/>
    <n v="976"/>
    <n v="5.8250000000000002"/>
    <s v="PCE"/>
    <n v="0"/>
    <x v="3"/>
    <s v="Yukon-Koyukuk (CA)"/>
    <s v="Doyon"/>
    <s v="YU"/>
  </r>
  <r>
    <s v="Igiugig Electric Company"/>
    <s v="Igiugig"/>
    <s v="Igiugig"/>
    <s v="DFO"/>
    <s v="IC"/>
    <n v="1049.9356772460001"/>
    <n v="3741.125111904762"/>
    <n v="73.150000000000006"/>
    <n v="273.66330193583337"/>
    <n v="0.28064703687801401"/>
    <n v="307.7185455"/>
    <n v="642.25323809523809"/>
    <n v="5.8250000000000002"/>
    <s v="PCE"/>
    <n v="0"/>
    <x v="7"/>
    <s v="Lake and Peninsula"/>
    <s v="Bristol Bay"/>
    <s v="SW"/>
  </r>
  <r>
    <s v="I-N-N Electric Coop, Inc"/>
    <s v="Newhalen"/>
    <s v="Iliamna, Newhalen, Nondalton"/>
    <s v="DFO"/>
    <s v="IC"/>
    <n v="286.90484400000003"/>
    <n v="918.24135000000001"/>
    <n v="73.150000000000006"/>
    <n v="67.169354752499999"/>
    <n v="0.31245036394843256"/>
    <n v="84.087000000000003"/>
    <n v="157.63800000000001"/>
    <n v="5.8250000000000002"/>
    <s v="PCE"/>
    <s v="Power produced at the Tazimina hydroelectric project and the Newhalen plant is shared by Iliamna, Newhalen and Nondalton. Newhalen's information is included in Nondalton's data."/>
    <x v="7"/>
    <s v="Lake and Peninsula"/>
    <s v="Bristol Bay"/>
    <s v="SW"/>
  </r>
  <r>
    <s v="Inside Passage Electric"/>
    <s v="Angoon"/>
    <s v="Angoon"/>
    <s v="DFO"/>
    <s v="IC"/>
    <n v="6910.0335799999993"/>
    <n v="19558.269642857143"/>
    <n v="73.150000000000006"/>
    <n v="1430.6874243750001"/>
    <n v="0.35330495520208793"/>
    <n v="2025.2149999999999"/>
    <n v="3357.6428571428573"/>
    <n v="5.8250000000000002"/>
    <s v="PCE"/>
    <n v="0"/>
    <x v="2"/>
    <s v="Hoonah-Angoon (CA)"/>
    <s v="Sealaska"/>
    <s v="SE"/>
  </r>
  <r>
    <s v="Inside Passage Electric"/>
    <s v="Chilkat Valley"/>
    <s v="Chilkat Valley"/>
    <s v="DFO"/>
    <s v="IC"/>
    <n v="-233.52038492"/>
    <n v="0"/>
    <n v="73.150000000000006"/>
    <n v="0"/>
    <s v=" "/>
    <n v="-68.440910000000002"/>
    <n v="0"/>
    <n v="5.8250000000000002"/>
    <s v="PCE"/>
    <s v="Provides power to Klukwan via intertie. Power is purchased from AP&amp;T."/>
    <x v="2"/>
    <s v="Haines"/>
    <s v="Sealaska"/>
    <s v="SE"/>
  </r>
  <r>
    <s v="Inside Passage Electric"/>
    <s v="Hoonah"/>
    <s v="Hoonah"/>
    <s v="DFO"/>
    <s v="IC"/>
    <n v="16435.177499999998"/>
    <n v="45932.205357142862"/>
    <n v="73.150000000000006"/>
    <n v="3359.9408218750009"/>
    <n v="0.3578138121653282"/>
    <n v="4816.875"/>
    <n v="7885.3571428571431"/>
    <n v="5.8250000000000002"/>
    <s v="PCE"/>
    <n v="0"/>
    <x v="2"/>
    <s v="Hoonah-Angoon (CA)"/>
    <s v="Sealaska"/>
    <s v="SE"/>
  </r>
  <r>
    <s v="Inside Passage Electric"/>
    <s v="Kake"/>
    <s v="Kake"/>
    <s v="DFO"/>
    <s v="IC"/>
    <n v="9449.4930559999993"/>
    <n v="29610.139285714289"/>
    <n v="73.150000000000006"/>
    <n v="2165.9816887500001"/>
    <n v="0.3191303142757928"/>
    <n v="2769.4879999999998"/>
    <n v="5083.2857142857147"/>
    <n v="5.8250000000000002"/>
    <s v="PCE"/>
    <n v="0"/>
    <x v="2"/>
    <s v="Petersburg (CA)"/>
    <s v="Sealaska"/>
    <s v="SE"/>
  </r>
  <r>
    <s v="Inside Passage Electric"/>
    <s v="Klukwan"/>
    <s v="Klukwan"/>
    <s v="DFO"/>
    <s v="IC"/>
    <n v="0"/>
    <n v="0"/>
    <n v="73.150000000000006"/>
    <n v="0"/>
    <s v=" "/>
    <n v="0"/>
    <n v="0"/>
    <n v="5.8250000000000002"/>
    <s v="PCE"/>
    <s v="Receives power from Chilkat Valley via intertie. Chilkat Valley purchases power from AP&amp;T."/>
    <x v="2"/>
    <s v="Hoonah-Angoon (CA)"/>
    <s v="Sealaska"/>
    <s v="SE"/>
  </r>
  <r>
    <s v="Ketchikan Public Utilities"/>
    <s v="S W Bailey"/>
    <s v="Ketchikan"/>
    <s v="DFO"/>
    <s v="IC"/>
    <n v="8881.4359999999997"/>
    <n v="40856.550000000003"/>
    <n v="73.150000000000006"/>
    <n v="2988.6566325000003"/>
    <n v="0.21738095849992226"/>
    <n v="2603"/>
    <n v="7014"/>
    <n v="5.8250000000000002"/>
    <s v="EIA"/>
    <n v="0"/>
    <x v="2"/>
    <s v="Ketchikan Gateway"/>
    <s v="Sealaska"/>
    <s v="SE"/>
  </r>
  <r>
    <s v="King Cove, City of"/>
    <s v="King Cove"/>
    <s v="King Cove"/>
    <s v="DFO"/>
    <s v="IC"/>
    <n v="5842.5245519999999"/>
    <n v="19968.238690476192"/>
    <n v="73.150000000000006"/>
    <n v="1460.6766602083335"/>
    <n v="0.29259088107688636"/>
    <n v="1712.346"/>
    <n v="3428.0238095238096"/>
    <n v="5.8250000000000002"/>
    <s v="PCE"/>
    <n v="0"/>
    <x v="1"/>
    <s v="Aleutians East"/>
    <s v="Aleut"/>
    <s v="SW"/>
  </r>
  <r>
    <s v="Kipnuk Light Plant"/>
    <s v="Kipnuk"/>
    <s v="Kipnuk"/>
    <s v="DFO"/>
    <s v="IC"/>
    <n v="5401.9056959999998"/>
    <n v="21481.629166666669"/>
    <n v="73.150000000000006"/>
    <n v="1571.3811735416668"/>
    <n v="0.25146629494853251"/>
    <n v="1583.2080000000001"/>
    <n v="3687.8333333333335"/>
    <n v="5.8250000000000002"/>
    <s v="PCE"/>
    <n v="0"/>
    <x v="0"/>
    <s v="Bethel (CA)"/>
    <s v="Calista"/>
    <s v="SW"/>
  </r>
  <r>
    <s v="Kobuk Valley Electric Company"/>
    <s v="Kobuk"/>
    <s v="Kobuk"/>
    <s v="DFO"/>
    <s v="IC"/>
    <n v="0"/>
    <n v="0"/>
    <n v="73.150000000000006"/>
    <n v="0"/>
    <s v=" "/>
    <n v="0"/>
    <n v="0"/>
    <n v="5.8250000000000002"/>
    <s v="PCE"/>
    <s v="Receives power from Shungnak via intertie. For fuel use and cost, please refer to Shungnak. On July 1, 2012, AVEC took over operations in Kobuk."/>
    <x v="5"/>
    <s v="Northwest Arctic"/>
    <s v="NANA"/>
    <s v="AN"/>
  </r>
  <r>
    <s v="Kodiak Electric Assn Inc"/>
    <s v="Kodiak"/>
    <s v="Kodiak"/>
    <s v="DFO"/>
    <s v="IC"/>
    <n v="62146.167999999998"/>
    <n v="179823.57500000001"/>
    <n v="73.150000000000006"/>
    <n v="13154.094511250003"/>
    <n v="0.34559522020402494"/>
    <n v="18214"/>
    <n v="30871"/>
    <n v="5.8250000000000002"/>
    <s v="EIA"/>
    <n v="0"/>
    <x v="8"/>
    <s v="Kodiak Island"/>
    <s v="Koniag"/>
    <s v="SC"/>
  </r>
  <r>
    <s v="Kodiak Electric Assn Inc"/>
    <s v="Nymans Plant"/>
    <s v="Kodiak"/>
    <s v="DFO"/>
    <s v="IC"/>
    <n v="12174.016"/>
    <n v="48609.625"/>
    <n v="73.150000000000006"/>
    <n v="3555.79406875"/>
    <n v="0.25044455701931456"/>
    <n v="3568"/>
    <n v="8345"/>
    <n v="5.8250000000000002"/>
    <s v="EIA"/>
    <n v="0"/>
    <x v="8"/>
    <s v="Kodiak Island"/>
    <s v="Koniag"/>
    <s v="SC"/>
  </r>
  <r>
    <s v="Kodiak Electric Assn Inc"/>
    <s v="Port Lions"/>
    <s v="Kodiak"/>
    <s v="DFO"/>
    <s v="IC"/>
    <n v="238.84"/>
    <n v="902.875"/>
    <n v="73.150000000000006"/>
    <n v="66.04530625000001"/>
    <n v="0.26453274262771703"/>
    <n v="70"/>
    <n v="155"/>
    <n v="5.8250000000000002"/>
    <s v="EIA"/>
    <n v="0"/>
    <x v="8"/>
    <s v="Kodiak Island"/>
    <s v="Koniag"/>
    <s v="SC"/>
  </r>
  <r>
    <s v="Kokhanok Village Council"/>
    <s v="Kokhanok"/>
    <s v="Kokhanok"/>
    <s v="DFO"/>
    <s v="IC"/>
    <n v="1388.417864"/>
    <n v="5421.4107142857138"/>
    <n v="73.150000000000006"/>
    <n v="396.57619374999996"/>
    <n v="0.25609900027338695"/>
    <n v="406.92200000000003"/>
    <n v="930.71428571428567"/>
    <n v="5.8250000000000002"/>
    <s v="PCE"/>
    <n v="0"/>
    <x v="7"/>
    <s v="Lake and Peninsula"/>
    <s v="Bristol Bay"/>
    <s v="SW"/>
  </r>
  <r>
    <s v="Kotzebue Electric Association"/>
    <s v="Kotzebue"/>
    <s v="Kotzebue"/>
    <s v="DFO"/>
    <s v="IC"/>
    <n v="69263.599999999991"/>
    <n v="196534.66785714286"/>
    <n v="73.150000000000006"/>
    <n v="14376.510953750001"/>
    <n v="0.35242433691315123"/>
    <n v="20300"/>
    <n v="33739.857142857145"/>
    <n v="5.8250000000000002"/>
    <s v="PCE"/>
    <n v="0"/>
    <x v="5"/>
    <s v="Northwest Arctic"/>
    <s v="NANA"/>
    <s v="AN"/>
  </r>
  <r>
    <s v="Koyukuk, City of"/>
    <s v="Koyukuk"/>
    <s v="Koyukuk"/>
    <s v="DFO"/>
    <s v="IC"/>
    <n v="1071.8695639999999"/>
    <n v="4566.6613095238099"/>
    <n v="73.150000000000006"/>
    <n v="334.05127479166674"/>
    <n v="0.23471623826461732"/>
    <n v="314.14699999999999"/>
    <n v="783.97619047619048"/>
    <n v="5.8250000000000002"/>
    <s v="PCE"/>
    <n v="0"/>
    <x v="3"/>
    <s v="Yukon-Koyukuk (CA)"/>
    <s v="Doyon"/>
    <s v="YU"/>
  </r>
  <r>
    <s v="Kwethluk Incorporated"/>
    <s v="Kwethluk"/>
    <s v="Kwethluk"/>
    <s v="DFO"/>
    <s v="IC"/>
    <n v="4700.3473160000003"/>
    <n v="14205.788095238095"/>
    <n v="73.150000000000006"/>
    <n v="1039.1533991666668"/>
    <n v="0.33087550542694621"/>
    <n v="1377.5930000000001"/>
    <n v="2438.7619047619046"/>
    <n v="5.8250000000000002"/>
    <s v="PCE"/>
    <n v="0"/>
    <x v="0"/>
    <s v="Bethel (CA)"/>
    <s v="Calista"/>
    <s v="SW"/>
  </r>
  <r>
    <s v="Kwigillingok Power Company"/>
    <s v="Kwigillingok"/>
    <s v="Kwigillingok"/>
    <s v="DFO"/>
    <s v="IC"/>
    <n v="3986.1235920000004"/>
    <n v="11660.817857142858"/>
    <n v="73.150000000000006"/>
    <n v="852.9888262500001"/>
    <n v="0.34183910947192198"/>
    <n v="1168.2660000000001"/>
    <n v="2001.8571428571429"/>
    <n v="5.8250000000000002"/>
    <s v="PCE"/>
    <n v="0"/>
    <x v="0"/>
    <s v="Bethel (CA)"/>
    <s v="Calista"/>
    <s v="SW"/>
  </r>
  <r>
    <s v="Larsen Bay Utility Company"/>
    <s v="Larsen Bay"/>
    <s v="Larsen Bay"/>
    <s v="DFO"/>
    <s v="IC"/>
    <n v="543.1001526"/>
    <n v="1988.8215950000001"/>
    <n v="73.150000000000006"/>
    <n v="145.48229967425002"/>
    <n v="0.2730763553480019"/>
    <n v="159.17355000000001"/>
    <n v="341.42860000000002"/>
    <n v="5.8250000000000002"/>
    <s v="PCE"/>
    <n v="0"/>
    <x v="8"/>
    <s v="Kodiak Island"/>
    <s v="Koniag"/>
    <s v="SC"/>
  </r>
  <r>
    <s v="Levelock Electrical Coop"/>
    <s v="Levelock"/>
    <s v="Levelock"/>
    <s v="DFO"/>
    <s v="IC"/>
    <n v="1610.866616"/>
    <n v="5885.1916666666675"/>
    <n v="73.150000000000006"/>
    <n v="430.50177041666677"/>
    <n v="0.27371523430984263"/>
    <n v="472.11799999999999"/>
    <n v="1010.3333333333334"/>
    <n v="5.8250000000000002"/>
    <s v="PCE"/>
    <n v="0"/>
    <x v="7"/>
    <s v="Lake and Peninsula"/>
    <s v="Bristol Bay"/>
    <s v="SW"/>
  </r>
  <r>
    <s v="Manokotak Power Company"/>
    <s v="Manokotak"/>
    <s v="Manokotak"/>
    <s v="DFO"/>
    <s v="IC"/>
    <n v="4659.8332280000004"/>
    <n v="14540.309523809525"/>
    <n v="73.150000000000006"/>
    <n v="1063.6236416666668"/>
    <n v="0.32047689358810399"/>
    <n v="1365.7190000000001"/>
    <n v="2496.1904761904761"/>
    <n v="5.8250000000000002"/>
    <s v="PCE"/>
    <n v="0"/>
    <x v="7"/>
    <s v="Dillingham (CA)"/>
    <s v="Bristol Bay"/>
    <s v="SW"/>
  </r>
  <r>
    <s v="Mcgrath Light &amp; Power"/>
    <s v="McGrath"/>
    <s v="McGrath"/>
    <s v="DFO"/>
    <s v="IC"/>
    <n v="9692.4820479999998"/>
    <n v="26606.519642857143"/>
    <n v="73.150000000000006"/>
    <n v="1946.2669118750002"/>
    <n v="0.36428973718109237"/>
    <n v="2840.7040000000002"/>
    <n v="4567.6428571428569"/>
    <n v="5.8250000000000002"/>
    <s v="PCE"/>
    <n v="0"/>
    <x v="3"/>
    <s v="Yukon-Koyukuk (CA)"/>
    <s v="Doyon"/>
    <s v="SW"/>
  </r>
  <r>
    <s v="Metlakatla Power &amp; Light"/>
    <s v="Centennial"/>
    <s v="Metlakatla"/>
    <s v="DFO"/>
    <s v="IC"/>
    <n v="-150.12799999999999"/>
    <n v="2248.4500000000003"/>
    <n v="73.150000000000006"/>
    <n v="164.47411750000003"/>
    <s v=" "/>
    <n v="-44"/>
    <n v="386"/>
    <n v="5.8250000000000002"/>
    <s v="EIA"/>
    <n v="0"/>
    <x v="2"/>
    <s v="Prince of Wales-Hyder (CA)"/>
    <s v="Sealaska"/>
    <s v="SE"/>
  </r>
  <r>
    <s v="Middle Kuskokwim Electric"/>
    <s v="Chuathbaluk"/>
    <s v="Chuathbaluk"/>
    <s v="DFO"/>
    <s v="IC"/>
    <n v="754.0001375999999"/>
    <n v="3569.6028553571427"/>
    <n v="73.150000000000006"/>
    <n v="261.11644886937501"/>
    <n v="0.21122801839661834"/>
    <n v="220.98479999999998"/>
    <n v="612.80735714285709"/>
    <n v="5.8250000000000002"/>
    <s v="PCE"/>
    <n v="0"/>
    <x v="0"/>
    <s v="Bethel (CA)"/>
    <s v="Calista"/>
    <s v="SW"/>
  </r>
  <r>
    <s v="Middle Kuskokwim Electric"/>
    <s v="Crooked Creek"/>
    <s v="Crooked Creek"/>
    <s v="DFO"/>
    <s v="IC"/>
    <n v="1032.6499888000001"/>
    <n v="3509.5625"/>
    <n v="73.150000000000006"/>
    <n v="256.724496875"/>
    <n v="0.29423895109433157"/>
    <n v="302.6524"/>
    <n v="602.5"/>
    <n v="5.8250000000000002"/>
    <s v="PCE"/>
    <n v="0"/>
    <x v="0"/>
    <s v="Bethel (CA)"/>
    <s v="Calista"/>
    <s v="SW"/>
  </r>
  <r>
    <s v="Middle Kuskokwim Electric"/>
    <s v="Red Devil"/>
    <s v="Red Devil"/>
    <s v="DFO"/>
    <s v="IC"/>
    <n v="363.13813640000001"/>
    <n v="1849.5761904761905"/>
    <n v="73.150000000000006"/>
    <n v="135.29649833333335"/>
    <n v="0.19633586238288822"/>
    <n v="106.4297"/>
    <n v="317.52380952380952"/>
    <n v="5.8250000000000002"/>
    <s v="PCE"/>
    <n v="0"/>
    <x v="0"/>
    <s v="Bethel (CA)"/>
    <s v="Calista"/>
    <s v="SW"/>
  </r>
  <r>
    <s v="Middle Kuskokwim Electric"/>
    <s v="Sleetmute"/>
    <s v="Sleetmute"/>
    <s v="DFO"/>
    <s v="IC"/>
    <n v="884.17442040000003"/>
    <n v="3402.3547619047617"/>
    <n v="73.150000000000006"/>
    <n v="248.88225083333336"/>
    <n v="0.25987131921099466"/>
    <n v="259.13670000000002"/>
    <n v="584.09523809523807"/>
    <n v="5.8250000000000002"/>
    <s v="PCE"/>
    <n v="0"/>
    <x v="0"/>
    <s v="Bethel (CA)"/>
    <s v="Calista"/>
    <s v="SW"/>
  </r>
  <r>
    <s v="Middle Kuskokwim Electric"/>
    <s v="Stony River"/>
    <s v="Stony River"/>
    <s v="DFO"/>
    <s v="IC"/>
    <n v="436.98166400000002"/>
    <n v="1966.9083333333335"/>
    <n v="73.150000000000006"/>
    <n v="143.87934458333336"/>
    <n v="0.22216676628719351"/>
    <n v="128.072"/>
    <n v="337.66666666666669"/>
    <n v="5.8250000000000002"/>
    <s v="PCE"/>
    <n v="0"/>
    <x v="0"/>
    <s v="Bethel (CA)"/>
    <s v="Calista"/>
    <s v="SW"/>
  </r>
  <r>
    <s v="Naknek Electric Association"/>
    <s v="Naknek"/>
    <s v="Naknek, King Salmon, South Naknek"/>
    <s v="DFO"/>
    <s v="IC"/>
    <n v="67898.8"/>
    <n v="182953.12559523809"/>
    <n v="73.150000000000006"/>
    <n v="13383.021137291667"/>
    <n v="0.37112675598785877"/>
    <n v="19900"/>
    <n v="31408.261904761905"/>
    <n v="5.8250000000000002"/>
    <s v="PCE"/>
    <s v="Provides power to South Naknek and King Salmon via intertie. Data includes South Naknek's and King Salmon's information."/>
    <x v="7"/>
    <s v="Bristol Bay"/>
    <s v="Bristol Bay"/>
    <s v="SW"/>
  </r>
  <r>
    <s v="Napakiak Ircinraq"/>
    <s v="Napakiak"/>
    <s v="Napakiak"/>
    <s v="DFO"/>
    <s v="IC"/>
    <n v="0"/>
    <n v="0"/>
    <n v="73.150000000000006"/>
    <n v="0"/>
    <s v=" "/>
    <n v="0"/>
    <n v="0"/>
    <n v="5.8250000000000002"/>
    <s v="PCE"/>
    <s v="Purchases power from Bethel Utilities Corporation"/>
    <x v="0"/>
    <s v="Bethel (CA)"/>
    <s v="Calista"/>
    <s v="SW"/>
  </r>
  <r>
    <s v="Napaskiak Electric Utility"/>
    <s v="Napaskiak"/>
    <s v="Napaskiak"/>
    <s v="DFO"/>
    <s v="IC"/>
    <n v="3341.8834000000002"/>
    <n v="10692.064880952381"/>
    <n v="73.150000000000006"/>
    <n v="782.1245460416668"/>
    <n v="0.31255734390028567"/>
    <n v="979.45"/>
    <n v="1835.547619047619"/>
    <n v="5.8250000000000002"/>
    <s v="PCE"/>
    <n v="0"/>
    <x v="0"/>
    <s v="Bethel (CA)"/>
    <s v="Calista"/>
    <s v="SW"/>
  </r>
  <r>
    <s v="Naterkaq Light Plant"/>
    <s v="Chefornak"/>
    <s v="Chefornak"/>
    <s v="DFO"/>
    <s v="IC"/>
    <n v="5563.6890880000001"/>
    <n v="17156.427976190476"/>
    <n v="73.150000000000006"/>
    <n v="1254.9927064583335"/>
    <n v="0.32429181037691723"/>
    <n v="1630.624"/>
    <n v="2945.3095238095239"/>
    <n v="5.8250000000000002"/>
    <s v="PCE"/>
    <n v="0"/>
    <x v="0"/>
    <s v="Bethel (CA)"/>
    <s v="Calista"/>
    <s v="SW"/>
  </r>
  <r>
    <s v="Native Village of Perryville"/>
    <s v="Perryville"/>
    <s v="Perryville"/>
    <s v="DFO"/>
    <s v="IC"/>
    <n v="601.98359559999994"/>
    <n v="2006.0190476190478"/>
    <n v="73.150000000000006"/>
    <n v="146.74029333333337"/>
    <n v="0.30008867379125675"/>
    <n v="176.43129999999999"/>
    <n v="344.38095238095241"/>
    <n v="5.8250000000000002"/>
    <s v="PCE"/>
    <n v="0"/>
    <x v="7"/>
    <s v="Lake and Peninsula"/>
    <s v="Bristol Bay"/>
    <s v="SW"/>
  </r>
  <r>
    <s v="Nelson Lagoon Electrical Coop"/>
    <s v="Nelson Lagoon"/>
    <s v="Nelson Lagoon"/>
    <s v="DFO"/>
    <s v="IC"/>
    <n v="1338.2952427999999"/>
    <n v="6171.7261904761917"/>
    <n v="73.150000000000006"/>
    <n v="451.4617708333335"/>
    <n v="0.21684293850643771"/>
    <n v="392.2319"/>
    <n v="1059.5238095238096"/>
    <n v="5.8250000000000002"/>
    <s v="PCE"/>
    <n v="0"/>
    <x v="1"/>
    <s v="Aleutians East"/>
    <s v="Aleut"/>
    <s v="SW"/>
  </r>
  <r>
    <s v="New Koliganek Village Council"/>
    <s v="Koliganek"/>
    <s v="Koliganek"/>
    <s v="DFO"/>
    <s v="IC"/>
    <n v="2212.4772800000001"/>
    <n v="10014.423214285714"/>
    <n v="73.150000000000006"/>
    <n v="732.55505812500007"/>
    <n v="0.22092907725767674"/>
    <n v="648.44000000000005"/>
    <n v="1719.2142857142858"/>
    <n v="5.8250000000000002"/>
    <s v="PCE"/>
    <n v="0"/>
    <x v="7"/>
    <s v="Dillingham (CA)"/>
    <s v="Bristol Bay"/>
    <s v="SW"/>
  </r>
  <r>
    <s v="Nikolai, City of"/>
    <s v="Nikolai"/>
    <s v="Nikolai"/>
    <s v="DFO"/>
    <s v="IC"/>
    <n v="1362.1082732"/>
    <n v="5065.9470238095237"/>
    <n v="73.150000000000006"/>
    <n v="370.57402479166672"/>
    <n v="0.26887534883373354"/>
    <n v="399.21109999999999"/>
    <n v="869.69047619047615"/>
    <n v="5.8250000000000002"/>
    <s v="PCE"/>
    <n v="0"/>
    <x v="3"/>
    <s v="Yukon-Koyukuk (CA)"/>
    <s v="Doyon"/>
    <s v="SW"/>
  </r>
  <r>
    <s v="Nome Joint Utility Systems"/>
    <s v="Snake River"/>
    <s v="Nome"/>
    <s v="DFO"/>
    <s v="IC"/>
    <n v="114302"/>
    <n v="292609.44404761906"/>
    <n v="73.150000000000006"/>
    <n v="21404.380832083338"/>
    <n v="0.39062990728829167"/>
    <n v="33500"/>
    <n v="50233.380952380954"/>
    <n v="5.8250000000000002"/>
    <s v="PCE"/>
    <n v="0"/>
    <x v="6"/>
    <s v="Nome (CA)"/>
    <s v="Bering Straits"/>
    <s v="AN"/>
  </r>
  <r>
    <s v="North Slope Borough Power &amp; Light"/>
    <s v="Anaktuvuk Pass"/>
    <s v="Anaktuvuk Pass"/>
    <s v="DFO"/>
    <s v="IC"/>
    <n v="12279.788"/>
    <n v="38683.825000000004"/>
    <n v="73.150000000000006"/>
    <n v="2829.7217987500007"/>
    <n v="0.31743986019996728"/>
    <n v="3599"/>
    <n v="6641"/>
    <n v="5.8250000000000002"/>
    <s v="EIA"/>
    <n v="0"/>
    <x v="10"/>
    <s v="North Slope"/>
    <s v="Arctic Slope"/>
    <s v="AN"/>
  </r>
  <r>
    <s v="North Slope Borough Power &amp; Light"/>
    <s v="Atqasuk"/>
    <s v="Atqasuk"/>
    <s v="DFO"/>
    <s v="IC"/>
    <n v="11058.291999999999"/>
    <n v="35410.175000000003"/>
    <n v="73.150000000000006"/>
    <n v="2590.2543012500005"/>
    <n v="0.31229136822961195"/>
    <n v="3241"/>
    <n v="6079"/>
    <n v="5.8250000000000002"/>
    <s v="EIA"/>
    <n v="0"/>
    <x v="10"/>
    <s v="North Slope"/>
    <s v="Arctic Slope"/>
    <s v="AN"/>
  </r>
  <r>
    <s v="North Slope Borough Power &amp; Light"/>
    <s v="Kaktovik"/>
    <s v="Kaktovik"/>
    <s v="DFO"/>
    <s v="IC"/>
    <n v="15524.6"/>
    <n v="49017.375"/>
    <n v="73.150000000000006"/>
    <n v="3585.6209812500001"/>
    <n v="0.3167162664259357"/>
    <n v="4550"/>
    <n v="8415"/>
    <n v="5.8250000000000002"/>
    <s v="EIA"/>
    <n v="0"/>
    <x v="10"/>
    <s v="North Slope"/>
    <s v="Arctic Slope"/>
    <s v="AN"/>
  </r>
  <r>
    <s v="North Slope Borough Power &amp; Light"/>
    <s v="Nuiqsut"/>
    <s v="Nuiqsut"/>
    <s v="DFO"/>
    <s v="IC"/>
    <n v="5984.6480000000001"/>
    <n v="12244.15"/>
    <n v="73.150000000000006"/>
    <n v="895.65957249999997"/>
    <n v="0.48877610940734967"/>
    <n v="1754"/>
    <n v="2102"/>
    <n v="5.8250000000000002"/>
    <s v="EIA"/>
    <n v="0"/>
    <x v="10"/>
    <s v="North Slope"/>
    <s v="Arctic Slope"/>
    <s v="AN"/>
  </r>
  <r>
    <s v="North Slope Borough Power &amp; Light"/>
    <s v="Nuiqsut"/>
    <s v="Nuiqsut"/>
    <s v="NG"/>
    <s v="IC"/>
    <n v="5032.7"/>
    <n v="10556.237999999999"/>
    <n v="53.06"/>
    <n v="560.11398828000006"/>
    <n v="0.47675128203816552"/>
    <n v="1475"/>
    <n v="10329"/>
    <n v="1.022"/>
    <s v="EIA"/>
    <n v="0"/>
    <x v="10"/>
    <s v="North Slope"/>
    <s v="Arctic Slope"/>
    <s v="AN"/>
  </r>
  <r>
    <s v="North Slope Borough Power &amp; Light"/>
    <s v="Point Hope"/>
    <s v="Point Hope"/>
    <s v="DFO"/>
    <s v="IC"/>
    <n v="20994.036"/>
    <n v="57207.325000000004"/>
    <n v="73.150000000000006"/>
    <n v="4184.7158237500007"/>
    <n v="0.36698160593944917"/>
    <n v="6153"/>
    <n v="9821"/>
    <n v="5.8250000000000002"/>
    <s v="EIA"/>
    <n v="0"/>
    <x v="10"/>
    <s v="North Slope"/>
    <s v="Arctic Slope"/>
    <s v="AN"/>
  </r>
  <r>
    <s v="North Slope Borough Power &amp; Light"/>
    <s v="Point Lay"/>
    <s v="Point Lay"/>
    <s v="DFO"/>
    <s v="IC"/>
    <n v="10526.02"/>
    <n v="39312.925000000003"/>
    <n v="73.150000000000006"/>
    <n v="2875.7404637500008"/>
    <n v="0.26774960143515142"/>
    <n v="3085"/>
    <n v="6749"/>
    <n v="5.8250000000000002"/>
    <s v="EIA"/>
    <n v="0"/>
    <x v="10"/>
    <s v="North Slope"/>
    <s v="Arctic Slope"/>
    <s v="AN"/>
  </r>
  <r>
    <s v="North Slope Borough Power &amp; Light"/>
    <s v="Wainwright"/>
    <s v="Wainwright"/>
    <s v="DFO"/>
    <s v="IC"/>
    <n v="21352.295999999998"/>
    <n v="68082.600000000006"/>
    <n v="73.150000000000006"/>
    <n v="4980.2421900000008"/>
    <n v="0.31362339276114598"/>
    <n v="6258"/>
    <n v="11688"/>
    <n v="5.8250000000000002"/>
    <s v="EIA"/>
    <n v="0"/>
    <x v="10"/>
    <s v="North Slope"/>
    <s v="Arctic Slope"/>
    <s v="AN"/>
  </r>
  <r>
    <s v="Nunam Iqua Electric Company"/>
    <s v="Sheldon Point"/>
    <s v="Nunam Iqua"/>
    <s v="DFO"/>
    <s v="IC"/>
    <n v="2829.3975879999998"/>
    <n v="9410.0101190476198"/>
    <n v="73.150000000000006"/>
    <n v="688.34224020833346"/>
    <n v="0.3006795478649667"/>
    <n v="829.24900000000002"/>
    <n v="1615.452380952381"/>
    <n v="5.8250000000000002"/>
    <s v="PCE"/>
    <n v="0"/>
    <x v="0"/>
    <s v="Wade Hampton (CA)"/>
    <s v="Calista"/>
    <s v="YU"/>
  </r>
  <r>
    <s v="Nushagak Electric Cooperative"/>
    <s v="Dillingham"/>
    <s v="Dillingham, Aleknagik"/>
    <s v="DFO"/>
    <s v="IC"/>
    <n v="64145.599999999999"/>
    <n v="177069.59821428571"/>
    <n v="73.150000000000006"/>
    <n v="12952.641109374999"/>
    <n v="0.36226207461301413"/>
    <n v="18800"/>
    <n v="30398.214285714286"/>
    <n v="5.8250000000000002"/>
    <s v="PCE"/>
    <s v="Provides power to Aleknagik via intertie. Data includes Aleknagik's information."/>
    <x v="7"/>
    <s v="Dillingham (CA)"/>
    <s v="Bristol Bay"/>
    <s v="SW"/>
  </r>
  <r>
    <s v="Ouzinkie, City of"/>
    <s v="Ouzinkie"/>
    <s v="Ouzinkie"/>
    <s v="DFO"/>
    <s v="IC"/>
    <n v="1121.9338399999999"/>
    <n v="3627.0333333333333"/>
    <n v="73.150000000000006"/>
    <n v="265.31748833333336"/>
    <n v="0.30932548363676465"/>
    <n v="328.82"/>
    <n v="622.66666666666663"/>
    <n v="5.8250000000000002"/>
    <s v="PCE"/>
    <n v="0"/>
    <x v="8"/>
    <s v="Kodiak Island"/>
    <s v="Koniag"/>
    <s v="SC"/>
  </r>
  <r>
    <s v="Pedro Bay Village Council"/>
    <s v="Pedro Bay"/>
    <s v="Pedro Bay"/>
    <s v="DFO"/>
    <s v="IC"/>
    <n v="722.61724400000003"/>
    <n v="2706.4059523809524"/>
    <n v="73.150000000000006"/>
    <n v="197.97359541666668"/>
    <n v="0.26700253277387292"/>
    <n v="211.78700000000001"/>
    <n v="464.61904761904759"/>
    <n v="5.8250000000000002"/>
    <s v="PCE"/>
    <n v="0"/>
    <x v="7"/>
    <s v="Lake and Peninsula"/>
    <s v="Bristol Bay"/>
    <s v="SW"/>
  </r>
  <r>
    <s v="Pelican Utility"/>
    <s v="Pelican"/>
    <s v="Pelican"/>
    <s v="DFO"/>
    <s v="IC"/>
    <n v="2724.4888239999996"/>
    <n v="9241.0851190476187"/>
    <n v="73.150000000000006"/>
    <n v="675.98537645833335"/>
    <n v="0.294823474613854"/>
    <n v="798.50199999999995"/>
    <n v="1586.452380952381"/>
    <n v="5.8250000000000002"/>
    <s v="PCE"/>
    <n v="0"/>
    <x v="2"/>
    <s v="Hoonah-Angoon (CA)"/>
    <s v="Sealaska"/>
    <s v="SE"/>
  </r>
  <r>
    <s v="Petersburg, City of"/>
    <s v="Blind Slough"/>
    <s v="Petersburg"/>
    <s v="DFO"/>
    <s v="IC"/>
    <n v="2067.672"/>
    <n v="6471.5749999999998"/>
    <n v="73.150000000000006"/>
    <n v="473.39571125000003"/>
    <n v="0.31950058525165825"/>
    <n v="606"/>
    <n v="1111"/>
    <n v="5.8250000000000002"/>
    <s v="EIA"/>
    <n v="0"/>
    <x v="2"/>
    <s v="Petersburg (CA)"/>
    <s v="Sealaska"/>
    <s v="SE"/>
  </r>
  <r>
    <s v="Pilot Point Electric Utility"/>
    <s v="Pilot Point"/>
    <s v="Pilot Point"/>
    <s v="DFO"/>
    <s v="IC"/>
    <n v="1511.802608"/>
    <n v="6129.0095238095237"/>
    <n v="73.150000000000006"/>
    <n v="448.33704666666671"/>
    <n v="0.24666344572105181"/>
    <n v="443.084"/>
    <n v="1052.1904761904761"/>
    <n v="5.8250000000000002"/>
    <s v="PCE"/>
    <n v="0"/>
    <x v="7"/>
    <s v="Lake and Peninsula"/>
    <s v="Bristol Bay"/>
    <s v="SW"/>
  </r>
  <r>
    <s v="Port Heiden Utilities"/>
    <s v="Port Heiden"/>
    <s v="Port Heiden"/>
    <s v="DFO"/>
    <s v="IC"/>
    <n v="357.17498399999999"/>
    <n v="7980.6660714285726"/>
    <n v="73.150000000000006"/>
    <n v="583.78572312500012"/>
    <n v="4.4755034329617575E-2"/>
    <n v="104.682"/>
    <n v="1370.0714285714287"/>
    <n v="5.8250000000000002"/>
    <s v="PCE"/>
    <n v="0"/>
    <x v="7"/>
    <s v="Lake and Peninsula"/>
    <s v="Bristol Bay"/>
    <s v="SW"/>
  </r>
  <r>
    <s v="Puvurnaq Power Company"/>
    <s v="Kongiganak"/>
    <s v="Kongiganak"/>
    <s v="DFO"/>
    <s v="IC"/>
    <n v="772.50375479999991"/>
    <n v="12259.822023809524"/>
    <n v="73.150000000000006"/>
    <n v="896.80598104166666"/>
    <n v="6.3011008911853517E-2"/>
    <n v="226.40789999999998"/>
    <n v="2104.6904761904761"/>
    <n v="5.8250000000000002"/>
    <s v="PCE"/>
    <n v="0"/>
    <x v="0"/>
    <s v="Bethel (CA)"/>
    <s v="Calista"/>
    <s v="SW"/>
  </r>
  <r>
    <s v="Ruby, City of"/>
    <s v="Ruby"/>
    <s v="Ruby"/>
    <s v="DFO"/>
    <s v="IC"/>
    <n v="2499.5506768"/>
    <n v="7384.9904761904763"/>
    <n v="73.150000000000006"/>
    <n v="540.2120533333333"/>
    <n v="0.33846362901328819"/>
    <n v="732.57640000000004"/>
    <n v="1267.8095238095239"/>
    <n v="5.8250000000000002"/>
    <s v="PCE"/>
    <n v="0"/>
    <x v="3"/>
    <s v="Yukon-Koyukuk (CA)"/>
    <s v="Doyon"/>
    <s v="YU"/>
  </r>
  <r>
    <s v="Saint George, City of"/>
    <s v="Saint George"/>
    <s v="Saint George"/>
    <s v="DFO"/>
    <s v="IC"/>
    <n v="1435.5375840000002"/>
    <n v="4991.4702380952385"/>
    <n v="73.150000000000006"/>
    <n v="365.12604791666672"/>
    <n v="0.28759814554114344"/>
    <n v="420.73200000000003"/>
    <n v="856.90476190476193"/>
    <n v="5.8250000000000002"/>
    <s v="PCE"/>
    <n v="0"/>
    <x v="1"/>
    <s v="Aleutians West (CA)"/>
    <s v="Aleut"/>
    <s v="SW"/>
  </r>
  <r>
    <s v="Saint Paul Municipal Electric"/>
    <s v="Saint Paul"/>
    <s v="Saint Paul"/>
    <s v="DFO"/>
    <s v="IC"/>
    <n v="14657.8667"/>
    <n v="43856.979761904768"/>
    <n v="73.150000000000006"/>
    <n v="3208.1380695833341"/>
    <n v="0.33421970184851119"/>
    <n v="4295.9750000000004"/>
    <n v="7529.0952380952385"/>
    <n v="5.8250000000000002"/>
    <s v="PCE"/>
    <n v="0"/>
    <x v="1"/>
    <s v="Aleutians West (CA)"/>
    <s v="Aleut"/>
    <s v="SW"/>
  </r>
  <r>
    <s v="Seward, City of"/>
    <s v="Seward"/>
    <s v="Seward"/>
    <s v="DFO"/>
    <s v="IC"/>
    <n v="150.12799999999999"/>
    <n v="308.72500000000002"/>
    <n v="73.150000000000006"/>
    <n v="22.583233750000002"/>
    <n v="0.48628390962830992"/>
    <n v="44"/>
    <n v="53"/>
    <n v="5.8250000000000002"/>
    <s v="EIA"/>
    <n v="0"/>
    <x v="9"/>
    <s v="Kenai Peninsula"/>
    <s v="Chugach"/>
    <s v="SC"/>
  </r>
  <r>
    <s v="Sitka, City &amp; Borough Of"/>
    <s v="Jarvis Street"/>
    <s v="Sitka"/>
    <s v="DFO"/>
    <s v="IC"/>
    <n v="4729.0320000000002"/>
    <n v="22333.05"/>
    <n v="73.150000000000006"/>
    <n v="1633.6626075000001"/>
    <n v="0.2117503878780552"/>
    <n v="1386"/>
    <n v="3834"/>
    <n v="5.8250000000000002"/>
    <s v="EIA"/>
    <n v="0"/>
    <x v="2"/>
    <s v="Sitka"/>
    <s v="Sealaska"/>
    <s v="SE"/>
  </r>
  <r>
    <s v="Takotna Community Assoc Inc"/>
    <s v="Takotna"/>
    <s v="Takotna"/>
    <s v="DFO"/>
    <s v="IC"/>
    <n v="663.87454600000001"/>
    <n v="3023.3136904761905"/>
    <n v="73.150000000000006"/>
    <n v="221.15539645833337"/>
    <n v="0.21958506922099627"/>
    <n v="194.57050000000001"/>
    <n v="519.02380952380952"/>
    <n v="5.8250000000000002"/>
    <s v="PCE"/>
    <n v="0"/>
    <x v="3"/>
    <s v="Yukon-Koyukuk (CA)"/>
    <s v="Doyon"/>
    <s v="SW"/>
  </r>
  <r>
    <s v="Tanalian Electric Cooperative"/>
    <s v="Port Alsworth"/>
    <s v="Port Alsworth"/>
    <s v="DFO"/>
    <s v="IC"/>
    <n v="2212.043956"/>
    <n v="7580.9601190476196"/>
    <n v="73.150000000000006"/>
    <n v="554.54723270833335"/>
    <n v="0.29178941997625157"/>
    <n v="648.31299999999999"/>
    <n v="1301.452380952381"/>
    <n v="5.8250000000000002"/>
    <s v="PCE"/>
    <n v="0"/>
    <x v="7"/>
    <s v="Lake and Peninsula"/>
    <s v="Cook Inlet"/>
    <s v="SW"/>
  </r>
  <r>
    <s v="Tanana Power Company Inc"/>
    <s v="Tanana"/>
    <s v="Tanana"/>
    <s v="DFO"/>
    <s v="IC"/>
    <n v="3912.1855519999999"/>
    <n v="12331.10892857143"/>
    <n v="73.150000000000006"/>
    <n v="902.02061812500017"/>
    <n v="0.31726145431538494"/>
    <n v="1146.596"/>
    <n v="2116.9285714285716"/>
    <n v="5.8250000000000002"/>
    <s v="PCE"/>
    <n v="0"/>
    <x v="3"/>
    <s v="Yukon-Koyukuk (CA)"/>
    <s v="Doyon"/>
    <s v="YU"/>
  </r>
  <r>
    <s v="Tatitlek Village IRA Council"/>
    <s v="Tatitlek"/>
    <s v="Tatitlek"/>
    <s v="DFO"/>
    <s v="IC"/>
    <n v="1611.160048"/>
    <n v="5908.075595238096"/>
    <n v="73.150000000000006"/>
    <n v="432.17572979166675"/>
    <n v="0.27270471103968164"/>
    <n v="472.20400000000001"/>
    <n v="1014.2619047619048"/>
    <n v="5.8250000000000002"/>
    <s v="PCE"/>
    <n v="0"/>
    <x v="4"/>
    <s v="Valdez-Cordova (CA)"/>
    <s v="Chugach"/>
    <s v="SC"/>
  </r>
  <r>
    <s v="TDX Adak Generating LLC"/>
    <s v="Adak"/>
    <s v="Adak"/>
    <s v="DFO"/>
    <s v="IC"/>
    <n v="6511.5153919999993"/>
    <n v="30136.358690476191"/>
    <n v="73.150000000000006"/>
    <n v="2204.4746382083335"/>
    <n v="0.21606841950875086"/>
    <n v="1908.4159999999999"/>
    <n v="5173.6238095238095"/>
    <n v="5.8250000000000002"/>
    <s v="PCE"/>
    <n v="0"/>
    <x v="1"/>
    <s v="Aleutians West (CA)"/>
    <s v="Aleut"/>
    <s v="SW"/>
  </r>
  <r>
    <s v="TDX Corporation"/>
    <s v="Sand Point"/>
    <s v="Sand Point"/>
    <s v="DFO"/>
    <s v="IC"/>
    <n v="14718.668540000001"/>
    <n v="41493.971428571429"/>
    <n v="73.150000000000006"/>
    <n v="3035.2840100000003"/>
    <n v="0.35471824058434653"/>
    <n v="4313.7950000000001"/>
    <n v="7123.4285714285716"/>
    <n v="5.8250000000000002"/>
    <s v="PCE"/>
    <n v="0"/>
    <x v="1"/>
    <s v="Aleutians East"/>
    <s v="Aleut"/>
    <s v="SW"/>
  </r>
  <r>
    <s v="TDX Manley Generating LLC"/>
    <s v="Manley Hot Springs"/>
    <s v="Manley Hot Springs"/>
    <s v="DFO"/>
    <s v="IC"/>
    <n v="1481.3597204"/>
    <n v="4789.6294113095246"/>
    <n v="73.150000000000006"/>
    <n v="350.36139143729173"/>
    <n v="0.30928483045100225"/>
    <n v="434.1617"/>
    <n v="822.25397619047624"/>
    <n v="5.8250000000000002"/>
    <s v="PCE"/>
    <n v="0"/>
    <x v="3"/>
    <s v="Yukon-Koyukuk (CA)"/>
    <s v="Doyon"/>
    <s v="YU"/>
  </r>
  <r>
    <s v="Tenakee Springs, City of"/>
    <s v="Tenakee Springs"/>
    <s v="Tenakee Springs"/>
    <s v="DFO"/>
    <s v="IC"/>
    <n v="1420.4599559999999"/>
    <n v="4662.2190476190481"/>
    <n v="73.150000000000006"/>
    <n v="341.04132333333342"/>
    <n v="0.30467464988060045"/>
    <n v="416.31299999999999"/>
    <n v="800.38095238095241"/>
    <n v="5.8250000000000002"/>
    <s v="PCE"/>
    <n v="0"/>
    <x v="2"/>
    <s v="Hoonah-Angoon (CA)"/>
    <s v="Sealaska"/>
    <s v="SE"/>
  </r>
  <r>
    <s v="Tuluksak Traditional"/>
    <s v="Tuluksak"/>
    <s v="Tuluksak"/>
    <s v="DFO"/>
    <s v="IC"/>
    <n v="2070.1392171999996"/>
    <n v="8073.7273809523813"/>
    <n v="73.150000000000006"/>
    <n v="590.59315791666666"/>
    <n v="0.25640439904917928"/>
    <n v="606.72309999999993"/>
    <n v="1386.047619047619"/>
    <n v="5.8250000000000002"/>
    <s v="PCE"/>
    <n v="0"/>
    <x v="0"/>
    <s v="Bethel (CA)"/>
    <s v="Calista"/>
    <s v="SW"/>
  </r>
  <r>
    <s v="Tuntutuliak Community"/>
    <s v="Tuntutuliak"/>
    <s v="Tuntutuliak"/>
    <s v="DFO"/>
    <s v="IC"/>
    <n v="3312.8848119999998"/>
    <n v="12798.357142857145"/>
    <n v="73.150000000000006"/>
    <n v="936.19982500000015"/>
    <n v="0.25885234917428013"/>
    <n v="970.95100000000002"/>
    <n v="2197.1428571428573"/>
    <n v="5.8250000000000002"/>
    <s v="PCE"/>
    <n v="0"/>
    <x v="0"/>
    <s v="Bethel (CA)"/>
    <s v="Calista"/>
    <s v="SW"/>
  </r>
  <r>
    <s v="Twin Hills Village Council"/>
    <s v="Twin Hills"/>
    <s v="Twin Hills"/>
    <s v="DFO"/>
    <s v="IC"/>
    <n v="963.00902159999998"/>
    <n v="4183.0434523809527"/>
    <n v="73.150000000000006"/>
    <n v="305.98962854166672"/>
    <n v="0.23021731248138563"/>
    <n v="282.24180000000001"/>
    <n v="718.11904761904759"/>
    <n v="5.8250000000000002"/>
    <s v="PCE"/>
    <n v="0"/>
    <x v="7"/>
    <s v="Dillingham (CA)"/>
    <s v="Bristol Bay"/>
    <s v="SW"/>
  </r>
  <r>
    <s v="Umnak Power Company"/>
    <s v="Nikolski"/>
    <s v="Nikolski"/>
    <s v="DFO"/>
    <s v="IC"/>
    <n v="722.12591599999996"/>
    <n v="3402.3547619047617"/>
    <n v="73.150000000000006"/>
    <n v="248.88225083333336"/>
    <n v="0.21224298068074701"/>
    <n v="211.643"/>
    <n v="584.09523809523807"/>
    <n v="5.8250000000000002"/>
    <s v="PCE"/>
    <n v="0"/>
    <x v="1"/>
    <s v="Aleutians West (CA)"/>
    <s v="Aleut"/>
    <s v="SW"/>
  </r>
  <r>
    <s v="Unalakleet Valley Electric Cooperative"/>
    <s v="Unalakleet"/>
    <s v="Unalakleet"/>
    <s v="DFO"/>
    <s v="IC"/>
    <n v="11934.984928"/>
    <n v="32403.226785714291"/>
    <n v="73.150000000000006"/>
    <n v="2370.2960393750004"/>
    <n v="0.36832704986226289"/>
    <n v="3497.944"/>
    <n v="5562.7857142857147"/>
    <n v="5.8250000000000002"/>
    <s v="PCE"/>
    <n v="0"/>
    <x v="6"/>
    <s v="Nome (CA)"/>
    <s v="Bering Straits"/>
    <s v="AN"/>
  </r>
  <r>
    <s v="Unalaska, City of"/>
    <m/>
    <s v="Unalaska"/>
    <s v="DFO"/>
    <s v="IC"/>
    <n v="148422"/>
    <n v="387562.21428571426"/>
    <n v="73.150000000000006"/>
    <n v="28350.175975000002"/>
    <n v="0.38296303026739859"/>
    <n v="43500"/>
    <n v="66534.28571428571"/>
    <n v="5.8250000000000002"/>
    <s v="PCE"/>
    <e v="#N/A"/>
    <x v="1"/>
    <s v="Aleutians West (CA)"/>
    <s v="Aleut"/>
    <s v="SW"/>
  </r>
  <r>
    <s v="Ungusraq Power Company"/>
    <s v="Newtok"/>
    <s v="Newtok"/>
    <s v="DFO"/>
    <s v="IC"/>
    <n v="1456.8694079999998"/>
    <n v="5708.3613095238097"/>
    <n v="73.150000000000006"/>
    <n v="417.56662979166668"/>
    <n v="0.25521674768017294"/>
    <n v="426.98399999999998"/>
    <n v="979.97619047619048"/>
    <n v="5.8250000000000002"/>
    <s v="PCE"/>
    <n v="0"/>
    <x v="0"/>
    <s v="Bethel (CA)"/>
    <s v="Calista"/>
    <s v="SW"/>
  </r>
  <r>
    <s v="White Mountain, City of"/>
    <s v="White Mountain"/>
    <s v="White Mountain"/>
    <s v="DFO"/>
    <s v="IC"/>
    <n v="1259.7649919999999"/>
    <n v="4092.617261904762"/>
    <n v="73.150000000000006"/>
    <n v="299.37495270833335"/>
    <n v="0.3078140249581236"/>
    <n v="369.21600000000001"/>
    <n v="702.59523809523807"/>
    <n v="5.8250000000000002"/>
    <s v="PCE"/>
    <n v="0"/>
    <x v="6"/>
    <s v="Nome (CA)"/>
    <s v="Bering Straits"/>
    <s v="AN"/>
  </r>
  <r>
    <s v="Wrangell, City of"/>
    <s v="Wrangell"/>
    <s v="Wrangell"/>
    <s v="DFO"/>
    <s v="IC"/>
    <n v="1671.8799999999999"/>
    <n v="5522.1"/>
    <n v="73.150000000000006"/>
    <n v="403.94161500000007"/>
    <n v="0.30276163053910649"/>
    <n v="490"/>
    <n v="948"/>
    <n v="5.8250000000000002"/>
    <s v="EIA"/>
    <n v="0"/>
    <x v="2"/>
    <s v="Wrangell"/>
    <s v="Sealaska"/>
    <s v="SE"/>
  </r>
  <r>
    <s v="Yakutat Power Inc"/>
    <s v="Yakutat"/>
    <s v="Yakutat"/>
    <s v="DFO"/>
    <s v="IC"/>
    <n v="22217.951107999997"/>
    <n v="62490.877380952377"/>
    <n v="73.150000000000006"/>
    <n v="4571.2076804166672"/>
    <n v="0.35553911289413537"/>
    <n v="6511.7089999999998"/>
    <n v="10728.047619047618"/>
    <n v="5.8250000000000002"/>
    <s v="PCE"/>
    <n v="0"/>
    <x v="2"/>
    <s v="Yakutat"/>
    <s v="Sealaska"/>
    <s v="SE"/>
  </r>
</pivotCacheRecords>
</file>

<file path=xl/pivotCache/pivotCacheRecords3.xml><?xml version="1.0" encoding="utf-8"?>
<pivotCacheRecords xmlns="http://schemas.openxmlformats.org/spreadsheetml/2006/main" xmlns:r="http://schemas.openxmlformats.org/officeDocument/2006/relationships" count="231">
  <r>
    <s v="Akiachak Native Community"/>
    <s v="Akiachak"/>
    <s v="Akiachak"/>
    <n v="0"/>
    <n v="1851.5340000000001"/>
    <n v="0"/>
    <n v="0"/>
    <n v="1851.5340000000001"/>
    <n v="33.651000000000003"/>
    <n v="1885.1850000000002"/>
    <s v="PCE"/>
    <n v="0"/>
    <x v="0"/>
    <s v="Bethel (CA)"/>
    <s v="Calista"/>
    <x v="0"/>
  </r>
  <r>
    <s v="Akiak City Council"/>
    <s v="Akiak"/>
    <s v="Akiak"/>
    <n v="0"/>
    <n v="1029.5309999999999"/>
    <n v="0"/>
    <n v="0"/>
    <n v="1029.5309999999999"/>
    <n v="29.978999999999999"/>
    <n v="1059.51"/>
    <s v="PCE"/>
    <n v="0"/>
    <x v="0"/>
    <s v="Bethel (CA)"/>
    <s v="Calista"/>
    <x v="0"/>
  </r>
  <r>
    <s v="Akutan, City of"/>
    <s v="Akutan"/>
    <s v="Akutan"/>
    <n v="0"/>
    <n v="489.57059999999996"/>
    <n v="42.110999999999997"/>
    <n v="0"/>
    <n v="531.6816"/>
    <n v="11.804399999999999"/>
    <n v="543.48599999999999"/>
    <s v="PCE"/>
    <n v="0"/>
    <x v="1"/>
    <s v="Aleutians East"/>
    <s v="Aleut"/>
    <x v="0"/>
  </r>
  <r>
    <s v="Alaska Electric Light &amp; Power Company"/>
    <s v="Annex Creek"/>
    <s v="Juneau"/>
    <n v="0"/>
    <n v="0"/>
    <n v="22270"/>
    <n v="0"/>
    <n v="22270"/>
    <n v="151"/>
    <n v="22421"/>
    <s v="EIA"/>
    <n v="0"/>
    <x v="2"/>
    <s v="Juneau"/>
    <s v="Sealaska"/>
    <x v="1"/>
  </r>
  <r>
    <s v="Alaska Electric Light &amp; Power Company"/>
    <s v="Auke Bay"/>
    <s v="Juneau"/>
    <n v="1065"/>
    <n v="54"/>
    <n v="0"/>
    <n v="0"/>
    <n v="1119"/>
    <m/>
    <s v=""/>
    <s v="EIA"/>
    <n v="0"/>
    <x v="2"/>
    <s v="Juneau"/>
    <s v="Sealaska"/>
    <x v="1"/>
  </r>
  <r>
    <s v="Alaska Electric Light &amp; Power Company"/>
    <s v="Gold Creek"/>
    <s v="Juneau"/>
    <n v="0"/>
    <n v="23"/>
    <n v="4838"/>
    <n v="0"/>
    <n v="4861"/>
    <n v="564"/>
    <n v="5425"/>
    <s v="EIA"/>
    <n v="0"/>
    <x v="2"/>
    <s v="Juneau"/>
    <s v="Sealaska"/>
    <x v="1"/>
  </r>
  <r>
    <s v="Alaska Electric Light &amp; Power Company"/>
    <s v="Lake Dorothy"/>
    <s v="Juneau"/>
    <n v="0"/>
    <n v="0"/>
    <n v="70602"/>
    <n v="0"/>
    <n v="70602"/>
    <n v="1216"/>
    <n v="71818"/>
    <s v="EIA"/>
    <n v="0"/>
    <x v="2"/>
    <s v="Juneau"/>
    <s v="Sealaska"/>
    <x v="1"/>
  </r>
  <r>
    <s v="Alaska Electric Light &amp; Power Company"/>
    <s v="Lemon Creek"/>
    <s v="Juneau"/>
    <n v="1274"/>
    <n v="1009"/>
    <n v="0"/>
    <n v="0"/>
    <n v="2283"/>
    <n v="122"/>
    <n v="2405"/>
    <s v="EIA"/>
    <n v="0"/>
    <x v="2"/>
    <s v="Juneau"/>
    <s v="Sealaska"/>
    <x v="1"/>
  </r>
  <r>
    <s v="Alaska Electric Light &amp; Power Company"/>
    <s v="Salmon Creek 1"/>
    <s v="Juneau"/>
    <n v="0"/>
    <n v="0"/>
    <n v="24337"/>
    <n v="0"/>
    <n v="24337"/>
    <n v="93"/>
    <n v="24430"/>
    <s v="EIA"/>
    <n v="0"/>
    <x v="2"/>
    <s v="Juneau"/>
    <s v="Sealaska"/>
    <x v="1"/>
  </r>
  <r>
    <s v="Alaska Electric Light &amp; Power Company"/>
    <s v="Snettisham"/>
    <s v="Juneau"/>
    <n v="0"/>
    <n v="0"/>
    <n v="263749"/>
    <n v="0"/>
    <n v="263749"/>
    <n v="1936"/>
    <n v="265685"/>
    <s v="EIA"/>
    <n v="0"/>
    <x v="2"/>
    <s v="Juneau"/>
    <s v="Sealaska"/>
    <x v="1"/>
  </r>
  <r>
    <s v="Alaska Environmental LLC"/>
    <s v="Alaska Environmental"/>
    <s v="Fairbanks"/>
    <n v="0"/>
    <n v="0"/>
    <n v="0"/>
    <n v="1394"/>
    <n v="1394"/>
    <n v="186"/>
    <n v="1580"/>
    <s v="EIA"/>
    <s v="Plant is also know as Delta Wind. Alaska Environmental LLC is an independent power producer that sells all its power to GVEA."/>
    <x v="3"/>
    <s v="Southeast Fairbanks (CA)"/>
    <s v="Doyon"/>
    <x v="2"/>
  </r>
  <r>
    <s v="Alaska Power &amp; Telephone Company"/>
    <s v="Allakaket"/>
    <s v="Allakaket, Alatna"/>
    <n v="0"/>
    <n v="655.36800000000005"/>
    <n v="0"/>
    <n v="0"/>
    <n v="655.36800000000005"/>
    <n v="34.033000000000001"/>
    <n v="689.40100000000007"/>
    <s v="PCE"/>
    <s v="Provides power to Alatna via intertie. Data includes Alatna's information."/>
    <x v="4"/>
    <s v="Yukon-Koyukuk (CA)"/>
    <s v="Doyon"/>
    <x v="2"/>
  </r>
  <r>
    <s v="Alaska Power &amp; Telephone Company"/>
    <s v="Bettles"/>
    <s v="Bettles, Evansville"/>
    <n v="0"/>
    <n v="573.84500000000003"/>
    <n v="0"/>
    <n v="0"/>
    <n v="573.84500000000003"/>
    <n v="0.96299999999999997"/>
    <n v="574.80799999999999"/>
    <s v="PCE"/>
    <s v="Provides power to Evansville via intertie. Data includes Evansville's information."/>
    <x v="4"/>
    <s v="Yukon-Koyukuk (CA)"/>
    <s v="Doyon"/>
    <x v="2"/>
  </r>
  <r>
    <s v="Alaska Power &amp; Telephone Company"/>
    <s v="Chistochina"/>
    <s v="Chistochina"/>
    <n v="0"/>
    <n v="-2.1480000000000001"/>
    <n v="0"/>
    <n v="0"/>
    <n v="-2.1480000000000001"/>
    <n v="3.0310000000000001"/>
    <n v="0.88300000000000001"/>
    <s v="PCE"/>
    <s v="Receives power from Slana via intertie."/>
    <x v="5"/>
    <s v="Valdez-Cordova (CA)"/>
    <s v="Ahtna"/>
    <x v="2"/>
  </r>
  <r>
    <s v="Alaska Power &amp; Telephone Company"/>
    <s v="Coffman Cove"/>
    <s v="Coffman Cove"/>
    <n v="0"/>
    <n v="632.58299999999997"/>
    <n v="0"/>
    <n v="0"/>
    <n v="632.58299999999997"/>
    <n v="5.944"/>
    <n v="638.52699999999993"/>
    <s v="PCE"/>
    <s v="Part of the Alaska Power Company's grid on Prince of Wales Island."/>
    <x v="2"/>
    <s v="Prince of Wales-Hyder (CA)"/>
    <s v="Sealaska"/>
    <x v="1"/>
  </r>
  <r>
    <s v="Alaska Power &amp; Telephone Company"/>
    <s v="Craig"/>
    <s v="Craig"/>
    <n v="0"/>
    <n v="2779"/>
    <n v="0"/>
    <n v="0"/>
    <n v="2779"/>
    <n v="158"/>
    <n v="2937"/>
    <s v="EIA"/>
    <s v="Provides power to Hollis, Klawock, Thorne Bay/Kasaan and Hydaburg via intertie."/>
    <x v="2"/>
    <s v="Prince of Wales-Hyder (CA)"/>
    <s v="Sealaska"/>
    <x v="1"/>
  </r>
  <r>
    <s v="Alaska Power &amp; Telephone Company"/>
    <s v="Viking"/>
    <s v="Craig"/>
    <n v="0"/>
    <n v="65"/>
    <n v="0"/>
    <n v="0"/>
    <n v="65"/>
    <n v="27"/>
    <n v="92"/>
    <s v="EIA"/>
    <s v="Provides power to Hollis, Klawock, Thorne Bay/Kasaan and Hydaburg via intertie."/>
    <x v="2"/>
    <s v="Prince of Wales-Hyder (CA)"/>
    <s v="Sealaska"/>
    <x v="1"/>
  </r>
  <r>
    <s v="Alaska Power &amp; Telephone Company"/>
    <s v="Black Bear Lake"/>
    <s v="Craig, Klawock, Hollis, Hydaburg, Thorne Bay, Kasaan, Coffman Cove"/>
    <n v="0"/>
    <n v="0"/>
    <n v="17791"/>
    <n v="0"/>
    <n v="17791"/>
    <n v="51"/>
    <n v="17842"/>
    <s v="EIA"/>
    <s v="Provides power to Hollis, Klawock, Thorne Bay/Kasaan and Hydaburg via intertie."/>
    <x v="2"/>
    <s v="Prince of Wales-Hyder (CA)"/>
    <s v="Sealaska"/>
    <x v="1"/>
  </r>
  <r>
    <s v="Alaska Power &amp; Telephone Company"/>
    <s v="South Fork"/>
    <s v="Craig, Klawock, Hollis, Hydaburg, Thorne Bay, Kasaan, Coffman Cove"/>
    <n v="0"/>
    <n v="0"/>
    <n v="6115"/>
    <n v="0"/>
    <n v="6115"/>
    <n v="23"/>
    <n v="6138"/>
    <s v="EIA"/>
    <s v="Receives power from Craig via intertie."/>
    <x v="2"/>
    <s v="Prince of Wales-Hyder (CA)"/>
    <s v="Sealaska"/>
    <x v="1"/>
  </r>
  <r>
    <s v="Alaska Power &amp; Telephone Company"/>
    <s v="Tok"/>
    <s v="Dot Lake, Dot Lake Village"/>
    <n v="0"/>
    <n v="-0.6"/>
    <n v="0"/>
    <n v="0"/>
    <n v="-0.6"/>
    <n v="0.6"/>
    <n v="0"/>
    <s v="PCE"/>
    <s v="Receives power form Tok via intertie. Dot Lake's data includes Dot Lake Village's information. For fuel use and cost information, please refer to Tok."/>
    <x v="4"/>
    <s v="Southeast Fairbanks (CA)"/>
    <s v="Doyon"/>
    <x v="2"/>
  </r>
  <r>
    <s v="Alaska Power &amp; Telephone Company"/>
    <s v="Eagle"/>
    <s v="Eagle, Eagle Village"/>
    <n v="0"/>
    <n v="749.74199999999996"/>
    <n v="0"/>
    <n v="0"/>
    <n v="749.74199999999996"/>
    <n v="11.856999999999999"/>
    <n v="761.59899999999993"/>
    <s v="PCE"/>
    <s v="Provides power to Eagle Village via intertie. Data includes Eagle Village's information."/>
    <x v="4"/>
    <s v="Southeast Fairbanks (CA)"/>
    <s v="Doyon"/>
    <x v="2"/>
  </r>
  <r>
    <s v="Alaska Power &amp; Telephone Company"/>
    <s v="Goat Lake"/>
    <s v="Haines, Covenant Life, Skagway"/>
    <n v="0"/>
    <n v="0"/>
    <n v="15831"/>
    <n v="0"/>
    <n v="15831"/>
    <n v="146"/>
    <n v="15977"/>
    <s v="EIA"/>
    <s v="Part of the Alaska Power Company's grid in the Upper Lynn Canal service area."/>
    <x v="2"/>
    <s v="Skagway"/>
    <s v="Sealaska"/>
    <x v="1"/>
  </r>
  <r>
    <s v="Alaska Power &amp; Telephone Company"/>
    <s v="Haines"/>
    <s v="Haines, Skagway"/>
    <n v="0"/>
    <n v="185"/>
    <n v="0"/>
    <n v="0"/>
    <n v="185"/>
    <n v="308.72000000000003"/>
    <n v="493.72"/>
    <s v="EIA, PCE"/>
    <s v="Plant is also referred to as Lutak. Part of the Alaska Power Company's grid in the Upper Lynn Canal service area."/>
    <x v="2"/>
    <s v="Haines"/>
    <s v="Sealaska"/>
    <x v="1"/>
  </r>
  <r>
    <s v="Alaska Power &amp; Telephone Company"/>
    <s v="Skagway"/>
    <s v="Haines, Skagway"/>
    <n v="0"/>
    <n v="95"/>
    <n v="3000.12"/>
    <n v="0"/>
    <n v="3095.12"/>
    <n v="164.423"/>
    <n v="3259.5429999999997"/>
    <s v="EIA, PCE"/>
    <s v="Plant is also referred to as Dewey Lake. Part of the Alaska Power Company's grid in the Upper Lynn Canal service area."/>
    <x v="2"/>
    <s v="Skagway"/>
    <s v="Sealaska"/>
    <x v="1"/>
  </r>
  <r>
    <s v="Alaska Power &amp; Telephone Company"/>
    <s v="Healy Lake"/>
    <s v="Healy Lake"/>
    <n v="0"/>
    <n v="83.3"/>
    <n v="0"/>
    <n v="0"/>
    <n v="83.3"/>
    <n v="2.2330000000000001"/>
    <n v="85.533000000000001"/>
    <s v="PCE"/>
    <n v="0"/>
    <x v="4"/>
    <s v="Southeast Fairbanks (CA)"/>
    <s v="Doyon"/>
    <x v="2"/>
  </r>
  <r>
    <s v="Alaska Power &amp; Telephone Company"/>
    <s v="Hollis"/>
    <s v="Hollis"/>
    <n v="0"/>
    <n v="-12.348000000000001"/>
    <n v="0"/>
    <n v="0"/>
    <n v="-12.348000000000001"/>
    <n v="12.348000000000001"/>
    <n v="0"/>
    <s v="PCE"/>
    <s v="Part of the Alaska Power Company's grid on Prince of Wales Island. Receives power from Craig. Refer to Craig for fuel use and cost."/>
    <x v="2"/>
    <s v="Prince of Wales-Hyder (CA)"/>
    <s v="Sealaska"/>
    <x v="1"/>
  </r>
  <r>
    <s v="Alaska Power &amp; Telephone Company"/>
    <s v="Hydaburg"/>
    <s v="Hydaburg"/>
    <n v="0"/>
    <n v="23"/>
    <n v="0"/>
    <n v="0"/>
    <n v="23"/>
    <n v="25"/>
    <n v="48"/>
    <s v="EIA"/>
    <s v="Part of the Alaska Power Company's grid on Prince of Wales Island. Receives power from Craig. Refer to Craig for fuel use and cost."/>
    <x v="2"/>
    <s v="Prince of Wales-Hyder (CA)"/>
    <s v="Sealaska"/>
    <x v="1"/>
  </r>
  <r>
    <s v="Alaska Power &amp; Telephone Company"/>
    <s v="Mentasta Lake"/>
    <s v="Mentasta Lake"/>
    <n v="0"/>
    <n v="237.108"/>
    <n v="0"/>
    <n v="0"/>
    <n v="237.108"/>
    <n v="2.4990000000000001"/>
    <n v="239.607"/>
    <s v="PCE"/>
    <n v="0"/>
    <x v="5"/>
    <s v="Valdez-Cordova (CA)"/>
    <s v="Ahtna"/>
    <x v="2"/>
  </r>
  <r>
    <s v="Alaska Power &amp; Telephone Company"/>
    <s v="Naukati Bay"/>
    <s v="Naukati Bay"/>
    <n v="0"/>
    <n v="449.90800000000002"/>
    <n v="0"/>
    <n v="0"/>
    <n v="449.90800000000002"/>
    <n v="12.744"/>
    <n v="462.65200000000004"/>
    <s v="PCE"/>
    <n v="0"/>
    <x v="2"/>
    <s v="Prince of Wales-Hyder (CA)"/>
    <s v="Sealaska"/>
    <x v="1"/>
  </r>
  <r>
    <s v="Alaska Power &amp; Telephone Company"/>
    <s v="Northway"/>
    <s v="Northway, Northway Village"/>
    <n v="0"/>
    <n v="1284.8589999999999"/>
    <n v="0"/>
    <n v="0"/>
    <n v="1284.8589999999999"/>
    <n v="13.263273"/>
    <n v="1298.122273"/>
    <s v="PCE"/>
    <s v="Provides power to Northway Village via intertie. Data includes Northway Village's information."/>
    <x v="4"/>
    <s v="Southeast Fairbanks (CA)"/>
    <s v="Doyon"/>
    <x v="2"/>
  </r>
  <r>
    <s v="Alaska Power &amp; Telephone Company"/>
    <s v="Kasidaya Creek"/>
    <s v="Skagway"/>
    <n v="0"/>
    <n v="0"/>
    <n v="7965"/>
    <n v="0"/>
    <n v="7965"/>
    <n v="40"/>
    <n v="8005"/>
    <s v="EIA"/>
    <s v="Part of the Alaska Power Company's grid in the Upper Lynn Canal service area."/>
    <x v="2"/>
    <s v="Skagway"/>
    <s v="Sealaska"/>
    <x v="1"/>
  </r>
  <r>
    <s v="Alaska Power &amp; Telephone Company"/>
    <s v="Slana"/>
    <s v="Slana, Chistochina"/>
    <n v="0"/>
    <n v="1150.4580000000001"/>
    <n v="0"/>
    <n v="0"/>
    <n v="1150.4580000000001"/>
    <n v="19.968"/>
    <n v="1170.4260000000002"/>
    <s v="PCE"/>
    <s v="Provides power to Chistochina via intertie. Includes Chistochina's fuel use and fuel cost."/>
    <x v="5"/>
    <s v="Valdez-Cordova (CA)"/>
    <s v="Ahtna"/>
    <x v="2"/>
  </r>
  <r>
    <s v="Alaska Power &amp; Telephone Company"/>
    <s v="Tok"/>
    <s v="Tetlin"/>
    <n v="0"/>
    <n v="0"/>
    <n v="0"/>
    <n v="0"/>
    <n v="0"/>
    <n v="0"/>
    <n v="0"/>
    <s v="PCE"/>
    <s v="Receives power from Tok via intertie. For fuel use and cost information please refer to Tok."/>
    <x v="4"/>
    <s v="Southeast Fairbanks (CA)"/>
    <s v="Dyon"/>
    <x v="2"/>
  </r>
  <r>
    <s v="Alaska Power &amp; Telephone Company"/>
    <s v="False Island"/>
    <s v="Thorne Bay, Kasaan"/>
    <n v="0"/>
    <n v="929"/>
    <n v="0"/>
    <n v="0"/>
    <n v="929"/>
    <n v="38"/>
    <n v="967"/>
    <s v="EIA"/>
    <s v="Part of the Alaska Power Company's grid on Prince of Wales Island. Receives power from Craig. Refer to Craig for fuel use and cost. Includes data for Kaasan."/>
    <x v="2"/>
    <s v="Prince of Wales-Hyder (CA)"/>
    <s v="Sealaska"/>
    <x v="1"/>
  </r>
  <r>
    <s v="Alaska Power &amp; Telephone Company"/>
    <s v="Thorne Bay Plant"/>
    <s v="Thorne Bay, Kasaan"/>
    <n v="0"/>
    <n v="119"/>
    <n v="0"/>
    <n v="0"/>
    <n v="119"/>
    <n v="60"/>
    <n v="179"/>
    <s v="EIA"/>
    <s v="Part of the Alaska Power Company's grid on Prince of Wales Island. Receives power from Craig. Refer to Craig for fuel use and cost. Includes data for Kaasan."/>
    <x v="2"/>
    <s v="Prince of Wales-Hyder (CA)"/>
    <s v="Sealaska"/>
    <x v="1"/>
  </r>
  <r>
    <s v="Alaska Power &amp; Telephone Company"/>
    <s v="Tok"/>
    <s v="Tok, Tanacross"/>
    <n v="0"/>
    <n v="10400"/>
    <n v="0"/>
    <n v="0"/>
    <n v="10400"/>
    <n v="133.76"/>
    <n v="10533.76"/>
    <s v="PCE"/>
    <s v="Provides power to Tanacross, Tetlin and Dot Lake via intertie. Includes Tanacross' information. Fuel use and cost also includes Tetlin's and Dot Lake's information."/>
    <x v="4"/>
    <s v="Southeast Fairbanks (CA)"/>
    <s v="Doyon"/>
    <x v="2"/>
  </r>
  <r>
    <s v="Alaska Power &amp; Telephone Company"/>
    <s v="Whale Pass"/>
    <s v="Whale Pass"/>
    <n v="0"/>
    <n v="267.04199999999997"/>
    <n v="0"/>
    <n v="0"/>
    <n v="267.04199999999997"/>
    <n v="10.78"/>
    <n v="277.82199999999995"/>
    <s v="PCE"/>
    <n v="0"/>
    <x v="2"/>
    <s v="Prince of Wales-Hyder (CA)"/>
    <s v="Sealaska"/>
    <x v="1"/>
  </r>
  <r>
    <s v="Alaska Village Electric Cooperative"/>
    <s v="Alakanuk"/>
    <s v="Alakanuk"/>
    <n v="0"/>
    <n v="1946.2080000000001"/>
    <n v="0"/>
    <n v="0"/>
    <n v="1946.2080000000001"/>
    <n v="25.928999999999998"/>
    <n v="1972.1370000000002"/>
    <s v="PCE"/>
    <n v="0"/>
    <x v="0"/>
    <s v="Wade Hampton (CA)"/>
    <s v="Calista"/>
    <x v="2"/>
  </r>
  <r>
    <s v="Alaska Village Electric Cooperative"/>
    <s v="Ambler"/>
    <s v="Ambler"/>
    <n v="0"/>
    <n v="1277.7739999999999"/>
    <n v="0"/>
    <n v="0"/>
    <n v="1277.7739999999999"/>
    <n v="31.067"/>
    <n v="1308.8409999999999"/>
    <s v="PCE"/>
    <n v="0"/>
    <x v="6"/>
    <s v="Northwest Arctic"/>
    <s v="NANA"/>
    <x v="3"/>
  </r>
  <r>
    <s v="Alaska Village Electric Cooperative"/>
    <s v="Anvik"/>
    <s v="Anvik"/>
    <n v="0"/>
    <n v="405.42"/>
    <n v="0"/>
    <n v="0"/>
    <n v="405.42"/>
    <n v="18.716000000000001"/>
    <n v="424.13600000000002"/>
    <s v="PCE"/>
    <n v="0"/>
    <x v="4"/>
    <s v="Yukon-Koyukuk (CA)"/>
    <s v="Doyon"/>
    <x v="2"/>
  </r>
  <r>
    <s v="Alaska Village Electric Cooperative"/>
    <s v="Brevig Mission"/>
    <s v="Brevig Mission"/>
    <n v="0"/>
    <n v="1176.3320000000001"/>
    <n v="0"/>
    <n v="0"/>
    <n v="1176.3320000000001"/>
    <n v="52.53"/>
    <n v="1228.8620000000001"/>
    <s v="PCE"/>
    <n v="0"/>
    <x v="7"/>
    <s v="Nome (CA)"/>
    <s v="Bering Straits"/>
    <x v="3"/>
  </r>
  <r>
    <s v="Alaska Village Electric Cooperative"/>
    <s v="Chevak"/>
    <s v="Chevak"/>
    <n v="0"/>
    <n v="1657.2670000000001"/>
    <n v="0"/>
    <n v="741.62900000000002"/>
    <n v="2398.8960000000002"/>
    <n v="98.623000000000005"/>
    <n v="2497.5190000000002"/>
    <s v="PCE"/>
    <n v="0"/>
    <x v="0"/>
    <s v="Wade Hampton (CA)"/>
    <s v="Calista"/>
    <x v="2"/>
  </r>
  <r>
    <s v="Alaska Village Electric Cooperative"/>
    <s v="Eek"/>
    <s v="Eek"/>
    <n v="0"/>
    <n v="800.57799999999997"/>
    <n v="0"/>
    <n v="0"/>
    <n v="800.57799999999997"/>
    <n v="12.875"/>
    <n v="813.45299999999997"/>
    <s v="PCE"/>
    <n v="0"/>
    <x v="0"/>
    <s v="Bethel (CA)"/>
    <s v="Calista"/>
    <x v="0"/>
  </r>
  <r>
    <s v="Alaska Village Electric Cooperative"/>
    <s v="Ekwok"/>
    <s v="Ekwok"/>
    <n v="0"/>
    <n v="261.51549999999997"/>
    <n v="0"/>
    <n v="0"/>
    <n v="261.51549999999997"/>
    <n v="22.472455"/>
    <n v="283.987955"/>
    <s v="PCE"/>
    <n v="0"/>
    <x v="8"/>
    <s v="Dillingham (CA)"/>
    <s v="Bristol Bay"/>
    <x v="0"/>
  </r>
  <r>
    <s v="Alaska Village Electric Cooperative"/>
    <s v="Elim"/>
    <s v="Elim"/>
    <n v="0"/>
    <n v="1159.4449999999999"/>
    <n v="0"/>
    <n v="0"/>
    <n v="1159.4449999999999"/>
    <n v="15.848000000000001"/>
    <n v="1175.2929999999999"/>
    <s v="PCE"/>
    <n v="0"/>
    <x v="7"/>
    <s v="Nome (CA)"/>
    <s v="Bering Straits"/>
    <x v="3"/>
  </r>
  <r>
    <s v="Alaska Village Electric Cooperative"/>
    <s v="Emmonak"/>
    <s v="Emmonak"/>
    <n v="0"/>
    <n v="3089.884"/>
    <n v="0"/>
    <n v="80.325000000000003"/>
    <n v="3170.2089999999998"/>
    <n v="49.854999999999997"/>
    <n v="3220.0639999999999"/>
    <s v="PCE"/>
    <n v="0"/>
    <x v="0"/>
    <s v="Wade Hampton (CA)"/>
    <s v="Calista"/>
    <x v="2"/>
  </r>
  <r>
    <s v="Alaska Village Electric Cooperative"/>
    <s v="Gambell"/>
    <s v="Gambell"/>
    <n v="0"/>
    <n v="1495.8810000000001"/>
    <n v="0"/>
    <n v="387.20400000000001"/>
    <n v="1883.085"/>
    <n v="110.211"/>
    <n v="1993.296"/>
    <s v="PCE"/>
    <n v="0"/>
    <x v="7"/>
    <s v="Nome (CA)"/>
    <s v="Bering Straits"/>
    <x v="3"/>
  </r>
  <r>
    <s v="Alaska Village Electric Cooperative"/>
    <s v="Goodnews Bay"/>
    <s v="Goodnews Bay"/>
    <n v="0"/>
    <n v="773.07299999999998"/>
    <n v="0"/>
    <n v="0"/>
    <n v="773.07299999999998"/>
    <n v="14.411"/>
    <n v="787.48399999999992"/>
    <s v="PCE"/>
    <n v="0"/>
    <x v="0"/>
    <s v="Bethel (CA)"/>
    <s v="Calista"/>
    <x v="0"/>
  </r>
  <r>
    <s v="Alaska Village Electric Cooperative"/>
    <s v="Grayling"/>
    <s v="Grayling"/>
    <n v="0"/>
    <n v="569.04700000000003"/>
    <n v="0"/>
    <n v="0"/>
    <n v="569.04700000000003"/>
    <n v="15.981999999999999"/>
    <n v="585.029"/>
    <s v="PCE"/>
    <n v="0"/>
    <x v="4"/>
    <s v="Yukon-Koyukuk (CA)"/>
    <s v="Doyon"/>
    <x v="2"/>
  </r>
  <r>
    <s v="Alaska Village Electric Cooperative"/>
    <s v="Holy Cross"/>
    <s v="Holy Cross"/>
    <n v="0"/>
    <n v="594.37199999999996"/>
    <n v="0"/>
    <n v="0"/>
    <n v="594.37199999999996"/>
    <n v="31.288"/>
    <n v="625.66"/>
    <s v="PCE"/>
    <n v="0"/>
    <x v="4"/>
    <s v="Yukon-Koyukuk (CA)"/>
    <s v="Doyon"/>
    <x v="2"/>
  </r>
  <r>
    <s v="Alaska Village Electric Cooperative"/>
    <s v="Hooper Bay"/>
    <s v="Hooper Bay"/>
    <n v="0"/>
    <n v="2711.4679999999998"/>
    <n v="0"/>
    <n v="543.096"/>
    <n v="3254.5639999999999"/>
    <n v="68.617000000000004"/>
    <n v="3323.181"/>
    <s v="PCE"/>
    <n v="0"/>
    <x v="0"/>
    <s v="Wade Hampton (CA)"/>
    <s v="Calista"/>
    <x v="2"/>
  </r>
  <r>
    <s v="Alaska Village Electric Cooperative"/>
    <s v="Huslia"/>
    <s v="Huslia"/>
    <n v="0"/>
    <n v="1005.8"/>
    <n v="0"/>
    <n v="0"/>
    <n v="1005.8"/>
    <n v="25.233000000000001"/>
    <n v="1031.0329999999999"/>
    <s v="PCE"/>
    <n v="0"/>
    <x v="4"/>
    <s v="Yukon-Koyukuk (CA)"/>
    <s v="Doyon"/>
    <x v="2"/>
  </r>
  <r>
    <s v="Alaska Village Electric Cooperative"/>
    <s v="Upper Kalskag"/>
    <s v="Kalskag, Lower Kalskag"/>
    <n v="0"/>
    <n v="1472.2059999999999"/>
    <n v="0"/>
    <n v="0"/>
    <n v="1472.2059999999999"/>
    <n v="36.787999999999997"/>
    <n v="1508.9939999999999"/>
    <s v="PCE"/>
    <s v="Provides power to Lower Kalskag via intertie. Fuel use and cost data includes information for Lower Kalskag."/>
    <x v="0"/>
    <s v="Bethel (CA)"/>
    <s v="Calista"/>
    <x v="0"/>
  </r>
  <r>
    <s v="Alaska Village Electric Cooperative"/>
    <s v="Kaltag"/>
    <s v="Kaltag"/>
    <n v="0"/>
    <n v="727.03800000000001"/>
    <n v="0"/>
    <n v="0"/>
    <n v="727.03800000000001"/>
    <n v="18.457000000000001"/>
    <n v="745.495"/>
    <s v="PCE"/>
    <n v="0"/>
    <x v="4"/>
    <s v="Yukon-Koyukuk (CA)"/>
    <s v="Doyon"/>
    <x v="2"/>
  </r>
  <r>
    <s v="Alaska Village Electric Cooperative"/>
    <s v="Kasigluk"/>
    <s v="Kasigluk, Nunapitchuk"/>
    <n v="0"/>
    <n v="2286.42"/>
    <n v="0"/>
    <n v="496.85"/>
    <n v="2783.27"/>
    <n v="77.314999999999998"/>
    <n v="2860.585"/>
    <s v="PCE"/>
    <s v="Provides power to Nunapitchuk via intertie.  Fuel use and cost includes Nunapitchuk's information."/>
    <x v="0"/>
    <s v="Bethel (CA)"/>
    <s v="Calista"/>
    <x v="0"/>
  </r>
  <r>
    <s v="Alaska Village Electric Cooperative"/>
    <s v="Kiana"/>
    <s v="Kiana"/>
    <n v="0"/>
    <n v="1511.732"/>
    <n v="0"/>
    <n v="0"/>
    <n v="1511.732"/>
    <n v="43.881999999999998"/>
    <n v="1555.614"/>
    <s v="PCE"/>
    <n v="0"/>
    <x v="6"/>
    <s v="Northwest Arctic"/>
    <s v="NANA"/>
    <x v="3"/>
  </r>
  <r>
    <s v="Alaska Village Electric Cooperative"/>
    <s v="Kivalina"/>
    <s v="Kivalina"/>
    <n v="0"/>
    <n v="1212.085"/>
    <n v="0"/>
    <n v="0"/>
    <n v="1212.085"/>
    <n v="37.752000000000002"/>
    <n v="1249.837"/>
    <s v="PCE"/>
    <n v="0"/>
    <x v="6"/>
    <s v="Northwest Arctic"/>
    <s v="NANA"/>
    <x v="3"/>
  </r>
  <r>
    <s v="Alaska Village Electric Cooperative"/>
    <s v="Kotlik"/>
    <s v="Kotlik"/>
    <n v="0"/>
    <n v="1966.4570000000001"/>
    <n v="0"/>
    <n v="0"/>
    <n v="1966.4570000000001"/>
    <n v="44.615000000000002"/>
    <n v="2011.0720000000001"/>
    <s v="PCE"/>
    <n v="0"/>
    <x v="0"/>
    <s v="Wade Hampton (CA)"/>
    <s v="Calista"/>
    <x v="2"/>
  </r>
  <r>
    <s v="Alaska Village Electric Cooperative"/>
    <s v="Koyuk"/>
    <s v="Koyuk"/>
    <n v="0"/>
    <n v="1315.9179999999999"/>
    <n v="0"/>
    <n v="0"/>
    <n v="1315.9179999999999"/>
    <n v="17.131"/>
    <n v="1333.049"/>
    <s v="PCE"/>
    <n v="0"/>
    <x v="7"/>
    <s v="Nome (CA)"/>
    <s v="Bering Straits"/>
    <x v="3"/>
  </r>
  <r>
    <s v="Alaska Village Electric Cooperative"/>
    <s v="Upper Kalskag"/>
    <s v="Lower Kalskag"/>
    <n v="0"/>
    <n v="0"/>
    <n v="0"/>
    <n v="0"/>
    <n v="0"/>
    <n v="0"/>
    <n v="0"/>
    <s v="PCE"/>
    <s v="Receives power from (Upper) Kalskag via intertie. For fuel use and cost, please refer to (Upper) Kalskag."/>
    <x v="0"/>
    <s v="Bethel (CA)"/>
    <s v="Calista"/>
    <x v="0"/>
  </r>
  <r>
    <s v="Alaska Village Electric Cooperative"/>
    <s v="Marshall"/>
    <s v="Marshall"/>
    <n v="0"/>
    <n v="1644.1759999999999"/>
    <n v="0"/>
    <n v="0"/>
    <n v="1644.1759999999999"/>
    <n v="34.667999999999999"/>
    <n v="1678.8439999999998"/>
    <s v="PCE"/>
    <n v="0"/>
    <x v="0"/>
    <s v="Wade Hampton (CA)"/>
    <s v="Calista"/>
    <x v="2"/>
  </r>
  <r>
    <s v="Alaska Village Electric Cooperative"/>
    <s v="Mekoryuk"/>
    <s v="Mekoryuk"/>
    <n v="0"/>
    <n v="708.83100000000002"/>
    <n v="0"/>
    <n v="238.70599999999999"/>
    <n v="947.53700000000003"/>
    <n v="81.438000000000002"/>
    <n v="1028.9750000000001"/>
    <s v="PCE"/>
    <n v="0"/>
    <x v="0"/>
    <s v="Bethel (CA)"/>
    <s v="Calista"/>
    <x v="0"/>
  </r>
  <r>
    <s v="Alaska Village Electric Cooperative"/>
    <s v="Minto"/>
    <s v="Minto"/>
    <n v="0"/>
    <n v="652.66300000000001"/>
    <n v="0"/>
    <n v="0"/>
    <n v="652.66300000000001"/>
    <n v="19.199000000000002"/>
    <n v="671.86199999999997"/>
    <s v="PCE"/>
    <n v="0"/>
    <x v="4"/>
    <s v="Yukon-Koyukuk (CA)"/>
    <s v="Doyon"/>
    <x v="2"/>
  </r>
  <r>
    <s v="Alaska Village Electric Cooperative"/>
    <s v="Mountain Village"/>
    <s v="Mountain Village"/>
    <n v="0"/>
    <n v="2796.866"/>
    <n v="0"/>
    <n v="0"/>
    <n v="2796.866"/>
    <n v="42.1"/>
    <n v="2838.9659999999999"/>
    <s v="PCE"/>
    <n v="0"/>
    <x v="0"/>
    <s v="Wade Hampton (CA)"/>
    <s v="Calista"/>
    <x v="2"/>
  </r>
  <r>
    <s v="Alaska Village Electric Cooperative"/>
    <s v="New Stuyahok"/>
    <s v="New Stuyahok"/>
    <n v="0"/>
    <n v="1466.3779999999999"/>
    <n v="0"/>
    <n v="0"/>
    <n v="1466.3779999999999"/>
    <n v="35.78"/>
    <n v="1502.1579999999999"/>
    <s v="PCE"/>
    <n v="0"/>
    <x v="8"/>
    <s v="Dillingham (CA)"/>
    <s v="Bristol Bay"/>
    <x v="0"/>
  </r>
  <r>
    <s v="Alaska Village Electric Cooperative"/>
    <s v="Nightmute"/>
    <s v="Nightmute"/>
    <n v="0"/>
    <n v="0"/>
    <n v="0"/>
    <n v="0"/>
    <n v="0"/>
    <n v="0"/>
    <n v="0"/>
    <s v="PCE"/>
    <s v="Receives power from Toksook Bay via intertie. For fuel use and cost, please refer to Toksook Bay."/>
    <x v="0"/>
    <s v="Bethel (CA)"/>
    <s v="Calista"/>
    <x v="0"/>
  </r>
  <r>
    <s v="Alaska Village Electric Cooperative"/>
    <s v="Noatak"/>
    <s v="Noatak"/>
    <n v="0"/>
    <n v="1800.64"/>
    <n v="0"/>
    <n v="0"/>
    <n v="1800.64"/>
    <n v="39.457999999999998"/>
    <n v="1840.0980000000002"/>
    <s v="PCE"/>
    <n v="0"/>
    <x v="6"/>
    <s v="Northwest Arctic"/>
    <s v="NANA"/>
    <x v="3"/>
  </r>
  <r>
    <s v="Alaska Village Electric Cooperative"/>
    <s v="Noorvik"/>
    <s v="Noorvik"/>
    <n v="0"/>
    <n v="2001.4739999999999"/>
    <n v="0"/>
    <n v="0"/>
    <n v="2001.4739999999999"/>
    <n v="32.654000000000003"/>
    <n v="2034.1279999999999"/>
    <s v="PCE"/>
    <n v="0"/>
    <x v="6"/>
    <s v="Northwest Arctic"/>
    <s v="NANA"/>
    <x v="3"/>
  </r>
  <r>
    <s v="Alaska Village Electric Cooperative"/>
    <s v="Nulato"/>
    <s v="Nulato"/>
    <n v="0"/>
    <n v="1110.2139999999999"/>
    <n v="0"/>
    <n v="0"/>
    <n v="1110.2139999999999"/>
    <n v="19.234000000000002"/>
    <n v="1129.4479999999999"/>
    <s v="PCE"/>
    <n v="0"/>
    <x v="4"/>
    <s v="Yukon-Koyukuk (CA)"/>
    <s v="Doyon"/>
    <x v="2"/>
  </r>
  <r>
    <s v="Alaska Village Electric Cooperative"/>
    <s v="Nunapitchuk"/>
    <s v="Nunapitchuk"/>
    <n v="0"/>
    <n v="0"/>
    <n v="0"/>
    <n v="0"/>
    <n v="0"/>
    <n v="0"/>
    <n v="0"/>
    <s v="PCE"/>
    <s v="Receives power from Kasigluk. Please refer to Kasigluk for fuel use and cost."/>
    <x v="0"/>
    <s v="Bethel (CA)"/>
    <s v="Calista"/>
    <x v="0"/>
  </r>
  <r>
    <s v="Alaska Village Electric Cooperative"/>
    <s v="Old Harbor"/>
    <s v="Old Harbor"/>
    <n v="0"/>
    <n v="788.01900000000001"/>
    <n v="0"/>
    <n v="0"/>
    <n v="788.01900000000001"/>
    <n v="30.751000000000001"/>
    <n v="818.77"/>
    <s v="PCE"/>
    <n v="0"/>
    <x v="9"/>
    <s v="Kodiak Island"/>
    <s v="Koniag"/>
    <x v="4"/>
  </r>
  <r>
    <s v="Alaska Village Electric Cooperative"/>
    <s v="Pilot Station"/>
    <s v="Pilot Station"/>
    <n v="0"/>
    <n v="1750.671"/>
    <n v="0"/>
    <n v="0"/>
    <n v="1750.671"/>
    <n v="19.63"/>
    <n v="1770.3010000000002"/>
    <s v="PCE"/>
    <n v="0"/>
    <x v="0"/>
    <s v="Wade Hampton (CA)"/>
    <s v="Calista"/>
    <x v="2"/>
  </r>
  <r>
    <s v="Alaska Village Electric Cooperative"/>
    <s v="Saint Mary's"/>
    <s v="Pitkas Point"/>
    <n v="0"/>
    <n v="0"/>
    <n v="0"/>
    <n v="0"/>
    <n v="0"/>
    <n v="0"/>
    <n v="0"/>
    <s v="PCE"/>
    <s v="Receives power from Saint Mary's via intertie. For fuel use and cost, please refer to Saint Mary's."/>
    <x v="0"/>
    <s v="Wade Hampton (CA)"/>
    <s v="Calista"/>
    <x v="2"/>
  </r>
  <r>
    <s v="Alaska Village Electric Cooperative"/>
    <s v="Quinhagak"/>
    <s v="Quinhagak"/>
    <n v="0"/>
    <n v="1415.165"/>
    <n v="0"/>
    <n v="409.24"/>
    <n v="1824.405"/>
    <n v="42.753"/>
    <n v="1867.1579999999999"/>
    <s v="PCE"/>
    <n v="0"/>
    <x v="0"/>
    <s v="Bethel (CA)"/>
    <s v="Calista"/>
    <x v="0"/>
  </r>
  <r>
    <s v="Alaska Village Electric Cooperative"/>
    <s v="Russian Mission"/>
    <s v="Russian Mission"/>
    <n v="0"/>
    <n v="1123.7860000000001"/>
    <n v="0"/>
    <n v="0"/>
    <n v="1123.7860000000001"/>
    <n v="17.751999999999999"/>
    <n v="1141.538"/>
    <s v="PCE"/>
    <n v="0"/>
    <x v="0"/>
    <s v="Wade Hampton (CA)"/>
    <s v="Calista"/>
    <x v="2"/>
  </r>
  <r>
    <s v="Alaska Village Electric Cooperative"/>
    <s v="Saint Mary's"/>
    <s v="Saint Mary's, Andreafsky, Pitkas Point"/>
    <n v="0"/>
    <n v="3172.4340000000002"/>
    <n v="0"/>
    <n v="0"/>
    <n v="3172.4340000000002"/>
    <n v="47.848999999999997"/>
    <n v="3220.2830000000004"/>
    <s v="PCE"/>
    <s v="Provides power to Andreafsky and Pitkas Point via intertie. Includes Andreafsky's information. Fuel use and cost also includes Pitkas Point."/>
    <x v="0"/>
    <s v="Wade Hampton (CA)"/>
    <s v="Calista"/>
    <x v="2"/>
  </r>
  <r>
    <s v="Alaska Village Electric Cooperative"/>
    <s v="Saint Michael"/>
    <s v="Saint Michael"/>
    <n v="0"/>
    <n v="1734.962"/>
    <n v="0"/>
    <n v="0"/>
    <n v="1734.962"/>
    <n v="45.811999999999998"/>
    <n v="1780.7739999999999"/>
    <s v="PCE"/>
    <n v="0"/>
    <x v="7"/>
    <s v="Nome (CA)"/>
    <s v="Bering Straits"/>
    <x v="3"/>
  </r>
  <r>
    <s v="Alaska Village Electric Cooperative"/>
    <s v="Savoonga"/>
    <s v="Savoonga"/>
    <n v="0"/>
    <n v="1753.6369999999999"/>
    <n v="0"/>
    <n v="359.92399999999998"/>
    <n v="2113.5609999999997"/>
    <n v="33.889000000000003"/>
    <n v="2147.4499999999998"/>
    <s v="PCE"/>
    <n v="0"/>
    <x v="7"/>
    <s v="Nome (CA)"/>
    <s v="Bering Straits"/>
    <x v="3"/>
  </r>
  <r>
    <s v="Alaska Village Electric Cooperative"/>
    <s v="Scammon Bay"/>
    <s v="Scammon Bay"/>
    <n v="0"/>
    <n v="1735.5519999999999"/>
    <n v="0"/>
    <n v="0"/>
    <n v="1735.5519999999999"/>
    <n v="31.4"/>
    <n v="1766.952"/>
    <s v="PCE"/>
    <n v="0"/>
    <x v="0"/>
    <s v="Wade Hampton (CA)"/>
    <s v="Calista"/>
    <x v="2"/>
  </r>
  <r>
    <s v="Alaska Village Electric Cooperative"/>
    <s v="Selawik"/>
    <s v="Selawik"/>
    <n v="0"/>
    <n v="2745.7550000000001"/>
    <n v="0"/>
    <n v="107.907"/>
    <n v="2853.6620000000003"/>
    <n v="51.783999999999999"/>
    <n v="2905.4460000000004"/>
    <s v="PCE"/>
    <n v="0"/>
    <x v="6"/>
    <s v="Northwest Arctic"/>
    <s v="NANA"/>
    <x v="3"/>
  </r>
  <r>
    <s v="Alaska Village Electric Cooperative"/>
    <s v="Shageluk"/>
    <s v="Shageluk"/>
    <n v="0"/>
    <n v="369.01499999999999"/>
    <n v="0"/>
    <n v="0"/>
    <n v="369.01499999999999"/>
    <n v="12.250999999999999"/>
    <n v="381.26599999999996"/>
    <s v="PCE"/>
    <n v="0"/>
    <x v="4"/>
    <s v="Yukon-Koyukuk (CA)"/>
    <s v="Doyon"/>
    <x v="2"/>
  </r>
  <r>
    <s v="Alaska Village Electric Cooperative"/>
    <s v="Shaktoolik"/>
    <s v="Shaktoolik"/>
    <n v="0"/>
    <n v="903.83900000000006"/>
    <n v="0"/>
    <n v="8.2000000000000003E-2"/>
    <n v="903.92100000000005"/>
    <n v="22.062999999999999"/>
    <n v="925.98400000000004"/>
    <s v="PCE"/>
    <n v="0"/>
    <x v="7"/>
    <s v="Nome (CA)"/>
    <s v="Bering Straits"/>
    <x v="3"/>
  </r>
  <r>
    <s v="Alaska Village Electric Cooperative"/>
    <s v="Shishmaref"/>
    <s v="Shishmaref"/>
    <n v="0"/>
    <n v="1593.91"/>
    <n v="0"/>
    <n v="0"/>
    <n v="1593.91"/>
    <n v="46.843000000000004"/>
    <n v="1640.7530000000002"/>
    <s v="PCE"/>
    <n v="0"/>
    <x v="7"/>
    <s v="Nome (CA)"/>
    <s v="Bering Straits"/>
    <x v="3"/>
  </r>
  <r>
    <s v="Alaska Village Electric Cooperative"/>
    <s v="Shungnak"/>
    <s v="Shungnak, Kobuk"/>
    <n v="0"/>
    <n v="1527.3440000000001"/>
    <n v="0"/>
    <n v="0"/>
    <n v="1527.3440000000001"/>
    <n v="42.13"/>
    <n v="1569.4740000000002"/>
    <s v="PCE"/>
    <s v="Provides power to Kobuk via intertie. Fuel use and cost includes Kobu's information."/>
    <x v="6"/>
    <s v="Northwest Arctic"/>
    <s v="NANA"/>
    <x v="3"/>
  </r>
  <r>
    <s v="Alaska Village Electric Cooperative"/>
    <s v="Stebbins"/>
    <s v="Stebbins"/>
    <n v="0"/>
    <n v="1354.2349999999999"/>
    <n v="0"/>
    <n v="0"/>
    <n v="1354.2349999999999"/>
    <n v="33.317"/>
    <n v="1387.5519999999999"/>
    <s v="PCE"/>
    <n v="0"/>
    <x v="7"/>
    <s v="Nome (CA)"/>
    <s v="Bering Straits"/>
    <x v="3"/>
  </r>
  <r>
    <s v="Alaska Village Electric Cooperative"/>
    <s v="Teller"/>
    <s v="Teller"/>
    <n v="0"/>
    <n v="837.98900000000003"/>
    <n v="0"/>
    <n v="0"/>
    <n v="837.98900000000003"/>
    <n v="44.378999999999998"/>
    <n v="882.36800000000005"/>
    <s v="PCE"/>
    <n v="0"/>
    <x v="7"/>
    <s v="Nome (CA)"/>
    <s v="Bering Straits"/>
    <x v="3"/>
  </r>
  <r>
    <s v="Alaska Village Electric Cooperative"/>
    <s v="Togiak"/>
    <s v="Togiak"/>
    <n v="0"/>
    <n v="3044.7559999999999"/>
    <n v="0"/>
    <n v="0"/>
    <n v="3044.7559999999999"/>
    <n v="34.622999999999998"/>
    <n v="3079.3789999999999"/>
    <s v="PCE"/>
    <n v="0"/>
    <x v="8"/>
    <s v="Dillingham (CA)"/>
    <s v="Bristol Bay"/>
    <x v="0"/>
  </r>
  <r>
    <s v="Alaska Village Electric Cooperative"/>
    <s v="Toksook Bay"/>
    <s v="Toksook Bay, Nightmute, Tununak"/>
    <n v="0"/>
    <n v="2592.1080000000002"/>
    <n v="0"/>
    <n v="559.97299999999996"/>
    <n v="3152.0810000000001"/>
    <n v="140.43100000000001"/>
    <n v="3292.5120000000002"/>
    <s v="PCE"/>
    <s v="Provides power to Nightmute and Tununak via intertie. Fuel use and cost includes Nightmute's and Tununak's information."/>
    <x v="0"/>
    <s v="Bethel (CA)"/>
    <s v="Calista"/>
    <x v="0"/>
  </r>
  <r>
    <s v="Alaska Village Electric Cooperative"/>
    <s v="Tununak"/>
    <s v="Tununak"/>
    <n v="0"/>
    <n v="0"/>
    <n v="0"/>
    <n v="0"/>
    <n v="0"/>
    <n v="0"/>
    <n v="0"/>
    <s v="PCE"/>
    <s v="Receives power from Toksook Bay via intertie. For fuel use and cost, please refer to Toksook Bay."/>
    <x v="0"/>
    <s v="Bethel (CA)"/>
    <s v="Calista"/>
    <x v="0"/>
  </r>
  <r>
    <s v="Alaska Village Electric Cooperative"/>
    <s v="Wales"/>
    <s v="Wales"/>
    <n v="0"/>
    <n v="582.09500000000003"/>
    <n v="0"/>
    <n v="0"/>
    <n v="582.09500000000003"/>
    <n v="35.036999999999999"/>
    <n v="617.13200000000006"/>
    <s v="PCE"/>
    <n v="0"/>
    <x v="7"/>
    <s v="Nome (CA)"/>
    <s v="Bering Straits"/>
    <x v="3"/>
  </r>
  <r>
    <s v="Alutiiq Power Company"/>
    <s v="Karluk"/>
    <s v="Karluk"/>
    <n v="0"/>
    <n v="252.608"/>
    <n v="0"/>
    <n v="0"/>
    <n v="252.608"/>
    <n v="3.2810000000000001"/>
    <n v="255.88900000000001"/>
    <s v="PCE"/>
    <n v="0"/>
    <x v="9"/>
    <s v="Kodiak Island"/>
    <s v="Koniag"/>
    <x v="4"/>
  </r>
  <r>
    <s v="Anchorage Municipal Light &amp; Power"/>
    <s v="Anchorage 1"/>
    <s v="Anchorage"/>
    <n v="91339"/>
    <n v="0"/>
    <n v="0"/>
    <n v="0"/>
    <n v="91339"/>
    <n v="2837"/>
    <n v="94176"/>
    <s v="EIA"/>
    <n v="0"/>
    <x v="3"/>
    <s v="Anchorage"/>
    <s v="Cook Inlet"/>
    <x v="4"/>
  </r>
  <r>
    <s v="Anchorage Municipal Light &amp; Power"/>
    <s v="Eklutna Lake"/>
    <s v="Anchorage"/>
    <n v="0"/>
    <n v="0"/>
    <n v="66088"/>
    <n v="0"/>
    <n v="66088"/>
    <n v="0"/>
    <n v="66088"/>
    <s v="EIA"/>
    <n v="0"/>
    <x v="3"/>
    <s v="Anchorage"/>
    <s v="Cook Inlet"/>
    <x v="4"/>
  </r>
  <r>
    <s v="Anchorage Municipal Light &amp; Power"/>
    <s v="George M Sullivan Generation Plant 2"/>
    <s v="Anchorage"/>
    <n v="1083003"/>
    <n v="0"/>
    <n v="0"/>
    <n v="0"/>
    <n v="1083003"/>
    <n v="18195"/>
    <n v="1101198"/>
    <s v="EIA"/>
    <n v="0"/>
    <x v="3"/>
    <s v="Anchorage"/>
    <s v="Cook Inlet"/>
    <x v="4"/>
  </r>
  <r>
    <s v="Aniak Light &amp; Power"/>
    <s v="Aniak"/>
    <s v="Aniak"/>
    <n v="0"/>
    <n v="2618.598"/>
    <n v="0"/>
    <n v="0"/>
    <n v="2618.598"/>
    <n v="34.101999999999997"/>
    <n v="2652.7"/>
    <s v="PCE"/>
    <n v="0"/>
    <x v="0"/>
    <s v="Bethel (CA)"/>
    <s v="Calista"/>
    <x v="0"/>
  </r>
  <r>
    <s v="Atka, City of"/>
    <s v="Atka"/>
    <s v="Atka"/>
    <n v="0"/>
    <n v="444.322"/>
    <n v="0"/>
    <n v="0"/>
    <n v="444.322"/>
    <n v="27.303999999999998"/>
    <n v="471.62599999999998"/>
    <s v="PCE"/>
    <n v="0"/>
    <x v="1"/>
    <s v="Aleutians West (CA)"/>
    <s v="Aleut"/>
    <x v="0"/>
  </r>
  <r>
    <s v="Atmautluak Tribal Utilities"/>
    <s v="Atmautluak"/>
    <s v="Atmautluak"/>
    <n v="0"/>
    <n v="796.81399999999996"/>
    <n v="0"/>
    <n v="0"/>
    <n v="796.81399999999996"/>
    <n v="21.849"/>
    <n v="818.66300000000001"/>
    <s v="PCE"/>
    <n v="0"/>
    <x v="0"/>
    <s v="Bethel (CA)"/>
    <s v="Calista"/>
    <x v="0"/>
  </r>
  <r>
    <s v="Aurora Energy LLC Chena"/>
    <s v="Aurora Energy"/>
    <s v="Fairbanks"/>
    <n v="209150"/>
    <n v="0"/>
    <n v="0"/>
    <n v="0"/>
    <n v="209150"/>
    <n v="15339"/>
    <n v="224489"/>
    <s v="EIA"/>
    <s v=" Aurora Energy LLC is an independent power producer that sells all its power to GVEA."/>
    <x v="3"/>
    <s v="Fairbanks North Star"/>
    <s v="Doyon"/>
    <x v="2"/>
  </r>
  <r>
    <s v="Banner Wind, LLC"/>
    <s v="Banner Peak Wind Farm"/>
    <s v="Nome"/>
    <n v="0"/>
    <n v="0"/>
    <n v="0"/>
    <n v="955.14800000000002"/>
    <n v="955.14800000000002"/>
    <n v="0"/>
    <n v="955.14800000000002"/>
    <s v="PCE"/>
    <s v="Banner Wind, LLC. is an independent power proucer, who sells all its power to Nome Joint Utility Systems."/>
    <x v="7"/>
    <s v="Nome (CA)"/>
    <s v="Bering Straits"/>
    <x v="3"/>
  </r>
  <r>
    <s v="Barrow Utilities &amp; Electric Cooperative Inc."/>
    <s v="Barrow"/>
    <s v="Barrow"/>
    <n v="50211"/>
    <n v="0"/>
    <n v="0"/>
    <n v="0"/>
    <n v="50211"/>
    <n v="993"/>
    <n v="51204"/>
    <s v="EIA"/>
    <n v="0"/>
    <x v="10"/>
    <s v="North Slope"/>
    <s v="Arctic Slope"/>
    <x v="3"/>
  </r>
  <r>
    <s v="Beaver Joint Utilities"/>
    <s v="Beaver"/>
    <s v="Beaver"/>
    <n v="0"/>
    <n v="318.02999999999997"/>
    <n v="0"/>
    <n v="0"/>
    <n v="318.02999999999997"/>
    <m/>
    <s v=""/>
    <s v="PCE"/>
    <n v="0"/>
    <x v="4"/>
    <s v="Yukon-Koyukuk (CA)"/>
    <s v="Doyon"/>
    <x v="2"/>
  </r>
  <r>
    <s v="Bethel Utilities Corporation"/>
    <s v="Bethel"/>
    <s v="Bethel, Oscarville"/>
    <n v="0"/>
    <n v="41800"/>
    <n v="0"/>
    <n v="0"/>
    <n v="41800"/>
    <n v="635.6"/>
    <n v="42435.6"/>
    <s v="PCE"/>
    <s v="Provides power to Oscarville and sells power to Napakiak Ircinraq via intertie. Data includes Oscarville's information."/>
    <x v="0"/>
    <s v="Bethel (CA)"/>
    <s v="Calista"/>
    <x v="0"/>
  </r>
  <r>
    <s v="Buckland, City of"/>
    <s v="Buckland"/>
    <s v="Buckland"/>
    <n v="0"/>
    <n v="1592.204"/>
    <n v="0"/>
    <n v="0"/>
    <n v="1592.204"/>
    <n v="33.616"/>
    <n v="1625.82"/>
    <s v="PCE"/>
    <n v="0"/>
    <x v="6"/>
    <s v="Northwest Arctic"/>
    <s v="NANA"/>
    <x v="3"/>
  </r>
  <r>
    <s v="Chalkyitsik Village Council"/>
    <s v="Chalkyitsik"/>
    <s v="Chalkyitsik"/>
    <n v="0"/>
    <n v="304.16500000000002"/>
    <n v="0"/>
    <n v="0"/>
    <n v="304.16500000000002"/>
    <n v="27.405000000000001"/>
    <n v="331.57000000000005"/>
    <s v="PCE"/>
    <n v="0"/>
    <x v="4"/>
    <s v="Yukon-Koyukuk (CA)"/>
    <s v="Doyon"/>
    <x v="2"/>
  </r>
  <r>
    <s v="Chenega IRA Council"/>
    <s v="Chenega Bay"/>
    <s v="Chenega Bay"/>
    <n v="0"/>
    <n v="308.27600000000001"/>
    <n v="0"/>
    <n v="0"/>
    <n v="308.27600000000001"/>
    <n v="12.419"/>
    <n v="320.69499999999999"/>
    <s v="PCE"/>
    <n v="0"/>
    <x v="5"/>
    <s v="Valdez-Cordova (CA)"/>
    <s v="Chugach"/>
    <x v="4"/>
  </r>
  <r>
    <s v="Chignik Lagoon Power Utility"/>
    <s v="Chignik Lagoon"/>
    <s v="Chignik Lagoon"/>
    <n v="0"/>
    <n v="506.53100000000001"/>
    <n v="0"/>
    <n v="0"/>
    <n v="506.53100000000001"/>
    <n v="17.363"/>
    <n v="523.89400000000001"/>
    <s v="PCE"/>
    <n v="0"/>
    <x v="8"/>
    <s v="Lake and Peninsula"/>
    <s v="Bristol Bay"/>
    <x v="0"/>
  </r>
  <r>
    <s v="Chignik Lake Electric Utility"/>
    <s v="Chignik Lake"/>
    <s v="Chignik Lake"/>
    <n v="0"/>
    <n v="199.04300000000001"/>
    <n v="0"/>
    <n v="0"/>
    <n v="199.04300000000001"/>
    <n v="7.1349999999999998"/>
    <n v="206.178"/>
    <s v="PCE"/>
    <n v="0"/>
    <x v="8"/>
    <s v="Lake and Peninsula"/>
    <s v="Bristol Bay"/>
    <x v="0"/>
  </r>
  <r>
    <s v="Chignik, City of"/>
    <s v="Chignik"/>
    <s v="Chignik"/>
    <n v="0"/>
    <n v="868.08199999999999"/>
    <n v="0"/>
    <n v="0"/>
    <n v="868.08199999999999"/>
    <n v="33.249000000000002"/>
    <n v="901.33100000000002"/>
    <s v="PCE"/>
    <n v="0"/>
    <x v="8"/>
    <s v="Lake and Peninsula"/>
    <s v="Bristol Bay"/>
    <x v="0"/>
  </r>
  <r>
    <s v="Chitina Electric Inc"/>
    <s v="Chitina"/>
    <s v="Chitina"/>
    <n v="0"/>
    <n v="519.23599999999999"/>
    <n v="0"/>
    <n v="0"/>
    <n v="519.23599999999999"/>
    <n v="40.692"/>
    <n v="559.928"/>
    <s v="PCE"/>
    <n v="0"/>
    <x v="5"/>
    <s v="Valdez-Cordova (CA)"/>
    <s v="Ahtna"/>
    <x v="4"/>
  </r>
  <r>
    <s v="Chugach Electric Assn Inc"/>
    <s v="Beluga"/>
    <m/>
    <n v="2281306"/>
    <n v="0"/>
    <n v="0"/>
    <n v="0"/>
    <n v="2281306"/>
    <n v="18554"/>
    <n v="2299860"/>
    <s v="EIA"/>
    <n v="0"/>
    <x v="3"/>
    <s v="Anchorage"/>
    <s v="Cook Inlet"/>
    <x v="4"/>
  </r>
  <r>
    <s v="Chugach Electric Assn Inc"/>
    <s v="Bernice Lake"/>
    <m/>
    <n v="41995"/>
    <n v="0"/>
    <n v="0"/>
    <n v="0"/>
    <n v="41995"/>
    <n v="950"/>
    <n v="42945"/>
    <s v="EIA"/>
    <n v="0"/>
    <x v="3"/>
    <s v="Kenai Peninsula"/>
    <s v="Cook Inlet"/>
    <x v="4"/>
  </r>
  <r>
    <s v="Chugach Electric Assn Inc"/>
    <s v="Cooper Lake"/>
    <m/>
    <n v="0"/>
    <n v="0"/>
    <n v="28759"/>
    <n v="0"/>
    <n v="28759"/>
    <n v="1044"/>
    <n v="29803"/>
    <s v="EIA"/>
    <n v="0"/>
    <x v="3"/>
    <s v="Anchorage"/>
    <s v="Cook Inlet"/>
    <x v="4"/>
  </r>
  <r>
    <s v="Chugach Electric Assn Inc"/>
    <s v="International"/>
    <m/>
    <n v="21789"/>
    <n v="0"/>
    <n v="0"/>
    <n v="0"/>
    <n v="21789"/>
    <n v="980"/>
    <n v="22769"/>
    <s v="EIA"/>
    <n v="0"/>
    <x v="3"/>
    <s v="Anchorage"/>
    <s v="Cook Inlet"/>
    <x v="4"/>
  </r>
  <r>
    <s v="Circle Electric Utility"/>
    <s v="Circle"/>
    <s v="Circle"/>
    <n v="0"/>
    <n v="389.51"/>
    <n v="0"/>
    <n v="0"/>
    <n v="389.51"/>
    <n v="4.6100000000000003"/>
    <n v="394.12"/>
    <s v="PCE"/>
    <n v="0"/>
    <x v="4"/>
    <s v="Yukon-Koyukuk (CA)"/>
    <s v="Doyon"/>
    <x v="2"/>
  </r>
  <r>
    <s v="Copper Valley Elec Assn Inc"/>
    <s v="Glennallen"/>
    <s v="Glennallen"/>
    <n v="0"/>
    <n v="15113"/>
    <n v="0"/>
    <n v="0"/>
    <n v="15113"/>
    <n v="888"/>
    <n v="16001"/>
    <s v="EIA"/>
    <n v="0"/>
    <x v="5"/>
    <s v="Valdez-Cordova (CA)"/>
    <s v="Ahtna"/>
    <x v="4"/>
  </r>
  <r>
    <s v="Copper Valley Elec Assn Inc"/>
    <s v="Solomon Gulch"/>
    <s v="Glennallen, Valdez"/>
    <n v="0"/>
    <n v="0"/>
    <n v="46189"/>
    <n v="0"/>
    <n v="46189"/>
    <n v="449"/>
    <n v="46638"/>
    <s v="EIA"/>
    <n v="0"/>
    <x v="5"/>
    <s v="Valdez-Cordova (CA)"/>
    <s v="Chugach"/>
    <x v="4"/>
  </r>
  <r>
    <s v="Copper Valley Elec Assn Inc"/>
    <s v="Valdez"/>
    <s v="Valdez"/>
    <n v="47"/>
    <n v="7291"/>
    <n v="0"/>
    <n v="0"/>
    <n v="7338"/>
    <n v="835"/>
    <n v="8173"/>
    <s v="EIA"/>
    <n v="0"/>
    <x v="5"/>
    <s v="Valdez-Cordova (CA)"/>
    <s v="Chugach"/>
    <x v="4"/>
  </r>
  <r>
    <s v="Copper Valley Elec Assn Inc"/>
    <s v="Valdez Cogen"/>
    <s v="Valdez"/>
    <n v="17519"/>
    <n v="0"/>
    <n v="0"/>
    <n v="0"/>
    <n v="17519"/>
    <n v="304"/>
    <n v="17823"/>
    <s v="EIA"/>
    <n v="0"/>
    <x v="5"/>
    <s v="Valdez-Cordova (CA)"/>
    <s v="Chugach"/>
    <x v="4"/>
  </r>
  <r>
    <s v="Cordova Electric Cooperative"/>
    <s v="Orca"/>
    <s v="Cordova"/>
    <n v="0"/>
    <n v="9068"/>
    <n v="0"/>
    <n v="0"/>
    <n v="9068"/>
    <n v="518.41800000000001"/>
    <n v="9586.4179999999997"/>
    <s v="PCE"/>
    <n v="0"/>
    <x v="5"/>
    <s v="Valdez-Cordova (CA)"/>
    <s v="Chugach"/>
    <x v="4"/>
  </r>
  <r>
    <s v="Cordova Electric Cooperative"/>
    <s v="Power Creek"/>
    <s v="Cordova"/>
    <n v="0"/>
    <n v="0"/>
    <n v="16759.928"/>
    <n v="0"/>
    <n v="16759.928"/>
    <m/>
    <s v=""/>
    <s v="PCE"/>
    <n v="0"/>
    <x v="5"/>
    <s v="Valdez-Cordova (CA)"/>
    <s v="Chugach"/>
    <x v="4"/>
  </r>
  <r>
    <s v="Diomede Joint Utilities"/>
    <s v="Diomede"/>
    <s v="Diomede"/>
    <n v="0"/>
    <n v="438.73590000000002"/>
    <n v="0"/>
    <n v="0"/>
    <n v="438.73590000000002"/>
    <n v="38.558110999999997"/>
    <n v="477.29401100000001"/>
    <s v="PCE"/>
    <n v="0"/>
    <x v="7"/>
    <s v="Nome (CA)"/>
    <s v="Bering Straits"/>
    <x v="3"/>
  </r>
  <r>
    <s v="Egegik Light &amp; Power Co"/>
    <s v="Egegik"/>
    <s v="Egegik"/>
    <n v="0"/>
    <n v="281.745"/>
    <n v="0"/>
    <n v="0"/>
    <n v="281.745"/>
    <n v="0.505"/>
    <n v="282.25"/>
    <s v="PCE"/>
    <n v="0"/>
    <x v="8"/>
    <s v="Lake and Peninsula"/>
    <s v="Bristol Bay"/>
    <x v="0"/>
  </r>
  <r>
    <s v="Elfin Cove Utility Commission"/>
    <s v="Elfin Cove"/>
    <s v="Elfin Cove"/>
    <n v="0"/>
    <n v="277.4572"/>
    <n v="0"/>
    <n v="0"/>
    <n v="277.4572"/>
    <n v="20.122799999999998"/>
    <n v="297.58"/>
    <s v="PCE"/>
    <n v="0"/>
    <x v="2"/>
    <s v="Hoonah-Angoon (CA)"/>
    <s v="Sealaska"/>
    <x v="1"/>
  </r>
  <r>
    <s v="False Pass, City of"/>
    <s v="False Pass"/>
    <s v="False Pass"/>
    <n v="0"/>
    <n v="461.351"/>
    <n v="0"/>
    <n v="0"/>
    <n v="461.351"/>
    <n v="39.195"/>
    <n v="500.54599999999999"/>
    <s v="PCE"/>
    <n v="0"/>
    <x v="1"/>
    <s v="Aleutians East"/>
    <s v="Aleut"/>
    <x v="0"/>
  </r>
  <r>
    <s v="G &amp; K Inc"/>
    <s v="Cold Bay"/>
    <s v="Cold Bay"/>
    <n v="0"/>
    <n v="2566.9209999999998"/>
    <n v="0"/>
    <n v="0"/>
    <n v="2566.9209999999998"/>
    <n v="158.48967000000002"/>
    <n v="2725.4106699999998"/>
    <s v="PCE"/>
    <n v="0"/>
    <x v="1"/>
    <s v="Aleutians East"/>
    <s v="Aleut"/>
    <x v="0"/>
  </r>
  <r>
    <s v="Galena, City of"/>
    <s v="Galena"/>
    <s v="Galena"/>
    <n v="0"/>
    <n v="2907.3449999999998"/>
    <n v="0"/>
    <n v="0"/>
    <n v="2907.3449999999998"/>
    <n v="76.578999999999994"/>
    <n v="2983.924"/>
    <s v="PCE"/>
    <n v="0"/>
    <x v="4"/>
    <s v="Yukon-Koyukuk (CA)"/>
    <s v="Doyon"/>
    <x v="2"/>
  </r>
  <r>
    <s v="Gold Country Energy"/>
    <s v="Central"/>
    <s v="Central"/>
    <n v="0"/>
    <n v="474.60300000000001"/>
    <n v="0"/>
    <n v="0"/>
    <n v="474.60300000000001"/>
    <n v="19.251000000000001"/>
    <n v="493.85399999999998"/>
    <s v="PCE"/>
    <n v="0"/>
    <x v="4"/>
    <s v="Yukon-Koyukuk (CA)"/>
    <s v="Doyon"/>
    <x v="2"/>
  </r>
  <r>
    <s v="Golden Valley Elec Assn Inc"/>
    <s v="Delta Power"/>
    <m/>
    <n v="-170"/>
    <n v="0"/>
    <n v="0"/>
    <n v="0"/>
    <n v="-170"/>
    <n v="170"/>
    <n v="0"/>
    <s v="EIA"/>
    <n v="0"/>
    <x v="3"/>
    <s v="Fairbanks North Star"/>
    <s v="Doyon"/>
    <x v="2"/>
  </r>
  <r>
    <s v="Golden Valley Elec Assn Inc"/>
    <s v="Fairbanks"/>
    <m/>
    <n v="8550"/>
    <n v="-21"/>
    <n v="0"/>
    <n v="0"/>
    <n v="8529"/>
    <n v="786"/>
    <n v="9315"/>
    <s v="EIA"/>
    <n v="0"/>
    <x v="3"/>
    <s v="Fairbanks North Star"/>
    <s v="Doyon"/>
    <x v="2"/>
  </r>
  <r>
    <s v="Golden Valley Elec Assn Inc"/>
    <s v="Healy"/>
    <m/>
    <n v="178163"/>
    <n v="25"/>
    <n v="0"/>
    <n v="0"/>
    <n v="178188"/>
    <n v="17064"/>
    <n v="195252"/>
    <s v="EIA"/>
    <n v="0"/>
    <x v="3"/>
    <s v="Denali"/>
    <s v="Doyon"/>
    <x v="2"/>
  </r>
  <r>
    <s v="Golden Valley Elec Assn Inc"/>
    <s v="North Pole"/>
    <m/>
    <n v="486541"/>
    <n v="0"/>
    <n v="0"/>
    <n v="0"/>
    <n v="486541"/>
    <n v="15843"/>
    <n v="502384"/>
    <s v="EIA"/>
    <n v="0"/>
    <x v="3"/>
    <s v="Fairbanks North Star"/>
    <s v="Doyon"/>
    <x v="2"/>
  </r>
  <r>
    <s v="Golovin Power Utilities"/>
    <s v="Golovin"/>
    <s v="Golovin"/>
    <n v="0"/>
    <n v="755.70100000000002"/>
    <n v="0"/>
    <n v="0"/>
    <n v="755.70100000000002"/>
    <n v="25.998999999999999"/>
    <n v="781.7"/>
    <s v="PCE"/>
    <n v="0"/>
    <x v="7"/>
    <s v="Nome (CA)"/>
    <s v="Bering Straits"/>
    <x v="3"/>
  </r>
  <r>
    <s v="Gustavus Electric Co"/>
    <s v="Falls Creek"/>
    <s v="Gustavus"/>
    <n v="0"/>
    <n v="0"/>
    <n v="1955"/>
    <n v="0"/>
    <n v="1955"/>
    <m/>
    <s v=""/>
    <s v="PCE"/>
    <n v="0"/>
    <x v="2"/>
    <s v="Hoonah-Angoon (CA)"/>
    <s v="Sealaska"/>
    <x v="1"/>
  </r>
  <r>
    <s v="Gustavus Electric Co"/>
    <s v="Gustavus"/>
    <s v="Gustavus"/>
    <n v="0"/>
    <n v="98.196960000000004"/>
    <n v="0"/>
    <n v="0"/>
    <n v="98.196960000000004"/>
    <n v="41.488"/>
    <n v="139.68495999999999"/>
    <s v="PCE"/>
    <n v="0"/>
    <x v="2"/>
    <s v="Hoonah-Angoon (CA)"/>
    <s v="Sealaska"/>
    <x v="1"/>
  </r>
  <r>
    <s v="Gwitchyaa Zhee Utilities Company"/>
    <s v="Fort Yukon"/>
    <s v="Fort Yukon"/>
    <n v="0"/>
    <n v="3061.62"/>
    <n v="0"/>
    <n v="0"/>
    <n v="3061.62"/>
    <n v="30.38"/>
    <n v="3092"/>
    <s v="PCE"/>
    <n v="0"/>
    <x v="4"/>
    <s v="Yukon-Koyukuk (CA)"/>
    <s v="Doyon"/>
    <x v="2"/>
  </r>
  <r>
    <s v="Homer Electric Assn Inc"/>
    <s v="Nikiski Co-Generation"/>
    <m/>
    <n v="276289"/>
    <n v="0"/>
    <n v="0"/>
    <n v="0"/>
    <n v="276289"/>
    <n v="1486"/>
    <n v="277775"/>
    <s v="EIA"/>
    <n v="0"/>
    <x v="3"/>
    <s v="Kenai Peninsula"/>
    <s v="Cook Inlet"/>
    <x v="4"/>
  </r>
  <r>
    <s v="Homer Electric Assn Inc"/>
    <s v="Seldovia"/>
    <m/>
    <n v="0"/>
    <n v="143"/>
    <n v="0"/>
    <n v="0"/>
    <n v="143"/>
    <m/>
    <s v=""/>
    <s v="EIA"/>
    <n v="0"/>
    <x v="3"/>
    <s v="Kenai Peninsula"/>
    <s v="Cook Inlet"/>
    <x v="4"/>
  </r>
  <r>
    <s v="Homer Electric Assn Inc"/>
    <s v="Bradley Lake"/>
    <m/>
    <n v="0"/>
    <n v="0"/>
    <n v="303900"/>
    <n v="0"/>
    <n v="303900"/>
    <m/>
    <s v=""/>
    <s v="EIA"/>
    <s v="Generation from Bradley Lake is shared among Chugach, AML&amp;P, HEA, MEA, Seward Electric and GVEA"/>
    <x v="3"/>
    <s v="Anchorage"/>
    <s v="Cook Inlet"/>
    <x v="4"/>
  </r>
  <r>
    <s v="Hughes Power &amp; Light"/>
    <s v="Hughes"/>
    <s v="Hughes"/>
    <n v="0"/>
    <n v="372.29500000000002"/>
    <n v="0"/>
    <n v="0"/>
    <n v="372.29500000000002"/>
    <n v="36.365000000000002"/>
    <n v="408.66"/>
    <s v="PCE"/>
    <n v="0"/>
    <x v="4"/>
    <s v="Yukon-Koyukuk (CA)"/>
    <s v="Doyon"/>
    <x v="2"/>
  </r>
  <r>
    <s v="Igiugig Electric Company"/>
    <s v="Igiugig"/>
    <s v="Igiugig"/>
    <n v="0"/>
    <n v="307.7185455"/>
    <n v="0"/>
    <n v="0"/>
    <n v="307.7185455"/>
    <n v="13.513727000000001"/>
    <n v="321.23227250000002"/>
    <s v="PCE"/>
    <n v="0"/>
    <x v="8"/>
    <s v="Lake and Peninsula"/>
    <s v="Bristol Bay"/>
    <x v="0"/>
  </r>
  <r>
    <s v="I-N-N Electric Coop, Inc"/>
    <s v="Newhalen"/>
    <s v="Iliamna, Newhalen, Nondalton"/>
    <n v="0"/>
    <n v="84.087000000000003"/>
    <n v="0"/>
    <n v="0"/>
    <n v="84.087000000000003"/>
    <n v="0"/>
    <n v="84.087000000000003"/>
    <s v="PCE"/>
    <s v="Power produced at the Tazimina hydroelectric project and the Newhalen plant is shared by Iliamna, Newhalen and Nondalton. Newhalen's information is included in Nondalton's data."/>
    <x v="8"/>
    <s v="Lake and Peninsula"/>
    <s v="Bristol Bay"/>
    <x v="0"/>
  </r>
  <r>
    <s v="I-N-N Electric Coop, Inc"/>
    <s v="Tazimina"/>
    <s v="Iliamna, Newhalen, Nondalton"/>
    <n v="0"/>
    <n v="0"/>
    <n v="3566.2379999999998"/>
    <n v="0"/>
    <n v="3566.2379999999998"/>
    <n v="449.22300000000001"/>
    <n v="4015.4609999999998"/>
    <s v="PCE"/>
    <s v="Power produced at the Tazimina hydroelectric project and the Newhalen plant is shared by Iliamna, Newhalen and Nondalton. Iliamna's information is included in Nondalton's data."/>
    <x v="8"/>
    <s v="Lake and Peninsula"/>
    <s v="Bristol Bay"/>
    <x v="0"/>
  </r>
  <r>
    <s v="Inside Passage Electric"/>
    <s v="Angoon"/>
    <s v="Angoon"/>
    <n v="0"/>
    <n v="2025.2149999999999"/>
    <n v="0"/>
    <n v="0"/>
    <n v="2025.2149999999999"/>
    <n v="63.457999999999998"/>
    <n v="2088.6729999999998"/>
    <s v="PCE"/>
    <n v="0"/>
    <x v="2"/>
    <s v="Hoonah-Angoon (CA)"/>
    <s v="Sealaska"/>
    <x v="1"/>
  </r>
  <r>
    <s v="Inside Passage Electric"/>
    <s v="Chilkat Valley"/>
    <s v="Chilkat Valley"/>
    <n v="0"/>
    <n v="-68.440910000000002"/>
    <n v="183.54"/>
    <n v="0"/>
    <n v="115.09908999999999"/>
    <n v="68.440909000000005"/>
    <n v="183.53999899999999"/>
    <s v="PCE"/>
    <s v="Provides power to Klukwan via intertie. Power is purchased from AP&amp;T."/>
    <x v="2"/>
    <s v="Haines"/>
    <s v="Sealaska"/>
    <x v="1"/>
  </r>
  <r>
    <s v="Inside Passage Electric"/>
    <s v="Hoonah"/>
    <s v="Hoonah"/>
    <n v="0"/>
    <n v="4816.875"/>
    <n v="0"/>
    <n v="0"/>
    <n v="4816.875"/>
    <n v="43.433"/>
    <n v="4860.308"/>
    <s v="PCE"/>
    <n v="0"/>
    <x v="2"/>
    <s v="Hoonah-Angoon (CA)"/>
    <s v="Sealaska"/>
    <x v="1"/>
  </r>
  <r>
    <s v="Inside Passage Electric"/>
    <s v="Kake"/>
    <s v="Kake"/>
    <n v="0"/>
    <n v="2769.4879999999998"/>
    <n v="0"/>
    <n v="0"/>
    <n v="2769.4879999999998"/>
    <n v="61.9"/>
    <n v="2831.3879999999999"/>
    <s v="PCE"/>
    <n v="0"/>
    <x v="2"/>
    <s v="Petersburg (CA)"/>
    <s v="Sealaska"/>
    <x v="1"/>
  </r>
  <r>
    <s v="Inside Passage Electric"/>
    <s v="Klukwan"/>
    <s v="Klukwan"/>
    <n v="0"/>
    <n v="0"/>
    <n v="0"/>
    <n v="0"/>
    <n v="0"/>
    <n v="0"/>
    <n v="0"/>
    <s v="PCE"/>
    <s v="Receives power from Chilkat Valley via intertie. Chilkat Valley purchases power from AP&amp;T."/>
    <x v="2"/>
    <s v="Hoonah-Angoon (CA)"/>
    <s v="Sealaska"/>
    <x v="1"/>
  </r>
  <r>
    <s v="Ipnatchiaq Electric Company"/>
    <s v="Deering"/>
    <s v="Deering"/>
    <n v="0"/>
    <n v="336.34699999999998"/>
    <n v="0"/>
    <n v="0"/>
    <n v="336.34699999999998"/>
    <n v="9.7289999999999992"/>
    <n v="346.07599999999996"/>
    <s v="PCE"/>
    <n v="0"/>
    <x v="6"/>
    <s v="Northwest Arctic"/>
    <s v="NANA"/>
    <x v="3"/>
  </r>
  <r>
    <s v="Ketchikan Public Utilities"/>
    <s v="Beaver Falls"/>
    <s v="Ketchikan"/>
    <n v="0"/>
    <n v="0"/>
    <n v="46676"/>
    <n v="0"/>
    <n v="46676"/>
    <n v="229"/>
    <n v="46905"/>
    <s v="EIA"/>
    <n v="0"/>
    <x v="2"/>
    <s v="Ketchikan Gateway"/>
    <s v="Sealaska"/>
    <x v="1"/>
  </r>
  <r>
    <s v="Ketchikan Public Utilities"/>
    <s v="Ketchikan"/>
    <s v="Ketchikan"/>
    <n v="0"/>
    <n v="0"/>
    <n v="22625"/>
    <n v="0"/>
    <n v="22625"/>
    <n v="124"/>
    <n v="22749"/>
    <s v="EIA"/>
    <n v="0"/>
    <x v="2"/>
    <s v="Ketchikan Gateway"/>
    <s v="Sealaska"/>
    <x v="1"/>
  </r>
  <r>
    <s v="Ketchikan Public Utilities"/>
    <s v="S W Bailey"/>
    <s v="Ketchikan"/>
    <n v="0"/>
    <n v="2603"/>
    <n v="0"/>
    <n v="0"/>
    <n v="2603"/>
    <n v="1941"/>
    <n v="4544"/>
    <s v="EIA"/>
    <n v="0"/>
    <x v="2"/>
    <s v="Ketchikan Gateway"/>
    <s v="Sealaska"/>
    <x v="1"/>
  </r>
  <r>
    <s v="Ketchikan Public Utilities"/>
    <s v="Silvis"/>
    <s v="Ketchikan"/>
    <n v="0"/>
    <n v="0"/>
    <n v="12871"/>
    <n v="0"/>
    <n v="12871"/>
    <n v="68"/>
    <n v="12939"/>
    <s v="EIA"/>
    <n v="0"/>
    <x v="2"/>
    <s v="Ketchikan Gateway"/>
    <s v="Sealaska"/>
    <x v="1"/>
  </r>
  <r>
    <s v="Ketchikan Public Utilities"/>
    <s v="Swan Lake"/>
    <s v="Wrangell, Petersburg, Ketchikan"/>
    <n v="0"/>
    <n v="0"/>
    <n v="90502"/>
    <n v="0"/>
    <n v="90502"/>
    <n v="1082"/>
    <n v="91584"/>
    <s v="EIA"/>
    <n v="0"/>
    <x v="2"/>
    <s v="Ketchikan Gateway"/>
    <s v="Sealaska"/>
    <x v="1"/>
  </r>
  <r>
    <s v="King Cove, City of"/>
    <s v="King Cove"/>
    <s v="King Cove"/>
    <n v="0"/>
    <n v="1712.346"/>
    <n v="3102.4639999999999"/>
    <n v="0"/>
    <n v="4814.8099999999995"/>
    <n v="78.450091"/>
    <n v="4893.2600909999992"/>
    <s v="PCE"/>
    <n v="0"/>
    <x v="1"/>
    <s v="Aleutians East"/>
    <s v="Aleut"/>
    <x v="0"/>
  </r>
  <r>
    <s v="Kipnuk Light Plant"/>
    <s v="Kipnuk"/>
    <s v="Kipnuk"/>
    <n v="0"/>
    <n v="1583.2080000000001"/>
    <n v="0"/>
    <n v="0"/>
    <n v="1583.2080000000001"/>
    <n v="23.241"/>
    <n v="1606.4490000000001"/>
    <s v="PCE"/>
    <n v="0"/>
    <x v="0"/>
    <s v="Bethel (CA)"/>
    <s v="Calista"/>
    <x v="0"/>
  </r>
  <r>
    <s v="Kodiak Electric Assn Inc"/>
    <s v="Kodiak"/>
    <s v="Kodiak"/>
    <n v="0"/>
    <n v="18214"/>
    <n v="0"/>
    <n v="0"/>
    <n v="18214"/>
    <n v="1030"/>
    <n v="19244"/>
    <s v="EIA"/>
    <n v="0"/>
    <x v="9"/>
    <s v="Kodiak Island"/>
    <s v="Koniag"/>
    <x v="4"/>
  </r>
  <r>
    <s v="Kodiak Electric Assn Inc"/>
    <s v="Nymans Plant"/>
    <s v="Kodiak"/>
    <n v="0"/>
    <n v="3568"/>
    <n v="0"/>
    <n v="0"/>
    <n v="3568"/>
    <n v="889"/>
    <n v="4457"/>
    <s v="EIA"/>
    <n v="0"/>
    <x v="9"/>
    <s v="Kodiak Island"/>
    <s v="Koniag"/>
    <x v="4"/>
  </r>
  <r>
    <s v="Kodiak Electric Assn Inc"/>
    <s v="Pillar Mountain"/>
    <s v="Kodiak"/>
    <n v="0"/>
    <n v="0"/>
    <n v="0"/>
    <n v="12364"/>
    <n v="12364"/>
    <n v="84"/>
    <n v="12448"/>
    <s v="EIA"/>
    <n v="0"/>
    <x v="9"/>
    <s v="Kodiak Island"/>
    <s v="Koniag"/>
    <x v="4"/>
  </r>
  <r>
    <s v="Kodiak Electric Assn Inc"/>
    <s v="Port Lions"/>
    <s v="Kodiak"/>
    <n v="0"/>
    <n v="70"/>
    <n v="0"/>
    <n v="0"/>
    <n v="70"/>
    <n v="1"/>
    <n v="71"/>
    <s v="EIA"/>
    <n v="0"/>
    <x v="9"/>
    <s v="Kodiak Island"/>
    <s v="Koniag"/>
    <x v="4"/>
  </r>
  <r>
    <s v="Kodiak Electric Assn Inc"/>
    <s v="Terror Lake"/>
    <s v="Kodiak"/>
    <n v="0"/>
    <n v="0"/>
    <n v="114186"/>
    <n v="0"/>
    <n v="114186"/>
    <n v="932"/>
    <n v="115118"/>
    <s v="EIA"/>
    <n v="0"/>
    <x v="9"/>
    <s v="Kodiak Island"/>
    <s v="Koniag"/>
    <x v="4"/>
  </r>
  <r>
    <s v="Kokhanok Village Council"/>
    <s v="Kokhanok"/>
    <s v="Kokhanok"/>
    <n v="0"/>
    <n v="406.92200000000003"/>
    <n v="0"/>
    <n v="66.448999999999998"/>
    <n v="473.37100000000004"/>
    <n v="28.992999999999999"/>
    <n v="502.36400000000003"/>
    <s v="PCE"/>
    <n v="0"/>
    <x v="8"/>
    <s v="Lake and Peninsula"/>
    <s v="Bristol Bay"/>
    <x v="0"/>
  </r>
  <r>
    <s v="Kotzebue Electric Association"/>
    <s v="Kotzebue"/>
    <s v="Kotzebue"/>
    <n v="0"/>
    <n v="20300"/>
    <n v="0"/>
    <n v="1502.537"/>
    <n v="21802.537"/>
    <n v="988.65899999999999"/>
    <n v="22791.196"/>
    <s v="PCE"/>
    <n v="0"/>
    <x v="6"/>
    <s v="Northwest Arctic"/>
    <s v="NANA"/>
    <x v="3"/>
  </r>
  <r>
    <s v="Koyukuk, City of"/>
    <s v="Koyukuk"/>
    <s v="Koyukuk"/>
    <n v="0"/>
    <n v="314.14699999999999"/>
    <n v="0"/>
    <n v="0"/>
    <n v="314.14699999999999"/>
    <n v="19.094999999999999"/>
    <n v="333.24199999999996"/>
    <s v="PCE"/>
    <n v="0"/>
    <x v="4"/>
    <s v="Yukon-Koyukuk (CA)"/>
    <s v="Doyon"/>
    <x v="2"/>
  </r>
  <r>
    <s v="Kwethluk Incorporated"/>
    <s v="Kwethluk"/>
    <s v="Kwethluk"/>
    <n v="0"/>
    <n v="1377.5930000000001"/>
    <n v="0"/>
    <n v="0"/>
    <n v="1377.5930000000001"/>
    <n v="34.332000000000001"/>
    <n v="1411.9250000000002"/>
    <s v="PCE"/>
    <n v="0"/>
    <x v="0"/>
    <s v="Bethel (CA)"/>
    <s v="Calista"/>
    <x v="0"/>
  </r>
  <r>
    <s v="Kwigillingok Power Company"/>
    <s v="Kwigillingok"/>
    <s v="Kwigillingok"/>
    <n v="0"/>
    <n v="1168.2660000000001"/>
    <n v="0"/>
    <n v="0"/>
    <n v="1168.2660000000001"/>
    <n v="40.801000000000002"/>
    <n v="1209.067"/>
    <s v="PCE"/>
    <n v="0"/>
    <x v="0"/>
    <s v="Bethel (CA)"/>
    <s v="Calista"/>
    <x v="0"/>
  </r>
  <r>
    <s v="Larsen Bay Utility Company"/>
    <s v="Larsen Bay"/>
    <s v="Larsen Bay"/>
    <n v="0"/>
    <n v="159.17355000000001"/>
    <n v="342.38499999999999"/>
    <n v="0"/>
    <n v="501.55854999999997"/>
    <n v="21.806172"/>
    <n v="523.36472199999992"/>
    <s v="PCE"/>
    <n v="0"/>
    <x v="9"/>
    <s v="Kodiak Island"/>
    <s v="Koniag"/>
    <x v="4"/>
  </r>
  <r>
    <s v="Levelock Electrical Coop"/>
    <s v="Levelock"/>
    <s v="Levelock"/>
    <n v="0"/>
    <n v="472.11799999999999"/>
    <n v="0"/>
    <n v="0"/>
    <n v="472.11799999999999"/>
    <n v="34.540999999999997"/>
    <n v="506.65899999999999"/>
    <s v="PCE"/>
    <n v="0"/>
    <x v="8"/>
    <s v="Lake and Peninsula"/>
    <s v="Bristol Bay"/>
    <x v="0"/>
  </r>
  <r>
    <s v="Lime Village Electric Utility"/>
    <s v="Lime Village"/>
    <s v="Lime Village"/>
    <n v="0"/>
    <n v="32.902999999999999"/>
    <n v="0"/>
    <n v="0"/>
    <n v="32.902999999999999"/>
    <n v="0.89200000000000002"/>
    <n v="33.795000000000002"/>
    <s v="PCE"/>
    <n v="0"/>
    <x v="0"/>
    <s v="Bethel (CA)"/>
    <s v="Calista"/>
    <x v="0"/>
  </r>
  <r>
    <s v="Manokotak Power Company"/>
    <s v="Manokotak"/>
    <s v="Manokotak"/>
    <n v="0"/>
    <n v="1365.7190000000001"/>
    <n v="0"/>
    <n v="0"/>
    <n v="1365.7190000000001"/>
    <n v="45.040999999999997"/>
    <n v="1410.76"/>
    <s v="PCE"/>
    <n v="0"/>
    <x v="8"/>
    <s v="Dillingham (CA)"/>
    <s v="Bristol Bay"/>
    <x v="0"/>
  </r>
  <r>
    <s v="Mcgrath Light &amp; Power"/>
    <s v="McGrath"/>
    <s v="McGrath"/>
    <n v="0"/>
    <n v="2840.7040000000002"/>
    <n v="0"/>
    <n v="0"/>
    <n v="2840.7040000000002"/>
    <n v="61.923000000000002"/>
    <n v="2902.6270000000004"/>
    <s v="PCE"/>
    <n v="0"/>
    <x v="4"/>
    <s v="Yukon-Koyukuk (CA)"/>
    <s v="Doyon"/>
    <x v="0"/>
  </r>
  <r>
    <s v="Metlakatla Power &amp; Light"/>
    <s v="Centennial"/>
    <s v="Metlakatla"/>
    <n v="0"/>
    <n v="65"/>
    <n v="0"/>
    <n v="0"/>
    <n v="65"/>
    <n v="121"/>
    <n v="186"/>
    <s v="EIA"/>
    <n v="0"/>
    <x v="2"/>
    <s v="Prince of Wales-Hyder (CA)"/>
    <s v="Sealaska"/>
    <x v="1"/>
  </r>
  <r>
    <s v="Metlakatla Power &amp; Light"/>
    <s v="Chester Lake"/>
    <s v="Metlakatla"/>
    <n v="0"/>
    <n v="0"/>
    <n v="5129"/>
    <n v="0"/>
    <n v="5129"/>
    <m/>
    <s v=""/>
    <s v="EIA"/>
    <n v="0"/>
    <x v="2"/>
    <s v="Prince of Wales-Hyder (CA)"/>
    <s v="Sealaska"/>
    <x v="1"/>
  </r>
  <r>
    <s v="Metlakatla Power &amp; Light"/>
    <s v="Purple Lake"/>
    <s v="Metlakatla"/>
    <n v="0"/>
    <n v="0"/>
    <n v="15040"/>
    <n v="0"/>
    <n v="15040"/>
    <m/>
    <s v=""/>
    <s v="EIA"/>
    <n v="0"/>
    <x v="2"/>
    <s v="Prince of Wales-Hyder (CA)"/>
    <s v="Sealaska"/>
    <x v="1"/>
  </r>
  <r>
    <s v="Middle Kuskokwim Electric"/>
    <s v="Chuathbaluk"/>
    <s v="Chuathbaluk"/>
    <n v="0"/>
    <n v="220.98479999999998"/>
    <n v="0"/>
    <n v="0"/>
    <n v="220.98479999999998"/>
    <n v="12.117167"/>
    <n v="233.10196699999997"/>
    <s v="PCE"/>
    <n v="0"/>
    <x v="0"/>
    <s v="Bethel (CA)"/>
    <s v="Calista"/>
    <x v="0"/>
  </r>
  <r>
    <s v="Middle Kuskokwim Electric"/>
    <s v="Crooked Creek"/>
    <s v="Crooked Creek"/>
    <n v="0"/>
    <n v="302.6524"/>
    <n v="0"/>
    <n v="0"/>
    <n v="302.6524"/>
    <n v="7.4366000999999997"/>
    <n v="310.08900010000002"/>
    <s v="PCE"/>
    <n v="0"/>
    <x v="0"/>
    <s v="Bethel (CA)"/>
    <s v="Calista"/>
    <x v="0"/>
  </r>
  <r>
    <s v="Middle Kuskokwim Electric"/>
    <s v="Red Devil"/>
    <s v="Red Devil"/>
    <n v="0"/>
    <n v="106.4297"/>
    <n v="0"/>
    <n v="0"/>
    <n v="106.4297"/>
    <n v="2.4900000000000002"/>
    <n v="108.91969999999999"/>
    <s v="PCE"/>
    <n v="0"/>
    <x v="0"/>
    <s v="Bethel (CA)"/>
    <s v="Calista"/>
    <x v="0"/>
  </r>
  <r>
    <s v="Middle Kuskokwim Electric"/>
    <s v="Sleetmute"/>
    <s v="Sleetmute"/>
    <n v="0"/>
    <n v="259.13670000000002"/>
    <n v="0"/>
    <n v="0"/>
    <n v="259.13670000000002"/>
    <n v="16.330272999999998"/>
    <n v="275.466973"/>
    <s v="PCE"/>
    <n v="0"/>
    <x v="0"/>
    <s v="Bethel (CA)"/>
    <s v="Calista"/>
    <x v="0"/>
  </r>
  <r>
    <s v="Middle Kuskokwim Electric"/>
    <s v="Stony River"/>
    <s v="Stony River"/>
    <n v="0"/>
    <n v="128.072"/>
    <n v="0"/>
    <n v="0"/>
    <n v="128.072"/>
    <n v="15.175000000000001"/>
    <n v="143.24700000000001"/>
    <s v="PCE"/>
    <n v="0"/>
    <x v="0"/>
    <s v="Bethel (CA)"/>
    <s v="Calista"/>
    <x v="0"/>
  </r>
  <r>
    <s v="Naknek Electric Association"/>
    <s v="Naknek"/>
    <s v="Naknek, King Salmon, South Naknek"/>
    <n v="0"/>
    <n v="19900"/>
    <n v="0"/>
    <n v="0"/>
    <n v="19900"/>
    <n v="621.00199999999995"/>
    <n v="20521.002"/>
    <s v="PCE"/>
    <s v="Provides power to South Naknek and King Salmon via intertie. Data includes South Naknek's and King Salmon's information."/>
    <x v="8"/>
    <s v="Bristol Bay"/>
    <s v="Bristol Bay"/>
    <x v="0"/>
  </r>
  <r>
    <s v="Napakiak Ircinraq"/>
    <s v="Napakiak"/>
    <s v="Napakiak"/>
    <n v="0"/>
    <n v="0"/>
    <n v="0"/>
    <n v="0"/>
    <n v="0"/>
    <n v="0"/>
    <n v="0"/>
    <s v="PCE"/>
    <s v="Purchases power from Bethel Utilities Corporation"/>
    <x v="0"/>
    <s v="Bethel (CA)"/>
    <s v="Calista"/>
    <x v="0"/>
  </r>
  <r>
    <s v="Napaskiak Electric Utility"/>
    <s v="Napaskiak"/>
    <s v="Napaskiak"/>
    <n v="0"/>
    <n v="979.45"/>
    <n v="0"/>
    <n v="0"/>
    <n v="979.45"/>
    <n v="36.451000000000001"/>
    <n v="1015.9010000000001"/>
    <s v="PCE"/>
    <n v="0"/>
    <x v="0"/>
    <s v="Bethel (CA)"/>
    <s v="Calista"/>
    <x v="0"/>
  </r>
  <r>
    <s v="Naterkaq Light Plant"/>
    <s v="Chefornak"/>
    <s v="Chefornak"/>
    <n v="0"/>
    <n v="1630.624"/>
    <n v="0"/>
    <n v="0"/>
    <n v="1630.624"/>
    <n v="29.876999999999999"/>
    <n v="1660.501"/>
    <s v="PCE"/>
    <n v="0"/>
    <x v="0"/>
    <s v="Bethel (CA)"/>
    <s v="Calista"/>
    <x v="0"/>
  </r>
  <r>
    <s v="Native Village of Perryville"/>
    <s v="Perryville"/>
    <s v="Perryville"/>
    <n v="0"/>
    <n v="176.43129999999999"/>
    <n v="0"/>
    <n v="15.798999999999999"/>
    <n v="192.2303"/>
    <n v="5.9757273"/>
    <n v="198.20602729999999"/>
    <s v="PCE"/>
    <n v="0"/>
    <x v="8"/>
    <s v="Lake and Peninsula"/>
    <s v="Bristol Bay"/>
    <x v="0"/>
  </r>
  <r>
    <s v="Nelson Lagoon Electrical Coop"/>
    <s v="Nelson Lagoon"/>
    <s v="Nelson Lagoon"/>
    <n v="0"/>
    <n v="392.2319"/>
    <n v="0"/>
    <n v="0"/>
    <n v="392.2319"/>
    <n v="5.58"/>
    <n v="397.81189999999998"/>
    <s v="PCE"/>
    <n v="0"/>
    <x v="1"/>
    <s v="Aleutians East"/>
    <s v="Aleut"/>
    <x v="0"/>
  </r>
  <r>
    <s v="New Koliganek Village Council"/>
    <s v="Koliganek"/>
    <s v="Koliganek"/>
    <n v="0"/>
    <n v="648.44000000000005"/>
    <n v="0"/>
    <n v="0"/>
    <n v="648.44000000000005"/>
    <n v="21.914999999999999"/>
    <n v="670.35500000000002"/>
    <s v="PCE"/>
    <n v="0"/>
    <x v="8"/>
    <s v="Dillingham (CA)"/>
    <s v="Bristol Bay"/>
    <x v="0"/>
  </r>
  <r>
    <s v="Nikolai, City of"/>
    <s v="Nikolai"/>
    <s v="Nikolai"/>
    <n v="0"/>
    <n v="399.21109999999999"/>
    <n v="0"/>
    <n v="0"/>
    <n v="399.21109999999999"/>
    <n v="17.118908999999999"/>
    <n v="416.33000899999996"/>
    <s v="PCE"/>
    <n v="0"/>
    <x v="4"/>
    <s v="Yukon-Koyukuk (CA)"/>
    <s v="Doyon"/>
    <x v="0"/>
  </r>
  <r>
    <s v="Nome Joint Utility Systems"/>
    <s v="Snake River"/>
    <s v="Nome"/>
    <n v="0"/>
    <n v="33500"/>
    <n v="0"/>
    <n v="0"/>
    <n v="33500"/>
    <n v="1544.691"/>
    <n v="35044.690999999999"/>
    <s v="PCE"/>
    <n v="0"/>
    <x v="7"/>
    <s v="Nome (CA)"/>
    <s v="Bering Straits"/>
    <x v="3"/>
  </r>
  <r>
    <s v="North Slope Borough Power &amp; Light"/>
    <s v="Anaktuvuk Pass"/>
    <s v="Anaktuvuk Pass"/>
    <n v="0"/>
    <n v="3599"/>
    <n v="0"/>
    <n v="0"/>
    <n v="3599"/>
    <n v="206"/>
    <n v="3805"/>
    <s v="EIA"/>
    <n v="0"/>
    <x v="10"/>
    <s v="North Slope"/>
    <s v="Arctic Slope"/>
    <x v="3"/>
  </r>
  <r>
    <s v="North Slope Borough Power &amp; Light"/>
    <s v="Atqasuk"/>
    <s v="Atqasuk"/>
    <n v="0"/>
    <n v="3241"/>
    <n v="0"/>
    <n v="0"/>
    <n v="3241"/>
    <n v="101"/>
    <n v="3342"/>
    <s v="EIA"/>
    <n v="0"/>
    <x v="10"/>
    <s v="North Slope"/>
    <s v="Arctic Slope"/>
    <x v="3"/>
  </r>
  <r>
    <s v="North Slope Borough Power &amp; Light"/>
    <s v="Kaktovik"/>
    <s v="Kaktovik"/>
    <n v="0"/>
    <n v="4550"/>
    <n v="0"/>
    <n v="0"/>
    <n v="4550"/>
    <n v="201"/>
    <n v="4751"/>
    <s v="EIA"/>
    <n v="0"/>
    <x v="10"/>
    <s v="North Slope"/>
    <s v="Arctic Slope"/>
    <x v="3"/>
  </r>
  <r>
    <s v="North Slope Borough Power &amp; Light"/>
    <s v="Nuiqsut"/>
    <s v="Nuiqsut"/>
    <n v="0"/>
    <n v="3229"/>
    <n v="0"/>
    <n v="0"/>
    <n v="3229"/>
    <n v="391"/>
    <n v="3620"/>
    <s v="EIA"/>
    <n v="0"/>
    <x v="10"/>
    <s v="North Slope"/>
    <s v="Arctic Slope"/>
    <x v="3"/>
  </r>
  <r>
    <s v="North Slope Borough Power &amp; Light"/>
    <s v="Point Hope"/>
    <s v="Point Hope"/>
    <n v="0"/>
    <n v="6153"/>
    <n v="0"/>
    <n v="0"/>
    <n v="6153"/>
    <n v="378"/>
    <n v="6531"/>
    <s v="EIA"/>
    <n v="0"/>
    <x v="10"/>
    <s v="North Slope"/>
    <s v="Arctic Slope"/>
    <x v="3"/>
  </r>
  <r>
    <s v="North Slope Borough Power &amp; Light"/>
    <s v="Point Lay"/>
    <s v="Point Lay"/>
    <n v="0"/>
    <n v="3085"/>
    <n v="0"/>
    <n v="0"/>
    <n v="3085"/>
    <n v="345"/>
    <n v="3430"/>
    <s v="EIA"/>
    <n v="0"/>
    <x v="10"/>
    <s v="North Slope"/>
    <s v="Arctic Slope"/>
    <x v="3"/>
  </r>
  <r>
    <s v="North Slope Borough Power &amp; Light"/>
    <s v="Wainwright"/>
    <s v="Wainwright"/>
    <n v="0"/>
    <n v="6258"/>
    <n v="0"/>
    <n v="0"/>
    <n v="6258"/>
    <n v="324"/>
    <n v="6582"/>
    <s v="EIA"/>
    <n v="0"/>
    <x v="10"/>
    <s v="North Slope"/>
    <s v="Arctic Slope"/>
    <x v="3"/>
  </r>
  <r>
    <s v="Nunam Iqua Electric Company"/>
    <s v="Sheldon Point"/>
    <s v="Nunam Iqua"/>
    <n v="0"/>
    <n v="829.24900000000002"/>
    <n v="0"/>
    <n v="0"/>
    <n v="829.24900000000002"/>
    <n v="25.224"/>
    <n v="854.47300000000007"/>
    <s v="PCE"/>
    <n v="0"/>
    <x v="0"/>
    <s v="Wade Hampton (CA)"/>
    <s v="Calista"/>
    <x v="2"/>
  </r>
  <r>
    <s v="Nushagak Electric Cooperative"/>
    <s v="Dillingham"/>
    <s v="Dillingham, Aleknagik"/>
    <n v="0"/>
    <n v="18800"/>
    <n v="0"/>
    <n v="0"/>
    <n v="18800"/>
    <n v="90"/>
    <n v="18890"/>
    <s v="PCE"/>
    <s v="Provides power to Aleknagik via intertie. Data includes Aleknagik's information."/>
    <x v="8"/>
    <s v="Dillingham (CA)"/>
    <s v="Bristol Bay"/>
    <x v="0"/>
  </r>
  <r>
    <s v="Ouzinkie, City of"/>
    <s v="Ouzinkie"/>
    <s v="Ouzinkie"/>
    <n v="0"/>
    <n v="328.82"/>
    <n v="0"/>
    <n v="0"/>
    <n v="328.82"/>
    <n v="6.13"/>
    <n v="334.95"/>
    <s v="PCE"/>
    <n v="0"/>
    <x v="9"/>
    <s v="Kodiak Island"/>
    <s v="Koniag"/>
    <x v="4"/>
  </r>
  <r>
    <s v="Pedro Bay Village Council"/>
    <s v="Pedro Bay"/>
    <s v="Pedro Bay"/>
    <n v="0"/>
    <n v="211.78700000000001"/>
    <n v="0"/>
    <n v="0"/>
    <n v="211.78700000000001"/>
    <n v="11.718"/>
    <n v="223.505"/>
    <s v="PCE"/>
    <n v="0"/>
    <x v="8"/>
    <s v="Lake and Peninsula"/>
    <s v="Bristol Bay"/>
    <x v="0"/>
  </r>
  <r>
    <s v="Pelican Utility"/>
    <s v="Pelican"/>
    <s v="Pelican"/>
    <n v="0"/>
    <n v="798.50199999999995"/>
    <n v="0"/>
    <n v="0"/>
    <n v="798.50199999999995"/>
    <n v="40.533000000000001"/>
    <n v="839.03499999999997"/>
    <s v="PCE"/>
    <n v="0"/>
    <x v="2"/>
    <s v="Hoonah-Angoon (CA)"/>
    <s v="Sealaska"/>
    <x v="1"/>
  </r>
  <r>
    <s v="Petersburg, City of"/>
    <s v="Blind Slough"/>
    <s v="Petersburg"/>
    <n v="0"/>
    <n v="618"/>
    <n v="10803"/>
    <n v="0"/>
    <n v="11421"/>
    <n v="83"/>
    <n v="11504"/>
    <s v="EIA"/>
    <n v="0"/>
    <x v="2"/>
    <s v="Petersburg (CA)"/>
    <s v="Sealaska"/>
    <x v="1"/>
  </r>
  <r>
    <s v="Pilot Point Electric Utility"/>
    <s v="Pilot Point"/>
    <s v="Pilot Point"/>
    <n v="0"/>
    <n v="443.084"/>
    <n v="0"/>
    <n v="5.5170000000000003"/>
    <n v="448.601"/>
    <n v="20.5"/>
    <n v="469.101"/>
    <s v="PCE"/>
    <n v="0"/>
    <x v="8"/>
    <s v="Lake and Peninsula"/>
    <s v="Bristol Bay"/>
    <x v="0"/>
  </r>
  <r>
    <s v="Platinum, City of"/>
    <s v="Platinum"/>
    <s v="Platinum"/>
    <n v="0"/>
    <n v="0"/>
    <n v="0"/>
    <n v="0"/>
    <n v="0"/>
    <n v="0"/>
    <n v="0"/>
    <s v="PCE"/>
    <n v="0"/>
    <x v="0"/>
    <s v="Bethel (CA)"/>
    <s v="Calista"/>
    <x v="0"/>
  </r>
  <r>
    <s v="Port Heiden Utilities"/>
    <s v="Port Heiden"/>
    <s v="Port Heiden"/>
    <n v="0"/>
    <n v="490.07"/>
    <n v="0"/>
    <n v="0"/>
    <n v="490.07"/>
    <n v="25.917999999999999"/>
    <n v="515.98799999999994"/>
    <s v="PCE"/>
    <n v="0"/>
    <x v="8"/>
    <s v="Lake and Peninsula"/>
    <s v="Bristol Bay"/>
    <x v="0"/>
  </r>
  <r>
    <s v="Puvurnaq Power Company"/>
    <s v="Kongiganak"/>
    <s v="Kongiganak"/>
    <n v="0"/>
    <n v="671.83900000000006"/>
    <n v="0"/>
    <n v="44"/>
    <n v="715.83900000000006"/>
    <n v="403.06700000000001"/>
    <n v="1118.9059999999999"/>
    <s v="PCE"/>
    <n v="0"/>
    <x v="0"/>
    <s v="Bethel (CA)"/>
    <s v="Calista"/>
    <x v="0"/>
  </r>
  <r>
    <s v="Rampart Village Council"/>
    <s v="Rampart"/>
    <s v="Rampart"/>
    <n v="0"/>
    <n v="0"/>
    <n v="0"/>
    <n v="0"/>
    <n v="0"/>
    <n v="0"/>
    <n v="0"/>
    <s v="PCE"/>
    <n v="0"/>
    <x v="4"/>
    <s v="Yukon-Koyukuk (CA)"/>
    <s v="Doyon"/>
    <x v="2"/>
  </r>
  <r>
    <s v="Ruby, City of"/>
    <s v="Ruby"/>
    <s v="Ruby"/>
    <n v="0"/>
    <n v="732.57640000000004"/>
    <n v="0"/>
    <n v="0"/>
    <n v="732.57640000000004"/>
    <n v="10.570556"/>
    <n v="743.14695600000005"/>
    <s v="PCE"/>
    <n v="0"/>
    <x v="4"/>
    <s v="Yukon-Koyukuk (CA)"/>
    <s v="Doyon"/>
    <x v="2"/>
  </r>
  <r>
    <s v="Saint George, City of"/>
    <s v="Saint George"/>
    <s v="Saint George"/>
    <n v="0"/>
    <n v="420.73200000000003"/>
    <n v="0"/>
    <n v="0"/>
    <n v="420.73200000000003"/>
    <n v="30.073"/>
    <n v="450.80500000000001"/>
    <s v="PCE"/>
    <n v="0"/>
    <x v="1"/>
    <s v="Aleutians West (CA)"/>
    <s v="Aleut"/>
    <x v="0"/>
  </r>
  <r>
    <s v="Saint Paul Municipal Electric"/>
    <s v="Saint Paul"/>
    <s v="Saint Paul"/>
    <n v="0"/>
    <n v="4295.9750000000004"/>
    <n v="0"/>
    <n v="0"/>
    <n v="4295.9750000000004"/>
    <n v="159.185"/>
    <n v="4455.1600000000008"/>
    <s v="PCE"/>
    <n v="0"/>
    <x v="1"/>
    <s v="Aleutians West (CA)"/>
    <s v="Aleut"/>
    <x v="0"/>
  </r>
  <r>
    <s v="Seward, City of"/>
    <s v="Seward"/>
    <s v="Seward"/>
    <n v="0"/>
    <n v="44"/>
    <n v="0"/>
    <n v="0"/>
    <n v="44"/>
    <m/>
    <s v=""/>
    <s v="EIA"/>
    <n v="0"/>
    <x v="3"/>
    <s v="Kenai Peninsula"/>
    <s v="Chugach"/>
    <x v="4"/>
  </r>
  <r>
    <s v="Sitka, City &amp; Borough Of"/>
    <s v="Blue Lake"/>
    <s v="Sitka"/>
    <n v="0"/>
    <n v="0"/>
    <n v="56154"/>
    <n v="0"/>
    <n v="56154"/>
    <n v="325"/>
    <n v="56479"/>
    <s v="EIA"/>
    <n v="0"/>
    <x v="2"/>
    <s v="Sitka"/>
    <s v="Sealaska"/>
    <x v="1"/>
  </r>
  <r>
    <s v="Sitka, City &amp; Borough Of"/>
    <s v="Green Lake"/>
    <s v="Sitka"/>
    <n v="0"/>
    <n v="0"/>
    <n v="58996"/>
    <n v="0"/>
    <n v="58996"/>
    <n v="283"/>
    <n v="59279"/>
    <s v="EIA"/>
    <n v="0"/>
    <x v="2"/>
    <s v="Sitka"/>
    <s v="Sealaska"/>
    <x v="1"/>
  </r>
  <r>
    <s v="Sitka, City &amp; Borough Of"/>
    <s v="Jarvis Street"/>
    <s v="Sitka"/>
    <n v="0"/>
    <n v="1386"/>
    <n v="0"/>
    <n v="0"/>
    <n v="1386"/>
    <n v="1177"/>
    <n v="2563"/>
    <s v="EIA"/>
    <n v="0"/>
    <x v="2"/>
    <s v="Sitka"/>
    <s v="Sealaska"/>
    <x v="1"/>
  </r>
  <r>
    <s v="Takotna Community Assoc Inc"/>
    <s v="Takotna"/>
    <s v="Takotna"/>
    <n v="0"/>
    <n v="194.57050000000001"/>
    <n v="0"/>
    <n v="0"/>
    <n v="194.57050000000001"/>
    <n v="23.914000000000001"/>
    <n v="218.48450000000003"/>
    <s v="PCE"/>
    <n v="0"/>
    <x v="4"/>
    <s v="Yukon-Koyukuk (CA)"/>
    <s v="Doyon"/>
    <x v="0"/>
  </r>
  <r>
    <s v="Tanalian Electric Cooperative"/>
    <s v="Port Alsworth"/>
    <s v="Port Alsworth"/>
    <n v="0"/>
    <n v="648.31299999999999"/>
    <n v="0"/>
    <n v="0"/>
    <n v="648.31299999999999"/>
    <n v="15.766999999999999"/>
    <n v="664.08"/>
    <s v="PCE"/>
    <n v="0"/>
    <x v="8"/>
    <s v="Lake and Peninsula"/>
    <s v="Cook Inlet"/>
    <x v="0"/>
  </r>
  <r>
    <s v="Tanana Power Company Inc"/>
    <s v="Tanana"/>
    <s v="Tanana"/>
    <n v="0"/>
    <n v="1146.596"/>
    <n v="0"/>
    <n v="0"/>
    <n v="1146.596"/>
    <n v="33.168999999999997"/>
    <n v="1179.7650000000001"/>
    <s v="PCE"/>
    <n v="0"/>
    <x v="4"/>
    <s v="Yukon-Koyukuk (CA)"/>
    <s v="Doyon"/>
    <x v="2"/>
  </r>
  <r>
    <s v="Tatitlek Village IRA Council"/>
    <s v="Tatitlek"/>
    <s v="Tatitlek"/>
    <n v="0"/>
    <n v="472.20400000000001"/>
    <n v="0"/>
    <n v="0"/>
    <n v="472.20400000000001"/>
    <n v="44.095999999999997"/>
    <n v="516.29999999999995"/>
    <s v="PCE"/>
    <n v="0"/>
    <x v="5"/>
    <s v="Valdez-Cordova (CA)"/>
    <s v="Chugach"/>
    <x v="4"/>
  </r>
  <r>
    <s v="TDX Adak Generating LLC"/>
    <s v="Adak"/>
    <s v="Adak"/>
    <n v="0"/>
    <n v="1908.4159999999999"/>
    <n v="0"/>
    <n v="0"/>
    <n v="1908.4159999999999"/>
    <m/>
    <s v=""/>
    <s v="PCE"/>
    <n v="0"/>
    <x v="1"/>
    <s v="Aleutians West (CA)"/>
    <s v="Aleut"/>
    <x v="0"/>
  </r>
  <r>
    <s v="TDX Corporation"/>
    <s v="Sand Point"/>
    <s v="Sand Point"/>
    <n v="0"/>
    <n v="4313.7950000000001"/>
    <n v="0"/>
    <n v="0"/>
    <n v="4313.7950000000001"/>
    <n v="143.44"/>
    <n v="4457.2349999999997"/>
    <s v="PCE"/>
    <n v="0"/>
    <x v="1"/>
    <s v="Aleutians East"/>
    <s v="Aleut"/>
    <x v="0"/>
  </r>
  <r>
    <s v="TDX Manley Generating LLC"/>
    <s v="Manley Hot Springs"/>
    <s v="Manley Hot Springs"/>
    <n v="0"/>
    <n v="434.1617"/>
    <n v="0"/>
    <n v="0"/>
    <n v="434.1617"/>
    <n v="10.619"/>
    <n v="444.78070000000002"/>
    <s v="PCE"/>
    <n v="0"/>
    <x v="4"/>
    <s v="Yukon-Koyukuk (CA)"/>
    <s v="Doyon"/>
    <x v="2"/>
  </r>
  <r>
    <s v="Tenakee Springs, City of"/>
    <s v="Tenakee Springs"/>
    <s v="Tenakee Springs"/>
    <n v="0"/>
    <n v="416.31299999999999"/>
    <n v="0"/>
    <n v="0"/>
    <n v="416.31299999999999"/>
    <n v="3.3439999999999999"/>
    <n v="419.65699999999998"/>
    <s v="PCE"/>
    <n v="0"/>
    <x v="2"/>
    <s v="Hoonah-Angoon (CA)"/>
    <s v="Sealaska"/>
    <x v="1"/>
  </r>
  <r>
    <s v="Tuluksak Traditional"/>
    <s v="Tuluksak"/>
    <s v="Tuluksak"/>
    <n v="0"/>
    <n v="606.72309999999993"/>
    <n v="0"/>
    <n v="0"/>
    <n v="606.72309999999993"/>
    <n v="44.322000000000003"/>
    <n v="651.04509999999993"/>
    <s v="PCE"/>
    <n v="0"/>
    <x v="0"/>
    <s v="Bethel (CA)"/>
    <s v="Calista"/>
    <x v="0"/>
  </r>
  <r>
    <s v="Tuntutuliak Community"/>
    <s v="Tuntutuliak"/>
    <s v="Tuntutuliak"/>
    <n v="0"/>
    <n v="970.95100000000002"/>
    <n v="0"/>
    <n v="0"/>
    <n v="970.95100000000002"/>
    <n v="33.058"/>
    <n v="1004.009"/>
    <s v="PCE"/>
    <n v="0"/>
    <x v="0"/>
    <s v="Bethel (CA)"/>
    <s v="Calista"/>
    <x v="0"/>
  </r>
  <r>
    <s v="Twin Hills Village Council"/>
    <s v="Twin Hills"/>
    <s v="Twin Hills"/>
    <n v="0"/>
    <n v="282.24180000000001"/>
    <n v="0"/>
    <n v="0"/>
    <n v="282.24180000000001"/>
    <n v="30.246200000000002"/>
    <n v="312.488"/>
    <s v="PCE"/>
    <n v="0"/>
    <x v="8"/>
    <s v="Dillingham (CA)"/>
    <s v="Bristol Bay"/>
    <x v="0"/>
  </r>
  <r>
    <s v="Umnak Power Company"/>
    <s v="Nikolski"/>
    <s v="Nikolski"/>
    <n v="0"/>
    <n v="211.643"/>
    <n v="0"/>
    <n v="0.66"/>
    <n v="212.303"/>
    <n v="24.998999999999999"/>
    <n v="237.30199999999999"/>
    <s v="PCE"/>
    <n v="0"/>
    <x v="1"/>
    <s v="Aleutians West (CA)"/>
    <s v="Aleut"/>
    <x v="0"/>
  </r>
  <r>
    <s v="Unalakleet Valley Electric Cooperative"/>
    <s v="Unalakleet"/>
    <s v="Unalakleet"/>
    <n v="0"/>
    <n v="3497.944"/>
    <n v="0"/>
    <n v="921.36699999999996"/>
    <n v="4419.3109999999997"/>
    <n v="79.817999999999998"/>
    <n v="4499.1289999999999"/>
    <s v="PCE"/>
    <n v="0"/>
    <x v="7"/>
    <s v="Nome (CA)"/>
    <s v="Bering Straits"/>
    <x v="3"/>
  </r>
  <r>
    <s v="Unalaska, City of"/>
    <m/>
    <s v="Unalaska"/>
    <n v="0"/>
    <n v="43500"/>
    <n v="0"/>
    <n v="0"/>
    <n v="43500"/>
    <n v="1234.8869999999999"/>
    <n v="44734.887000000002"/>
    <s v="PCE"/>
    <s v="Includes Unalaska Power Module and Dutch Harbor plants"/>
    <x v="1"/>
    <s v="Aleutians West (CA)"/>
    <s v="Aleut"/>
    <x v="0"/>
  </r>
  <r>
    <s v="Ungusraq Power Company"/>
    <s v="Newtok"/>
    <s v="Newtok"/>
    <n v="0"/>
    <n v="426.98399999999998"/>
    <n v="0"/>
    <n v="0"/>
    <n v="426.98399999999998"/>
    <n v="3.976"/>
    <n v="430.96"/>
    <s v="PCE"/>
    <n v="0"/>
    <x v="0"/>
    <s v="Bethel (CA)"/>
    <s v="Calista"/>
    <x v="0"/>
  </r>
  <r>
    <s v="Venetie Village Electric"/>
    <s v="Venetie"/>
    <s v="Venetie"/>
    <n v="0"/>
    <n v="0"/>
    <n v="0"/>
    <n v="0"/>
    <n v="0"/>
    <n v="0"/>
    <n v="0"/>
    <s v="PCE"/>
    <n v="0"/>
    <x v="4"/>
    <s v="Yukon-Koyukuk (CA)"/>
    <s v="Doyon"/>
    <x v="2"/>
  </r>
  <r>
    <s v="White Mountain, City of"/>
    <s v="White Mountain"/>
    <s v="White Mountain"/>
    <n v="0"/>
    <n v="369.21600000000001"/>
    <n v="0"/>
    <n v="0"/>
    <n v="369.21600000000001"/>
    <n v="12.484"/>
    <n v="381.7"/>
    <s v="PCE"/>
    <n v="0"/>
    <x v="7"/>
    <s v="Nome (CA)"/>
    <s v="Bering Straits"/>
    <x v="3"/>
  </r>
  <r>
    <s v="Wrangell, City of"/>
    <s v="Wrangell"/>
    <s v="Wrangell"/>
    <n v="0"/>
    <n v="1374"/>
    <n v="0"/>
    <n v="0"/>
    <n v="1374"/>
    <n v="645"/>
    <n v="2019"/>
    <s v="EIA"/>
    <n v="0"/>
    <x v="2"/>
    <s v="Wrangell"/>
    <s v="Sealaska"/>
    <x v="1"/>
  </r>
  <r>
    <s v="Yakutat Power Inc"/>
    <s v="Yakutat"/>
    <s v="Yakutat"/>
    <n v="0"/>
    <n v="6511.7089999999998"/>
    <n v="0"/>
    <n v="0"/>
    <n v="6511.7089999999998"/>
    <n v="170.673"/>
    <n v="6682.3819999999996"/>
    <s v="PCE"/>
    <n v="0"/>
    <x v="2"/>
    <s v="Yakutat"/>
    <s v="Sealaska"/>
    <x v="1"/>
  </r>
</pivotCacheRecords>
</file>

<file path=xl/pivotCache/pivotCacheRecords4.xml><?xml version="1.0" encoding="utf-8"?>
<pivotCacheRecords xmlns="http://schemas.openxmlformats.org/spreadsheetml/2006/main" xmlns:r="http://schemas.openxmlformats.org/officeDocument/2006/relationships" count="242">
  <r>
    <s v="Akhiok, City of"/>
    <s v="Akhiok"/>
    <s v="Akhiok"/>
    <n v="360"/>
    <n v="0"/>
    <n v="360"/>
    <n v="0"/>
    <n v="0"/>
    <s v="AEA Village Assessment"/>
    <s v="PCE Eligible Inactive"/>
    <n v="0"/>
    <s v="AKHIK"/>
    <x v="0"/>
    <s v="Kodiak Island"/>
    <s v="Koniag"/>
    <x v="0"/>
  </r>
  <r>
    <s v="Akiachak Native Community"/>
    <s v="Akiachak"/>
    <s v="Akiachak"/>
    <n v="1500"/>
    <n v="0"/>
    <n v="1500"/>
    <n v="0"/>
    <n v="0"/>
    <s v="AEA Village Assessment"/>
    <s v="PCE Eligible Active"/>
    <n v="0"/>
    <s v="AKIANCE"/>
    <x v="1"/>
    <s v="Bethel (CA)"/>
    <s v="Calista"/>
    <x v="1"/>
  </r>
  <r>
    <s v="Akiak City Council"/>
    <s v="Akiak"/>
    <s v="Akiak"/>
    <n v="920"/>
    <n v="0"/>
    <n v="920"/>
    <n v="0"/>
    <n v="0"/>
    <s v="AEA Village Assessment"/>
    <s v="PCE Eligible Active"/>
    <n v="0"/>
    <s v="AKIA"/>
    <x v="1"/>
    <s v="Bethel (CA)"/>
    <s v="Calista"/>
    <x v="1"/>
  </r>
  <r>
    <s v="Akutan, City of"/>
    <s v="Akutan"/>
    <s v="Akutan"/>
    <n v="407"/>
    <n v="0"/>
    <n v="407"/>
    <n v="0"/>
    <n v="0"/>
    <s v="AEA Village Assessment"/>
    <s v="PCE Eligible Active"/>
    <n v="0"/>
    <s v="AKUT"/>
    <x v="2"/>
    <s v="Aleutians East"/>
    <s v="Aleut"/>
    <x v="1"/>
  </r>
  <r>
    <s v="Alaska Electric Light &amp; Power Company"/>
    <s v="Annex Creek"/>
    <s v="Juneau"/>
    <n v="4000"/>
    <n v="0"/>
    <n v="0"/>
    <n v="4000"/>
    <n v="0"/>
    <s v="EIA-F860"/>
    <s v="PCE Ineligible"/>
    <n v="0"/>
    <s v="AEL&amp;P"/>
    <x v="3"/>
    <s v="Juneau"/>
    <s v="Sealaska"/>
    <x v="2"/>
  </r>
  <r>
    <s v="Alaska Electric Light &amp; Power Company"/>
    <s v="Auke Bay"/>
    <s v="Juneau"/>
    <n v="36200"/>
    <n v="33700"/>
    <n v="2500"/>
    <n v="0"/>
    <n v="0"/>
    <s v="EIA-F860"/>
    <s v="PCE Ineligible"/>
    <n v="0"/>
    <s v="AEL&amp;P"/>
    <x v="3"/>
    <s v="Juneau"/>
    <s v="Sealaska"/>
    <x v="2"/>
  </r>
  <r>
    <s v="Alaska Electric Light &amp; Power Company"/>
    <s v="Gold Creek"/>
    <s v="Juneau"/>
    <n v="9700"/>
    <n v="0"/>
    <n v="8100"/>
    <n v="1600"/>
    <n v="0"/>
    <s v="EIA-F860"/>
    <s v="PCE Ineligible"/>
    <n v="0"/>
    <s v="AEL&amp;P"/>
    <x v="3"/>
    <s v="Juneau"/>
    <s v="Sealaska"/>
    <x v="2"/>
  </r>
  <r>
    <s v="Alaska Electric Light &amp; Power Company"/>
    <s v="Lake Dorothy"/>
    <s v="Juneau"/>
    <n v="14300"/>
    <n v="0"/>
    <n v="0"/>
    <n v="14300"/>
    <n v="0"/>
    <s v="EIA-F860"/>
    <s v="PCE Ineligible"/>
    <n v="0"/>
    <s v="AEL&amp;P"/>
    <x v="3"/>
    <s v="Juneau"/>
    <s v="Sealaska"/>
    <x v="2"/>
  </r>
  <r>
    <s v="Alaska Electric Light &amp; Power Company"/>
    <s v="Lemon Creek"/>
    <s v="Juneau"/>
    <n v="61700"/>
    <n v="37200"/>
    <n v="24500"/>
    <n v="0"/>
    <n v="0"/>
    <s v="EIA-F860"/>
    <s v="PCE Ineligible"/>
    <n v="0"/>
    <s v="AEL&amp;P"/>
    <x v="3"/>
    <s v="Juneau"/>
    <s v="Sealaska"/>
    <x v="2"/>
  </r>
  <r>
    <s v="Alaska Electric Light &amp; Power Company"/>
    <s v="Salmon Creek 1"/>
    <s v="Juneau"/>
    <n v="8500"/>
    <n v="0"/>
    <n v="0"/>
    <n v="8500"/>
    <n v="0"/>
    <s v="EIA-F860"/>
    <s v="PCE Ineligible"/>
    <n v="0"/>
    <s v="AEL&amp;P"/>
    <x v="3"/>
    <s v="Juneau"/>
    <s v="Sealaska"/>
    <x v="2"/>
  </r>
  <r>
    <s v="Alaska Electric Light &amp; Power Company"/>
    <s v="Snettisham"/>
    <s v="Juneau"/>
    <n v="78200"/>
    <n v="0"/>
    <n v="0"/>
    <n v="78200"/>
    <n v="0"/>
    <s v="EIA-F860"/>
    <s v="PCE Ineligible"/>
    <n v="0"/>
    <s v="AEL&amp;P"/>
    <x v="3"/>
    <s v="Juneau"/>
    <s v="Sealaska"/>
    <x v="2"/>
  </r>
  <r>
    <s v="Alaska Environmental LLC"/>
    <s v="Alaska Environmental"/>
    <m/>
    <n v="1000"/>
    <n v="0"/>
    <n v="0"/>
    <n v="0"/>
    <n v="1012"/>
    <s v="AEA Wind Program Manager"/>
    <s v="PCE Ineligible"/>
    <s v="Plant is also know as Delta Wind. Alaska Environmental LLC is an independent power producer that sells all its power to GVEA."/>
    <s v="AKENV"/>
    <x v="4"/>
    <s v="Southeast Fairbanks (CA)"/>
    <s v="Doyon"/>
    <x v="3"/>
  </r>
  <r>
    <s v="Alaska Power &amp; Telephone Company"/>
    <s v="Allakaket"/>
    <s v="Allakaket, Alatna"/>
    <n v="525"/>
    <n v="0"/>
    <n v="525"/>
    <n v="0"/>
    <n v="0"/>
    <s v="AEA Village Assessment"/>
    <s v="PCE Eligible Active"/>
    <s v="Provides power to Alatna via intertie. Data includes Alatna's information."/>
    <s v="ALASPCA"/>
    <x v="5"/>
    <s v="Yukon-Koyukuk (CA)"/>
    <s v="Doyon"/>
    <x v="3"/>
  </r>
  <r>
    <s v="Alaska Power &amp; Telephone Company"/>
    <s v="Bettles"/>
    <s v="Bettles, Evansville"/>
    <n v="600"/>
    <n v="0"/>
    <n v="600"/>
    <n v="0"/>
    <n v="0"/>
    <s v="AEA Village Assessment"/>
    <s v="PCE Eligible Active"/>
    <s v="Provides power to Evansville via intertie. Data includes Evansville's information."/>
    <s v="ALASPCA"/>
    <x v="5"/>
    <s v="Yukon-Koyukuk (CA)"/>
    <s v="Doyon"/>
    <x v="3"/>
  </r>
  <r>
    <s v="Alaska Power &amp; Telephone Company"/>
    <s v="Chistochina"/>
    <s v="Chistochina"/>
    <n v="200"/>
    <n v="0"/>
    <n v="200"/>
    <n v="0"/>
    <n v="0"/>
    <s v="AEA Village Assessment"/>
    <s v="PCE Eligible Active"/>
    <s v="Receives power from Slana via intertie."/>
    <s v="ALASPCA"/>
    <x v="6"/>
    <s v="Valdez-Cordova (CA)"/>
    <s v="Ahtna"/>
    <x v="3"/>
  </r>
  <r>
    <s v="Alaska Power &amp; Telephone Company"/>
    <s v="Coffman Cove"/>
    <s v="Coffman Cove"/>
    <n v="660"/>
    <n v="0"/>
    <n v="660"/>
    <n v="0"/>
    <n v="0"/>
    <s v="AEA Village Assessment"/>
    <s v="PCE Eligible Active"/>
    <s v="Part of the Alaska Power Company's grid on Prince of Wales Island."/>
    <s v="ALASPCA"/>
    <x v="3"/>
    <s v="Prince of Wales-Hyder (CA)"/>
    <s v="Sealaska"/>
    <x v="2"/>
  </r>
  <r>
    <s v="Alaska Power &amp; Telephone Company"/>
    <s v="Viking"/>
    <s v="Craig"/>
    <n v="1000"/>
    <n v="0"/>
    <n v="1000"/>
    <n v="0"/>
    <n v="0"/>
    <s v="EIA-F860"/>
    <s v="PCE Eligible Active"/>
    <s v="Provides power to Hollis, Klawock, Thorne Bay/Kasaan and Hydaburg via intertie."/>
    <s v="ALASPCA"/>
    <x v="3"/>
    <s v="Prince of Wales-Hyder (CA)"/>
    <s v="Sealaska"/>
    <x v="2"/>
  </r>
  <r>
    <s v="Alaska Power &amp; Telephone Company"/>
    <s v="Craig"/>
    <s v="Craig, Klawock"/>
    <n v="4400"/>
    <n v="0"/>
    <n v="4400"/>
    <n v="0"/>
    <n v="0"/>
    <s v="EIA-F860"/>
    <s v="PCE Eligible Active"/>
    <s v="Part of the Alaska Power Company's grid on Prince of Wales Island. Provides to Hollis, Hydaburg, Klawock, Thorne Bay and Kaasan."/>
    <s v="ALASPCA"/>
    <x v="3"/>
    <s v="Prince of Wales-Hyder (CA)"/>
    <s v="Sealaska"/>
    <x v="2"/>
  </r>
  <r>
    <s v="Alaska Power &amp; Telephone Company"/>
    <s v="Black Bear Lake"/>
    <s v="Craig, Klawock, Hollis, Hydaburg, Thorne Bay, Kasaan, Coffman Cove"/>
    <n v="4500"/>
    <n v="0"/>
    <n v="0"/>
    <n v="4500"/>
    <n v="0"/>
    <s v="EIA-F860"/>
    <s v="PCE Eligible Active"/>
    <s v="Provides power to Hollis, Klawock, Thorne Bay/Kasaan and Hydaburg via intertie."/>
    <s v="ALASPCA"/>
    <x v="3"/>
    <s v="Prince of Wales-Hyder (CA)"/>
    <s v="Sealaska"/>
    <x v="2"/>
  </r>
  <r>
    <s v="Alaska Power &amp; Telephone Company"/>
    <s v="South Fork"/>
    <s v="Craig, Klawock, Hollis, Hydaburg, Thorne Bay, Kasaan, Coffman Cove"/>
    <n v="2000"/>
    <n v="0"/>
    <n v="0"/>
    <n v="2000"/>
    <n v="0"/>
    <s v="EIA-F860"/>
    <s v="PCE Eligible Active"/>
    <s v="Receives power from Craig via intertie."/>
    <s v="ALASPCA"/>
    <x v="3"/>
    <s v="Prince of Wales-Hyder (CA)"/>
    <s v="Sealaska"/>
    <x v="2"/>
  </r>
  <r>
    <s v="Alaska Power &amp; Telephone Company"/>
    <s v="Eagle"/>
    <s v="Eagle, Eagle Village"/>
    <n v="450"/>
    <n v="0"/>
    <n v="450"/>
    <n v="0"/>
    <n v="0"/>
    <s v="AEA Village Assessment"/>
    <s v="PCE Eligible Active"/>
    <s v="Provides power to Eagle Village via intertie. Data includes Eagle Village's information."/>
    <s v="ALASPCA"/>
    <x v="5"/>
    <s v="Southeast Fairbanks (CA)"/>
    <s v="Doyon"/>
    <x v="3"/>
  </r>
  <r>
    <s v="Alaska Power &amp; Telephone Company"/>
    <s v="Goat Lake"/>
    <s v="Haines, Covenant Life, Skagway"/>
    <n v="4000"/>
    <n v="0"/>
    <n v="0"/>
    <n v="4000"/>
    <n v="0"/>
    <s v="EIA-F860"/>
    <s v="PCE Eligible Active"/>
    <s v="Part of the Alaska Power Company's grid in the Upper Lynn Canal service area."/>
    <s v="ALASPCA"/>
    <x v="3"/>
    <s v="Skagway"/>
    <s v="Sealaska"/>
    <x v="2"/>
  </r>
  <r>
    <s v="Alaska Power &amp; Telephone Company"/>
    <s v="Haines"/>
    <s v="Haines, Skagway"/>
    <n v="6485"/>
    <n v="0"/>
    <n v="6200"/>
    <n v="285"/>
    <n v="0"/>
    <s v="AEA Hydro Program Manager"/>
    <s v="PCE Eligible Active"/>
    <s v="Plant is also referred to as Lutak. Part of the Alaska Power Company's grid in the Upper Lynn Canal service area."/>
    <s v="ALASPCA"/>
    <x v="3"/>
    <s v="Haines"/>
    <s v="Sealaska"/>
    <x v="2"/>
  </r>
  <r>
    <s v="Alaska Power &amp; Telephone Company"/>
    <s v="Skagway"/>
    <s v="Haines, Skagway"/>
    <n v="4400"/>
    <n v="0"/>
    <n v="3400"/>
    <n v="1000"/>
    <n v="0"/>
    <s v="EIA-F860"/>
    <s v="PCE Eligible Active"/>
    <s v="Plant is also referred to as Dewey Lake. Part of the Alaska Power Company's grid in the Upper Lynn Canal service area."/>
    <s v="ALASPCA"/>
    <x v="3"/>
    <s v="Skagway"/>
    <s v="Sealaska"/>
    <x v="2"/>
  </r>
  <r>
    <s v="Alaska Power &amp; Telephone Company"/>
    <s v="Healy Lake"/>
    <s v="Healy Lake"/>
    <n v="83"/>
    <n v="0"/>
    <n v="83"/>
    <n v="0"/>
    <n v="0"/>
    <s v="AEA Village Assessment"/>
    <s v="PCE Eligible Active"/>
    <n v="0"/>
    <s v="ALASPCA"/>
    <x v="5"/>
    <s v="Southeast Fairbanks (CA)"/>
    <s v="Doyon"/>
    <x v="3"/>
  </r>
  <r>
    <s v="Alaska Power &amp; Telephone Company"/>
    <s v="Hollis"/>
    <s v="Hollis"/>
    <n v="450"/>
    <n v="0"/>
    <n v="450"/>
    <n v="0"/>
    <n v="0"/>
    <s v="AEA Village Assessment"/>
    <s v="PCE Eligible Active"/>
    <s v="Part of the Alaska Power Company's grid on Prince of Wales Island. Receives power from Craig. Refer to Craig for fuel use and cost."/>
    <s v="ALASPCA"/>
    <x v="3"/>
    <s v="Prince of Wales-Hyder (CA)"/>
    <s v="Sealaska"/>
    <x v="2"/>
  </r>
  <r>
    <s v="Alaska Power &amp; Telephone Company"/>
    <s v="Hydaburg"/>
    <s v="Hydaburg"/>
    <n v="1000"/>
    <n v="0"/>
    <n v="1000"/>
    <n v="0"/>
    <n v="0"/>
    <s v="EIA-F860"/>
    <s v="PCE Eligible Active"/>
    <s v="Part of the Alaska Power Company's grid on Prince of Wales Island. Receives power from Craig. Refer to Craig for fuel use and cost."/>
    <s v="ALASPCA"/>
    <x v="3"/>
    <s v="Prince of Wales-Hyder (CA)"/>
    <s v="Sealaska"/>
    <x v="2"/>
  </r>
  <r>
    <s v="Alaska Power &amp; Telephone Company"/>
    <s v="Naukati Bay"/>
    <s v="Naukati Bay"/>
    <n v="488"/>
    <n v="0"/>
    <n v="488"/>
    <n v="0"/>
    <n v="0"/>
    <s v="AEA Village Assessment"/>
    <s v="PCE Eligible Active"/>
    <n v="0"/>
    <s v="ALASPCA"/>
    <x v="3"/>
    <s v="Prince of Wales-Hyder (CA)"/>
    <s v="Sealaska"/>
    <x v="2"/>
  </r>
  <r>
    <s v="Alaska Power &amp; Telephone Company"/>
    <s v="Northway"/>
    <s v="Northway, Northway Village"/>
    <n v="1100"/>
    <n v="0"/>
    <n v="1100"/>
    <n v="0"/>
    <n v="0"/>
    <s v="EIA-F860"/>
    <s v="PCE Eligible Active"/>
    <s v="Provides power to Northway Village via intertie. Data includes Northway Village's information."/>
    <s v="ALASPCA"/>
    <x v="5"/>
    <s v="Southeast Fairbanks (CA)"/>
    <s v="Doyon"/>
    <x v="3"/>
  </r>
  <r>
    <s v="Alaska Power &amp; Telephone Company"/>
    <s v="Kasidaya Creek"/>
    <s v="Skagway"/>
    <n v="3000"/>
    <n v="0"/>
    <n v="0"/>
    <n v="3000"/>
    <n v="0"/>
    <s v="EIA-F860"/>
    <s v="PCE Eligible Active"/>
    <s v="Part of the Alaska Power Company's grid in the Upper Lynn Canal service area."/>
    <s v="ALASPCA"/>
    <x v="3"/>
    <s v="Skagway"/>
    <s v="Sealaska"/>
    <x v="2"/>
  </r>
  <r>
    <s v="Alaska Power &amp; Telephone Company"/>
    <s v="Slana"/>
    <s v="Slana, Chistochina"/>
    <n v="730"/>
    <n v="0"/>
    <n v="730"/>
    <n v="0"/>
    <n v="0"/>
    <s v="AEA Village Assessment"/>
    <s v="PCE Eligible Active"/>
    <s v="Provides power to Chistochina via intertie. Includes Chistochina's fuel use and fuel cost."/>
    <s v="ALASPCA"/>
    <x v="6"/>
    <s v="Valdez-Cordova (CA)"/>
    <s v="Ahtna"/>
    <x v="3"/>
  </r>
  <r>
    <s v="Alaska Power &amp; Telephone Company"/>
    <s v="False Island"/>
    <s v="Thorne Bay, Kasaan"/>
    <n v="1300"/>
    <n v="0"/>
    <n v="1300"/>
    <n v="0"/>
    <n v="0"/>
    <s v="EIA-F860"/>
    <s v="PCE Eligible Active"/>
    <s v="Part of the Alaska Power Company's grid on Prince of Wales Island. Receives power from Craig. Refer to Craig for fuel use and cost. Includes data for Kaasan."/>
    <s v="ALASPCA"/>
    <x v="3"/>
    <s v="Prince of Wales-Hyder (CA)"/>
    <s v="Sealaska"/>
    <x v="2"/>
  </r>
  <r>
    <s v="Alaska Power &amp; Telephone Company"/>
    <s v="False Island"/>
    <s v="Thorne Bay, Kasaan"/>
    <n v="1000"/>
    <n v="0"/>
    <n v="1000"/>
    <n v="0"/>
    <n v="0"/>
    <s v="EIA-F860"/>
    <s v="PCE Eligible Active"/>
    <s v="Part of the Alaska Power Company's grid on Prince of Wales Island. Receives power from Craig. Refer to Craig for fuel use and cost. Includes data for Kaasan."/>
    <s v="ALASPCA"/>
    <x v="3"/>
    <s v="Prince of Wales-Hyder (CA)"/>
    <s v="Sealaska"/>
    <x v="2"/>
  </r>
  <r>
    <s v="Alaska Power &amp; Telephone Company"/>
    <s v="Thorne Bay Plant"/>
    <s v="Thorne Bay, Kasaan"/>
    <n v="345"/>
    <n v="0"/>
    <n v="345"/>
    <n v="0"/>
    <n v="0"/>
    <s v="AEA Village Assessment"/>
    <s v="PCE Eligible Active"/>
    <s v="Part of the Alaska Power Company's grid on Prince of Wales Island. Receives power from Craig. Refer to Craig for fuel use and cost. Includes data for Kaasan."/>
    <s v="ALASPCA"/>
    <x v="3"/>
    <s v="Prince of Wales-Hyder (CA)"/>
    <s v="Sealaska"/>
    <x v="2"/>
  </r>
  <r>
    <s v="Alaska Power &amp; Telephone Company"/>
    <s v="Tok"/>
    <s v="Tok, Tanacross"/>
    <n v="7600"/>
    <n v="0"/>
    <n v="7600"/>
    <n v="0"/>
    <n v="0"/>
    <s v="EIA-F860"/>
    <s v="PCE Eligible Active"/>
    <s v="Provides power to Tanacross, Tetlin and Dot Lake via intertie. Includes Tanacross' information. Fuel use and cost also includes Tetlin's and Dot Lake's information."/>
    <s v="ALASPCA"/>
    <x v="5"/>
    <s v="Southeast Fairbanks (CA)"/>
    <s v="Doyon"/>
    <x v="3"/>
  </r>
  <r>
    <s v="Alaska Power &amp; Telephone Company"/>
    <s v="Whale Pass"/>
    <s v="Whale Pass"/>
    <n v="250"/>
    <n v="0"/>
    <n v="250"/>
    <n v="0"/>
    <n v="0"/>
    <s v="AEA Village Assessment"/>
    <s v="PCE Eligible Active"/>
    <n v="0"/>
    <s v="ALASPCA"/>
    <x v="3"/>
    <s v="Prince of Wales-Hyder (CA)"/>
    <s v="Sealaska"/>
    <x v="2"/>
  </r>
  <r>
    <s v="Alaska Village Electric Cooperative"/>
    <s v="Alakanuk"/>
    <s v="Alakanuk"/>
    <n v="1300"/>
    <n v="0"/>
    <n v="1300"/>
    <n v="0"/>
    <n v="0"/>
    <s v="EIA-F860"/>
    <s v="PCE Eligible Active"/>
    <n v="0"/>
    <s v="ALASVEC"/>
    <x v="1"/>
    <s v="Wade Hampton (CA)"/>
    <s v="Calista"/>
    <x v="3"/>
  </r>
  <r>
    <s v="Alaska Village Electric Cooperative"/>
    <s v="Ambler"/>
    <s v="Ambler"/>
    <n v="1115"/>
    <n v="0"/>
    <n v="1115"/>
    <n v="0"/>
    <n v="0"/>
    <s v="AEA Village Assessment"/>
    <s v="PCE Eligible Active"/>
    <n v="0"/>
    <s v="ALASVEC"/>
    <x v="7"/>
    <s v="Northwest Arctic"/>
    <s v="NANA"/>
    <x v="4"/>
  </r>
  <r>
    <s v="Alaska Village Electric Cooperative"/>
    <s v="Anvik"/>
    <s v="Anvik"/>
    <n v="375"/>
    <n v="0"/>
    <n v="375"/>
    <n v="0"/>
    <n v="0"/>
    <s v="AEA Village Assessment"/>
    <s v="PCE Eligible Active"/>
    <n v="0"/>
    <s v="ALASVEC"/>
    <x v="5"/>
    <s v="Yukon-Koyukuk (CA)"/>
    <s v="Doyon"/>
    <x v="3"/>
  </r>
  <r>
    <s v="Alaska Village Electric Cooperative"/>
    <s v="Brevig Mission"/>
    <s v="Brevig Mission"/>
    <n v="1025"/>
    <n v="0"/>
    <n v="1025"/>
    <n v="0"/>
    <n v="0"/>
    <s v="AEA Village Assessment"/>
    <s v="PCE Eligible Active"/>
    <n v="0"/>
    <s v="ALASVEC"/>
    <x v="8"/>
    <s v="Nome (CA)"/>
    <s v="Bering Straits"/>
    <x v="4"/>
  </r>
  <r>
    <s v="Alaska Village Electric Cooperative"/>
    <s v="Chevak"/>
    <s v="Chevak"/>
    <n v="400"/>
    <n v="0"/>
    <n v="0"/>
    <n v="0"/>
    <n v="400"/>
    <s v="AEA Wind Program Manager"/>
    <s v="PCE Eligible Active"/>
    <n v="0"/>
    <s v="ALASVEC"/>
    <x v="1"/>
    <s v="Wade Hampton (CA)"/>
    <s v="Calista"/>
    <x v="3"/>
  </r>
  <r>
    <s v="Alaska Village Electric Cooperative"/>
    <s v="Chevak"/>
    <s v="Chevak"/>
    <n v="1615"/>
    <n v="0"/>
    <n v="1615"/>
    <n v="0"/>
    <n v="0"/>
    <s v="AEA Village Assessment"/>
    <s v="PCE Eligible Active"/>
    <n v="0"/>
    <s v="ALASVEC"/>
    <x v="1"/>
    <s v="Wade Hampton (CA)"/>
    <s v="Calista"/>
    <x v="3"/>
  </r>
  <r>
    <s v="Alaska Village Electric Cooperative"/>
    <s v="Eek"/>
    <s v="Eek"/>
    <n v="595"/>
    <n v="0"/>
    <n v="595"/>
    <n v="0"/>
    <n v="0"/>
    <s v="AEA Village Assessment"/>
    <s v="PCE Eligible Active"/>
    <n v="0"/>
    <s v="ALASVEC"/>
    <x v="1"/>
    <s v="Bethel (CA)"/>
    <s v="Calista"/>
    <x v="1"/>
  </r>
  <r>
    <s v="Alaska Village Electric Cooperative"/>
    <s v="Ekwok"/>
    <s v="Ekwok"/>
    <n v="370"/>
    <n v="0"/>
    <n v="370"/>
    <n v="0"/>
    <n v="0"/>
    <s v="AEA Village Assessment"/>
    <s v="PCE Eligible Active"/>
    <n v="0"/>
    <s v="EKWO"/>
    <x v="9"/>
    <s v="Dillingham (CA)"/>
    <s v="Bristol Bay"/>
    <x v="1"/>
  </r>
  <r>
    <s v="Alaska Village Electric Cooperative"/>
    <s v="Elim"/>
    <s v="Elim"/>
    <n v="1600"/>
    <n v="0"/>
    <n v="1600"/>
    <n v="0"/>
    <n v="0"/>
    <s v="EIA-F860"/>
    <s v="PCE Eligible Active"/>
    <n v="0"/>
    <s v="ALASVEC"/>
    <x v="8"/>
    <s v="Nome (CA)"/>
    <s v="Bering Straits"/>
    <x v="4"/>
  </r>
  <r>
    <s v="Alaska Village Electric Cooperative"/>
    <s v="Emmonak"/>
    <s v="Emmonak"/>
    <n v="2300"/>
    <n v="0"/>
    <n v="1900"/>
    <n v="0"/>
    <n v="400"/>
    <s v="EIA-F860"/>
    <s v="PCE Eligible Active"/>
    <n v="0"/>
    <s v="ALASVEC"/>
    <x v="1"/>
    <s v="Wade Hampton (CA)"/>
    <s v="Calista"/>
    <x v="3"/>
  </r>
  <r>
    <s v="Alaska Village Electric Cooperative"/>
    <s v="Gambell"/>
    <s v="Gambell"/>
    <n v="1900"/>
    <n v="0"/>
    <n v="1600"/>
    <n v="0"/>
    <n v="300"/>
    <s v="EIA-F860"/>
    <s v="PCE Eligible Active"/>
    <n v="0"/>
    <s v="ALASVEC"/>
    <x v="8"/>
    <s v="Nome (CA)"/>
    <s v="Bering Straits"/>
    <x v="4"/>
  </r>
  <r>
    <s v="Alaska Village Electric Cooperative"/>
    <s v="Goodnews Bay"/>
    <s v="Goodnews Bay"/>
    <n v="480"/>
    <n v="0"/>
    <n v="480"/>
    <n v="0"/>
    <n v="0"/>
    <s v="AEA Village Assessment"/>
    <s v="PCE Eligible Active"/>
    <n v="0"/>
    <s v="ALASVEC"/>
    <x v="1"/>
    <s v="Bethel (CA)"/>
    <s v="Calista"/>
    <x v="1"/>
  </r>
  <r>
    <s v="Alaska Village Electric Cooperative"/>
    <s v="Grayling"/>
    <s v="Grayling"/>
    <n v="260"/>
    <n v="0"/>
    <n v="260"/>
    <n v="0"/>
    <n v="0"/>
    <s v="AEA Village Assessment"/>
    <s v="PCE Eligible Active"/>
    <n v="0"/>
    <s v="ALASVEC"/>
    <x v="5"/>
    <s v="Yukon-Koyukuk (CA)"/>
    <s v="Doyon"/>
    <x v="3"/>
  </r>
  <r>
    <s v="Alaska Village Electric Cooperative"/>
    <s v="Holy Cross"/>
    <s v="Holy Cross"/>
    <n v="455"/>
    <n v="0"/>
    <n v="455"/>
    <n v="0"/>
    <n v="0"/>
    <s v="AEA Village Assessment"/>
    <s v="PCE Eligible Active"/>
    <n v="0"/>
    <s v="ALASVEC"/>
    <x v="5"/>
    <s v="Yukon-Koyukuk (CA)"/>
    <s v="Doyon"/>
    <x v="3"/>
  </r>
  <r>
    <s v="Alaska Village Electric Cooperative"/>
    <s v="Hooper Bay"/>
    <s v="Hooper Bay"/>
    <n v="1900"/>
    <n v="0"/>
    <n v="1600"/>
    <n v="0"/>
    <n v="300"/>
    <s v="EIA-F860"/>
    <s v="PCE Eligible Active"/>
    <n v="0"/>
    <s v="ALASVEC"/>
    <x v="1"/>
    <s v="Wade Hampton (CA)"/>
    <s v="Calista"/>
    <x v="3"/>
  </r>
  <r>
    <s v="Alaska Village Electric Cooperative"/>
    <s v="Huslia"/>
    <s v="Huslia"/>
    <n v="796"/>
    <n v="0"/>
    <n v="796"/>
    <n v="0"/>
    <n v="0"/>
    <s v="AEA Village Assessment"/>
    <s v="PCE Eligible Active"/>
    <n v="0"/>
    <s v="ALASVEC"/>
    <x v="5"/>
    <s v="Yukon-Koyukuk (CA)"/>
    <s v="Doyon"/>
    <x v="3"/>
  </r>
  <r>
    <s v="Alaska Village Electric Cooperative"/>
    <s v="Upper Kalskag"/>
    <s v="Kalskag, Lower Kalskag"/>
    <n v="1100"/>
    <n v="0"/>
    <n v="1100"/>
    <n v="0"/>
    <n v="0"/>
    <s v="EIA-F860"/>
    <s v="PCE Eligible Active"/>
    <s v="Provides power to Lower Kalskag via intertie. Fuel use and cost data includes information for Lower Kalskag."/>
    <s v="ALASVEC"/>
    <x v="1"/>
    <s v="Bethel (CA)"/>
    <s v="Calista"/>
    <x v="1"/>
  </r>
  <r>
    <s v="Alaska Village Electric Cooperative"/>
    <s v="Kaltag"/>
    <s v="Kaltag"/>
    <n v="549"/>
    <n v="0"/>
    <n v="549"/>
    <n v="0"/>
    <n v="0"/>
    <s v="AEA Village Assessment"/>
    <s v="PCE Eligible Active"/>
    <n v="0"/>
    <s v="ALASVEC"/>
    <x v="5"/>
    <s v="Yukon-Koyukuk (CA)"/>
    <s v="Doyon"/>
    <x v="3"/>
  </r>
  <r>
    <s v="Alaska Village Electric Cooperative"/>
    <s v="Kasigluk"/>
    <s v="Kasigluk, Nunapitchuk"/>
    <n v="1900"/>
    <n v="0"/>
    <n v="1600"/>
    <n v="0"/>
    <n v="300"/>
    <s v="EIA-F860"/>
    <s v="PCE Eligible Active"/>
    <s v="Provides power to Nunapitchuk via intertie.  Fuel use and cost includes Nunapitchuk's information."/>
    <s v="ALASVEC"/>
    <x v="1"/>
    <s v="Bethel (CA)"/>
    <s v="Calista"/>
    <x v="1"/>
  </r>
  <r>
    <s v="Alaska Village Electric Cooperative"/>
    <s v="Kiana"/>
    <s v="Kiana"/>
    <n v="1100"/>
    <n v="0"/>
    <n v="1100"/>
    <n v="0"/>
    <n v="0"/>
    <s v="EIA-F860"/>
    <s v="PCE Eligible Active"/>
    <n v="0"/>
    <s v="ALASVEC"/>
    <x v="7"/>
    <s v="Northwest Arctic"/>
    <s v="NANA"/>
    <x v="4"/>
  </r>
  <r>
    <s v="Alaska Village Electric Cooperative"/>
    <s v="Kivalina"/>
    <s v="Kivalina"/>
    <n v="1100"/>
    <n v="0"/>
    <n v="1100"/>
    <n v="0"/>
    <n v="0"/>
    <s v="EIA-F860"/>
    <s v="PCE Eligible Active"/>
    <n v="0"/>
    <s v="ALASVEC"/>
    <x v="7"/>
    <s v="Northwest Arctic"/>
    <s v="NANA"/>
    <x v="4"/>
  </r>
  <r>
    <s v="Alaska Village Electric Cooperative"/>
    <s v="Kotlik"/>
    <s v="Kotlik"/>
    <n v="1400"/>
    <n v="0"/>
    <n v="1400"/>
    <n v="0"/>
    <n v="0"/>
    <s v="EIA-F860"/>
    <s v="PCE Eligible Active"/>
    <n v="0"/>
    <s v="ALASVEC"/>
    <x v="1"/>
    <s v="Wade Hampton (CA)"/>
    <s v="Calista"/>
    <x v="3"/>
  </r>
  <r>
    <s v="Alaska Village Electric Cooperative"/>
    <s v="Koyuk"/>
    <s v="Koyuk"/>
    <n v="1100"/>
    <n v="0"/>
    <n v="1100"/>
    <n v="0"/>
    <n v="0"/>
    <s v="EIA-F860"/>
    <s v="PCE Eligible Active"/>
    <n v="0"/>
    <s v="ALASVEC"/>
    <x v="8"/>
    <s v="Nome (CA)"/>
    <s v="Bering Straits"/>
    <x v="4"/>
  </r>
  <r>
    <s v="Alaska Village Electric Cooperative"/>
    <s v="Marshall"/>
    <s v="Marshall"/>
    <n v="1085"/>
    <n v="0"/>
    <n v="1085"/>
    <n v="0"/>
    <n v="0"/>
    <s v="AEA Village Assessment"/>
    <s v="PCE Eligible Active"/>
    <n v="0"/>
    <s v="ALASVEC"/>
    <x v="1"/>
    <s v="Wade Hampton (CA)"/>
    <s v="Calista"/>
    <x v="3"/>
  </r>
  <r>
    <s v="Alaska Village Electric Cooperative"/>
    <s v="Mekoryuk"/>
    <s v="Mekoryuk"/>
    <n v="904"/>
    <n v="0"/>
    <n v="704"/>
    <n v="0"/>
    <n v="200"/>
    <s v="AEA Village Assessment"/>
    <s v="PCE Eligible Active"/>
    <n v="0"/>
    <s v="ALASVEC"/>
    <x v="1"/>
    <s v="Bethel (CA)"/>
    <s v="Calista"/>
    <x v="1"/>
  </r>
  <r>
    <s v="Alaska Village Electric Cooperative"/>
    <s v="Minto"/>
    <s v="Minto"/>
    <n v="708"/>
    <n v="0"/>
    <n v="708"/>
    <n v="0"/>
    <n v="0"/>
    <s v="AEA Village Assessment"/>
    <s v="PCE Eligible Active"/>
    <n v="0"/>
    <s v="ALASVEC"/>
    <x v="5"/>
    <s v="Yukon-Koyukuk (CA)"/>
    <s v="Doyon"/>
    <x v="3"/>
  </r>
  <r>
    <s v="Alaska Village Electric Cooperative"/>
    <s v="Mountain Village"/>
    <s v="Mountain Village"/>
    <n v="1700"/>
    <n v="0"/>
    <n v="1700"/>
    <n v="0"/>
    <n v="0"/>
    <s v="EIA-F860"/>
    <s v="PCE Eligible Active"/>
    <n v="0"/>
    <s v="ALASVEC"/>
    <x v="1"/>
    <s v="Wade Hampton (CA)"/>
    <s v="Calista"/>
    <x v="3"/>
  </r>
  <r>
    <s v="Alaska Village Electric Cooperative"/>
    <s v="New Stuyahok"/>
    <s v="New Stuyahok"/>
    <n v="1331"/>
    <n v="0"/>
    <n v="1331"/>
    <n v="0"/>
    <n v="0"/>
    <s v="AEA Village Assessment"/>
    <s v="PCE Eligible Active"/>
    <n v="0"/>
    <s v="ALASVEC"/>
    <x v="9"/>
    <s v="Dillingham (CA)"/>
    <s v="Bristol Bay"/>
    <x v="1"/>
  </r>
  <r>
    <s v="Alaska Village Electric Cooperative"/>
    <s v="Nightmute"/>
    <s v="Nightmute"/>
    <n v="325"/>
    <n v="0"/>
    <n v="325"/>
    <n v="0"/>
    <n v="0"/>
    <s v="AEA Village Assessment"/>
    <s v="PCE Eligible Active"/>
    <s v="Receives power from Toksook Bay via intertie. For fuel use and cost, please refer to Toksook Bay."/>
    <s v="ALASVEC"/>
    <x v="1"/>
    <s v="Bethel (CA)"/>
    <s v="Calista"/>
    <x v="1"/>
  </r>
  <r>
    <s v="Alaska Village Electric Cooperative"/>
    <s v="Noatak"/>
    <s v="Noatak"/>
    <n v="1200"/>
    <n v="0"/>
    <n v="1200"/>
    <n v="0"/>
    <n v="0"/>
    <s v="EIA-F860"/>
    <s v="PCE Eligible Active"/>
    <n v="0"/>
    <s v="ALASVEC"/>
    <x v="7"/>
    <s v="Northwest Arctic"/>
    <s v="NANA"/>
    <x v="4"/>
  </r>
  <r>
    <s v="Alaska Village Electric Cooperative"/>
    <s v="Noorvik"/>
    <s v="Noorvik"/>
    <n v="1000"/>
    <n v="0"/>
    <n v="1000"/>
    <n v="0"/>
    <n v="0"/>
    <s v="EIA-F860"/>
    <s v="PCE Eligible Active"/>
    <n v="0"/>
    <s v="ALASVEC"/>
    <x v="7"/>
    <s v="Northwest Arctic"/>
    <s v="NANA"/>
    <x v="4"/>
  </r>
  <r>
    <s v="Alaska Village Electric Cooperative"/>
    <s v="Nulato"/>
    <s v="Nulato"/>
    <n v="1002"/>
    <n v="0"/>
    <n v="1002"/>
    <n v="0"/>
    <n v="0"/>
    <s v="AEA Village Assessment"/>
    <s v="PCE Eligible Active"/>
    <n v="0"/>
    <s v="ALASVEC"/>
    <x v="5"/>
    <s v="Yukon-Koyukuk (CA)"/>
    <s v="Doyon"/>
    <x v="3"/>
  </r>
  <r>
    <s v="Alaska Village Electric Cooperative"/>
    <s v="Nunapitchuk"/>
    <s v="Nunapitchuk"/>
    <n v="500"/>
    <n v="0"/>
    <n v="500"/>
    <n v="0"/>
    <n v="0"/>
    <s v="AEA Village Assessment"/>
    <s v="PCE Eligible Active"/>
    <s v="Receives power from Kasigluk. Please refer to Kasigluk for fuel use and cost."/>
    <s v="ALASVEC"/>
    <x v="1"/>
    <s v="Bethel (CA)"/>
    <s v="Calista"/>
    <x v="1"/>
  </r>
  <r>
    <s v="Alaska Village Electric Cooperative"/>
    <s v="Old Harbor"/>
    <s v="Old Harbor"/>
    <n v="703"/>
    <n v="0"/>
    <n v="703"/>
    <n v="0"/>
    <n v="0"/>
    <s v="AEA Village Assessment"/>
    <s v="PCE Eligible Active"/>
    <n v="0"/>
    <s v="ALASVEC"/>
    <x v="0"/>
    <s v="Kodiak Island"/>
    <s v="Koniag"/>
    <x v="0"/>
  </r>
  <r>
    <s v="Alaska Village Electric Cooperative"/>
    <s v="Pilot Station"/>
    <s v="Pilot Station"/>
    <n v="1200"/>
    <n v="0"/>
    <n v="1200"/>
    <n v="0"/>
    <n v="0"/>
    <s v="EIA-F860"/>
    <s v="PCE Eligible Active"/>
    <n v="0"/>
    <s v="ALASVEC"/>
    <x v="1"/>
    <s v="Wade Hampton (CA)"/>
    <s v="Calista"/>
    <x v="3"/>
  </r>
  <r>
    <s v="Alaska Village Electric Cooperative"/>
    <s v="Quinhagak"/>
    <s v="Quinhagak"/>
    <n v="1400"/>
    <n v="0"/>
    <n v="1100"/>
    <n v="0"/>
    <n v="300"/>
    <s v="EIA-F860"/>
    <s v="PCE Eligible Active"/>
    <n v="0"/>
    <s v="ALASVEC"/>
    <x v="1"/>
    <s v="Bethel (CA)"/>
    <s v="Calista"/>
    <x v="1"/>
  </r>
  <r>
    <s v="Alaska Village Electric Cooperative"/>
    <s v="Russian Mission"/>
    <s v="Russian Mission"/>
    <n v="904"/>
    <n v="0"/>
    <n v="904"/>
    <n v="0"/>
    <n v="0"/>
    <s v="AEA Village Assessment"/>
    <s v="PCE Eligible Active"/>
    <n v="0"/>
    <s v="ALASVEC"/>
    <x v="1"/>
    <s v="Wade Hampton (CA)"/>
    <s v="Calista"/>
    <x v="3"/>
  </r>
  <r>
    <s v="Alaska Village Electric Cooperative"/>
    <s v="Saint Mary's"/>
    <s v="Saint Mary's, Andreafsky, Pitkas Point"/>
    <n v="6500"/>
    <n v="0"/>
    <n v="6500"/>
    <n v="0"/>
    <n v="0"/>
    <s v="EIA-F860"/>
    <s v="PCE Eligible Active"/>
    <s v="Provides power to Andreafsky and Pitkas Point via intertie. Includes Andreafsky's information. Fuel use and cost also includes Pitkas Point."/>
    <s v="ALASVEC"/>
    <x v="1"/>
    <s v="Wade Hampton (CA)"/>
    <s v="Calista"/>
    <x v="3"/>
  </r>
  <r>
    <s v="Alaska Village Electric Cooperative"/>
    <s v="Saint Michael"/>
    <s v="Saint Michael"/>
    <n v="1000"/>
    <n v="0"/>
    <n v="1000"/>
    <n v="0"/>
    <n v="0"/>
    <s v="EIA-F860"/>
    <s v="PCE Eligible Active"/>
    <n v="0"/>
    <s v="ALASVEC"/>
    <x v="8"/>
    <s v="Nome (CA)"/>
    <s v="Bering Straits"/>
    <x v="4"/>
  </r>
  <r>
    <s v="Alaska Village Electric Cooperative"/>
    <s v="Savoonga"/>
    <s v="Savoonga"/>
    <n v="1900"/>
    <n v="0"/>
    <n v="1700"/>
    <n v="0"/>
    <n v="200"/>
    <s v="EIA-F860"/>
    <s v="PCE Eligible Active"/>
    <n v="0"/>
    <s v="ALASVEC"/>
    <x v="8"/>
    <s v="Nome (CA)"/>
    <s v="Bering Straits"/>
    <x v="4"/>
  </r>
  <r>
    <s v="Alaska Village Electric Cooperative"/>
    <s v="Scammon Bay"/>
    <s v="Scammon Bay"/>
    <n v="1300"/>
    <n v="0"/>
    <n v="1300"/>
    <n v="0"/>
    <n v="0"/>
    <s v="EIA-F860"/>
    <s v="PCE Eligible Active"/>
    <n v="0"/>
    <s v="ALASVEC"/>
    <x v="1"/>
    <s v="Wade Hampton (CA)"/>
    <s v="Calista"/>
    <x v="3"/>
  </r>
  <r>
    <s v="Alaska Village Electric Cooperative"/>
    <s v="Selawik"/>
    <s v="Selawik"/>
    <n v="1860"/>
    <n v="0"/>
    <n v="1600"/>
    <n v="0"/>
    <n v="260"/>
    <s v="EIA-F860"/>
    <s v="PCE Eligible Active"/>
    <n v="0"/>
    <s v="ALASVEC"/>
    <x v="7"/>
    <s v="Northwest Arctic"/>
    <s v="NANA"/>
    <x v="4"/>
  </r>
  <r>
    <s v="Alaska Village Electric Cooperative"/>
    <s v="Shageluk"/>
    <s v="Shageluk"/>
    <n v="407.5"/>
    <n v="0"/>
    <n v="407.5"/>
    <n v="0"/>
    <n v="0"/>
    <s v="AEA Village Assessment"/>
    <s v="PCE Eligible Active"/>
    <n v="0"/>
    <s v="ALASVEC"/>
    <x v="5"/>
    <s v="Yukon-Koyukuk (CA)"/>
    <s v="Doyon"/>
    <x v="3"/>
  </r>
  <r>
    <s v="Alaska Village Electric Cooperative"/>
    <s v="Shaktoolik"/>
    <s v="Shaktoolik"/>
    <n v="998"/>
    <n v="0"/>
    <n v="998"/>
    <n v="0"/>
    <n v="0"/>
    <s v="AEA Village Assessment"/>
    <s v="PCE Eligible Active"/>
    <n v="0"/>
    <s v="ALASVEC"/>
    <x v="8"/>
    <s v="Nome (CA)"/>
    <s v="Bering Straits"/>
    <x v="4"/>
  </r>
  <r>
    <s v="Alaska Village Electric Cooperative"/>
    <s v="Shishmaref"/>
    <s v="Shishmaref"/>
    <n v="1400"/>
    <n v="0"/>
    <n v="1400"/>
    <n v="0"/>
    <n v="0"/>
    <s v="EIA-F860"/>
    <s v="PCE Eligible Active"/>
    <n v="0"/>
    <s v="ALASVEC"/>
    <x v="8"/>
    <s v="Nome (CA)"/>
    <s v="Bering Straits"/>
    <x v="4"/>
  </r>
  <r>
    <s v="Alaska Village Electric Cooperative"/>
    <s v="Shungnak"/>
    <s v="Shungnak, Kobuk"/>
    <n v="1200"/>
    <n v="0"/>
    <n v="1200"/>
    <n v="0"/>
    <n v="0"/>
    <s v="EIA-F860"/>
    <s v="PCE Eligible Active"/>
    <s v="Provides power to Kobuk via intertie. Fuel use and cost includes Kobu's information."/>
    <s v="ALASVEC"/>
    <x v="7"/>
    <s v="Northwest Arctic"/>
    <s v="NANA"/>
    <x v="4"/>
  </r>
  <r>
    <s v="Alaska Village Electric Cooperative"/>
    <s v="Stebbins"/>
    <s v="Stebbins"/>
    <n v="1200"/>
    <n v="0"/>
    <n v="1200"/>
    <n v="0"/>
    <n v="0"/>
    <s v="EIA-F860"/>
    <s v="PCE Eligible Active"/>
    <n v="0"/>
    <s v="ALASVEC"/>
    <x v="8"/>
    <s v="Nome (CA)"/>
    <s v="Bering Straits"/>
    <x v="4"/>
  </r>
  <r>
    <s v="Alaska Village Electric Cooperative"/>
    <s v="Teller"/>
    <s v="Teller"/>
    <n v="1050"/>
    <n v="0"/>
    <n v="1050"/>
    <n v="0"/>
    <n v="0"/>
    <s v="AEA Village Assessment"/>
    <s v="PCE Eligible Active"/>
    <n v="0"/>
    <s v="ALASVEC"/>
    <x v="8"/>
    <s v="Nome (CA)"/>
    <s v="Bering Straits"/>
    <x v="4"/>
  </r>
  <r>
    <s v="Alaska Village Electric Cooperative"/>
    <s v="Togiak"/>
    <s v="Togiak"/>
    <n v="1300"/>
    <n v="0"/>
    <n v="1300"/>
    <n v="0"/>
    <n v="0"/>
    <s v="EIA-F860"/>
    <s v="PCE Eligible Active"/>
    <n v="0"/>
    <s v="ALASVEC"/>
    <x v="9"/>
    <s v="Dillingham (CA)"/>
    <s v="Bristol Bay"/>
    <x v="1"/>
  </r>
  <r>
    <s v="Alaska Village Electric Cooperative"/>
    <s v="Toksook Bay"/>
    <s v="Toksook Bay, Nightmute, Tununak"/>
    <n v="2100"/>
    <n v="0"/>
    <n v="1700"/>
    <n v="0"/>
    <n v="400"/>
    <s v="EIA-F860"/>
    <s v="PCE Eligible Active"/>
    <s v="Provides power to Nightmute and Tununak via intertie. Fuel use and cost includes Nightmute's and Tununak's information."/>
    <s v="ALASVEC"/>
    <x v="1"/>
    <s v="Bethel (CA)"/>
    <s v="Calista"/>
    <x v="1"/>
  </r>
  <r>
    <s v="Alaska Village Electric Cooperative"/>
    <s v="Tununak"/>
    <s v="Tununak"/>
    <n v="325"/>
    <n v="0"/>
    <n v="325"/>
    <n v="0"/>
    <n v="0"/>
    <s v="AEA Village Assessment"/>
    <s v="PCE Eligible Active"/>
    <s v="Receives power from Toksook Bay via intertie. For fuel use and cost, please refer to Toksook Bay."/>
    <s v="ALASVEC"/>
    <x v="1"/>
    <s v="Bethel (CA)"/>
    <s v="Calista"/>
    <x v="1"/>
  </r>
  <r>
    <s v="Alaska Village Electric Cooperative"/>
    <s v="Wales"/>
    <s v="Wales"/>
    <n v="495"/>
    <n v="0"/>
    <n v="495"/>
    <n v="0"/>
    <n v="0"/>
    <s v="AEA Village Assessment"/>
    <s v="PCE Eligible Active"/>
    <n v="0"/>
    <s v="ALASVEC"/>
    <x v="8"/>
    <s v="Nome (CA)"/>
    <s v="Bering Straits"/>
    <x v="4"/>
  </r>
  <r>
    <s v="Alaska Village Electric Cooperative"/>
    <s v="Wales"/>
    <s v="Wales"/>
    <n v="130"/>
    <n v="0"/>
    <n v="0"/>
    <n v="0"/>
    <n v="130"/>
    <s v="AEA Wind Program Manager"/>
    <s v="PCE Eligible Active"/>
    <n v="0"/>
    <s v="ALASVEC"/>
    <x v="8"/>
    <s v="Nome (CA)"/>
    <s v="Bering Straits"/>
    <x v="4"/>
  </r>
  <r>
    <s v="Alutiiq Power Company"/>
    <s v="Karluk"/>
    <s v="Karluk"/>
    <n v="140"/>
    <n v="0"/>
    <n v="140"/>
    <n v="0"/>
    <n v="0"/>
    <s v="AEA Village Assessment"/>
    <s v="PCE Eligible Active"/>
    <n v="0"/>
    <s v="ALUTPC"/>
    <x v="0"/>
    <s v="Kodiak Island"/>
    <s v="Koniag"/>
    <x v="0"/>
  </r>
  <r>
    <s v="Anchorage Municipal Light &amp; Power"/>
    <s v="Anchorage 1"/>
    <s v="Anchorage"/>
    <n v="100900"/>
    <n v="100900"/>
    <n v="0"/>
    <n v="0"/>
    <n v="0"/>
    <s v="EIA-F860"/>
    <s v="PCE Ineligible"/>
    <n v="0"/>
    <s v="ML&amp;P"/>
    <x v="4"/>
    <s v="Anchorage"/>
    <s v="Cook Inlet"/>
    <x v="0"/>
  </r>
  <r>
    <s v="Anchorage Municipal Light &amp; Power"/>
    <s v="AWWU Conduit"/>
    <s v="Anchorage"/>
    <n v="750"/>
    <n v="0"/>
    <n v="0"/>
    <n v="750"/>
    <n v="0"/>
    <s v="AEA Hydro Program Manager"/>
    <s v="PCE Ineligible"/>
    <n v="0"/>
    <s v="ML&amp;P"/>
    <x v="4"/>
    <s v="Anchorage"/>
    <s v="Cook Inlet"/>
    <x v="0"/>
  </r>
  <r>
    <s v="Anchorage Municipal Light &amp; Power"/>
    <s v="Eklutna Lake"/>
    <s v="Anchorage"/>
    <n v="44400"/>
    <n v="0"/>
    <n v="0"/>
    <n v="44400"/>
    <n v="0"/>
    <s v="EIA-F860"/>
    <s v="PCE Ineligible"/>
    <n v="0"/>
    <s v="ML&amp;P"/>
    <x v="4"/>
    <s v="Anchorage"/>
    <s v="Cook Inlet"/>
    <x v="0"/>
  </r>
  <r>
    <s v="Anchorage Municipal Light &amp; Power"/>
    <s v="George M Sullivan Generation Plant 2"/>
    <s v="Anchorage"/>
    <n v="266300"/>
    <n v="266300"/>
    <n v="0"/>
    <n v="0"/>
    <n v="0"/>
    <s v="EIA-F860"/>
    <s v="PCE Ineligible"/>
    <n v="0"/>
    <s v="ML&amp;P"/>
    <x v="4"/>
    <s v="Anchorage"/>
    <s v="Cook Inlet"/>
    <x v="0"/>
  </r>
  <r>
    <s v="Aniak Light &amp; Power"/>
    <s v="Aniak"/>
    <s v="Aniak"/>
    <n v="1100"/>
    <n v="0"/>
    <n v="1100"/>
    <n v="0"/>
    <n v="0"/>
    <s v="EIA-F860"/>
    <s v="PCE Eligible Active"/>
    <n v="0"/>
    <s v="ANIALPC"/>
    <x v="1"/>
    <s v="Bethel (CA)"/>
    <s v="Calista"/>
    <x v="1"/>
  </r>
  <r>
    <s v="Arctic Village Electric Company"/>
    <s v="Arctic Village"/>
    <s v="Arctic Village"/>
    <n v="395"/>
    <n v="0"/>
    <n v="395"/>
    <n v="0"/>
    <n v="0"/>
    <s v="AEA Village Assessment"/>
    <s v="PCE Eligible Inactive"/>
    <n v="0"/>
    <n v="0"/>
    <x v="5"/>
    <s v="Yukon-Koyukuk (CA)"/>
    <s v="Doyon"/>
    <x v="3"/>
  </r>
  <r>
    <s v="Atka, City of"/>
    <s v="Atka"/>
    <s v="Atka"/>
    <n v="257"/>
    <n v="0"/>
    <n v="257"/>
    <n v="0"/>
    <n v="0"/>
    <s v="AEA Village Assessment"/>
    <s v="PCE Eligible Active"/>
    <n v="0"/>
    <s v="ATKA"/>
    <x v="2"/>
    <s v="Aleutians West (CA)"/>
    <s v="Aleut"/>
    <x v="1"/>
  </r>
  <r>
    <s v="Atmautluak Tribal Utilities"/>
    <s v="Atmautluak"/>
    <s v="Atmautluak"/>
    <n v="547"/>
    <n v="0"/>
    <n v="547"/>
    <n v="0"/>
    <n v="0"/>
    <s v="AEA Village Assessment"/>
    <s v="PCE Eligible Active"/>
    <n v="0"/>
    <s v="ATMATU"/>
    <x v="1"/>
    <s v="Bethel (CA)"/>
    <s v="Calista"/>
    <x v="1"/>
  </r>
  <r>
    <s v="Aurora Energy LLC Chena"/>
    <s v="Aurora Energy"/>
    <s v="Fairbanks"/>
    <n v="27500"/>
    <n v="27500"/>
    <n v="0"/>
    <n v="0"/>
    <n v="0"/>
    <s v="EIA-F860"/>
    <s v="PCE Ineligible"/>
    <s v=" Aurora Energy LLC is an independent power producer that sells all its power to GVEA."/>
    <s v="AURORA"/>
    <x v="4"/>
    <s v="Fairbanks North Star"/>
    <s v="Doyon"/>
    <x v="3"/>
  </r>
  <r>
    <s v="Banner Wind, LLC"/>
    <s v="Banner Peak Wind Farm"/>
    <s v="Nome"/>
    <n v="1170"/>
    <n v="0"/>
    <n v="0"/>
    <n v="0"/>
    <n v="1170"/>
    <s v="AEA Wind Program Manager"/>
    <s v="PCE Eligible Active"/>
    <s v="Banner Wind, LLC. is an independent power proucer, who sells all its power to Nome Joint Utility Systems."/>
    <n v="0"/>
    <x v="8"/>
    <s v="Nome (CA)"/>
    <s v="Bering Straits"/>
    <x v="4"/>
  </r>
  <r>
    <s v="Barrow Utilities &amp; Electric Cooperative Inc."/>
    <s v="Barrow"/>
    <s v="Barrow"/>
    <n v="20300"/>
    <n v="17300"/>
    <n v="3000"/>
    <n v="0"/>
    <n v="0"/>
    <s v="EIA-F860"/>
    <s v="PCE Ineligible"/>
    <n v="0"/>
    <n v="0"/>
    <x v="10"/>
    <s v="North Slope"/>
    <s v="Arctic Slope"/>
    <x v="4"/>
  </r>
  <r>
    <s v="Beaver Joint Utilities"/>
    <s v="Beaver"/>
    <s v="Beaver"/>
    <n v="244"/>
    <n v="0"/>
    <n v="244"/>
    <n v="0"/>
    <n v="0"/>
    <s v="AEA Village Assessment"/>
    <s v="PCE Eligible Active"/>
    <n v="0"/>
    <s v="BEAVJU"/>
    <x v="5"/>
    <s v="Yukon-Koyukuk (CA)"/>
    <s v="Doyon"/>
    <x v="3"/>
  </r>
  <r>
    <s v="Bethel Utilities Corporation"/>
    <s v="Bethel"/>
    <s v="Bethel, Oscarville"/>
    <n v="12600"/>
    <n v="0"/>
    <n v="12600"/>
    <n v="0"/>
    <n v="0"/>
    <s v="EIA-F860"/>
    <s v="PCE Eligible Active"/>
    <s v="Provides power to Oscarville and sells power to Napakiak Ircinraq via intertie. Data includes Oscarville's information."/>
    <s v="BETHUC"/>
    <x v="1"/>
    <s v="Bethel (CA)"/>
    <s v="Calista"/>
    <x v="1"/>
  </r>
  <r>
    <s v="Birch Creek Village Electric"/>
    <s v="Birch Creek"/>
    <s v="Birch Creek"/>
    <n v="28"/>
    <n v="0"/>
    <n v="28"/>
    <n v="0"/>
    <n v="0"/>
    <s v="AEA Village Assessment"/>
    <s v="PCE Eligible Inactive"/>
    <n v="0"/>
    <n v="0"/>
    <x v="5"/>
    <s v="Yukon-Koyukuk (CA)"/>
    <s v="Doyon"/>
    <x v="3"/>
  </r>
  <r>
    <s v="Buckland, City of"/>
    <s v="Buckland"/>
    <s v="Buckland"/>
    <n v="1152"/>
    <n v="0"/>
    <n v="1152"/>
    <n v="0"/>
    <n v="0"/>
    <s v="AEA Village Assessment"/>
    <s v="PCE Eligible Active"/>
    <n v="0"/>
    <s v="BUCK"/>
    <x v="7"/>
    <s v="Northwest Arctic"/>
    <s v="NANA"/>
    <x v="4"/>
  </r>
  <r>
    <s v="Chalkyitsik Village Council"/>
    <s v="Chalkyitsik"/>
    <s v="Chalkyitsik"/>
    <n v="307"/>
    <n v="0"/>
    <n v="307"/>
    <n v="0"/>
    <n v="0"/>
    <s v="AEA Village Assessment"/>
    <s v="PCE Eligible Active"/>
    <n v="0"/>
    <s v="CHALVC"/>
    <x v="5"/>
    <s v="Yukon-Koyukuk (CA)"/>
    <s v="Doyon"/>
    <x v="3"/>
  </r>
  <r>
    <s v="Chenega Ira Council"/>
    <s v="Chenega Bay"/>
    <s v="Chenega Bay"/>
    <n v="198"/>
    <n v="0"/>
    <n v="198"/>
    <n v="0"/>
    <n v="0"/>
    <s v="AEA Village Assessment"/>
    <s v="PCE Eligible Active"/>
    <n v="0"/>
    <s v="CHENVC"/>
    <x v="6"/>
    <s v="Valdez-Cordova (CA)"/>
    <s v="Chugach"/>
    <x v="0"/>
  </r>
  <r>
    <s v="Chignik Lagoon Power Utility"/>
    <s v="Chignik Lagoon"/>
    <s v="Chignik Lagoon"/>
    <n v="453"/>
    <n v="0"/>
    <n v="453"/>
    <n v="0"/>
    <n v="0"/>
    <s v="AEA Village Assessment"/>
    <s v="PCE Eligible Active"/>
    <n v="0"/>
    <s v="CHIGLPU"/>
    <x v="9"/>
    <s v="Lake and Peninsula"/>
    <s v="Bristol Bay"/>
    <x v="1"/>
  </r>
  <r>
    <s v="Chignik Lake Electric Utility"/>
    <s v="Chignik Lake"/>
    <s v="Chignik Lake"/>
    <n v="442"/>
    <n v="0"/>
    <n v="442"/>
    <n v="0"/>
    <n v="0"/>
    <s v="AEA Village Assessment"/>
    <s v="PCE Eligible Active"/>
    <n v="0"/>
    <s v="CHIGLEU"/>
    <x v="9"/>
    <s v="Lake and Peninsula"/>
    <s v="Bristol Bay"/>
    <x v="1"/>
  </r>
  <r>
    <s v="Chignik, City of"/>
    <s v="Chignik"/>
    <s v="Chignik"/>
    <n v="575"/>
    <n v="0"/>
    <n v="575"/>
    <n v="0"/>
    <n v="0"/>
    <s v="AEA Village Assessment"/>
    <s v="PCE Eligible Active"/>
    <n v="0"/>
    <s v="CHIG"/>
    <x v="9"/>
    <s v="Lake and Peninsula"/>
    <s v="Bristol Bay"/>
    <x v="1"/>
  </r>
  <r>
    <s v="Chitina Electric Inc"/>
    <s v="Chitina"/>
    <s v="Chitina"/>
    <n v="301"/>
    <n v="0"/>
    <n v="301"/>
    <n v="0"/>
    <n v="0"/>
    <s v="AEA Village Assessment"/>
    <s v="PCE Eligible Active"/>
    <n v="0"/>
    <s v="CHITE"/>
    <x v="6"/>
    <s v="Valdez-Cordova (CA)"/>
    <s v="Ahtna"/>
    <x v="0"/>
  </r>
  <r>
    <s v="Chugach Electric Assn Inc"/>
    <s v="Beluga"/>
    <m/>
    <n v="374400"/>
    <n v="374400"/>
    <n v="0"/>
    <n v="0"/>
    <n v="0"/>
    <s v="EIA-F860"/>
    <s v="PCE Ineligible"/>
    <n v="0"/>
    <s v="CEA"/>
    <x v="4"/>
    <s v="Anchorage"/>
    <s v="Cook Inlet"/>
    <x v="0"/>
  </r>
  <r>
    <s v="Chugach Electric Assn Inc"/>
    <s v="Bernice Lake"/>
    <m/>
    <n v="76700"/>
    <n v="76700"/>
    <n v="0"/>
    <n v="0"/>
    <n v="0"/>
    <s v="EIA-F860"/>
    <s v="PCE Ineligible"/>
    <n v="0"/>
    <s v="CEA"/>
    <x v="4"/>
    <s v="Kenai Peninsula"/>
    <s v="Cook Inlet"/>
    <x v="0"/>
  </r>
  <r>
    <s v="Chugach Electric Assn Inc"/>
    <s v="Cooper Lake"/>
    <m/>
    <n v="19400"/>
    <n v="0"/>
    <n v="0"/>
    <n v="19400"/>
    <n v="0"/>
    <s v="EIA-F860"/>
    <s v="PCE Ineligible"/>
    <n v="0"/>
    <s v="CEA"/>
    <x v="4"/>
    <s v="Anchorage"/>
    <s v="Cook Inlet"/>
    <x v="0"/>
  </r>
  <r>
    <s v="Chugach Electric Assn Inc"/>
    <s v="International"/>
    <m/>
    <n v="46300"/>
    <n v="46300"/>
    <n v="0"/>
    <n v="0"/>
    <n v="0"/>
    <s v="EIA-F860"/>
    <s v="PCE Ineligible"/>
    <n v="0"/>
    <s v="CEA"/>
    <x v="4"/>
    <s v="Anchorage"/>
    <s v="Cook Inlet"/>
    <x v="0"/>
  </r>
  <r>
    <s v="Circle Electric Utility"/>
    <s v="Circle"/>
    <s v="Circle"/>
    <n v="188"/>
    <n v="0"/>
    <n v="188"/>
    <n v="0"/>
    <n v="0"/>
    <s v="AEA Village Assessment"/>
    <s v="PCE Eligible Active"/>
    <n v="0"/>
    <s v="CIRCU"/>
    <x v="5"/>
    <s v="Yukon-Koyukuk (CA)"/>
    <s v="Doyon"/>
    <x v="3"/>
  </r>
  <r>
    <s v="Clark's Point, City of"/>
    <s v="Clark's Point"/>
    <s v="Clark's Point"/>
    <n v="446"/>
    <n v="0"/>
    <n v="446"/>
    <n v="0"/>
    <n v="0"/>
    <s v="AEA Village Assessment"/>
    <s v="PCE Eligible Inactive"/>
    <n v="0"/>
    <s v="CLARKS POI"/>
    <x v="9"/>
    <s v="Dillingham (CA)"/>
    <s v="Bristol Bay"/>
    <x v="3"/>
  </r>
  <r>
    <s v="Copper Valley Elec Assn Inc"/>
    <s v="Glennallen"/>
    <s v="Glennallen"/>
    <n v="10700"/>
    <n v="0"/>
    <n v="10700"/>
    <n v="0"/>
    <n v="0"/>
    <s v="EIA-F860"/>
    <s v="PCE Ineligible"/>
    <n v="0"/>
    <s v="CVEA"/>
    <x v="6"/>
    <s v="Valdez-Cordova (CA)"/>
    <s v="Ahtna"/>
    <x v="0"/>
  </r>
  <r>
    <s v="Copper Valley Elec Assn Inc"/>
    <s v="Solomon Gulch"/>
    <s v="Glennallen, Valdez"/>
    <n v="12000"/>
    <n v="0"/>
    <n v="0"/>
    <n v="12000"/>
    <n v="0"/>
    <s v="EIA-F860"/>
    <s v="PCE Ineligible"/>
    <n v="0"/>
    <s v="CVEA"/>
    <x v="6"/>
    <s v="Valdez-Cordova (CA)"/>
    <s v="Chugach"/>
    <x v="0"/>
  </r>
  <r>
    <s v="Copper Valley Elec Assn Inc"/>
    <s v="Valdez"/>
    <s v="Valdez"/>
    <n v="9700"/>
    <n v="2800"/>
    <n v="6900"/>
    <n v="0"/>
    <n v="0"/>
    <s v="EIA-F860"/>
    <s v="PCE Ineligible"/>
    <n v="0"/>
    <s v="CVEA"/>
    <x v="6"/>
    <s v="Valdez-Cordova (CA)"/>
    <s v="Chugach"/>
    <x v="0"/>
  </r>
  <r>
    <s v="Copper Valley Elec Assn Inc"/>
    <s v="Valdez Cogen"/>
    <s v="Valdez"/>
    <n v="5300"/>
    <n v="5300"/>
    <n v="0"/>
    <n v="0"/>
    <n v="0"/>
    <s v="EIA-F860"/>
    <s v="PCE Ineligible"/>
    <n v="0"/>
    <s v="CVEA"/>
    <x v="6"/>
    <s v="Valdez-Cordova (CA)"/>
    <s v="Chugach"/>
    <x v="0"/>
  </r>
  <r>
    <s v="Cordova Electric Cooperative"/>
    <s v="Humpback Creek"/>
    <s v="Cordova"/>
    <n v="1200"/>
    <n v="0"/>
    <n v="0"/>
    <n v="1200"/>
    <n v="0"/>
    <s v="EIA-F860"/>
    <s v="PCE Eligible Active"/>
    <s v="New plant"/>
    <s v="CORDEC"/>
    <x v="6"/>
    <s v="Valdez-Cordova (CA)"/>
    <s v="Chugach"/>
    <x v="0"/>
  </r>
  <r>
    <s v="Cordova Electric Cooperative"/>
    <s v="Orca"/>
    <s v="Cordova"/>
    <n v="10700"/>
    <n v="0"/>
    <n v="10700"/>
    <n v="0"/>
    <n v="0"/>
    <s v="EIA-F860"/>
    <s v="PCE Eligible Active"/>
    <n v="0"/>
    <s v="CORDEC"/>
    <x v="6"/>
    <s v="Valdez-Cordova (CA)"/>
    <s v="Chugach"/>
    <x v="0"/>
  </r>
  <r>
    <s v="Cordova Electric Cooperative"/>
    <s v="Power Creek"/>
    <s v="Cordova"/>
    <n v="6000"/>
    <n v="0"/>
    <n v="0"/>
    <n v="6000"/>
    <n v="0"/>
    <s v="AEA Hydro Program Manager"/>
    <s v="PCE Eligible Active"/>
    <n v="0"/>
    <s v="CORDEC"/>
    <x v="6"/>
    <s v="Valdez-Cordova (CA)"/>
    <s v="Chugach"/>
    <x v="0"/>
  </r>
  <r>
    <s v="Egegik Light &amp; Power Co"/>
    <s v="Egegik"/>
    <s v="Egegik"/>
    <n v="380"/>
    <n v="0"/>
    <n v="380"/>
    <n v="0"/>
    <n v="0"/>
    <s v="AEA Village Assessment"/>
    <s v="PCE Eligible Active"/>
    <n v="0"/>
    <s v="EGEGLP"/>
    <x v="9"/>
    <s v="Lake and Peninsula"/>
    <s v="Bristol Bay"/>
    <x v="1"/>
  </r>
  <r>
    <s v="Elfin Cove Utility Commission"/>
    <s v="Elfin Cove"/>
    <s v="Elfin Cove"/>
    <n v="347"/>
    <n v="0"/>
    <n v="347"/>
    <n v="0"/>
    <n v="0"/>
    <s v="AEA Village Assessment"/>
    <s v="PCE Eligible Active"/>
    <n v="0"/>
    <s v="ELFICEU"/>
    <x v="3"/>
    <s v="Hoonah-Angoon (CA)"/>
    <s v="Sealaska"/>
    <x v="2"/>
  </r>
  <r>
    <s v="Enerdyne, LLC"/>
    <s v="McRoberts Creek"/>
    <m/>
    <n v="125"/>
    <m/>
    <m/>
    <n v="125"/>
    <m/>
    <s v="AEA Hydro Program Manager"/>
    <s v="PCE Ineligible"/>
    <n v="0"/>
    <n v="0"/>
    <x v="4"/>
    <s v="Matanuska Susitna"/>
    <s v="Cook Inlet"/>
    <x v="0"/>
  </r>
  <r>
    <s v="False Pass, City of"/>
    <s v="False Pass"/>
    <s v="False Pass"/>
    <n v="375"/>
    <n v="0"/>
    <n v="375"/>
    <n v="0"/>
    <n v="0"/>
    <s v="AEA Village Assessment"/>
    <s v="PCE Eligible Active"/>
    <n v="0"/>
    <s v="FALSPE"/>
    <x v="2"/>
    <s v="Aleutians East"/>
    <s v="Aleut"/>
    <x v="1"/>
  </r>
  <r>
    <s v="G &amp; K Inc"/>
    <s v="Cold Bay"/>
    <s v="Cold Bay"/>
    <n v="2495"/>
    <n v="0"/>
    <n v="2495"/>
    <n v="0"/>
    <n v="0"/>
    <s v="AEA Village Assessment"/>
    <s v="PCE Eligible Active"/>
    <n v="0"/>
    <s v="G&amp;K"/>
    <x v="2"/>
    <s v="Aleutians East"/>
    <s v="Aleut"/>
    <x v="1"/>
  </r>
  <r>
    <s v="Galena, City of"/>
    <s v="Galena"/>
    <s v="Galena"/>
    <n v="4200"/>
    <n v="0"/>
    <n v="4200"/>
    <n v="0"/>
    <n v="0"/>
    <s v="EIA-F860"/>
    <s v="PCE Eligible Active"/>
    <n v="0"/>
    <s v="GALE"/>
    <x v="5"/>
    <s v="Yukon-Koyukuk (CA)"/>
    <s v="Doyon"/>
    <x v="3"/>
  </r>
  <r>
    <s v="Gold Country Energy"/>
    <s v="Central"/>
    <s v="Central"/>
    <n v="575"/>
    <n v="0"/>
    <n v="575"/>
    <n v="0"/>
    <n v="0"/>
    <s v="AEA Village Assessment"/>
    <s v="PCE Eligible Active"/>
    <n v="0"/>
    <s v="CENTEI"/>
    <x v="5"/>
    <s v="Yukon-Koyukuk (CA)"/>
    <s v="Doyon"/>
    <x v="3"/>
  </r>
  <r>
    <s v="Golden Valley Elec Assn Inc"/>
    <s v="Delta Power"/>
    <m/>
    <n v="23100"/>
    <n v="23100"/>
    <n v="0"/>
    <n v="0"/>
    <n v="0"/>
    <s v="EIA-F860"/>
    <s v="PCE Ineligible"/>
    <n v="0"/>
    <s v="GVEA"/>
    <x v="4"/>
    <s v="Fairbanks North Star"/>
    <s v="Doyon"/>
    <x v="3"/>
  </r>
  <r>
    <s v="Golden Valley Elec Assn Inc"/>
    <s v="Fairbanks"/>
    <m/>
    <n v="42200"/>
    <n v="36800"/>
    <n v="5400"/>
    <n v="0"/>
    <n v="0"/>
    <s v="EIA-F860"/>
    <s v="PCE Ineligible"/>
    <n v="0"/>
    <s v="GVEA"/>
    <x v="4"/>
    <s v="Fairbanks North Star"/>
    <s v="Doyon"/>
    <x v="3"/>
  </r>
  <r>
    <s v="Golden Valley Elec Assn Inc"/>
    <s v="Healy"/>
    <m/>
    <n v="30800"/>
    <n v="28000"/>
    <n v="2800"/>
    <n v="0"/>
    <n v="0"/>
    <s v="EIA-F860"/>
    <s v="PCE Ineligible"/>
    <n v="0"/>
    <s v="GVEA"/>
    <x v="4"/>
    <s v="Denali"/>
    <s v="Doyon"/>
    <x v="3"/>
  </r>
  <r>
    <s v="Golden Valley Elec Assn Inc"/>
    <s v="North Pole"/>
    <m/>
    <n v="181000"/>
    <n v="181000"/>
    <n v="0"/>
    <n v="0"/>
    <n v="0"/>
    <s v="EIA-F860"/>
    <s v="PCE Ineligible"/>
    <n v="0"/>
    <s v="GVEA"/>
    <x v="4"/>
    <s v="Fairbanks North Star"/>
    <s v="Doyon"/>
    <x v="3"/>
  </r>
  <r>
    <s v="Golovin Power Utilities"/>
    <s v="Golovin"/>
    <s v="Golovin"/>
    <n v="580"/>
    <n v="0"/>
    <n v="580"/>
    <n v="0"/>
    <n v="0"/>
    <s v="AEA Village Assessment"/>
    <s v="PCE Eligible Active"/>
    <n v="0"/>
    <s v="GOLOPU"/>
    <x v="8"/>
    <s v="Nome (CA)"/>
    <s v="Bering Straits"/>
    <x v="4"/>
  </r>
  <r>
    <s v="Gustavus Electric Co"/>
    <s v="Falls Creek"/>
    <s v="Gustavus"/>
    <n v="800"/>
    <n v="0"/>
    <n v="0"/>
    <n v="800"/>
    <n v="0"/>
    <s v="AEA Hydro Program Manager"/>
    <s v="PCE Eligible Active"/>
    <n v="0"/>
    <s v="GUSTE"/>
    <x v="3"/>
    <s v="Hoonah-Angoon (CA)"/>
    <s v="Sealaska"/>
    <x v="2"/>
  </r>
  <r>
    <s v="Gustavus Electric Co"/>
    <s v="Gustavus"/>
    <s v="Gustavus"/>
    <n v="842"/>
    <n v="0"/>
    <n v="842"/>
    <n v="0"/>
    <n v="0"/>
    <s v="AEA Village Assessment"/>
    <s v="PCE Eligible Active"/>
    <n v="0"/>
    <s v="GUSTE"/>
    <x v="3"/>
    <s v="Hoonah-Angoon (CA)"/>
    <s v="Sealaska"/>
    <x v="2"/>
  </r>
  <r>
    <s v="Gwitchyaa Zhee Utilities Company"/>
    <s v="Fort Yukon"/>
    <s v="Fort Yukon"/>
    <n v="1700"/>
    <n v="0"/>
    <n v="1700"/>
    <n v="0"/>
    <n v="0"/>
    <s v="EIA-F860"/>
    <s v="PCE Eligible Active"/>
    <n v="0"/>
    <s v="GWITZU"/>
    <x v="5"/>
    <s v="Yukon-Koyukuk (CA)"/>
    <s v="Doyon"/>
    <x v="3"/>
  </r>
  <r>
    <s v="Homer Electric Assn Inc"/>
    <s v="Bradley Lake"/>
    <m/>
    <n v="126000"/>
    <n v="0"/>
    <n v="0"/>
    <n v="119700"/>
    <n v="0"/>
    <s v="EIA-F860"/>
    <s v="PCE Ineligible"/>
    <s v="Generation from Bradley Lake is shared among Chugach, AML&amp;P, HEA, MEA, Seward Electric and GVEA"/>
    <s v="HEA"/>
    <x v="4"/>
    <s v="Anchorage"/>
    <s v="Cook Inlet"/>
    <x v="0"/>
  </r>
  <r>
    <s v="Homer Electric Assn Inc"/>
    <s v="Nikiski Co-Generation"/>
    <m/>
    <n v="37900"/>
    <n v="37900"/>
    <n v="0"/>
    <n v="0"/>
    <n v="0"/>
    <s v="EIA-F860"/>
    <s v="PCE Ineligible"/>
    <n v="0"/>
    <s v="HEA"/>
    <x v="4"/>
    <s v="Kenai Peninsula"/>
    <s v="Cook Inlet"/>
    <x v="0"/>
  </r>
  <r>
    <s v="Homer Electric Assn Inc"/>
    <s v="Seldovia"/>
    <m/>
    <n v="2400"/>
    <n v="0"/>
    <n v="2400"/>
    <n v="0"/>
    <n v="0"/>
    <s v="EIA-F860"/>
    <s v="PCE Ineligible"/>
    <n v="0"/>
    <s v="HEA"/>
    <x v="4"/>
    <s v="Kenai Peninsula"/>
    <s v="Cook Inlet"/>
    <x v="0"/>
  </r>
  <r>
    <s v="Hughes Power &amp; Light"/>
    <s v="Hughes"/>
    <s v="Hughes"/>
    <n v="230"/>
    <n v="0"/>
    <n v="230"/>
    <n v="0"/>
    <n v="0"/>
    <s v="AEA Village Assessment"/>
    <s v="PCE Eligible Active"/>
    <n v="0"/>
    <s v="HUGHPL"/>
    <x v="5"/>
    <s v="Yukon-Koyukuk (CA)"/>
    <s v="Doyon"/>
    <x v="3"/>
  </r>
  <r>
    <s v="Igiugig Electric Company"/>
    <s v="Igiugig"/>
    <s v="Igiugig"/>
    <n v="201"/>
    <n v="0"/>
    <n v="201"/>
    <n v="0"/>
    <n v="0"/>
    <s v="AEA Village Assessment"/>
    <s v="PCE Eligible Active"/>
    <n v="0"/>
    <s v="IGIUEC"/>
    <x v="9"/>
    <s v="Lake and Peninsula"/>
    <s v="Bristol Bay"/>
    <x v="1"/>
  </r>
  <r>
    <s v="I-N-N Electric Coop, Inc"/>
    <s v="Newhalen"/>
    <s v="Iliamna, Newhalen, Nondalton"/>
    <n v="1500"/>
    <n v="0"/>
    <n v="1500"/>
    <n v="0"/>
    <n v="0"/>
    <s v="EIA-F860"/>
    <s v="PCE Eligible Active"/>
    <s v="Power produced at the Tazimina hydroelectric project and the Newhalen plant is shared by Iliamna, Newhalen and Nondalton. Newhalen's information is included in Nondalton's data."/>
    <s v="INN"/>
    <x v="9"/>
    <s v="Lake and Peninsula"/>
    <s v="Bristol Bay"/>
    <x v="1"/>
  </r>
  <r>
    <s v="I-N-N Electric Coop, Inc"/>
    <s v="Tazimina"/>
    <s v="Iliamna, Newhalen, Nondalton"/>
    <n v="800"/>
    <n v="0"/>
    <n v="0"/>
    <n v="824"/>
    <n v="0"/>
    <s v="EIA-F860"/>
    <s v="PCE Eligible Active"/>
    <s v="Power produced at the Tazimina hydroelectric project and the Newhalen plant is shared by Iliamna, Newhalen and Nondalton. Iliamna's information is included in Nondalton's data."/>
    <s v="INN"/>
    <x v="9"/>
    <s v="Lake and Peninsula"/>
    <s v="Bristol Bay"/>
    <x v="1"/>
  </r>
  <r>
    <s v="Inside Passage Electric"/>
    <s v="Angoon"/>
    <s v="Angoon"/>
    <n v="1500"/>
    <n v="0"/>
    <n v="1500"/>
    <n v="0"/>
    <n v="0"/>
    <s v="EIA-F860"/>
    <s v="PCE Eligible Active"/>
    <n v="0"/>
    <s v="INSIPEC"/>
    <x v="3"/>
    <s v="Hoonah-Angoon (CA)"/>
    <s v="Sealaska"/>
    <x v="2"/>
  </r>
  <r>
    <s v="Inside Passage Electric"/>
    <s v="Chilkat Valley"/>
    <s v="Chilkat Valley"/>
    <n v="1100"/>
    <n v="0"/>
    <n v="1100"/>
    <n v="0"/>
    <n v="0"/>
    <s v="EIA-F860"/>
    <s v="PCE Eligible Active"/>
    <s v="Provides power to Klukwan via intertie. Power is purchased from AP&amp;T."/>
    <s v="INSIPEC"/>
    <x v="3"/>
    <s v="Haines"/>
    <s v="Sealaska"/>
    <x v="2"/>
  </r>
  <r>
    <s v="Inside Passage Electric"/>
    <s v="10 Mile"/>
    <s v="Haines, Skagway"/>
    <n v="600"/>
    <n v="0"/>
    <n v="0"/>
    <n v="600"/>
    <n v="0"/>
    <s v="AEA Hydro Program Manager"/>
    <s v="PCE Ineligible"/>
    <s v="Southern Energy Inc (SEI) owned this facility for most of 2011. IPEC bought the 10 Mile plant in October, 2011. Prior to t he purchase SEI wholesale all power to IPEC. All IPEC comminities have a postage stamp rate. Part of the Alaska Power Company's grid in the Upper Lynn Canal service area."/>
    <n v="0"/>
    <x v="3"/>
    <s v="Haines"/>
    <s v="Sealaska"/>
    <x v="2"/>
  </r>
  <r>
    <s v="Inside Passage Electric"/>
    <s v="Hoonah"/>
    <s v="Hoonah"/>
    <n v="2400"/>
    <n v="0"/>
    <n v="2400"/>
    <n v="0"/>
    <n v="0"/>
    <s v="EIA-F860"/>
    <s v="PCE Eligible Active"/>
    <n v="0"/>
    <s v="INSIPEC"/>
    <x v="3"/>
    <s v="Hoonah-Angoon (CA)"/>
    <s v="Sealaska"/>
    <x v="2"/>
  </r>
  <r>
    <s v="Inside Passage Electric"/>
    <s v="Kake"/>
    <s v="Kake"/>
    <n v="2500"/>
    <n v="0"/>
    <n v="2500"/>
    <n v="0"/>
    <n v="0"/>
    <s v="EIA-F860"/>
    <s v="PCE Eligible Active"/>
    <n v="0"/>
    <s v="INSIPEC"/>
    <x v="3"/>
    <s v="Petersburg (CA)"/>
    <s v="Sealaska"/>
    <x v="2"/>
  </r>
  <r>
    <s v="Ipnatchiaq Electric Company"/>
    <s v="Deering"/>
    <s v="Deering"/>
    <n v="577"/>
    <n v="0"/>
    <n v="577"/>
    <n v="0"/>
    <n v="0"/>
    <s v="AEA Village Assessment"/>
    <s v="PCE Eligible Active"/>
    <n v="0"/>
    <s v="IPNAEC"/>
    <x v="7"/>
    <s v="Northwest Arctic"/>
    <s v="NANA"/>
    <x v="4"/>
  </r>
  <r>
    <s v="Ketchikan Public Utilities"/>
    <s v="Beaver Falls"/>
    <s v="Ketchikan"/>
    <n v="5400"/>
    <n v="0"/>
    <n v="0"/>
    <n v="5400"/>
    <n v="0"/>
    <s v="EIA-F860"/>
    <s v="PCE Ineligible"/>
    <n v="0"/>
    <s v="KPU"/>
    <x v="3"/>
    <s v="Ketchikan Gateway"/>
    <s v="Sealaska"/>
    <x v="2"/>
  </r>
  <r>
    <s v="Ketchikan Public Utilities"/>
    <s v="Ketchikan"/>
    <s v="Ketchikan"/>
    <n v="4200"/>
    <n v="0"/>
    <n v="0"/>
    <n v="4200"/>
    <n v="0"/>
    <s v="EIA-F860"/>
    <s v="PCE Ineligible"/>
    <n v="0"/>
    <s v="KPU"/>
    <x v="3"/>
    <s v="Ketchikan Gateway"/>
    <s v="Sealaska"/>
    <x v="2"/>
  </r>
  <r>
    <s v="Ketchikan Public Utilities"/>
    <s v="S W Bailey"/>
    <s v="Ketchikan"/>
    <n v="25900"/>
    <n v="0"/>
    <n v="25900"/>
    <n v="0"/>
    <n v="0"/>
    <s v="EIA-F860"/>
    <s v="PCE Ineligible"/>
    <n v="0"/>
    <s v="KPU"/>
    <x v="3"/>
    <s v="Ketchikan Gateway"/>
    <s v="Sealaska"/>
    <x v="2"/>
  </r>
  <r>
    <s v="Ketchikan Public Utilities"/>
    <s v="Silvis"/>
    <s v="Ketchikan"/>
    <n v="2100"/>
    <n v="0"/>
    <n v="0"/>
    <n v="2100"/>
    <n v="0"/>
    <s v="EIA-F860"/>
    <s v="PCE Ineligible"/>
    <n v="0"/>
    <s v="KPU"/>
    <x v="3"/>
    <s v="Ketchikan Gateway"/>
    <s v="Sealaska"/>
    <x v="2"/>
  </r>
  <r>
    <s v="Ketchikan Public Utilities"/>
    <s v="Swan Lake"/>
    <s v="Wrangell, Petersburg, Ketchikan"/>
    <n v="22400"/>
    <n v="0"/>
    <n v="0"/>
    <n v="22400"/>
    <n v="0"/>
    <s v="EIA-F860"/>
    <s v="PCE Ineligible"/>
    <n v="0"/>
    <s v="KPU"/>
    <x v="3"/>
    <s v="Ketchikan Gateway"/>
    <s v="Sealaska"/>
    <x v="2"/>
  </r>
  <r>
    <s v="King Cove, City of"/>
    <s v="King Cove"/>
    <s v="King Cove"/>
    <n v="800"/>
    <n v="0"/>
    <n v="0"/>
    <n v="800"/>
    <n v="0"/>
    <s v="EIA-F860"/>
    <s v="PCE Eligible Active"/>
    <n v="0"/>
    <s v="KINGC"/>
    <x v="2"/>
    <s v="Aleutians East"/>
    <s v="Aleut"/>
    <x v="1"/>
  </r>
  <r>
    <s v="King Cove, City of"/>
    <s v="King Cove"/>
    <s v="King Cove"/>
    <n v="1800"/>
    <n v="0"/>
    <n v="1800"/>
    <n v="0"/>
    <n v="0"/>
    <s v="EIA-F860"/>
    <s v="PCE Eligible Active"/>
    <n v="0"/>
    <s v="KINGC"/>
    <x v="2"/>
    <s v="Aleutians East"/>
    <s v="Aleut"/>
    <x v="1"/>
  </r>
  <r>
    <s v="Kobuk Valley Electric Company"/>
    <s v="Kobuk"/>
    <s v="Kobuk"/>
    <n v="215"/>
    <n v="0"/>
    <n v="215"/>
    <n v="0"/>
    <n v="0"/>
    <s v="AEA Village Assessment"/>
    <s v="PCE Eligible Active"/>
    <s v="Receives power from Shungnak via intertie. For fuel use and cost, please refer to Shungnak. On July 1, 2012, AVEC took over operations in Kobuk."/>
    <s v="KOBUVEC"/>
    <x v="7"/>
    <s v="Northwest Arctic"/>
    <s v="NANA"/>
    <x v="4"/>
  </r>
  <r>
    <s v="Kodiak Electric Assn Inc"/>
    <s v="Kodiak"/>
    <s v="Kodiak"/>
    <n v="22300"/>
    <n v="0"/>
    <n v="22300"/>
    <n v="0"/>
    <n v="0"/>
    <s v="EIA-F860"/>
    <s v="PCE Ineligible"/>
    <n v="0"/>
    <s v="KEA"/>
    <x v="0"/>
    <s v="Kodiak Island"/>
    <s v="Koniag"/>
    <x v="0"/>
  </r>
  <r>
    <s v="Kodiak Electric Assn Inc"/>
    <s v="Nymans Plant"/>
    <s v="Kodiak"/>
    <n v="10000"/>
    <n v="0"/>
    <n v="10000"/>
    <n v="0"/>
    <n v="0"/>
    <s v="EIA-F860"/>
    <s v="PCE Ineligible"/>
    <n v="0"/>
    <s v="KEA"/>
    <x v="0"/>
    <s v="Kodiak Island"/>
    <s v="Koniag"/>
    <x v="0"/>
  </r>
  <r>
    <s v="Kodiak Electric Assn Inc"/>
    <s v="Pillar Mountain"/>
    <s v="Kodiak"/>
    <n v="4500"/>
    <n v="0"/>
    <n v="0"/>
    <n v="0"/>
    <n v="4500"/>
    <s v="EIA-F860"/>
    <s v="PCE Ineligible"/>
    <n v="0"/>
    <s v="KEA"/>
    <x v="0"/>
    <s v="Kodiak Island"/>
    <s v="Koniag"/>
    <x v="0"/>
  </r>
  <r>
    <s v="Kodiak Electric Assn Inc"/>
    <s v="Port Lions"/>
    <s v="Kodiak"/>
    <n v="1000"/>
    <n v="0"/>
    <n v="1000"/>
    <n v="0"/>
    <n v="0"/>
    <s v="EIA-F860"/>
    <s v="PCE Ineligible"/>
    <n v="0"/>
    <s v="KEA"/>
    <x v="0"/>
    <s v="Kodiak Island"/>
    <s v="Koniag"/>
    <x v="0"/>
  </r>
  <r>
    <s v="Kodiak Electric Assn Inc"/>
    <s v="Terror Lake"/>
    <s v="Kodiak"/>
    <n v="22400"/>
    <n v="0"/>
    <n v="0"/>
    <n v="22400"/>
    <n v="0"/>
    <s v="EIA-F860"/>
    <s v="PCE Ineligible"/>
    <n v="0"/>
    <s v="KEA"/>
    <x v="0"/>
    <s v="Kodiak Island"/>
    <s v="Koniag"/>
    <x v="0"/>
  </r>
  <r>
    <s v="Kokhanok Village Council"/>
    <s v="Kokhanok"/>
    <s v="Kokhanok"/>
    <n v="612"/>
    <n v="0"/>
    <n v="612"/>
    <n v="0"/>
    <n v="0"/>
    <s v="AEA Village Assessment"/>
    <s v="PCE Eligible Active"/>
    <n v="0"/>
    <s v="KOKHVC"/>
    <x v="9"/>
    <s v="Lake and Peninsula"/>
    <s v="Bristol Bay"/>
    <x v="1"/>
  </r>
  <r>
    <s v="Kotzebue Electric Association"/>
    <s v="Kotzebue"/>
    <s v="Kotzebue"/>
    <n v="14600"/>
    <n v="0"/>
    <n v="11700"/>
    <n v="0"/>
    <n v="1140"/>
    <s v="AEA Wind Program Manager"/>
    <s v="PCE Eligible Active"/>
    <n v="0"/>
    <s v="KOTZEA"/>
    <x v="7"/>
    <s v="Northwest Arctic"/>
    <s v="NANA"/>
    <x v="4"/>
  </r>
  <r>
    <s v="Koyukuk, City of"/>
    <s v="Koyukuk"/>
    <s v="Koyukuk"/>
    <n v="202"/>
    <n v="0"/>
    <n v="202"/>
    <n v="0"/>
    <n v="0"/>
    <s v="AEA Village Assessment"/>
    <s v="PCE Eligible Active"/>
    <n v="0"/>
    <s v="KOYU"/>
    <x v="5"/>
    <s v="Yukon-Koyukuk (CA)"/>
    <s v="Doyon"/>
    <x v="3"/>
  </r>
  <r>
    <s v="Kwethluk Incorporated"/>
    <s v="Kwethluk"/>
    <s v="Kwethluk"/>
    <n v="1300"/>
    <n v="0"/>
    <n v="1300"/>
    <n v="0"/>
    <n v="0"/>
    <s v="AEA Village Assessment"/>
    <s v="PCE Eligible Active"/>
    <n v="0"/>
    <s v="KWET"/>
    <x v="1"/>
    <s v="Bethel (CA)"/>
    <s v="Calista"/>
    <x v="1"/>
  </r>
  <r>
    <s v="Kwigillingok Power Company"/>
    <s v="Kwigillingok"/>
    <s v="Kwigillingok"/>
    <n v="723"/>
    <n v="0"/>
    <n v="723"/>
    <n v="0"/>
    <n v="0"/>
    <s v="AEA Village Assessment"/>
    <s v="PCE Eligible Active"/>
    <n v="0"/>
    <s v="KWIGPC"/>
    <x v="1"/>
    <s v="Bethel (CA)"/>
    <s v="Calista"/>
    <x v="1"/>
  </r>
  <r>
    <s v="Larsen Bay Utility Company"/>
    <s v="Larsen Bay"/>
    <s v="Larsen Bay"/>
    <n v="475"/>
    <n v="0"/>
    <n v="0"/>
    <n v="475"/>
    <n v="0"/>
    <s v="AEA Hydro Program Manager"/>
    <s v="PCE Eligible Active"/>
    <n v="0"/>
    <s v="LARSBUC"/>
    <x v="0"/>
    <s v="Kodiak Island"/>
    <s v="Koniag"/>
    <x v="0"/>
  </r>
  <r>
    <s v="Larsen Bay Utility Company"/>
    <s v="Larsen Bay"/>
    <s v="Larsen Bay"/>
    <n v="393"/>
    <n v="0"/>
    <n v="393"/>
    <n v="0"/>
    <n v="0"/>
    <s v="AEA Village Assessment"/>
    <s v="PCE Eligible Active"/>
    <n v="0"/>
    <s v="LARSBUC"/>
    <x v="0"/>
    <s v="Kodiak Island"/>
    <s v="Koniag"/>
    <x v="0"/>
  </r>
  <r>
    <s v="Levelock Electrical Coop"/>
    <s v="Levelock"/>
    <s v="Levelock"/>
    <n v="234"/>
    <n v="0"/>
    <n v="234"/>
    <n v="0"/>
    <n v="0"/>
    <s v="AEA Village Assessment"/>
    <s v="PCE Eligible Active"/>
    <n v="0"/>
    <s v="LEVEEC"/>
    <x v="9"/>
    <s v="Lake and Peninsula"/>
    <s v="Bristol Bay"/>
    <x v="1"/>
  </r>
  <r>
    <s v="Manokotak Power Company"/>
    <s v="Manokotak"/>
    <s v="Manokotak"/>
    <n v="730"/>
    <n v="0"/>
    <n v="730"/>
    <n v="0"/>
    <n v="0"/>
    <s v="AEA Village Assessment"/>
    <s v="PCE Eligible Active"/>
    <n v="0"/>
    <s v="MANOPC"/>
    <x v="9"/>
    <s v="Dillingham (CA)"/>
    <s v="Bristol Bay"/>
    <x v="1"/>
  </r>
  <r>
    <s v="Mcgrath Light &amp; Power"/>
    <s v="McGrath"/>
    <s v="McGrath"/>
    <n v="2200"/>
    <n v="0"/>
    <n v="2200"/>
    <n v="0"/>
    <n v="0"/>
    <s v="EIA-F860"/>
    <s v="PCE Eligible Active"/>
    <n v="0"/>
    <s v="MCGRLP"/>
    <x v="5"/>
    <s v="Yukon-Koyukuk (CA)"/>
    <s v="Doyon"/>
    <x v="1"/>
  </r>
  <r>
    <s v="Metlakatla Power &amp; Light"/>
    <s v="Centennial"/>
    <s v="Metlakatla"/>
    <n v="3300"/>
    <n v="0"/>
    <n v="3300"/>
    <n v="0"/>
    <n v="0"/>
    <s v="EIA-F860"/>
    <s v="PCE Ineligible"/>
    <n v="0"/>
    <s v="MP&amp;L"/>
    <x v="3"/>
    <s v="Prince of Wales-Hyder (CA)"/>
    <s v="Sealaska"/>
    <x v="2"/>
  </r>
  <r>
    <s v="Metlakatla Power &amp; Light"/>
    <s v="Chester Lake"/>
    <s v="Metlakatla"/>
    <n v="1000"/>
    <n v="0"/>
    <n v="0"/>
    <n v="1000"/>
    <n v="0"/>
    <s v="EIA-F860"/>
    <s v="PCE Ineligible"/>
    <n v="0"/>
    <s v="MP&amp;L"/>
    <x v="3"/>
    <s v="Prince of Wales-Hyder (CA)"/>
    <s v="Sealaska"/>
    <x v="2"/>
  </r>
  <r>
    <s v="Metlakatla Power &amp; Light"/>
    <s v="Purple Lake"/>
    <s v="Metlakatla"/>
    <n v="3900"/>
    <n v="0"/>
    <n v="0"/>
    <n v="3900"/>
    <n v="0"/>
    <s v="EIA-F860"/>
    <s v="PCE Ineligible"/>
    <n v="0"/>
    <s v="MP&amp;L"/>
    <x v="3"/>
    <s v="Prince of Wales-Hyder (CA)"/>
    <s v="Sealaska"/>
    <x v="2"/>
  </r>
  <r>
    <s v="Middle Kuskokwim Electric"/>
    <s v="Chuathbaluk"/>
    <s v="Chuathbaluk"/>
    <n v="179"/>
    <n v="0"/>
    <n v="179"/>
    <n v="0"/>
    <n v="0"/>
    <s v="AEA Village Assessment"/>
    <s v="PCE Eligible Active"/>
    <n v="0"/>
    <s v="MIDDKEC"/>
    <x v="1"/>
    <s v="Bethel (CA)"/>
    <s v="Calista"/>
    <x v="1"/>
  </r>
  <r>
    <s v="Middle Kuskokwim Electric"/>
    <s v="Crooked Creek"/>
    <s v="Crooked Creek"/>
    <n v="223"/>
    <n v="0"/>
    <n v="223"/>
    <n v="0"/>
    <n v="0"/>
    <s v="AEA Village Assessment"/>
    <s v="PCE Eligible Active"/>
    <n v="0"/>
    <s v="MIDDKEC"/>
    <x v="1"/>
    <s v="Bethel (CA)"/>
    <s v="Calista"/>
    <x v="1"/>
  </r>
  <r>
    <s v="Middle Kuskokwim Electric"/>
    <s v="Red Devil"/>
    <s v="Red Devil"/>
    <n v="130"/>
    <n v="0"/>
    <n v="130"/>
    <n v="0"/>
    <n v="0"/>
    <s v="AEA Village Assessment"/>
    <s v="PCE Eligible Active"/>
    <n v="0"/>
    <s v="MIDDKEC"/>
    <x v="1"/>
    <s v="Bethel (CA)"/>
    <s v="Calista"/>
    <x v="1"/>
  </r>
  <r>
    <s v="Middle Kuskokwim Electric"/>
    <s v="Sleetmute"/>
    <s v="Sleetmute"/>
    <n v="323"/>
    <n v="0"/>
    <n v="323"/>
    <n v="0"/>
    <n v="0"/>
    <s v="AEA Village Assessment"/>
    <s v="PCE Eligible Active"/>
    <n v="0"/>
    <s v="MIDDKEC"/>
    <x v="1"/>
    <s v="Bethel (CA)"/>
    <s v="Calista"/>
    <x v="1"/>
  </r>
  <r>
    <s v="Middle Kuskokwim Electric"/>
    <s v="Stony River"/>
    <s v="Stony River"/>
    <n v="138"/>
    <n v="0"/>
    <n v="138"/>
    <n v="0"/>
    <n v="0"/>
    <s v="AEA Village Assessment"/>
    <s v="PCE Eligible Active"/>
    <n v="0"/>
    <s v="MIDDKEC"/>
    <x v="1"/>
    <s v="Bethel (CA)"/>
    <s v="Calista"/>
    <x v="1"/>
  </r>
  <r>
    <s v="Naknek Electric Association"/>
    <s v="Naknek"/>
    <s v="Naknek, King Salmon, South Naknek"/>
    <n v="9900"/>
    <n v="0"/>
    <n v="9900"/>
    <n v="0"/>
    <n v="0"/>
    <s v="EIA-F860"/>
    <s v="PCE Eligible Active"/>
    <s v="Provides power to South Naknek and King Salmon via intertie. Data includes South Naknek's and King Salmon's information."/>
    <s v="NAKNEA"/>
    <x v="9"/>
    <s v="Bristol Bay"/>
    <s v="Bristol Bay"/>
    <x v="1"/>
  </r>
  <r>
    <s v="Napakiak Ircinraq"/>
    <s v="Napakiak"/>
    <s v="Napakiak"/>
    <n v="250"/>
    <n v="0"/>
    <n v="250"/>
    <n v="0"/>
    <n v="0"/>
    <s v="AEA Village Assessment"/>
    <s v="PCE Eligible Active"/>
    <s v="Purchases power from Bethel Utilities Corporation"/>
    <s v="NAPAC"/>
    <x v="1"/>
    <s v="Bethel (CA)"/>
    <s v="Calista"/>
    <x v="1"/>
  </r>
  <r>
    <s v="Naterkaq Light Plant"/>
    <s v="Chefornak"/>
    <s v="Chefornak"/>
    <n v="921"/>
    <n v="0"/>
    <n v="921"/>
    <n v="0"/>
    <n v="0"/>
    <s v="AEA Village Assessment"/>
    <s v="PCE Eligible Active"/>
    <n v="0"/>
    <s v="NATELP"/>
    <x v="1"/>
    <s v="Bethel (CA)"/>
    <s v="Calista"/>
    <x v="1"/>
  </r>
  <r>
    <s v="Native Village of Perryville"/>
    <s v="Perryville"/>
    <s v="Perryville"/>
    <n v="24"/>
    <n v="0"/>
    <n v="0"/>
    <n v="0"/>
    <n v="24"/>
    <s v="AEA Wind Program Manager"/>
    <s v="PCE Eligible Active"/>
    <n v="0"/>
    <s v="PERR"/>
    <x v="9"/>
    <s v="Lake and Peninsula"/>
    <s v="Bristol Bay"/>
    <x v="1"/>
  </r>
  <r>
    <s v="Native Village of Perryville"/>
    <s v="Perryville"/>
    <s v="Perryville"/>
    <n v="473"/>
    <n v="0"/>
    <n v="473"/>
    <n v="0"/>
    <n v="0"/>
    <s v="AEA Village Assessment"/>
    <s v="PCE Eligible Active"/>
    <n v="0"/>
    <s v="PERR"/>
    <x v="9"/>
    <s v="Lake and Peninsula"/>
    <s v="Bristol Bay"/>
    <x v="1"/>
  </r>
  <r>
    <s v="Nelson Lagoon Electrical Coop"/>
    <s v="Nelson Lagoon"/>
    <s v="Nelson Lagoon"/>
    <n v="300"/>
    <n v="0"/>
    <n v="300"/>
    <n v="0"/>
    <n v="0"/>
    <s v="AEA Village Assessment"/>
    <s v="PCE Eligible Active"/>
    <n v="0"/>
    <s v="NELSLEC"/>
    <x v="2"/>
    <s v="Aleutians East"/>
    <s v="Aleut"/>
    <x v="1"/>
  </r>
  <r>
    <s v="New Koliganek Village Council"/>
    <s v="Koliganek"/>
    <s v="Koliganek"/>
    <n v="420"/>
    <n v="0"/>
    <n v="420"/>
    <n v="0"/>
    <n v="0"/>
    <s v="AEA Village Assessment"/>
    <s v="PCE Eligible Active"/>
    <n v="0"/>
    <s v="NEWKVC"/>
    <x v="9"/>
    <s v="Dillingham (CA)"/>
    <s v="Bristol Bay"/>
    <x v="1"/>
  </r>
  <r>
    <s v="Nikolai, City of"/>
    <s v="Nikolai"/>
    <s v="Nikolai"/>
    <n v="300"/>
    <n v="0"/>
    <n v="300"/>
    <n v="0"/>
    <n v="0"/>
    <s v="AEA Village Assessment"/>
    <s v="PCE Eligible Active"/>
    <n v="0"/>
    <s v="NIKO"/>
    <x v="5"/>
    <s v="Yukon-Koyukuk (CA)"/>
    <s v="Doyon"/>
    <x v="1"/>
  </r>
  <r>
    <s v="Nome Joint Utility Systems"/>
    <s v="Snake River"/>
    <s v="Nome"/>
    <n v="20500"/>
    <n v="0"/>
    <n v="20500"/>
    <n v="0"/>
    <n v="0"/>
    <s v="EIA-F860"/>
    <s v="PCE Eligible Active"/>
    <n v="0"/>
    <s v="NOME"/>
    <x v="8"/>
    <s v="Nome (CA)"/>
    <s v="Bering Straits"/>
    <x v="4"/>
  </r>
  <r>
    <s v="North Slope Borough Power &amp; Light"/>
    <s v="Anaktuvuk Pass"/>
    <s v="Anaktuvuk Pass"/>
    <n v="2800"/>
    <n v="0"/>
    <n v="2800"/>
    <n v="0"/>
    <n v="0"/>
    <s v="EIA-F860"/>
    <s v="PCE Eligible Active"/>
    <n v="0"/>
    <s v="NORTSB"/>
    <x v="10"/>
    <s v="North Slope"/>
    <s v="Arctic Slope"/>
    <x v="4"/>
  </r>
  <r>
    <s v="North Slope Borough Power &amp; Light"/>
    <s v="Atqasuk"/>
    <s v="Atqasuk"/>
    <n v="3200"/>
    <n v="0"/>
    <n v="3200"/>
    <n v="0"/>
    <n v="0"/>
    <s v="EIA-F860"/>
    <s v="PCE Eligible Active"/>
    <n v="0"/>
    <s v="NORTSB"/>
    <x v="10"/>
    <s v="North Slope"/>
    <s v="Arctic Slope"/>
    <x v="4"/>
  </r>
  <r>
    <s v="North Slope Borough Power &amp; Light"/>
    <s v="Kaktovik"/>
    <s v="Kaktovik"/>
    <n v="2600"/>
    <n v="0"/>
    <n v="2600"/>
    <n v="0"/>
    <n v="0"/>
    <s v="EIA-F860"/>
    <s v="PCE Eligible Active"/>
    <n v="0"/>
    <s v="NORTSB"/>
    <x v="10"/>
    <s v="North Slope"/>
    <s v="Arctic Slope"/>
    <x v="4"/>
  </r>
  <r>
    <s v="North Slope Borough Power &amp; Light"/>
    <s v="Nuiqsut"/>
    <s v="Nuiqsut"/>
    <n v="4200"/>
    <n v="0"/>
    <n v="4200"/>
    <n v="0"/>
    <n v="0"/>
    <s v="EIA-F860"/>
    <s v="PCE Eligible Active"/>
    <n v="0"/>
    <s v="NORTSB"/>
    <x v="10"/>
    <s v="North Slope"/>
    <s v="Arctic Slope"/>
    <x v="4"/>
  </r>
  <r>
    <s v="North Slope Borough Power &amp; Light"/>
    <s v="Point Hope"/>
    <s v="Point Hope"/>
    <n v="2700"/>
    <n v="0"/>
    <n v="2700"/>
    <n v="0"/>
    <n v="0"/>
    <s v="EIA-F860"/>
    <s v="PCE Eligible Active"/>
    <n v="0"/>
    <s v="NORTSB"/>
    <x v="10"/>
    <s v="North Slope"/>
    <s v="Arctic Slope"/>
    <x v="4"/>
  </r>
  <r>
    <s v="North Slope Borough Power &amp; Light"/>
    <s v="Point Lay"/>
    <s v="Point Lay"/>
    <n v="1800"/>
    <n v="0"/>
    <n v="1800"/>
    <n v="0"/>
    <n v="0"/>
    <s v="EIA-F860"/>
    <s v="PCE Eligible Active"/>
    <n v="0"/>
    <s v="NORTSB"/>
    <x v="10"/>
    <s v="North Slope"/>
    <s v="Arctic Slope"/>
    <x v="4"/>
  </r>
  <r>
    <s v="North Slope Borough Power &amp; Light"/>
    <s v="Wainwright"/>
    <s v="Wainwright"/>
    <n v="3000"/>
    <n v="0"/>
    <n v="3000"/>
    <n v="0"/>
    <n v="0"/>
    <s v="EIA-F860"/>
    <s v="PCE Eligible Active"/>
    <n v="0"/>
    <s v="NORTSB"/>
    <x v="10"/>
    <s v="North Slope"/>
    <s v="Arctic Slope"/>
    <x v="4"/>
  </r>
  <r>
    <s v="Nunam Iqua Electric Company"/>
    <s v="Sheldon Point"/>
    <s v="Nunam Iqua"/>
    <n v="708"/>
    <n v="0"/>
    <n v="708"/>
    <n v="0"/>
    <n v="0"/>
    <s v="AEA Village Assessment"/>
    <s v="PCE Eligible Active"/>
    <n v="0"/>
    <s v="NUNAIEC"/>
    <x v="1"/>
    <s v="Wade Hampton (CA)"/>
    <s v="Calista"/>
    <x v="3"/>
  </r>
  <r>
    <s v="Nushagak Electric Cooperative"/>
    <s v="Dillingham"/>
    <s v="Dillingham, Aleknagik"/>
    <n v="6600"/>
    <n v="0"/>
    <n v="6600"/>
    <n v="0"/>
    <n v="0"/>
    <s v="EIA-F860"/>
    <s v="PCE Eligible Active"/>
    <s v="Provides power to Aleknagik via intertie. Data includes Aleknagik's information."/>
    <s v="NETCI"/>
    <x v="9"/>
    <s v="Dillingham (CA)"/>
    <s v="Bristol Bay"/>
    <x v="1"/>
  </r>
  <r>
    <s v="Ouzinkie, City of"/>
    <s v="Ouzinkie"/>
    <s v="Ouzinkie"/>
    <n v="336"/>
    <n v="0"/>
    <n v="336"/>
    <n v="0"/>
    <n v="0"/>
    <s v="AEA Village Assessment"/>
    <s v="PCE Eligible Active"/>
    <n v="0"/>
    <s v="OUZI"/>
    <x v="0"/>
    <s v="Kodiak Island"/>
    <s v="Koniag"/>
    <x v="0"/>
  </r>
  <r>
    <s v="Pedro Bay Village Council"/>
    <s v="Pedro Bay"/>
    <s v="Pedro Bay"/>
    <n v="211"/>
    <n v="0"/>
    <n v="211"/>
    <n v="0"/>
    <n v="0"/>
    <s v="AEA Village Assessment"/>
    <s v="PCE Eligible Active"/>
    <n v="0"/>
    <s v="PEDRBV"/>
    <x v="9"/>
    <s v="Lake and Peninsula"/>
    <s v="Bristol Bay"/>
    <x v="1"/>
  </r>
  <r>
    <s v="Pelican Utility"/>
    <s v="Pelican"/>
    <s v="Pelican"/>
    <n v="2850"/>
    <n v="0"/>
    <n v="2200"/>
    <n v="700"/>
    <n v="0"/>
    <s v="EIA-F860"/>
    <s v="PCE Eligible Active"/>
    <n v="0"/>
    <n v="0"/>
    <x v="3"/>
    <s v="Hoonah-Angoon (CA)"/>
    <s v="Sealaska"/>
    <x v="2"/>
  </r>
  <r>
    <s v="Petersburg, City of"/>
    <s v="Blind Slough"/>
    <s v="Petersburg"/>
    <n v="12700"/>
    <n v="0"/>
    <n v="10700"/>
    <n v="2000"/>
    <n v="0"/>
    <s v="EIA-F860"/>
    <s v="PCE Ineligible"/>
    <n v="0"/>
    <s v="PETERSBURG"/>
    <x v="3"/>
    <s v="Petersburg (CA)"/>
    <s v="Sealaska"/>
    <x v="2"/>
  </r>
  <r>
    <s v="Pilot Point Electric Utility"/>
    <s v="Pilot Point"/>
    <s v="Pilot Point"/>
    <n v="246"/>
    <n v="0"/>
    <n v="246"/>
    <n v="0"/>
    <n v="0"/>
    <s v="AEA Village Assessment"/>
    <s v="PCE Eligible Active"/>
    <n v="0"/>
    <s v="PILOPEU"/>
    <x v="9"/>
    <s v="Lake and Peninsula"/>
    <s v="Bristol Bay"/>
    <x v="1"/>
  </r>
  <r>
    <s v="Platinum, City of"/>
    <s v="Platinum"/>
    <s v="Platinum"/>
    <n v="129"/>
    <n v="0"/>
    <n v="129"/>
    <n v="0"/>
    <n v="0"/>
    <s v="AEA Village Assessment"/>
    <s v="PCE Eligible Inactive"/>
    <n v="0"/>
    <s v="PLAT"/>
    <x v="1"/>
    <s v="Bethel (CA)"/>
    <s v="Calista"/>
    <x v="1"/>
  </r>
  <r>
    <s v="Port Heiden Utilities"/>
    <s v="Port Heiden"/>
    <s v="Port Heiden"/>
    <n v="369"/>
    <n v="0"/>
    <n v="369"/>
    <n v="0"/>
    <n v="0"/>
    <s v="AEA Village Assessment"/>
    <s v="PCE Eligible Active"/>
    <n v="0"/>
    <s v="PORTHU"/>
    <x v="9"/>
    <s v="Lake and Peninsula"/>
    <s v="Bristol Bay"/>
    <x v="1"/>
  </r>
  <r>
    <s v="Puvurnaq Power Company"/>
    <s v="Kongiganak"/>
    <s v="Kongiganak"/>
    <n v="1375"/>
    <n v="0"/>
    <n v="925"/>
    <n v="0"/>
    <n v="450"/>
    <s v="AEA Village Assessment"/>
    <s v="PCE Eligible Active"/>
    <n v="0"/>
    <s v="PUVUPC"/>
    <x v="1"/>
    <s v="Bethel (CA)"/>
    <s v="Calista"/>
    <x v="1"/>
  </r>
  <r>
    <s v="Rampart Village Council"/>
    <s v="Rampart"/>
    <s v="Rampart"/>
    <n v="367"/>
    <n v="0"/>
    <n v="367"/>
    <n v="0"/>
    <n v="0"/>
    <s v="AEA Village Assessment"/>
    <s v="PCE Eligible Inactive"/>
    <n v="0"/>
    <n v="0"/>
    <x v="5"/>
    <s v="Yukon-Koyukuk (CA)"/>
    <s v="Doyon"/>
    <x v="3"/>
  </r>
  <r>
    <s v="Ruby, City of"/>
    <s v="Ruby"/>
    <s v="Ruby"/>
    <n v="464"/>
    <n v="0"/>
    <n v="464"/>
    <n v="0"/>
    <n v="0"/>
    <s v="AEA Village Assessment"/>
    <s v="PCE Eligible Active"/>
    <n v="0"/>
    <s v="RUBY"/>
    <x v="5"/>
    <s v="Yukon-Koyukuk (CA)"/>
    <s v="Doyon"/>
    <x v="3"/>
  </r>
  <r>
    <s v="Saint George, City of"/>
    <s v="Saint George"/>
    <s v="Saint George"/>
    <n v="980"/>
    <n v="0"/>
    <n v="980"/>
    <n v="0"/>
    <n v="0"/>
    <s v="AEA Village Assessment"/>
    <s v="PCE Eligible Inactive"/>
    <n v="0"/>
    <s v="ST. GEORGE"/>
    <x v="2"/>
    <s v="Aleutians West (CA)"/>
    <s v="Aleut"/>
    <x v="1"/>
  </r>
  <r>
    <s v="Saint Paul Municipal Electric"/>
    <s v="Saint Paul"/>
    <s v="Saint Paul"/>
    <n v="2620"/>
    <n v="0"/>
    <n v="2620"/>
    <n v="0"/>
    <n v="0"/>
    <s v="AEA Village Assessment"/>
    <s v="PCE Eligible Active"/>
    <n v="0"/>
    <s v="STPMEU"/>
    <x v="2"/>
    <s v="Aleutians West (CA)"/>
    <s v="Aleut"/>
    <x v="1"/>
  </r>
  <r>
    <s v="Saint Paul Municipal Electric"/>
    <s v="Saint Paul"/>
    <s v="Saint Paul"/>
    <n v="675"/>
    <n v="0"/>
    <n v="0"/>
    <n v="0"/>
    <n v="675"/>
    <s v="AEA Wind Program Manager"/>
    <s v="PCE Eligible Active"/>
    <n v="0"/>
    <s v="STPMEU"/>
    <x v="2"/>
    <s v="Aleutians West (CA)"/>
    <s v="Aleut"/>
    <x v="1"/>
  </r>
  <r>
    <s v="Seward, City of"/>
    <s v="Seward"/>
    <s v="Seward"/>
    <n v="15600"/>
    <n v="0"/>
    <n v="15600"/>
    <n v="0"/>
    <n v="0"/>
    <s v="EIA-F860"/>
    <s v="PCE Ineligible"/>
    <n v="0"/>
    <s v="SEWARD"/>
    <x v="4"/>
    <s v="Kenai Peninsula"/>
    <s v="Chugach"/>
    <x v="0"/>
  </r>
  <r>
    <s v="Sitka, City &amp; Borough of"/>
    <s v="Blue Lake"/>
    <s v="Sitka"/>
    <n v="7000"/>
    <n v="0"/>
    <n v="0"/>
    <n v="7000"/>
    <n v="0"/>
    <s v="EIA-F860"/>
    <s v="PCE Ineligible"/>
    <n v="0"/>
    <s v="SITKA"/>
    <x v="3"/>
    <s v="Sitka"/>
    <s v="Sealaska"/>
    <x v="2"/>
  </r>
  <r>
    <s v="Sitka, City &amp; Borough of"/>
    <s v="Green Lake"/>
    <s v="Sitka"/>
    <n v="18600"/>
    <n v="0"/>
    <n v="0"/>
    <n v="18600"/>
    <n v="0"/>
    <s v="EIA-F860"/>
    <s v="PCE Ineligible"/>
    <n v="0"/>
    <s v="SITKA"/>
    <x v="3"/>
    <s v="Sitka"/>
    <s v="Sealaska"/>
    <x v="2"/>
  </r>
  <r>
    <s v="Sitka, City &amp; Borough of"/>
    <s v="Jarvis Street"/>
    <s v="Sitka"/>
    <n v="12100"/>
    <n v="0"/>
    <n v="12100"/>
    <n v="0"/>
    <n v="0"/>
    <s v="EIA-F860"/>
    <s v="PCE Ineligible"/>
    <n v="0"/>
    <s v="SITKA"/>
    <x v="3"/>
    <s v="Sitka"/>
    <s v="Sealaska"/>
    <x v="2"/>
  </r>
  <r>
    <s v="Southeast Alaska Power Agency"/>
    <s v="Tyee Lake"/>
    <s v="Wrangell, Petersburg, Ketchikan"/>
    <n v="22500"/>
    <n v="0"/>
    <n v="0"/>
    <n v="20000"/>
    <n v="0"/>
    <s v="FERC"/>
    <s v="PCE Ineligible"/>
    <n v="0"/>
    <n v="0"/>
    <x v="3"/>
    <s v="Ketchikan Gateway"/>
    <s v="Sealaska"/>
    <x v="2"/>
  </r>
  <r>
    <s v="Stevens Village Ira Council"/>
    <s v="Stevens Village"/>
    <s v="Stevens Village"/>
    <n v="263"/>
    <n v="0"/>
    <n v="263"/>
    <n v="0"/>
    <n v="0"/>
    <s v="AEA Village Assessment"/>
    <s v="PCE Eligible Inactive"/>
    <n v="0"/>
    <s v="STEVVIC"/>
    <x v="5"/>
    <s v="Yukon-Koyukuk (CA)"/>
    <s v="Doyon"/>
    <x v="3"/>
  </r>
  <r>
    <s v="Sustainable Energy Company of AK Peninsula"/>
    <s v="Pilot Point"/>
    <s v="Pilot Point, Port Heiden"/>
    <n v="20"/>
    <n v="0"/>
    <n v="0"/>
    <n v="0"/>
    <n v="20"/>
    <s v="AEA Wind Program Manager"/>
    <s v="PCE Eligible Active"/>
    <s v="The communities are eligible for PCE but not the IPP."/>
    <s v="PORTHU"/>
    <x v="9"/>
    <s v="Lake and Peninsula"/>
    <s v="Bristol Bay"/>
    <x v="1"/>
  </r>
  <r>
    <s v="Takotna Community Assoc Inc"/>
    <s v="Takotna"/>
    <s v="Takotna"/>
    <n v="216"/>
    <n v="0"/>
    <n v="216"/>
    <n v="0"/>
    <n v="0"/>
    <s v="AEA Village Assessment"/>
    <s v="PCE Eligible Active"/>
    <n v="0"/>
    <s v="TAKOC"/>
    <x v="5"/>
    <s v="Yukon-Koyukuk (CA)"/>
    <s v="Doyon"/>
    <x v="1"/>
  </r>
  <r>
    <s v="Tanalian Electric Cooperative"/>
    <s v="Port Alsworth"/>
    <s v="Port Alsworth"/>
    <n v="466"/>
    <n v="0"/>
    <n v="466"/>
    <n v="0"/>
    <n v="0"/>
    <s v="AEA Village Assessment"/>
    <s v="PCE Eligible Active"/>
    <n v="0"/>
    <s v="TANAEC"/>
    <x v="9"/>
    <s v="Lake and Peninsula"/>
    <s v="Cook Inlet"/>
    <x v="1"/>
  </r>
  <r>
    <s v="Tanana Power Company Inc"/>
    <s v="Tanana"/>
    <s v="Tanana"/>
    <n v="1545"/>
    <n v="0"/>
    <n v="1545"/>
    <n v="0"/>
    <n v="0"/>
    <s v="AEA Village Assessment"/>
    <s v="PCE Eligible Active"/>
    <n v="0"/>
    <s v="TPC"/>
    <x v="5"/>
    <s v="Yukon-Koyukuk (CA)"/>
    <s v="Doyon"/>
    <x v="3"/>
  </r>
  <r>
    <s v="Tatitlek Village Ira Council"/>
    <s v="Tatitlek"/>
    <s v="Tatitlek"/>
    <n v="315"/>
    <n v="0"/>
    <n v="315"/>
    <n v="0"/>
    <n v="0"/>
    <s v="AEA Village Assessment"/>
    <s v="PCE Eligible Active"/>
    <n v="0"/>
    <s v="TATIVIC"/>
    <x v="6"/>
    <s v="Valdez-Cordova (CA)"/>
    <s v="Chugach"/>
    <x v="0"/>
  </r>
  <r>
    <s v="TDX Adak Generating LLC"/>
    <s v="Adak"/>
    <s v="Adak"/>
    <n v="4035"/>
    <n v="0"/>
    <n v="4035"/>
    <n v="0"/>
    <n v="0"/>
    <s v="AEA Village Assessment"/>
    <s v="PCE Eligible Active"/>
    <n v="0"/>
    <s v="TDXA"/>
    <x v="2"/>
    <s v="Aleutians West (CA)"/>
    <s v="Aleut"/>
    <x v="1"/>
  </r>
  <r>
    <s v="TDX Corporation"/>
    <s v="Sand Point"/>
    <s v="Sand Point"/>
    <n v="1000"/>
    <n v="0"/>
    <n v="0"/>
    <n v="0"/>
    <n v="1000"/>
    <s v="AEA Wind Program Manager"/>
    <s v="PCE Eligible Active"/>
    <n v="0"/>
    <s v="TDXC"/>
    <x v="2"/>
    <s v="Aleutians East"/>
    <s v="Aleut"/>
    <x v="1"/>
  </r>
  <r>
    <s v="TDX Corporation"/>
    <s v="Sand Point"/>
    <s v="Sand Point"/>
    <n v="2880"/>
    <n v="0"/>
    <n v="2880"/>
    <n v="0"/>
    <n v="0"/>
    <s v="AEA Village Assessment"/>
    <s v="PCE Eligible Active"/>
    <n v="0"/>
    <s v="TDXC"/>
    <x v="2"/>
    <s v="Aleutians East"/>
    <s v="Aleut"/>
    <x v="1"/>
  </r>
  <r>
    <s v="TDX Manley Generating LLC"/>
    <s v="Manley Hot Springs"/>
    <s v="Manley Hot Springs"/>
    <n v="486"/>
    <n v="0"/>
    <n v="486"/>
    <n v="0"/>
    <n v="0"/>
    <s v="AEA Village Assessment"/>
    <s v="PCE Eligible Active"/>
    <n v="0"/>
    <s v="TMG"/>
    <x v="5"/>
    <s v="Yukon-Koyukuk (CA)"/>
    <s v="Doyon"/>
    <x v="3"/>
  </r>
  <r>
    <s v="Tenakee Springs, City of"/>
    <s v="Tenakee Springs"/>
    <s v="Tenakee Springs"/>
    <n v="240"/>
    <n v="0"/>
    <n v="240"/>
    <n v="0"/>
    <n v="0"/>
    <s v="AEA Village Assessment"/>
    <s v="PCE Eligible Active"/>
    <n v="0"/>
    <s v="TENAS"/>
    <x v="3"/>
    <s v="Hoonah-Angoon (CA)"/>
    <s v="Sealaska"/>
    <x v="2"/>
  </r>
  <r>
    <s v="Tuluksak Traditional"/>
    <s v="Tuluksak"/>
    <s v="Tuluksak"/>
    <n v="795"/>
    <n v="0"/>
    <n v="795"/>
    <n v="0"/>
    <n v="0"/>
    <s v="AEA Village Assessment"/>
    <s v="PCE Eligible Active"/>
    <n v="0"/>
    <s v="TULUTPU"/>
    <x v="1"/>
    <s v="Bethel (CA)"/>
    <s v="Calista"/>
    <x v="1"/>
  </r>
  <r>
    <s v="Tuntutuliak Community"/>
    <s v="Tuntutuliak"/>
    <s v="Tuntutuliak"/>
    <n v="865"/>
    <n v="0"/>
    <n v="865"/>
    <n v="0"/>
    <n v="0"/>
    <s v="AEA Village Assessment"/>
    <s v="PCE Eligible Active"/>
    <n v="0"/>
    <s v="TUNTCSA"/>
    <x v="1"/>
    <s v="Bethel (CA)"/>
    <s v="Calista"/>
    <x v="1"/>
  </r>
  <r>
    <s v="Twin Hills Village Council"/>
    <s v="Twin Hills"/>
    <s v="Twin Hills"/>
    <n v="220"/>
    <n v="0"/>
    <n v="220"/>
    <n v="0"/>
    <n v="0"/>
    <s v="AEA Village Assessment"/>
    <s v="PCE Eligible Active"/>
    <n v="0"/>
    <s v="TWINHVC"/>
    <x v="9"/>
    <s v="Dillingham (CA)"/>
    <s v="Bristol Bay"/>
    <x v="1"/>
  </r>
  <r>
    <s v="Umnak Power Company"/>
    <s v="Nikolski"/>
    <s v="Nikolski"/>
    <n v="261"/>
    <n v="0"/>
    <n v="196"/>
    <n v="0"/>
    <n v="65"/>
    <s v="AEA Village Assessment"/>
    <s v="PCE Eligible Active"/>
    <n v="0"/>
    <s v="UMNAP"/>
    <x v="2"/>
    <s v="Aleutians West (CA)"/>
    <s v="Aleut"/>
    <x v="1"/>
  </r>
  <r>
    <s v="Unalakleet Valley Electric Cooperative"/>
    <s v="Unalakleet"/>
    <s v="Unalakleet"/>
    <n v="2600"/>
    <n v="0"/>
    <n v="2000"/>
    <n v="0"/>
    <n v="600"/>
    <s v="EIA-F860"/>
    <s v="PCE Eligible Active"/>
    <n v="0"/>
    <s v="UVEC"/>
    <x v="8"/>
    <s v="Nome (CA)"/>
    <s v="Bering Straits"/>
    <x v="4"/>
  </r>
  <r>
    <s v="Unalaska, City of"/>
    <s v="Dutch Harbor"/>
    <s v="Dutch Harbor"/>
    <n v="17500"/>
    <n v="0"/>
    <n v="17500"/>
    <n v="0"/>
    <n v="0"/>
    <s v="EIA-F860"/>
    <s v="PCE Eligible Active"/>
    <n v="0"/>
    <s v="UNALASKA"/>
    <x v="2"/>
    <s v="Aleutians West (CA)"/>
    <s v="Aleut"/>
    <x v="1"/>
  </r>
  <r>
    <s v="Unalaska, City of"/>
    <s v="Unalaska Power Module"/>
    <s v="Unalaska"/>
    <n v="1100"/>
    <n v="0"/>
    <n v="1100"/>
    <n v="0"/>
    <n v="0"/>
    <s v="EIA-F860"/>
    <s v="PCE Eligible Active"/>
    <n v="0"/>
    <s v="UNALASKA"/>
    <x v="2"/>
    <s v="Aleutians West (CA)"/>
    <s v="Aleut"/>
    <x v="1"/>
  </r>
  <r>
    <s v="Venetie Village Electric"/>
    <s v="Venetie"/>
    <s v="Venetie"/>
    <n v="495"/>
    <n v="0"/>
    <n v="495"/>
    <n v="0"/>
    <n v="0"/>
    <s v="AEA Village Assessment"/>
    <s v="PCE Eligible Inactive"/>
    <n v="0"/>
    <s v="VENEVE"/>
    <x v="5"/>
    <s v="Yukon-Koyukuk (CA)"/>
    <s v="Doyon"/>
    <x v="3"/>
  </r>
  <r>
    <s v="Venetie Village Electric"/>
    <s v="Venetie"/>
    <s v="Venetie"/>
    <n v="400"/>
    <n v="0"/>
    <n v="400"/>
    <n v="0"/>
    <n v="0"/>
    <s v="AEA"/>
    <s v="PCE Eligible Inactive"/>
    <n v="0"/>
    <s v="VENEVE"/>
    <x v="5"/>
    <s v="Yukon-Koyukuk (CA)"/>
    <s v="Doyon"/>
    <x v="3"/>
  </r>
  <r>
    <s v="White Mountain, City of"/>
    <s v="White Mountain"/>
    <s v="White Mountain"/>
    <n v="585"/>
    <n v="0"/>
    <n v="585"/>
    <n v="0"/>
    <n v="0"/>
    <s v="AEA Village Assessment"/>
    <s v="PCE Eligible Active"/>
    <n v="0"/>
    <s v="WHITMU"/>
    <x v="8"/>
    <s v="Nome (CA)"/>
    <s v="Bering Straits"/>
    <x v="4"/>
  </r>
  <r>
    <s v="Wrangell, City of"/>
    <s v="Wrangell"/>
    <s v="Wrangell"/>
    <n v="8500"/>
    <n v="0"/>
    <n v="8500"/>
    <n v="0"/>
    <n v="0"/>
    <s v="EIA-F860"/>
    <s v="PCE Ineligible"/>
    <n v="0"/>
    <s v="WRANGELL"/>
    <x v="3"/>
    <s v="Wrangell"/>
    <s v="Sealaska"/>
    <x v="2"/>
  </r>
  <r>
    <s v="Yakutat Power Inc"/>
    <s v="Yakutat"/>
    <s v="Yakutat"/>
    <n v="3700"/>
    <n v="0"/>
    <n v="3700"/>
    <n v="0"/>
    <n v="0"/>
    <s v="EIA-F860"/>
    <s v="PCE Eligible Active"/>
    <n v="0"/>
    <s v="YAKUP"/>
    <x v="3"/>
    <s v="Yakutat"/>
    <s v="Sealaska"/>
    <x v="2"/>
  </r>
</pivotCacheRecords>
</file>

<file path=xl/pivotCache/pivotCacheRecords5.xml><?xml version="1.0" encoding="utf-8"?>
<pivotCacheRecords xmlns="http://schemas.openxmlformats.org/spreadsheetml/2006/main" xmlns:r="http://schemas.openxmlformats.org/officeDocument/2006/relationships" count="184">
  <r>
    <s v="Akiachak Native Community"/>
    <s v="Akiachak"/>
    <n v="361.09303999999997"/>
    <n v="596.84799999999996"/>
    <n v="159.66667000000001"/>
    <n v="0.60499999999999998"/>
    <n v="111.199"/>
    <n v="183.8"/>
    <n v="22.25"/>
    <n v="0.60499999999999998"/>
    <n v="433.02027999999996"/>
    <n v="715.73599999999999"/>
    <n v="26.833333"/>
    <n v="0.60499999999999998"/>
    <n v="905.31232"/>
    <n v="1496.384"/>
    <n v="208.75000300000002"/>
    <n v="0.60499999999999998"/>
    <s v="PCE"/>
    <n v="0"/>
    <x v="0"/>
    <x v="0"/>
    <s v="Calista"/>
    <s v="SW"/>
  </r>
  <r>
    <s v="Akiak City Council"/>
    <s v="Akiak"/>
    <n v="180.58887000000001"/>
    <n v="286.649"/>
    <n v="92"/>
    <n v="0.63"/>
    <n v="259.59087"/>
    <n v="412.04899999999998"/>
    <n v="14.833333"/>
    <n v="0.63"/>
    <n v="88.946550000000002"/>
    <n v="141.185"/>
    <n v="12.9166667"/>
    <n v="0.63"/>
    <n v="529.12629000000004"/>
    <n v="839.88300000000004"/>
    <n v="119.74999969999999"/>
    <n v="0.63"/>
    <s v="PCE"/>
    <n v="0"/>
    <x v="0"/>
    <x v="0"/>
    <s v="Calista"/>
    <s v="SW"/>
  </r>
  <r>
    <s v="Akutan, City of"/>
    <s v="Akutan"/>
    <n v="66.596785999999994"/>
    <n v="206.18199999999999"/>
    <n v="41"/>
    <n v="0.32300000000000001"/>
    <n v="63.038294999999998"/>
    <n v="195.16499999999999"/>
    <n v="17"/>
    <n v="0.32300000000000001"/>
    <n v="30.813554"/>
    <n v="95.397999999999996"/>
    <n v="11"/>
    <n v="0.32300000000000001"/>
    <n v="160.448635"/>
    <n v="496.745"/>
    <n v="69"/>
    <n v="0.32300000000000001"/>
    <s v="PCE"/>
    <n v="0"/>
    <x v="1"/>
    <x v="1"/>
    <s v="Aleut"/>
    <s v="SW"/>
  </r>
  <r>
    <s v="Alaska Electric Light &amp; Power Company"/>
    <s v="Juneau"/>
    <n v="16931"/>
    <n v="139936"/>
    <n v="13842"/>
    <n v="0.12099"/>
    <n v="12721"/>
    <n v="126493"/>
    <n v="2166"/>
    <n v="0.10057000000000001"/>
    <n v="9273"/>
    <n v="98281"/>
    <n v="94"/>
    <n v="9.4350000000000003E-2"/>
    <n v="38925"/>
    <n v="364710"/>
    <n v="16102"/>
    <n v="0.10672863370897426"/>
    <s v="EIA"/>
    <n v="0"/>
    <x v="2"/>
    <x v="2"/>
    <s v="Sealaska"/>
    <s v="SE"/>
  </r>
  <r>
    <s v="Alaska Power &amp; Telephone Company"/>
    <s v="Allakaket, Alatna"/>
    <n v="186.02821575000002"/>
    <n v="216.57"/>
    <n v="75.416663999999997"/>
    <n v="0.85897500000000004"/>
    <n v="138.23828265"/>
    <n v="160.934"/>
    <n v="18.583334000000001"/>
    <n v="0.85897500000000004"/>
    <n v="192.38033587500001"/>
    <n v="223.965"/>
    <n v="16.833333"/>
    <n v="0.85897500000000004"/>
    <n v="516.64683427500006"/>
    <n v="601.46900000000005"/>
    <n v="110.833331"/>
    <n v="0.85897500000000004"/>
    <s v="PCE"/>
    <s v="Provides power to Alatna via intertie. Data includes Alatna's information."/>
    <x v="3"/>
    <x v="3"/>
    <s v="Doyon"/>
    <s v="YU"/>
  </r>
  <r>
    <s v="Alaska Power &amp; Telephone Company"/>
    <s v="Bettles, Evansville"/>
    <n v="81.19126399999999"/>
    <n v="127.82"/>
    <n v="33"/>
    <n v="0.63519999999999999"/>
    <n v="39.6631584"/>
    <n v="62.442"/>
    <n v="10.083333"/>
    <n v="0.63519999999999999"/>
    <n v="215.26165759999998"/>
    <n v="338.88799999999998"/>
    <n v="21.333334000000001"/>
    <n v="0.63519999999999999"/>
    <n v="336.11607999999995"/>
    <n v="529.15"/>
    <n v="64.41666699999999"/>
    <n v="0.63519999999999999"/>
    <s v="PCE"/>
    <s v="Provides power to Evansville via intertie. Data includes Evansville's information."/>
    <x v="3"/>
    <x v="3"/>
    <s v="Doyon"/>
    <s v="YU"/>
  </r>
  <r>
    <s v="Alaska Power &amp; Telephone Company"/>
    <s v="Chistochina"/>
    <n v="107.71860821535002"/>
    <n v="160.39500000000001"/>
    <n v="48.166668000000001"/>
    <n v="0.67158333000000003"/>
    <n v="86.766551486010002"/>
    <n v="129.197"/>
    <n v="13.333333"/>
    <n v="0.67158333000000003"/>
    <n v="39.335978804760003"/>
    <n v="58.572000000000003"/>
    <n v="3"/>
    <n v="0.67158333000000003"/>
    <n v="233.82113850612004"/>
    <n v="348.16399999999999"/>
    <n v="64.500000999999997"/>
    <n v="0.67158333000000003"/>
    <s v="PCE"/>
    <s v="Receives power from Slana via intertie."/>
    <x v="4"/>
    <x v="4"/>
    <s v="Ahtna"/>
    <s v="YU"/>
  </r>
  <r>
    <s v="Alaska Power &amp; Telephone Company"/>
    <s v="Coffman Cove"/>
    <n v="250.14526430360999"/>
    <n v="536.08299999999997"/>
    <n v="148.08332999999999"/>
    <n v="0.46661667000000001"/>
    <n v="51.710925986070002"/>
    <n v="110.821"/>
    <n v="29.166665999999999"/>
    <n v="0.46661667000000001"/>
    <n v="65.335666133400011"/>
    <n v="140.02000000000001"/>
    <n v="13"/>
    <n v="0.46661667000000001"/>
    <n v="367.19185642308003"/>
    <n v="786.92399999999998"/>
    <n v="190.24999599999998"/>
    <n v="0.46661667000000001"/>
    <s v="PCE"/>
    <s v="Part of the Alaska Power Company's grid on Prince of Wales Island."/>
    <x v="2"/>
    <x v="5"/>
    <s v="Sealaska"/>
    <s v="SE"/>
  </r>
  <r>
    <s v="Alaska Power &amp; Telephone Company"/>
    <s v="Craig"/>
    <n v="917.8634805352799"/>
    <n v="3820.5839999999998"/>
    <n v="655.25"/>
    <n v="0.24024166999999999"/>
    <n v="1353.2142996840698"/>
    <n v="5632.7209999999995"/>
    <n v="293.16665999999998"/>
    <n v="0.24024166999999999"/>
    <n v="529.03113643193001"/>
    <n v="2202.0790000000002"/>
    <n v="73.333334000000008"/>
    <n v="0.24024166999999999"/>
    <n v="2800.1089166512797"/>
    <n v="11655.384"/>
    <n v="1021.749994"/>
    <n v="0.24024166999999999"/>
    <s v="PCE"/>
    <s v="Provides power to Hollis, Klawock, Thorne Bay/Kasaan and Hydaburg via intertie."/>
    <x v="2"/>
    <x v="5"/>
    <s v="Sealaska"/>
    <s v="SE"/>
  </r>
  <r>
    <s v="Alaska Power &amp; Telephone Company"/>
    <s v="Dot Lake, Dot Lake Village"/>
    <n v="49.259412001480001"/>
    <n v="100.444"/>
    <n v="24.5"/>
    <n v="0.49041667"/>
    <n v="49.398199919090004"/>
    <n v="100.727"/>
    <n v="14.166667"/>
    <n v="0.49041667"/>
    <n v="72.098606740049988"/>
    <n v="147.01499999999999"/>
    <n v="5.25"/>
    <n v="0.49041667"/>
    <n v="170.75621866061999"/>
    <n v="348.18599999999998"/>
    <n v="43.916667000000004"/>
    <n v="0.49041667"/>
    <s v="PCE"/>
    <s v="Receives power form Tok via intertie. Dot Lake's data includes Dot Lake Village's information. For fuel use and cost information, please refer to Tok."/>
    <x v="3"/>
    <x v="6"/>
    <s v="Doyon"/>
    <s v="YU"/>
  </r>
  <r>
    <s v="Alaska Power &amp; Telephone Company"/>
    <s v="Eagle, Eagle Village"/>
    <n v="201.86788920000001"/>
    <n v="339.50200000000001"/>
    <n v="132.5"/>
    <n v="0.59460000000000002"/>
    <n v="69.449874600000001"/>
    <n v="116.801"/>
    <n v="19.5"/>
    <n v="0.59460000000000002"/>
    <n v="126.80855820000001"/>
    <n v="213.267"/>
    <n v="24.416665999999999"/>
    <n v="0.59460000000000002"/>
    <n v="398.12632200000002"/>
    <n v="669.56999999999994"/>
    <n v="176.41666599999999"/>
    <n v="0.59460000000000002"/>
    <s v="PCE"/>
    <s v="Provides power to Eagle Village via intertie. Data includes Eagle Village's information."/>
    <x v="3"/>
    <x v="6"/>
    <s v="Doyon"/>
    <s v="YU"/>
  </r>
  <r>
    <s v="Alaska Power &amp; Telephone Company"/>
    <s v="Haines, Skagway"/>
    <n v="1218.4475607035902"/>
    <n v="5533.5770000000002"/>
    <n v="1053.8334"/>
    <n v="0.22019167000000001"/>
    <n v="1076.9904867205"/>
    <n v="4891.1499999999996"/>
    <n v="328.58334000000002"/>
    <n v="0.22019167000000001"/>
    <n v="516.21118578124003"/>
    <n v="2344.3719999999998"/>
    <n v="49.25"/>
    <n v="0.22019167000000001"/>
    <n v="2811.6492332053303"/>
    <n v="12769.098999999998"/>
    <n v="1431.6667400000001"/>
    <n v="0.22019167000000001"/>
    <s v="PCE"/>
    <s v="Plant is also referred to as Lutak. Part of the Alaska Power Company's grid in the Upper Lynn Canal service area."/>
    <x v="2"/>
    <x v="7"/>
    <s v="Sealaska"/>
    <s v="SE"/>
  </r>
  <r>
    <s v="Alaska Power &amp; Telephone Company"/>
    <s v="Healy Lake"/>
    <n v="22.290545123220003"/>
    <n v="26.966000000000001"/>
    <n v="8"/>
    <n v="0.82661667000000005"/>
    <n v="26.731129874460002"/>
    <n v="32.338000000000001"/>
    <n v="7.0833335000000002"/>
    <n v="0.82661667000000005"/>
    <n v="10.12688082417"/>
    <n v="12.250999999999999"/>
    <n v="3.66666669"/>
    <n v="0.82661667000000005"/>
    <n v="59.14855582185001"/>
    <n v="71.555000000000007"/>
    <n v="18.750000190000002"/>
    <n v="0.82661667000000005"/>
    <s v="PCE"/>
    <n v="0"/>
    <x v="3"/>
    <x v="6"/>
    <s v="Doyon"/>
    <s v="YU"/>
  </r>
  <r>
    <s v="Alaska Power &amp; Telephone Company"/>
    <s v="Hollis"/>
    <n v="137.80122764999999"/>
    <n v="573.63400000000001"/>
    <n v="114.08334000000001"/>
    <n v="0.24022499999999999"/>
    <n v="66.525028800000001"/>
    <n v="276.928"/>
    <n v="13.833333"/>
    <n v="0.24022499999999999"/>
    <n v="11.6384208"/>
    <n v="48.448"/>
    <n v="8"/>
    <n v="0.24022499999999999"/>
    <n v="215.96467724999999"/>
    <n v="899.01"/>
    <n v="135.916673"/>
    <n v="0.24022499999999999"/>
    <s v="PCE"/>
    <s v="Part of the Alaska Power Company's grid on Prince of Wales Island. Receives power from Craig. Refer to Craig for fuel use and cost."/>
    <x v="2"/>
    <x v="5"/>
    <s v="Sealaska"/>
    <s v="SE"/>
  </r>
  <r>
    <s v="Alaska Power &amp; Telephone Company"/>
    <s v="Hydaburg"/>
    <n v="163.68153799552002"/>
    <n v="681.34400000000005"/>
    <n v="122.58334000000001"/>
    <n v="0.24023332999999999"/>
    <n v="67.885374624730005"/>
    <n v="282.58100000000002"/>
    <n v="35.416668000000001"/>
    <n v="0.24023332999999999"/>
    <n v="98.551399432560004"/>
    <n v="410.23200000000003"/>
    <n v="19.75"/>
    <n v="0.24023332999999999"/>
    <n v="330.11831205281004"/>
    <n v="1374.1570000000002"/>
    <n v="177.75000800000001"/>
    <n v="0.24023332999999999"/>
    <s v="PCE"/>
    <s v="Part of the Alaska Power Company's grid on Prince of Wales Island. Receives power from Craig. Refer to Craig for fuel use and cost."/>
    <x v="2"/>
    <x v="5"/>
    <s v="Sealaska"/>
    <s v="SE"/>
  </r>
  <r>
    <s v="Alaska Power &amp; Telephone Company"/>
    <s v="Klawock"/>
    <n v="551.87049197591"/>
    <n v="2297.2269999999999"/>
    <n v="368"/>
    <n v="0.24023332999999999"/>
    <n v="1196.44918809879"/>
    <n v="4980.3630000000003"/>
    <n v="113.83334000000001"/>
    <n v="0.24023332999999999"/>
    <n v="251.94014040422999"/>
    <n v="1048.731"/>
    <n v="35.083334000000001"/>
    <n v="0.24023332999999999"/>
    <n v="2000.2598204789301"/>
    <n v="8326.3209999999999"/>
    <n v="516.91667400000006"/>
    <n v="0.24023332999999999"/>
    <s v="PCE"/>
    <s v="Part of the Alaska Power Company's grid on Prince of Wales Island. Receives power from Craig. Refer to Craig for fuel use and cost."/>
    <x v="2"/>
    <x v="5"/>
    <s v="Sealaska"/>
    <s v="SE"/>
  </r>
  <r>
    <s v="Alaska Power &amp; Telephone Company"/>
    <s v="Mentasta Lake"/>
    <n v="98.399969421379993"/>
    <n v="146.41399999999999"/>
    <n v="47.25"/>
    <n v="0.67206666999999998"/>
    <n v="74.246565368249989"/>
    <n v="110.47499999999999"/>
    <n v="10.666667"/>
    <n v="0.67206666999999998"/>
    <n v="66.447903729570001"/>
    <n v="98.870999999999995"/>
    <n v="8"/>
    <n v="0.67206666999999998"/>
    <n v="239.09443851919997"/>
    <n v="355.76"/>
    <n v="65.916667000000004"/>
    <n v="0.67206666999999998"/>
    <s v="PCE"/>
    <n v="0"/>
    <x v="4"/>
    <x v="4"/>
    <s v="Ahtna"/>
    <s v="YU"/>
  </r>
  <r>
    <s v="Alaska Power &amp; Telephone Company"/>
    <s v="Naukati Bay"/>
    <n v="163.54030830277"/>
    <n v="295.83100000000002"/>
    <n v="60.25"/>
    <n v="0.55281667000000001"/>
    <n v="31.704036024500002"/>
    <n v="57.35"/>
    <n v="7.3333335000000002"/>
    <n v="0.55281667000000001"/>
    <n v="39.736462239600002"/>
    <n v="71.88"/>
    <n v="1.00000003"/>
    <n v="0.55281667000000001"/>
    <n v="234.98080656687"/>
    <n v="425.06100000000004"/>
    <n v="68.58333352999999"/>
    <n v="0.55281667000000001"/>
    <s v="PCE"/>
    <n v="0"/>
    <x v="2"/>
    <x v="5"/>
    <s v="Sealaska"/>
    <s v="SE"/>
  </r>
  <r>
    <s v="Alaska Power &amp; Telephone Company"/>
    <s v="Northway, Northway Village"/>
    <n v="237.94695462601999"/>
    <n v="357.80599999999998"/>
    <n v="87.416663999999997"/>
    <n v="0.66501666999999998"/>
    <n v="323.76935093953"/>
    <n v="486.85899999999998"/>
    <n v="20.416665999999999"/>
    <n v="0.66501666999999998"/>
    <n v="226.77467457001998"/>
    <n v="341.00599999999997"/>
    <n v="16.833333"/>
    <n v="0.66501666999999998"/>
    <n v="788.49098013557"/>
    <n v="1185.6709999999998"/>
    <n v="124.66666299999999"/>
    <n v="0.66501666999999998"/>
    <s v="PCE"/>
    <s v="Provides power to Northway Village via intertie. Data includes Northway Village's information."/>
    <x v="3"/>
    <x v="6"/>
    <s v="Doyon"/>
    <s v="YU"/>
  </r>
  <r>
    <s v="Alaska Power &amp; Telephone Company"/>
    <s v="Slana, Chistochina"/>
    <n v="192.06655021340001"/>
    <n v="285.98"/>
    <n v="79.833336000000003"/>
    <n v="0.67160832999999998"/>
    <n v="57.478255706389994"/>
    <n v="85.582999999999998"/>
    <n v="11"/>
    <n v="0.67160832999999998"/>
    <n v="106.5372293879"/>
    <n v="158.63"/>
    <n v="5.9166664999999998"/>
    <n v="0.67160832999999998"/>
    <n v="356.08203530769003"/>
    <n v="530.19299999999998"/>
    <n v="96.750002500000008"/>
    <n v="0.67160832999999998"/>
    <s v="PCE"/>
    <s v="Provides power to Chistochina via intertie. Includes Chistochina's fuel use and fuel cost."/>
    <x v="4"/>
    <x v="4"/>
    <s v="Ahtna"/>
    <s v="YU"/>
  </r>
  <r>
    <s v="Alaska Power &amp; Telephone Company"/>
    <s v="Tetlin"/>
    <n v="80.017630822810005"/>
    <n v="163.15700000000001"/>
    <n v="43.833331999999999"/>
    <n v="0.49043333"/>
    <n v="8.4099507428399995"/>
    <n v="17.148"/>
    <n v="4.75"/>
    <n v="0.49043333"/>
    <n v="74.720460425479999"/>
    <n v="152.35599999999999"/>
    <n v="6"/>
    <n v="0.49043333"/>
    <n v="163.14804199113001"/>
    <n v="332.661"/>
    <n v="54.583331999999999"/>
    <n v="0.49043333"/>
    <s v="PCE"/>
    <s v="Receives power from Tok via intertie. For fuel use and cost information please refer to Tok."/>
    <x v="3"/>
    <x v="6"/>
    <s v="Dyon"/>
    <s v="YU"/>
  </r>
  <r>
    <s v="Alaska Power &amp; Telephone Company"/>
    <s v="Thorne Bay, Kasaan"/>
    <n v="320.47604099999995"/>
    <n v="1334.2049999999999"/>
    <n v="284.75"/>
    <n v="0.2402"/>
    <n v="233.263024"/>
    <n v="971.12"/>
    <n v="103.83334000000001"/>
    <n v="0.2402"/>
    <n v="208.57670920000001"/>
    <n v="868.346"/>
    <n v="54.333331999999999"/>
    <n v="0.2402"/>
    <n v="762.31577419999996"/>
    <n v="3173.6709999999998"/>
    <n v="442.91667200000001"/>
    <n v="0.2402"/>
    <s v="PCE"/>
    <s v="Part of the Alaska Power Company's grid on Prince of Wales Island. Receives power from Craig. Refer to Craig for fuel use and cost. Includes data for Kaasan."/>
    <x v="2"/>
    <x v="5"/>
    <s v="Sealaska"/>
    <s v="SE"/>
  </r>
  <r>
    <s v="Alaska Power &amp; Telephone Company"/>
    <s v="Tok, Tanacross"/>
    <n v="1980.1717356906602"/>
    <n v="4037.8020000000001"/>
    <n v="749"/>
    <n v="0.49040833"/>
    <n v="1401.26529927552"/>
    <n v="2857.3440000000001"/>
    <n v="172.25"/>
    <n v="0.49040833"/>
    <n v="796.96502912464996"/>
    <n v="1625.105"/>
    <n v="48"/>
    <n v="0.49040833"/>
    <n v="4178.4020640908302"/>
    <n v="8520.2510000000002"/>
    <n v="969.25"/>
    <n v="0.49040833"/>
    <s v="PCE"/>
    <s v="Provides power to Tanacross, Tetlin and Dot Lake via intertie. Includes Tanacross' information. Fuel use and cost also includes Tetlin's and Dot Lake's information."/>
    <x v="3"/>
    <x v="6"/>
    <s v="Doyon"/>
    <s v="YU"/>
  </r>
  <r>
    <s v="Alaska Power &amp; Telephone Company"/>
    <s v="Whale Pass"/>
    <n v="95.66500520000001"/>
    <n v="159.56800000000001"/>
    <n v="59.5"/>
    <n v="0.59952499999999997"/>
    <n v="33.669323999999996"/>
    <n v="56.16"/>
    <n v="8.5"/>
    <n v="0.59952499999999997"/>
    <n v="8.0694430095325007"/>
    <n v="13.459727300000001"/>
    <n v="4.6666667000000004"/>
    <n v="0.59952499999999997"/>
    <n v="137.40377220953252"/>
    <n v="229.18772730000001"/>
    <n v="72.666666700000007"/>
    <n v="0.59952499999999997"/>
    <s v="PCE"/>
    <n v="0"/>
    <x v="2"/>
    <x v="5"/>
    <s v="Sealaska"/>
    <s v="SE"/>
  </r>
  <r>
    <s v="Alaska Village Electric Cooperative"/>
    <s v="Alakanuk"/>
    <n v="459.27950264999998"/>
    <n v="774.56700000000001"/>
    <n v="145"/>
    <n v="0.59294999999999998"/>
    <n v="135.73123577999999"/>
    <n v="228.9084"/>
    <n v="17.75"/>
    <n v="0.59294999999999998"/>
    <n v="549.51522660000001"/>
    <n v="926.74800000000005"/>
    <n v="18.750000499999999"/>
    <n v="0.59294999999999998"/>
    <n v="1144.52596503"/>
    <n v="1930.2234000000001"/>
    <n v="181.5000005"/>
    <n v="0.59294999999999998"/>
    <s v="PCE"/>
    <n v="0"/>
    <x v="0"/>
    <x v="8"/>
    <s v="Calista"/>
    <s v="YU"/>
  </r>
  <r>
    <s v="Alaska Village Electric Cooperative"/>
    <s v="Ambler"/>
    <n v="264.89135096885997"/>
    <n v="419.34199999999998"/>
    <n v="87.833336000000003"/>
    <n v="0.63168332999999999"/>
    <n v="75.140627153490001"/>
    <n v="118.953"/>
    <n v="11.25"/>
    <n v="0.63168332999999999"/>
    <n v="445.19588226741001"/>
    <n v="704.77700000000004"/>
    <n v="19.416666499999998"/>
    <n v="0.63168332999999999"/>
    <n v="785.22786038976005"/>
    <n v="1243.0720000000001"/>
    <n v="118.50000249999999"/>
    <n v="0.63168332999999999"/>
    <s v="PCE"/>
    <n v="0"/>
    <x v="5"/>
    <x v="9"/>
    <s v="NANA"/>
    <s v="AN"/>
  </r>
  <r>
    <s v="Alaska Village Electric Cooperative"/>
    <s v="Anvik"/>
    <n v="94.528664666520001"/>
    <n v="159.95599999999999"/>
    <n v="56.666668000000001"/>
    <n v="0.59096667000000003"/>
    <n v="33.050401986420006"/>
    <n v="55.926000000000002"/>
    <n v="8.5"/>
    <n v="0.59096667000000003"/>
    <n v="102.05698907564999"/>
    <n v="172.69499999999999"/>
    <n v="21.25"/>
    <n v="0.59096667000000003"/>
    <n v="229.63605572859001"/>
    <n v="388.577"/>
    <n v="86.416668000000001"/>
    <n v="0.59096667000000003"/>
    <s v="PCE"/>
    <n v="0"/>
    <x v="3"/>
    <x v="3"/>
    <s v="Doyon"/>
    <s v="YU"/>
  </r>
  <r>
    <s v="Alaska Village Electric Cooperative"/>
    <s v="Brevig Mission"/>
    <n v="270.09819441377999"/>
    <n v="504.13400000000001"/>
    <n v="103.41665999999999"/>
    <n v="0.53576667"/>
    <n v="73.181440988640006"/>
    <n v="136.59200000000001"/>
    <n v="7.4166664999999998"/>
    <n v="0.53576667"/>
    <n v="270.51716394971999"/>
    <n v="504.916"/>
    <n v="19.499999500000001"/>
    <n v="0.53576667"/>
    <n v="613.79679935213994"/>
    <n v="1145.6420000000001"/>
    <n v="130.333326"/>
    <n v="0.53576667"/>
    <s v="PCE"/>
    <n v="0"/>
    <x v="6"/>
    <x v="10"/>
    <s v="Bering Straits"/>
    <s v="AN"/>
  </r>
  <r>
    <s v="Alaska Village Electric Cooperative"/>
    <s v="Chevak"/>
    <n v="494.60851620481003"/>
    <n v="1021.057"/>
    <n v="182.41667000000001"/>
    <n v="0.48440833"/>
    <n v="183.7167032358"/>
    <n v="379.26"/>
    <n v="17"/>
    <n v="0.48440833"/>
    <n v="449.87050047933002"/>
    <n v="928.70100000000002"/>
    <n v="22"/>
    <n v="0.48440833"/>
    <n v="1128.1957199199401"/>
    <n v="2329.018"/>
    <n v="221.41667000000001"/>
    <n v="0.48440833"/>
    <s v="PCE"/>
    <n v="0"/>
    <x v="0"/>
    <x v="8"/>
    <s v="Calista"/>
    <s v="YU"/>
  </r>
  <r>
    <s v="Alaska Village Electric Cooperative"/>
    <s v="Eek"/>
    <n v="209.92036712500001"/>
    <n v="347.79500000000002"/>
    <n v="97.583336000000003"/>
    <n v="0.60357499999999997"/>
    <n v="85.637635299999985"/>
    <n v="141.88399999999999"/>
    <n v="12.333333"/>
    <n v="0.60357499999999997"/>
    <n v="171.21189522500001"/>
    <n v="283.66300000000001"/>
    <n v="17.416667"/>
    <n v="0.60357499999999997"/>
    <n v="466.76989764999996"/>
    <n v="773.34199999999998"/>
    <n v="127.333336"/>
    <n v="0.60357499999999997"/>
    <s v="PCE"/>
    <n v="0"/>
    <x v="0"/>
    <x v="0"/>
    <s v="Calista"/>
    <s v="SW"/>
  </r>
  <r>
    <s v="Alaska Village Electric Cooperative"/>
    <s v="Ekwok"/>
    <n v="75.986324225999994"/>
    <n v="102.58717999999999"/>
    <n v="43.015152"/>
    <n v="0.74070000000000003"/>
    <n v="86.077961748000007"/>
    <n v="116.21164"/>
    <n v="23.469695999999999"/>
    <n v="0.74070000000000003"/>
    <n v="24.840182307419997"/>
    <n v="33.536090599999994"/>
    <n v="5.7575757000000003"/>
    <n v="0.74070000000000003"/>
    <n v="186.90446828142001"/>
    <n v="252.33491059999997"/>
    <n v="72.242423700000003"/>
    <n v="0.74070000000000003"/>
    <s v="PCE"/>
    <n v="0"/>
    <x v="7"/>
    <x v="11"/>
    <s v="Bristol Bay"/>
    <s v="SW"/>
  </r>
  <r>
    <s v="Alaska Village Electric Cooperative"/>
    <s v="Elim"/>
    <n v="271.50000415"/>
    <n v="462.16699999999997"/>
    <n v="103.08334000000001"/>
    <n v="0.58745000000000003"/>
    <n v="136.47873380000001"/>
    <n v="232.32400000000001"/>
    <n v="12.5"/>
    <n v="0.58745000000000003"/>
    <n v="244.66587560000002"/>
    <n v="416.488"/>
    <n v="22"/>
    <n v="0.58745000000000003"/>
    <n v="652.64461355000003"/>
    <n v="1110.979"/>
    <n v="137.58334000000002"/>
    <n v="0.58745000000000003"/>
    <s v="PCE"/>
    <n v="0"/>
    <x v="6"/>
    <x v="10"/>
    <s v="Bering Straits"/>
    <s v="AN"/>
  </r>
  <r>
    <s v="Alaska Village Electric Cooperative"/>
    <s v="Emmonak"/>
    <n v="596.33566980000001"/>
    <n v="1082.328"/>
    <n v="198.16667000000001"/>
    <n v="0.55097499999999999"/>
    <n v="453.87667575"/>
    <n v="823.77"/>
    <n v="32.916668000000001"/>
    <n v="0.55097499999999999"/>
    <n v="634.48958660000005"/>
    <n v="1151.576"/>
    <n v="29.666667"/>
    <n v="0.55097499999999999"/>
    <n v="1684.7019321500002"/>
    <n v="3057.674"/>
    <n v="260.75000500000004"/>
    <n v="0.55097499999999999"/>
    <s v="PCE"/>
    <n v="0"/>
    <x v="0"/>
    <x v="8"/>
    <s v="Calista"/>
    <s v="YU"/>
  </r>
  <r>
    <s v="Alaska Village Electric Cooperative"/>
    <s v="Gambell"/>
    <n v="374.16600267728001"/>
    <n v="716.81600000000003"/>
    <n v="154.83332999999999"/>
    <n v="0.52198332999999997"/>
    <n v="173.78025617359"/>
    <n v="332.923"/>
    <n v="13.666667"/>
    <n v="0.52198332999999997"/>
    <n v="379.23289486159001"/>
    <n v="726.52300000000002"/>
    <n v="20.166665999999999"/>
    <n v="0.52198332999999997"/>
    <n v="927.17915371245999"/>
    <n v="1776.2620000000002"/>
    <n v="188.66666299999997"/>
    <n v="0.52198332999999997"/>
    <s v="PCE"/>
    <n v="0"/>
    <x v="6"/>
    <x v="10"/>
    <s v="Bering Straits"/>
    <s v="AN"/>
  </r>
  <r>
    <s v="Alaska Village Electric Cooperative"/>
    <s v="Goodnews Bay"/>
    <n v="217.59727320000002"/>
    <n v="368.93400000000003"/>
    <n v="80.083336000000003"/>
    <n v="0.58979999999999999"/>
    <n v="80.132103564000005"/>
    <n v="135.86318"/>
    <n v="8.3863640000000004"/>
    <n v="0.58979999999999999"/>
    <n v="152.69096280000002"/>
    <n v="258.88600000000002"/>
    <n v="17.666667"/>
    <n v="0.58979999999999999"/>
    <n v="450.42033956400002"/>
    <n v="763.68317999999999"/>
    <n v="106.13636700000001"/>
    <n v="0.58979999999999999"/>
    <s v="PCE"/>
    <n v="0"/>
    <x v="0"/>
    <x v="0"/>
    <s v="Calista"/>
    <s v="SW"/>
  </r>
  <r>
    <s v="Alaska Village Electric Cooperative"/>
    <s v="Grayling"/>
    <n v="116.95493483106999"/>
    <n v="210.679"/>
    <n v="81.666663999999997"/>
    <n v="0.55513332999999998"/>
    <n v="59.35652104359"/>
    <n v="106.923"/>
    <n v="11"/>
    <n v="0.55513332999999998"/>
    <n v="127.60960883376001"/>
    <n v="229.87200000000001"/>
    <n v="15.5"/>
    <n v="0.55513332999999998"/>
    <n v="303.92106470841998"/>
    <n v="547.47399999999993"/>
    <n v="108.166664"/>
    <n v="0.55513332999999998"/>
    <s v="PCE"/>
    <n v="0"/>
    <x v="3"/>
    <x v="3"/>
    <s v="Doyon"/>
    <s v="YU"/>
  </r>
  <r>
    <s v="Alaska Village Electric Cooperative"/>
    <s v="Holy Cross"/>
    <n v="169.73344839430004"/>
    <n v="318.29000000000002"/>
    <n v="79.916663999999997"/>
    <n v="0.53326667000000005"/>
    <n v="25.625596560180004"/>
    <n v="48.054000000000002"/>
    <n v="7.1666664999999998"/>
    <n v="0.53326667000000005"/>
    <n v="126.20395665554001"/>
    <n v="236.66200000000001"/>
    <n v="16.749999500000001"/>
    <n v="0.53326667000000005"/>
    <n v="321.56300161002008"/>
    <n v="603.00600000000009"/>
    <n v="103.83333"/>
    <n v="0.53326667000000005"/>
    <s v="PCE"/>
    <n v="0"/>
    <x v="3"/>
    <x v="3"/>
    <s v="Doyon"/>
    <s v="YU"/>
  </r>
  <r>
    <s v="Alaska Village Electric Cooperative"/>
    <s v="Hooper Bay"/>
    <n v="611.11761810000007"/>
    <n v="1181.2460000000001"/>
    <n v="244.33332999999999"/>
    <n v="0.51734999999999998"/>
    <n v="297.03546779999999"/>
    <n v="574.14800000000002"/>
    <n v="18.75"/>
    <n v="0.51734999999999998"/>
    <n v="633.40764284999989"/>
    <n v="1224.3309999999999"/>
    <n v="27.416667"/>
    <n v="0.51734999999999998"/>
    <n v="1541.56072875"/>
    <n v="2979.7250000000004"/>
    <n v="290.49999700000001"/>
    <n v="0.51734999999999998"/>
    <s v="PCE"/>
    <n v="0"/>
    <x v="0"/>
    <x v="8"/>
    <s v="Calista"/>
    <s v="YU"/>
  </r>
  <r>
    <s v="Alaska Village Electric Cooperative"/>
    <s v="Huslia"/>
    <n v="293.21707396344999"/>
    <n v="539.03499999999997"/>
    <n v="90.25"/>
    <n v="0.54396666999999999"/>
    <n v="30.54808025386"/>
    <n v="56.158000000000001"/>
    <n v="9"/>
    <n v="0.54396666999999999"/>
    <n v="215.89057992293999"/>
    <n v="396.88200000000001"/>
    <n v="21.749999500000001"/>
    <n v="0.54396666999999999"/>
    <n v="539.65573414024993"/>
    <n v="992.07500000000005"/>
    <n v="120.9999995"/>
    <n v="0.54396666999999999"/>
    <s v="PCE"/>
    <n v="0"/>
    <x v="3"/>
    <x v="3"/>
    <s v="Doyon"/>
    <s v="YU"/>
  </r>
  <r>
    <s v="Alaska Village Electric Cooperative"/>
    <s v="Kalskag, Lower Kalskag"/>
    <n v="200.29327185"/>
    <n v="345.363"/>
    <n v="74.833336000000003"/>
    <n v="0.57994999999999997"/>
    <n v="96.563994799999989"/>
    <n v="166.50399999999999"/>
    <n v="11.681818"/>
    <n v="0.57994999999999997"/>
    <n v="247.43645623199998"/>
    <n v="426.65136000000001"/>
    <n v="21.416667"/>
    <n v="0.57994999999999997"/>
    <n v="544.293722882"/>
    <n v="938.51836000000003"/>
    <n v="107.931821"/>
    <n v="0.57994999999999997"/>
    <s v="PCE"/>
    <s v="Provides power to Lower Kalskag via intertie. Fuel use and cost data includes information for Lower Kalskag."/>
    <x v="0"/>
    <x v="0"/>
    <s v="Calista"/>
    <s v="SW"/>
  </r>
  <r>
    <s v="Alaska Village Electric Cooperative"/>
    <s v="Kaltag"/>
    <n v="154.09342257126997"/>
    <n v="296.38099999999997"/>
    <n v="76.25"/>
    <n v="0.51991666999999997"/>
    <n v="32.483353708259997"/>
    <n v="62.478000000000002"/>
    <n v="14.666667"/>
    <n v="0.51991666999999997"/>
    <n v="169.82454125545999"/>
    <n v="326.63799999999998"/>
    <n v="19.083333"/>
    <n v="0.51991666999999997"/>
    <n v="356.40131753498997"/>
    <n v="685.49699999999996"/>
    <n v="110"/>
    <n v="0.51991666999999997"/>
    <s v="PCE"/>
    <n v="0"/>
    <x v="3"/>
    <x v="3"/>
    <s v="Doyon"/>
    <s v="YU"/>
  </r>
  <r>
    <s v="Alaska Village Electric Cooperative"/>
    <s v="Kasigluk, Nunapitchuk"/>
    <n v="324.03442525834998"/>
    <n v="609.995"/>
    <n v="124.75"/>
    <n v="0.53120833000000001"/>
    <n v="198.51255292100001"/>
    <n v="373.7"/>
    <n v="18.916665999999999"/>
    <n v="0.53120833000000001"/>
    <n v="303.89100538475003"/>
    <n v="572.07500000000005"/>
    <n v="19.833333"/>
    <n v="0.53120833000000001"/>
    <n v="826.43798356410002"/>
    <n v="1555.77"/>
    <n v="163.499999"/>
    <n v="0.53120833000000001"/>
    <s v="PCE"/>
    <s v="Provides power to Nunapitchuk via intertie.  Fuel use and cost includes Nunapitchuk's information."/>
    <x v="0"/>
    <x v="0"/>
    <s v="Calista"/>
    <s v="SW"/>
  </r>
  <r>
    <s v="Alaska Village Electric Cooperative"/>
    <s v="Kiana"/>
    <n v="390.93329600000004"/>
    <n v="599.93600000000004"/>
    <n v="123.75"/>
    <n v="0.65162500000000001"/>
    <n v="126.72151375"/>
    <n v="194.47"/>
    <n v="12.416667"/>
    <n v="0.65162500000000001"/>
    <n v="418.92189300000001"/>
    <n v="642.88800000000003"/>
    <n v="18.666666499999998"/>
    <n v="0.65162500000000001"/>
    <n v="936.57670275000009"/>
    <n v="1437.2940000000001"/>
    <n v="154.83333349999998"/>
    <n v="0.65162500000000001"/>
    <s v="PCE"/>
    <n v="0"/>
    <x v="5"/>
    <x v="9"/>
    <s v="NANA"/>
    <s v="AN"/>
  </r>
  <r>
    <s v="Alaska Village Electric Cooperative"/>
    <s v="Kivalina"/>
    <n v="310.91915888890998"/>
    <n v="486.673"/>
    <n v="84.5"/>
    <n v="0.63886666999999997"/>
    <n v="113.19056339058"/>
    <n v="177.17400000000001"/>
    <n v="10.166667"/>
    <n v="0.63886666999999997"/>
    <n v="314.02916183846997"/>
    <n v="491.541"/>
    <n v="17.5"/>
    <n v="0.63886666999999997"/>
    <n v="738.13888411795995"/>
    <n v="1155.3879999999999"/>
    <n v="112.166667"/>
    <n v="0.63886666999999997"/>
    <s v="PCE"/>
    <n v="0"/>
    <x v="5"/>
    <x v="9"/>
    <s v="NANA"/>
    <s v="AN"/>
  </r>
  <r>
    <s v="Alaska Village Electric Cooperative"/>
    <s v="Kotlik"/>
    <n v="436.40659425000001"/>
    <n v="745.03899999999999"/>
    <n v="131.66667000000001"/>
    <n v="0.58574999999999999"/>
    <n v="173.75980874999999"/>
    <n v="296.64499999999998"/>
    <n v="13.583333"/>
    <n v="0.58574999999999999"/>
    <n v="464.66141699999997"/>
    <n v="793.27599999999995"/>
    <n v="19.5"/>
    <n v="0.58574999999999999"/>
    <n v="1074.82782"/>
    <n v="1834.96"/>
    <n v="164.75000300000002"/>
    <n v="0.58574999999999999"/>
    <s v="PCE"/>
    <n v="0"/>
    <x v="0"/>
    <x v="8"/>
    <s v="Calista"/>
    <s v="YU"/>
  </r>
  <r>
    <s v="Alaska Village Electric Cooperative"/>
    <s v="Koyuk"/>
    <n v="276.19662012831003"/>
    <n v="501.50700000000001"/>
    <n v="90.75"/>
    <n v="0.55073333000000002"/>
    <n v="132.67110846367001"/>
    <n v="240.899"/>
    <n v="19.333334000000001"/>
    <n v="0.55073333000000002"/>
    <n v="293.64164908939"/>
    <n v="533.18299999999999"/>
    <n v="20.75"/>
    <n v="0.55073333000000002"/>
    <n v="702.5093776813701"/>
    <n v="1275.5889999999999"/>
    <n v="130.83333400000001"/>
    <n v="0.55073333000000002"/>
    <s v="PCE"/>
    <n v="0"/>
    <x v="6"/>
    <x v="10"/>
    <s v="Bering Straits"/>
    <s v="AN"/>
  </r>
  <r>
    <s v="Alaska Village Electric Cooperative"/>
    <s v="Lower Kalskag"/>
    <n v="178.62054035"/>
    <n v="307.99299999999999"/>
    <n v="83.666663999999997"/>
    <n v="0.57994999999999997"/>
    <n v="34.629500000899995"/>
    <n v="59.711182000000001"/>
    <n v="4.5"/>
    <n v="0.57994999999999997"/>
    <n v="96.702075675450004"/>
    <n v="166.74209100000002"/>
    <n v="8.8333332999999996"/>
    <n v="0.57994999999999997"/>
    <n v="309.95211602635004"/>
    <n v="534.44627300000002"/>
    <n v="96.99999729999999"/>
    <n v="0.57994999999999997"/>
    <s v="PCE"/>
    <s v="Receives power from (Upper) Kalskag via intertie. For fuel use and cost, please refer to (Upper) Kalskag."/>
    <x v="0"/>
    <x v="0"/>
    <s v="Calista"/>
    <s v="SW"/>
  </r>
  <r>
    <s v="Alaska Village Electric Cooperative"/>
    <s v="Marshall"/>
    <n v="286.82248259999994"/>
    <n v="569.06399999999996"/>
    <n v="111.83334000000001"/>
    <n v="0.50402499999999995"/>
    <n v="104.34829574999999"/>
    <n v="207.03"/>
    <n v="13.916667"/>
    <n v="0.50402499999999995"/>
    <n v="412.36956582499994"/>
    <n v="818.15300000000002"/>
    <n v="24.666667"/>
    <n v="0.50402499999999995"/>
    <n v="803.54034417499986"/>
    <n v="1594.2469999999998"/>
    <n v="150.416674"/>
    <n v="0.50402499999999995"/>
    <s v="PCE"/>
    <n v="0"/>
    <x v="0"/>
    <x v="8"/>
    <s v="Calista"/>
    <s v="YU"/>
  </r>
  <r>
    <s v="Alaska Village Electric Cooperative"/>
    <s v="Mekoryuk"/>
    <n v="178.00875011510999"/>
    <n v="325.46699999999998"/>
    <n v="102"/>
    <n v="0.54693333"/>
    <n v="93.926802374221495"/>
    <n v="171.73354999999998"/>
    <n v="18.878788"/>
    <n v="0.54693333"/>
    <n v="211.47286591116"/>
    <n v="386.65199999999999"/>
    <n v="26.666667"/>
    <n v="0.54693333"/>
    <n v="483.40841840049148"/>
    <n v="883.85254999999995"/>
    <n v="147.545455"/>
    <n v="0.54693333"/>
    <s v="PCE"/>
    <n v="0"/>
    <x v="0"/>
    <x v="0"/>
    <s v="Calista"/>
    <s v="SW"/>
  </r>
  <r>
    <s v="Alaska Village Electric Cooperative"/>
    <s v="Minto"/>
    <n v="179.94974312499997"/>
    <n v="305.32299999999998"/>
    <n v="86"/>
    <n v="0.58937499999999998"/>
    <n v="29.536528125"/>
    <n v="50.115000000000002"/>
    <n v="12.25"/>
    <n v="0.58937499999999998"/>
    <n v="155.514255625"/>
    <n v="263.863"/>
    <n v="12.333333"/>
    <n v="0.58937499999999998"/>
    <n v="365.00052687499999"/>
    <n v="619.30099999999993"/>
    <n v="110.583333"/>
    <n v="0.58937499999999998"/>
    <s v="PCE"/>
    <n v="0"/>
    <x v="3"/>
    <x v="3"/>
    <s v="Doyon"/>
    <s v="YU"/>
  </r>
  <r>
    <s v="Alaska Village Electric Cooperative"/>
    <s v="Mountain Village"/>
    <n v="563.31099016837993"/>
    <n v="1035.5139999999999"/>
    <n v="180.66667000000001"/>
    <n v="0.54399167000000004"/>
    <n v="266.34865747373004"/>
    <n v="489.61900000000003"/>
    <n v="15.583333"/>
    <n v="0.54399167000000004"/>
    <n v="633.79218290859001"/>
    <n v="1165.077"/>
    <n v="27.916667"/>
    <n v="0.54399167000000004"/>
    <n v="1463.4518305506999"/>
    <n v="2690.21"/>
    <n v="224.16667000000001"/>
    <n v="0.54399167000000004"/>
    <s v="PCE"/>
    <n v="0"/>
    <x v="0"/>
    <x v="8"/>
    <s v="Calista"/>
    <s v="YU"/>
  </r>
  <r>
    <s v="Alaska Village Electric Cooperative"/>
    <s v="New Stuyahok"/>
    <n v="386.80405246495002"/>
    <n v="623.01499999999999"/>
    <n v="109.5"/>
    <n v="0.62085833000000001"/>
    <n v="185.36222128814001"/>
    <n v="298.55799999999999"/>
    <n v="27.833334000000001"/>
    <n v="0.62085833000000001"/>
    <n v="314.45418955338999"/>
    <n v="506.483"/>
    <n v="16.083333500000002"/>
    <n v="0.62085833000000001"/>
    <n v="886.62046330648013"/>
    <n v="1428.056"/>
    <n v="153.41666750000002"/>
    <n v="0.62085833000000001"/>
    <s v="PCE"/>
    <n v="0"/>
    <x v="7"/>
    <x v="11"/>
    <s v="Bristol Bay"/>
    <s v="SW"/>
  </r>
  <r>
    <s v="Alaska Village Electric Cooperative"/>
    <s v="Nightmute"/>
    <n v="148.85906363999999"/>
    <n v="287.40600000000001"/>
    <n v="78.416663999999997"/>
    <n v="0.51793999999999996"/>
    <n v="57.695926299999996"/>
    <n v="111.395"/>
    <n v="12.083333"/>
    <n v="0.51793999999999996"/>
    <n v="103.27878981999999"/>
    <n v="199.40299999999999"/>
    <n v="16.249999500000001"/>
    <n v="0.51793999999999996"/>
    <n v="309.83377975999997"/>
    <n v="598.20399999999995"/>
    <n v="106.74999649999999"/>
    <n v="0.51793999999999996"/>
    <s v="PCE"/>
    <s v="Receives power from Toksook Bay via intertie. For fuel use and cost, please refer to Toksook Bay."/>
    <x v="0"/>
    <x v="0"/>
    <s v="Calista"/>
    <s v="SW"/>
  </r>
  <r>
    <s v="Alaska Village Electric Cooperative"/>
    <s v="Noatak"/>
    <n v="594.50408728866012"/>
    <n v="803.40200000000004"/>
    <n v="122.25"/>
    <n v="0.73998333000000005"/>
    <n v="164.47239484245"/>
    <n v="222.26499999999999"/>
    <n v="10.166667"/>
    <n v="0.73998333000000005"/>
    <n v="532.92563449938007"/>
    <n v="720.18600000000004"/>
    <n v="14.5"/>
    <n v="0.73998333000000005"/>
    <n v="1291.9021166304901"/>
    <n v="1745.8530000000001"/>
    <n v="146.91666699999999"/>
    <n v="0.73998333000000005"/>
    <s v="PCE"/>
    <n v="0"/>
    <x v="5"/>
    <x v="9"/>
    <s v="NANA"/>
    <s v="AN"/>
  </r>
  <r>
    <s v="Alaska Village Electric Cooperative"/>
    <s v="Noorvik"/>
    <n v="576.37231735359001"/>
    <n v="938.577"/>
    <n v="141.16667000000001"/>
    <n v="0.61409166999999998"/>
    <n v="120.86982113108999"/>
    <n v="196.827"/>
    <n v="9.8333329999999997"/>
    <n v="0.61409166999999998"/>
    <n v="495.89437581674997"/>
    <n v="807.52499999999998"/>
    <n v="19.416667"/>
    <n v="0.61409166999999998"/>
    <n v="1193.13651430143"/>
    <n v="1942.9290000000001"/>
    <n v="170.41667000000001"/>
    <n v="0.61409166999999998"/>
    <s v="PCE"/>
    <n v="0"/>
    <x v="5"/>
    <x v="9"/>
    <s v="NANA"/>
    <s v="AN"/>
  </r>
  <r>
    <s v="Alaska Village Electric Cooperative"/>
    <s v="Nulato"/>
    <n v="274.91696999999994"/>
    <n v="516.27599999999995"/>
    <n v="111.5"/>
    <n v="0.53249999999999997"/>
    <n v="26.134035000000001"/>
    <n v="49.078000000000003"/>
    <n v="6.5833335000000002"/>
    <n v="0.53249999999999997"/>
    <n v="292.38544079999997"/>
    <n v="549.08064000000002"/>
    <n v="27.000000499999999"/>
    <n v="0.53249999999999997"/>
    <n v="593.43644579999989"/>
    <n v="1114.4346399999999"/>
    <n v="145.08333399999998"/>
    <n v="0.53249999999999997"/>
    <s v="PCE"/>
    <n v="0"/>
    <x v="3"/>
    <x v="3"/>
    <s v="Doyon"/>
    <s v="YU"/>
  </r>
  <r>
    <s v="Alaska Village Electric Cooperative"/>
    <s v="Nunapitchuk"/>
    <n v="341.00519142000002"/>
    <n v="637.83399999999995"/>
    <n v="138.08332999999999"/>
    <n v="0.53463000000000005"/>
    <n v="101.2321905"/>
    <n v="189.35"/>
    <n v="21"/>
    <n v="0.53463000000000005"/>
    <n v="188.00424339000003"/>
    <n v="351.65300000000002"/>
    <n v="17.75"/>
    <n v="0.53463000000000005"/>
    <n v="630.24162531000002"/>
    <n v="1178.837"/>
    <n v="176.83332999999999"/>
    <n v="0.53463000000000005"/>
    <s v="PCE"/>
    <s v="Receives power from Kasigluk. Please refer to Kasigluk for fuel use and cost."/>
    <x v="0"/>
    <x v="0"/>
    <s v="Calista"/>
    <s v="SW"/>
  </r>
  <r>
    <s v="Alaska Village Electric Cooperative"/>
    <s v="Old Harbor"/>
    <n v="215.16299122500001"/>
    <n v="373.40100000000001"/>
    <n v="101.41665999999999"/>
    <n v="0.57622499999999999"/>
    <n v="51.322055849999998"/>
    <n v="89.066000000000003"/>
    <n v="13.25"/>
    <n v="0.57622499999999999"/>
    <n v="168.93822172499998"/>
    <n v="293.18099999999998"/>
    <n v="16.333333500000002"/>
    <n v="0.57622499999999999"/>
    <n v="435.42326879999996"/>
    <n v="755.64799999999991"/>
    <n v="130.99999349999999"/>
    <n v="0.57622499999999999"/>
    <s v="PCE"/>
    <n v="0"/>
    <x v="8"/>
    <x v="12"/>
    <s v="Koniag"/>
    <s v="SC"/>
  </r>
  <r>
    <s v="Alaska Village Electric Cooperative"/>
    <s v="Pilot Station"/>
    <n v="387.19458934065"/>
    <n v="722.80499999999995"/>
    <n v="133.41667000000001"/>
    <n v="0.53568333000000001"/>
    <n v="126.94784259339001"/>
    <n v="236.983"/>
    <n v="13.25"/>
    <n v="0.53568333000000001"/>
    <n v="388.73414323106999"/>
    <n v="725.67899999999997"/>
    <n v="19.583333500000002"/>
    <n v="0.53568333000000001"/>
    <n v="902.87657516511001"/>
    <n v="1685.4670000000001"/>
    <n v="166.25000350000002"/>
    <n v="0.53568333000000001"/>
    <s v="PCE"/>
    <n v="0"/>
    <x v="0"/>
    <x v="8"/>
    <s v="Calista"/>
    <s v="YU"/>
  </r>
  <r>
    <s v="Alaska Village Electric Cooperative"/>
    <s v="Pitkas Point"/>
    <n v="68.191079860000002"/>
    <n v="137.374"/>
    <n v="43.75"/>
    <n v="0.49639"/>
    <n v="33.390169740000005"/>
    <n v="67.266000000000005"/>
    <n v="7.4166664999999998"/>
    <n v="0.49639"/>
    <n v="87.189414329999991"/>
    <n v="175.64699999999999"/>
    <n v="7.5833335000000002"/>
    <n v="0.49639"/>
    <n v="188.77066393000001"/>
    <n v="380.28699999999998"/>
    <n v="58.75"/>
    <n v="0.49639"/>
    <s v="PCE"/>
    <s v="Receives power from Saint Mary's via intertie. For fuel use and cost, please refer to Saint Mary's."/>
    <x v="0"/>
    <x v="8"/>
    <s v="Calista"/>
    <s v="YU"/>
  </r>
  <r>
    <s v="Alaska Village Electric Cooperative"/>
    <s v="Quinhagak"/>
    <n v="430.87088600955002"/>
    <n v="802.86500000000001"/>
    <n v="164.25"/>
    <n v="0.53666667000000001"/>
    <n v="215.90797800771"/>
    <n v="402.31299999999999"/>
    <n v="17.25"/>
    <n v="0.53666667000000001"/>
    <n v="284.00936843070002"/>
    <n v="529.21"/>
    <n v="18.249999500000001"/>
    <n v="0.53666667000000001"/>
    <n v="930.78823244796013"/>
    <n v="1734.3879999999999"/>
    <n v="199.7499995"/>
    <n v="0.53666667000000001"/>
    <s v="PCE"/>
    <n v="0"/>
    <x v="0"/>
    <x v="0"/>
    <s v="Calista"/>
    <s v="SW"/>
  </r>
  <r>
    <s v="Alaska Village Electric Cooperative"/>
    <s v="Russian Mission"/>
    <n v="208.83417462401999"/>
    <n v="382.20600000000002"/>
    <n v="83.416663999999997"/>
    <n v="0.54639167"/>
    <n v="49.442435826630003"/>
    <n v="90.489000000000004"/>
    <n v="13.25"/>
    <n v="0.54639167"/>
    <n v="333.15467129911997"/>
    <n v="609.73599999999999"/>
    <n v="14.916667"/>
    <n v="0.54639167"/>
    <n v="591.43128174976994"/>
    <n v="1082.431"/>
    <n v="111.583331"/>
    <n v="0.54639167"/>
    <s v="PCE"/>
    <n v="0"/>
    <x v="0"/>
    <x v="8"/>
    <s v="Calista"/>
    <s v="YU"/>
  </r>
  <r>
    <s v="Alaska Village Electric Cooperative"/>
    <s v="Saint Mary's, Andreafsky, Pitkas Point"/>
    <n v="408.54525071705001"/>
    <n v="827.61500000000001"/>
    <n v="186.41667000000001"/>
    <n v="0.49364166999999998"/>
    <n v="402.59193217684998"/>
    <n v="815.55499999999995"/>
    <n v="34.166668000000001"/>
    <n v="0.49364166999999998"/>
    <n v="523.19500949956"/>
    <n v="1059.8679999999999"/>
    <n v="28.75"/>
    <n v="0.49364166999999998"/>
    <n v="1334.33219239346"/>
    <n v="2703.038"/>
    <n v="249.33333800000003"/>
    <n v="0.49364166999999998"/>
    <s v="PCE"/>
    <s v="Provides power to Andreafsky and Pitkas Point via intertie. Includes Andreafsky's information. Fuel use and cost also includes Pitkas Point."/>
    <x v="0"/>
    <x v="8"/>
    <s v="Calista"/>
    <s v="YU"/>
  </r>
  <r>
    <s v="Alaska Village Electric Cooperative"/>
    <s v="Saint Michael"/>
    <n v="347.93150722918"/>
    <n v="628.75400000000002"/>
    <n v="103.16665999999999"/>
    <n v="0.55336666999999995"/>
    <n v="205.35271113698997"/>
    <n v="371.09699999999998"/>
    <n v="12.166667"/>
    <n v="0.55336666999999995"/>
    <n v="378.13204661110001"/>
    <n v="683.33"/>
    <n v="18"/>
    <n v="0.55336666999999995"/>
    <n v="931.41626497726998"/>
    <n v="1683.181"/>
    <n v="133.333327"/>
    <n v="0.55336666999999995"/>
    <s v="PCE"/>
    <n v="0"/>
    <x v="6"/>
    <x v="10"/>
    <s v="Bering Straits"/>
    <s v="AN"/>
  </r>
  <r>
    <s v="Alaska Village Electric Cooperative"/>
    <s v="Savoonga"/>
    <n v="429.20187605218001"/>
    <n v="874.346"/>
    <n v="156.66667000000001"/>
    <n v="0.49088333000000001"/>
    <n v="174.08490061788001"/>
    <n v="354.63600000000002"/>
    <n v="13.25"/>
    <n v="0.49088333000000001"/>
    <n v="427.61092317965"/>
    <n v="871.10500000000002"/>
    <n v="26.083333"/>
    <n v="0.49088333000000001"/>
    <n v="1030.8976998497101"/>
    <n v="2100.087"/>
    <n v="196.00000300000002"/>
    <n v="0.49088333000000001"/>
    <s v="PCE"/>
    <n v="0"/>
    <x v="6"/>
    <x v="10"/>
    <s v="Bering Straits"/>
    <s v="AN"/>
  </r>
  <r>
    <s v="Alaska Village Electric Cooperative"/>
    <s v="Scammon Bay"/>
    <n v="340.44664610000001"/>
    <n v="601.01800000000003"/>
    <n v="110.33334000000001"/>
    <n v="0.56645000000000001"/>
    <n v="130.62960095"/>
    <n v="230.61099999999999"/>
    <n v="18.916665999999999"/>
    <n v="0.56645000000000001"/>
    <n v="479.6030189"/>
    <n v="846.68200000000002"/>
    <n v="19.583334000000001"/>
    <n v="0.56645000000000001"/>
    <n v="950.67926594999994"/>
    <n v="1678.3110000000001"/>
    <n v="148.83334000000002"/>
    <n v="0.56645000000000001"/>
    <s v="PCE"/>
    <n v="0"/>
    <x v="0"/>
    <x v="8"/>
    <s v="Calista"/>
    <s v="YU"/>
  </r>
  <r>
    <s v="Alaska Village Electric Cooperative"/>
    <s v="Selawik"/>
    <n v="624.05189208722993"/>
    <n v="1086.3309999999999"/>
    <n v="164.5"/>
    <n v="0.57445833000000002"/>
    <n v="222.27918283521001"/>
    <n v="386.93700000000001"/>
    <n v="22.722221000000001"/>
    <n v="0.57445833000000002"/>
    <n v="719.76641565684008"/>
    <n v="1252.9480000000001"/>
    <n v="29.166667"/>
    <n v="0.57445833000000002"/>
    <n v="1566.09749057928"/>
    <n v="2726.2160000000003"/>
    <n v="216.38888799999998"/>
    <n v="0.57445833000000002"/>
    <s v="PCE"/>
    <n v="0"/>
    <x v="5"/>
    <x v="9"/>
    <s v="NANA"/>
    <s v="AN"/>
  </r>
  <r>
    <s v="Alaska Village Electric Cooperative"/>
    <s v="Shageluk"/>
    <n v="68.981021549999994"/>
    <n v="114.95399999999999"/>
    <n v="50.75"/>
    <n v="0.60007500000000003"/>
    <n v="55.764969750000006"/>
    <n v="92.93"/>
    <n v="7.5833335000000002"/>
    <n v="0.60007500000000003"/>
    <n v="82.570920075000004"/>
    <n v="137.601"/>
    <n v="10.6666668"/>
    <n v="0.60007500000000003"/>
    <n v="207.31691137500002"/>
    <n v="345.48500000000001"/>
    <n v="69.000000299999996"/>
    <n v="0.60007500000000003"/>
    <s v="PCE"/>
    <n v="0"/>
    <x v="3"/>
    <x v="3"/>
    <s v="Doyon"/>
    <s v="YU"/>
  </r>
  <r>
    <s v="Alaska Village Electric Cooperative"/>
    <s v="Shaktoolik"/>
    <n v="226.33044465329004"/>
    <n v="393.48700000000002"/>
    <n v="75.083336000000003"/>
    <n v="0.57519167000000004"/>
    <n v="126.57725409187002"/>
    <n v="220.06100000000001"/>
    <n v="11.5"/>
    <n v="0.57519167000000004"/>
    <n v="156.72017355822001"/>
    <n v="272.46600000000001"/>
    <n v="14.5"/>
    <n v="0.57519167000000004"/>
    <n v="509.62787230338006"/>
    <n v="886.01400000000001"/>
    <n v="101.083336"/>
    <n v="0.57519167000000004"/>
    <s v="PCE"/>
    <n v="0"/>
    <x v="6"/>
    <x v="10"/>
    <s v="Bering Straits"/>
    <s v="AN"/>
  </r>
  <r>
    <s v="Alaska Village Electric Cooperative"/>
    <s v="Shishmaref"/>
    <n v="432.23503305000003"/>
    <n v="731.02200000000005"/>
    <n v="139"/>
    <n v="0.591275"/>
    <n v="222.75043947499998"/>
    <n v="376.72899999999998"/>
    <n v="18"/>
    <n v="0.591275"/>
    <n v="279.51224819999999"/>
    <n v="472.72800000000001"/>
    <n v="22.5"/>
    <n v="0.591275"/>
    <n v="934.49772072499991"/>
    <n v="1580.479"/>
    <n v="179.5"/>
    <n v="0.591275"/>
    <s v="PCE"/>
    <n v="0"/>
    <x v="6"/>
    <x v="10"/>
    <s v="Bering Straits"/>
    <s v="AN"/>
  </r>
  <r>
    <s v="Alaska Village Electric Cooperative"/>
    <s v="Shungnak, Kobuk"/>
    <n v="282.0813665"/>
    <n v="387.87400000000002"/>
    <n v="67.916663999999997"/>
    <n v="0.72724999999999995"/>
    <n v="525.28685699999994"/>
    <n v="722.29200000000003"/>
    <n v="14.166667"/>
    <n v="0.72724999999999995"/>
    <n v="286.79540099999997"/>
    <n v="394.35599999999999"/>
    <n v="14.5833335"/>
    <n v="0.72724999999999995"/>
    <n v="1094.1636245"/>
    <n v="1504.5220000000002"/>
    <n v="96.666664499999996"/>
    <n v="0.72724999999999995"/>
    <s v="PCE"/>
    <s v="Provides power to Kobuk via intertie. Fuel use and cost includes Kobu's information."/>
    <x v="5"/>
    <x v="9"/>
    <s v="NANA"/>
    <s v="AN"/>
  </r>
  <r>
    <s v="Alaska Village Electric Cooperative"/>
    <s v="Stebbins"/>
    <n v="317.70202044999996"/>
    <n v="569.07799999999997"/>
    <n v="149"/>
    <n v="0.55827499999999997"/>
    <n v="152.53133722499999"/>
    <n v="273.21899999999999"/>
    <n v="15.25"/>
    <n v="0.55827499999999997"/>
    <n v="282.25602414999997"/>
    <n v="505.58600000000001"/>
    <n v="19.750000499999999"/>
    <n v="0.55827499999999997"/>
    <n v="752.48938182500001"/>
    <n v="1347.883"/>
    <n v="184.0000005"/>
    <n v="0.55827499999999997"/>
    <s v="PCE"/>
    <n v="0"/>
    <x v="6"/>
    <x v="10"/>
    <s v="Bering Straits"/>
    <s v="AN"/>
  </r>
  <r>
    <s v="Alaska Village Electric Cooperative"/>
    <s v="Teller"/>
    <n v="179.74539059467998"/>
    <n v="288.404"/>
    <n v="79.666663999999997"/>
    <n v="0.62324166999999997"/>
    <n v="100.73642084711"/>
    <n v="161.63300000000001"/>
    <n v="13.083333"/>
    <n v="0.62324166999999997"/>
    <n v="211.44844786423999"/>
    <n v="339.27199999999999"/>
    <n v="18.75"/>
    <n v="0.62324166999999997"/>
    <n v="491.93025930603"/>
    <n v="789.30899999999997"/>
    <n v="111.49999699999999"/>
    <n v="0.62324166999999997"/>
    <s v="PCE"/>
    <n v="0"/>
    <x v="6"/>
    <x v="10"/>
    <s v="Bering Straits"/>
    <s v="AN"/>
  </r>
  <r>
    <s v="Alaska Village Electric Cooperative"/>
    <s v="Togiak"/>
    <n v="737.81092584394003"/>
    <n v="1298.182"/>
    <n v="249.16667000000001"/>
    <n v="0.56834167000000002"/>
    <n v="445.16156981088"/>
    <n v="783.26400000000001"/>
    <n v="24.916665999999999"/>
    <n v="0.56834167000000002"/>
    <n v="485.68944595690999"/>
    <n v="854.57299999999998"/>
    <n v="31.666665999999999"/>
    <n v="0.56834167000000002"/>
    <n v="1668.6619416117301"/>
    <n v="2936.0189999999998"/>
    <n v="305.75000200000005"/>
    <n v="0.56834167000000002"/>
    <s v="PCE"/>
    <n v="0"/>
    <x v="7"/>
    <x v="11"/>
    <s v="Bristol Bay"/>
    <s v="SW"/>
  </r>
  <r>
    <s v="Alaska Village Electric Cooperative"/>
    <s v="Toksook Bay, Nightmute, Tununak"/>
    <n v="363.18677805000004"/>
    <n v="702.42100000000005"/>
    <n v="132.75"/>
    <n v="0.51705000000000001"/>
    <n v="111.05923770000001"/>
    <n v="214.79400000000001"/>
    <n v="14.083333"/>
    <n v="0.51705000000000001"/>
    <n v="315.38912489999996"/>
    <n v="609.97799999999995"/>
    <n v="23.5"/>
    <n v="0.51705000000000001"/>
    <n v="789.63514065000004"/>
    <n v="1527.193"/>
    <n v="170.33333300000001"/>
    <n v="0.51705000000000001"/>
    <s v="PCE"/>
    <s v="Provides power to Nightmute and Tununak via intertie. Fuel use and cost includes Nightmute's and Tununak's information."/>
    <x v="0"/>
    <x v="0"/>
    <s v="Calista"/>
    <s v="SW"/>
  </r>
  <r>
    <s v="Alaska Village Electric Cooperative"/>
    <s v="Tununak"/>
    <n v="234.73247975999999"/>
    <n v="453.20400000000001"/>
    <n v="106.66665999999999"/>
    <n v="0.51793999999999996"/>
    <n v="46.626512619999993"/>
    <n v="90.022999999999996"/>
    <n v="12.416667"/>
    <n v="0.51793999999999996"/>
    <n v="149.04966555999999"/>
    <n v="287.774"/>
    <n v="15.833333"/>
    <n v="0.51793999999999996"/>
    <n v="430.40865793999996"/>
    <n v="831.00099999999998"/>
    <n v="134.91666000000001"/>
    <n v="0.51793999999999996"/>
    <s v="PCE"/>
    <s v="Receives power from Toksook Bay via intertie. For fuel use and cost, please refer to Toksook Bay."/>
    <x v="0"/>
    <x v="0"/>
    <s v="Calista"/>
    <s v="SW"/>
  </r>
  <r>
    <s v="Alaska Village Electric Cooperative"/>
    <s v="Wales"/>
    <n v="151.00438841497001"/>
    <n v="234.49100000000001"/>
    <n v="50.583331999999999"/>
    <n v="0.64396666999999996"/>
    <n v="65.323335038129997"/>
    <n v="101.43899999999999"/>
    <n v="9.3333329999999997"/>
    <n v="0.64396666999999996"/>
    <n v="128.45653943158999"/>
    <n v="199.477"/>
    <n v="12.5"/>
    <n v="0.64396666999999996"/>
    <n v="344.78426288469001"/>
    <n v="535.40700000000004"/>
    <n v="72.416664999999995"/>
    <n v="0.64396666999999996"/>
    <s v="PCE"/>
    <n v="0"/>
    <x v="6"/>
    <x v="10"/>
    <s v="Bering Straits"/>
    <s v="AN"/>
  </r>
  <r>
    <s v="Alutiiq Power Company"/>
    <s v="Karluk"/>
    <n v="51.505199999999995"/>
    <n v="85.841999999999999"/>
    <n v="13.166667"/>
    <n v="0.6"/>
    <n v="64.4298"/>
    <n v="107.383"/>
    <n v="10.833333"/>
    <n v="0.6"/>
    <n v="13.675799999999999"/>
    <n v="22.792999999999999"/>
    <n v="3"/>
    <n v="0.6"/>
    <n v="129.61080000000001"/>
    <n v="216.018"/>
    <n v="27"/>
    <n v="0.6"/>
    <s v="PCE"/>
    <n v="0"/>
    <x v="8"/>
    <x v="12"/>
    <s v="Koniag"/>
    <s v="SC"/>
  </r>
  <r>
    <s v="Anchorage Municipal Light &amp; Power"/>
    <s v="Anchorage"/>
    <n v="18732.5"/>
    <n v="143844"/>
    <n v="24302"/>
    <n v="0.13022999999999998"/>
    <n v="97883.3"/>
    <n v="967799"/>
    <n v="6301"/>
    <n v="0.10114000000000001"/>
    <n v="0"/>
    <n v="0"/>
    <n v="0"/>
    <m/>
    <n v="116615.8"/>
    <n v="1111643"/>
    <n v="30603"/>
    <n v="0.10490400245402526"/>
    <s v="EIA"/>
    <n v="0"/>
    <x v="9"/>
    <x v="13"/>
    <s v="Cook Inlet"/>
    <s v="SC"/>
  </r>
  <r>
    <s v="Aniak Light &amp; Power"/>
    <s v="Aniak"/>
    <n v="696.84557354999993"/>
    <n v="969.55799999999999"/>
    <n v="180.83332999999999"/>
    <n v="0.71872499999999995"/>
    <n v="525.89467612500005"/>
    <n v="731.70500000000004"/>
    <n v="29"/>
    <n v="0.71872499999999995"/>
    <n v="317.930159925"/>
    <n v="442.35300000000001"/>
    <n v="10.916667"/>
    <n v="0.71872499999999995"/>
    <n v="1540.6704096000001"/>
    <n v="2143.616"/>
    <n v="220.74999699999998"/>
    <n v="0.71872499999999995"/>
    <s v="PCE"/>
    <n v="0"/>
    <x v="0"/>
    <x v="0"/>
    <s v="Calista"/>
    <s v="SW"/>
  </r>
  <r>
    <s v="Atka, City of"/>
    <s v="Atka"/>
    <n v="114.50779054397999"/>
    <n v="163.19399999999999"/>
    <n v="28"/>
    <n v="0.70166667000000005"/>
    <n v="87.869717084100003"/>
    <n v="125.23"/>
    <n v="10.166667"/>
    <n v="0.70166667000000005"/>
    <n v="70.793957002980008"/>
    <n v="100.89400000000001"/>
    <n v="21"/>
    <n v="0.70166667000000005"/>
    <n v="273.17146463106002"/>
    <n v="389.31799999999998"/>
    <n v="59.166667000000004"/>
    <n v="0.70166667000000005"/>
    <s v="PCE"/>
    <n v="0"/>
    <x v="1"/>
    <x v="14"/>
    <s v="Aleut"/>
    <s v="SW"/>
  </r>
  <r>
    <s v="Atmautluak Tribal Utilities"/>
    <s v="Atmautluak"/>
    <n v="202.9970922"/>
    <n v="290.577"/>
    <n v="71"/>
    <n v="0.6986"/>
    <n v="154.68960079999999"/>
    <n v="221.428"/>
    <n v="6"/>
    <n v="0.6986"/>
    <n v="39.184474000000002"/>
    <n v="56.09"/>
    <n v="10"/>
    <n v="0.6986"/>
    <n v="396.87116700000001"/>
    <n v="568.09500000000003"/>
    <n v="87"/>
    <n v="0.6986"/>
    <s v="PCE"/>
    <n v="0"/>
    <x v="0"/>
    <x v="0"/>
    <s v="Calista"/>
    <s v="SW"/>
  </r>
  <r>
    <s v="Barrow Utilities &amp; Electric Cooperative Inc."/>
    <s v="Barrow"/>
    <n v="1304"/>
    <n v="11253"/>
    <n v="1456"/>
    <n v="0.11588"/>
    <n v="3917"/>
    <n v="38799"/>
    <n v="394"/>
    <n v="0.10095999999999999"/>
    <n v="0"/>
    <n v="0"/>
    <n v="0"/>
    <m/>
    <n v="5221"/>
    <n v="50052"/>
    <n v="1850"/>
    <n v="0.10431151602333573"/>
    <s v="EIA"/>
    <n v="0"/>
    <x v="10"/>
    <x v="15"/>
    <s v="Arctic Slope"/>
    <s v="AN"/>
  </r>
  <r>
    <s v="Beaver Joint Utilities"/>
    <s v="Beaver"/>
    <n v="71.069050000000004"/>
    <n v="109.337"/>
    <n v="40.5"/>
    <n v="0.65"/>
    <n v="71.199700000000007"/>
    <n v="109.538"/>
    <n v="9.0833329999999997"/>
    <n v="0.65"/>
    <n v="50.505649999999996"/>
    <n v="77.700999999999993"/>
    <n v="6.6666664999999998"/>
    <n v="0.65"/>
    <n v="192.77440000000001"/>
    <n v="296.57600000000002"/>
    <n v="56.249999499999994"/>
    <n v="0.65"/>
    <s v="PCE"/>
    <n v="0"/>
    <x v="3"/>
    <x v="3"/>
    <s v="Doyon"/>
    <s v="YU"/>
  </r>
  <r>
    <s v="Bethel Utilities Corporation"/>
    <s v="Bethel, Oscarville"/>
    <n v="5259.7626371656897"/>
    <n v="10245.293"/>
    <n v="1701.5834"/>
    <n v="0.51338333000000003"/>
    <n v="12904.153878581621"/>
    <n v="25135.513999999999"/>
    <n v="1020.0833"/>
    <n v="0.51338333000000003"/>
    <n v="2102.9418450625303"/>
    <n v="4096.241"/>
    <n v="51.583334000000001"/>
    <n v="0.51338333000000003"/>
    <n v="20266.858360809842"/>
    <n v="39477.048000000003"/>
    <n v="2773.2500339999997"/>
    <n v="0.51338333000000003"/>
    <s v="PCE"/>
    <s v="Provides power to Oscarville and sells power to Napakiak Ircinraq via intertie. Data includes Oscarville's information."/>
    <x v="0"/>
    <x v="0"/>
    <s v="Calista"/>
    <s v="SW"/>
  </r>
  <r>
    <s v="Buckland, City of"/>
    <s v="Buckland"/>
    <n v="247.93960290000004"/>
    <n v="522.96900000000005"/>
    <n v="84"/>
    <n v="0.47410000000000002"/>
    <n v="340.21605640000001"/>
    <n v="717.60400000000004"/>
    <n v="16"/>
    <n v="0.47410000000000002"/>
    <n v="37.343434700000003"/>
    <n v="78.766999999999996"/>
    <n v="6"/>
    <n v="0.47410000000000002"/>
    <n v="625.49909400000001"/>
    <n v="1319.3400000000001"/>
    <n v="106"/>
    <n v="0.47410000000000002"/>
    <s v="PCE"/>
    <n v="0"/>
    <x v="5"/>
    <x v="9"/>
    <s v="NANA"/>
    <s v="AN"/>
  </r>
  <r>
    <s v="Chalkyitsik Village Council"/>
    <s v="Chalkyitsik"/>
    <n v="56.821399999999997"/>
    <n v="59.811999999999998"/>
    <n v="39.75"/>
    <n v="0.95"/>
    <n v="44.566399999999994"/>
    <n v="46.911999999999999"/>
    <n v="6"/>
    <n v="0.95"/>
    <n v="101.53125"/>
    <n v="106.875"/>
    <n v="5"/>
    <n v="0.95"/>
    <n v="202.91905"/>
    <n v="213.59899999999999"/>
    <n v="50.75"/>
    <n v="0.95"/>
    <s v="PCE"/>
    <n v="0"/>
    <x v="3"/>
    <x v="3"/>
    <s v="Doyon"/>
    <s v="YU"/>
  </r>
  <r>
    <s v="Chenega Ira Council"/>
    <s v="Chenega Bay"/>
    <n v="47.309294999999999"/>
    <n v="108.75700000000001"/>
    <n v="25"/>
    <n v="0.435"/>
    <n v="56.143709999999999"/>
    <n v="129.066"/>
    <n v="11"/>
    <n v="0.435"/>
    <n v="23.183325"/>
    <n v="53.295000000000002"/>
    <n v="9"/>
    <n v="0.435"/>
    <n v="126.63632999999999"/>
    <n v="291.11799999999999"/>
    <n v="45"/>
    <n v="0.435"/>
    <s v="PCE"/>
    <n v="0"/>
    <x v="4"/>
    <x v="4"/>
    <s v="Chugach"/>
    <s v="SC"/>
  </r>
  <r>
    <s v="Chignik Lagoon Power Utility"/>
    <s v="Chignik Lagoon"/>
    <n v="162.82895725"/>
    <n v="235.387"/>
    <n v="53.333331999999999"/>
    <n v="0.69174999999999998"/>
    <n v="100.8142615"/>
    <n v="145.738"/>
    <n v="7.3333335000000002"/>
    <n v="0.69174999999999998"/>
    <n v="48.456395750000006"/>
    <n v="70.049000000000007"/>
    <n v="10.666667"/>
    <n v="0.69174999999999998"/>
    <n v="312.09961450000003"/>
    <n v="451.17399999999998"/>
    <n v="71.333332499999997"/>
    <n v="0.69174999999999998"/>
    <s v="PCE"/>
    <n v="0"/>
    <x v="7"/>
    <x v="16"/>
    <s v="Bristol Bay"/>
    <s v="SW"/>
  </r>
  <r>
    <s v="Chignik Lake Electric Utility"/>
    <s v="Chignik Lake"/>
    <n v="53.992771000000005"/>
    <n v="80.227000000000004"/>
    <n v="35"/>
    <n v="0.67300000000000004"/>
    <n v="23.816797000000005"/>
    <n v="35.389000000000003"/>
    <n v="2"/>
    <n v="0.67300000000000004"/>
    <n v="43.386964000000006"/>
    <n v="64.468000000000004"/>
    <n v="11"/>
    <n v="0.67300000000000004"/>
    <n v="121.19653200000002"/>
    <n v="180.084"/>
    <n v="48"/>
    <n v="0.67300000000000004"/>
    <s v="PCE"/>
    <n v="0"/>
    <x v="7"/>
    <x v="16"/>
    <s v="Bristol Bay"/>
    <s v="SW"/>
  </r>
  <r>
    <s v="Chignik, City of"/>
    <s v="Chignik"/>
    <n v="91.989812111440003"/>
    <n v="193.43199999999999"/>
    <n v="59.666668000000001"/>
    <n v="0.47556667000000002"/>
    <n v="234.83434607933"/>
    <n v="493.79899999999998"/>
    <n v="27.666665999999999"/>
    <n v="0.47556667000000002"/>
    <n v="46.801467128040002"/>
    <n v="98.412000000000006"/>
    <n v="11"/>
    <n v="0.47556667000000002"/>
    <n v="373.62562531880997"/>
    <n v="785.64300000000003"/>
    <n v="98.333334000000008"/>
    <n v="0.47556667000000002"/>
    <s v="PCE"/>
    <n v="0"/>
    <x v="7"/>
    <x v="16"/>
    <s v="Bristol Bay"/>
    <s v="SW"/>
  </r>
  <r>
    <s v="Chitina Electric Inc"/>
    <s v="Chitina"/>
    <n v="105.24762972427001"/>
    <n v="167.28100000000001"/>
    <n v="52.333331999999999"/>
    <n v="0.62916667000000004"/>
    <n v="152.49804664127001"/>
    <n v="242.381"/>
    <n v="23.833334000000001"/>
    <n v="0.62916667000000004"/>
    <n v="44.154916900600007"/>
    <n v="70.180000000000007"/>
    <n v="6.4166667000000004"/>
    <n v="0.62916667000000004"/>
    <n v="301.90059326614005"/>
    <n v="479.84200000000004"/>
    <n v="82.5833327"/>
    <n v="0.62916667000000004"/>
    <s v="PCE"/>
    <n v="0"/>
    <x v="4"/>
    <x v="4"/>
    <s v="Ahtna"/>
    <s v="SC"/>
  </r>
  <r>
    <s v="Chugach Electric Assn Inc"/>
    <m/>
    <n v="77575"/>
    <n v="545129"/>
    <n v="69729"/>
    <n v="0.14230999999999999"/>
    <n v="68050"/>
    <n v="567652"/>
    <n v="9230"/>
    <n v="0.11988"/>
    <n v="5849"/>
    <n v="53555"/>
    <n v="7"/>
    <n v="0.10920999999999999"/>
    <n v="151474"/>
    <n v="1166336"/>
    <n v="78966"/>
    <n v="0.12987166648375767"/>
    <s v="EIA"/>
    <n v="0"/>
    <x v="9"/>
    <x v="13"/>
    <s v="Cook Inlet"/>
    <s v="SC"/>
  </r>
  <r>
    <s v="Circle Electric Utility"/>
    <s v="Circle"/>
    <n v="103.38844201163998"/>
    <n v="133.49199999999999"/>
    <n v="37.666668000000001"/>
    <n v="0.77449166999999997"/>
    <n v="69.904069150859996"/>
    <n v="90.257999999999996"/>
    <n v="8"/>
    <n v="0.77449166999999997"/>
    <n v="104.70507785064"/>
    <n v="135.19200000000001"/>
    <n v="5.6666666000000001"/>
    <n v="0.77449166999999997"/>
    <n v="277.99758901313999"/>
    <n v="358.94200000000001"/>
    <n v="51.333334600000001"/>
    <n v="0.77449166999999997"/>
    <s v="PCE"/>
    <n v="0"/>
    <x v="3"/>
    <x v="3"/>
    <s v="Doyon"/>
    <s v="YU"/>
  </r>
  <r>
    <s v="Copper Valley Elec Assn Inc"/>
    <s v="Valdez"/>
    <n v="5174"/>
    <n v="18193"/>
    <n v="2978"/>
    <n v="0.28439999999999999"/>
    <n v="15352"/>
    <n v="62228"/>
    <n v="787"/>
    <n v="0.24670999999999998"/>
    <n v="0"/>
    <n v="0"/>
    <n v="0"/>
    <m/>
    <n v="20526"/>
    <n v="80421"/>
    <n v="3765"/>
    <n v="0.25523184242921626"/>
    <s v="EIA"/>
    <n v="0"/>
    <x v="4"/>
    <x v="4"/>
    <s v="Chugach"/>
    <s v="SC"/>
  </r>
  <r>
    <s v="Cordova Electric Cooperative"/>
    <s v="Cordova"/>
    <n v="2135.05599939795"/>
    <n v="5069.3850000000002"/>
    <n v="836"/>
    <n v="0.42116667000000002"/>
    <n v="6704.0956750597197"/>
    <n v="15917.915999999999"/>
    <n v="635.25"/>
    <n v="0.42116667000000002"/>
    <n v="1972.65792194598"/>
    <n v="4683.7939999999999"/>
    <n v="109.166668"/>
    <n v="0.42116667000000002"/>
    <n v="10811.809596403649"/>
    <n v="25671.095000000001"/>
    <n v="1580.4166680000001"/>
    <n v="0.42116667000000002"/>
    <s v="PCE"/>
    <m/>
    <x v="4"/>
    <x v="4"/>
    <s v="Chugach"/>
    <s v="SC"/>
  </r>
  <r>
    <s v="Diomede Joint Utilities"/>
    <s v="Diomede"/>
    <n v="82.910399999999996"/>
    <n v="138.184"/>
    <n v="49.416668000000001"/>
    <n v="0.6"/>
    <n v="148.17660000000001"/>
    <n v="246.96100000000001"/>
    <n v="13.333333"/>
    <n v="0.6"/>
    <n v="26.471999999999998"/>
    <n v="44.12"/>
    <n v="6"/>
    <n v="0.6"/>
    <n v="257.55899999999997"/>
    <n v="429.26499999999999"/>
    <n v="68.750000999999997"/>
    <n v="0.6"/>
    <s v="PCE"/>
    <n v="0"/>
    <x v="6"/>
    <x v="10"/>
    <s v="Bering Straits"/>
    <s v="AN"/>
  </r>
  <r>
    <s v="Egegik Light &amp; Power Co"/>
    <s v="Egegik"/>
    <n v="64.738219999999998"/>
    <n v="75.277000000000001"/>
    <n v="42.5"/>
    <n v="0.86"/>
    <n v="94.506259999999997"/>
    <n v="109.89100000000001"/>
    <n v="16.666665999999999"/>
    <n v="0.86"/>
    <n v="59.216159999999995"/>
    <n v="68.855999999999995"/>
    <n v="18.5"/>
    <n v="0.86"/>
    <n v="218.46064000000001"/>
    <n v="254.024"/>
    <n v="77.666665999999992"/>
    <n v="0.86"/>
    <s v="PCE"/>
    <n v="0"/>
    <x v="7"/>
    <x v="16"/>
    <s v="Bristol Bay"/>
    <s v="SW"/>
  </r>
  <r>
    <s v="Elfin Cove Utility Commission"/>
    <s v="Elfin Cove"/>
    <n v="54.18244472543001"/>
    <n v="72.629000000000005"/>
    <n v="40.833331999999999"/>
    <n v="0.74601667000000005"/>
    <n v="122.44371604710001"/>
    <n v="164.13"/>
    <n v="30.75"/>
    <n v="0.74601667000000005"/>
    <n v="8.5970961050800003"/>
    <n v="11.523999999999999"/>
    <n v="7"/>
    <n v="0.74601667000000005"/>
    <n v="185.22325687761003"/>
    <n v="248.28300000000002"/>
    <n v="78.583331999999999"/>
    <n v="0.74601667000000005"/>
    <s v="PCE"/>
    <n v="0"/>
    <x v="2"/>
    <x v="17"/>
    <s v="Sealaska"/>
    <s v="SE"/>
  </r>
  <r>
    <s v="False Pass, City of"/>
    <s v="False Pass"/>
    <n v="44.081624877990002"/>
    <n v="85.897000000000006"/>
    <n v="26"/>
    <n v="0.51319166999999999"/>
    <n v="110.08474513169999"/>
    <n v="214.51"/>
    <n v="13"/>
    <n v="0.51319166999999999"/>
    <n v="45.370762353030003"/>
    <n v="88.409000000000006"/>
    <n v="11.75"/>
    <n v="0.51319166999999999"/>
    <n v="199.53713236272"/>
    <n v="388.81599999999997"/>
    <n v="50.75"/>
    <n v="0.51319166999999999"/>
    <s v="PCE"/>
    <n v="0"/>
    <x v="1"/>
    <x v="1"/>
    <s v="Aleut"/>
    <s v="SW"/>
  </r>
  <r>
    <s v="G &amp; K Inc"/>
    <s v="Cold Bay"/>
    <n v="134.92763496222"/>
    <n v="188.666"/>
    <n v="37.083331999999999"/>
    <n v="0.71516667"/>
    <n v="574.03067317551006"/>
    <n v="802.65300000000002"/>
    <n v="23.25"/>
    <n v="0.71516667"/>
    <n v="1003.79792567862"/>
    <n v="1403.586"/>
    <n v="56.916666499999998"/>
    <n v="0.71516667"/>
    <n v="1712.75623381635"/>
    <n v="2394.9049999999997"/>
    <n v="117.2499985"/>
    <n v="0.71516667"/>
    <s v="PCE"/>
    <n v="0"/>
    <x v="1"/>
    <x v="1"/>
    <s v="Aleut"/>
    <s v="SW"/>
  </r>
  <r>
    <s v="Gold Country Energy"/>
    <s v="Central"/>
    <n v="206.18361812500001"/>
    <n v="265.82900000000001"/>
    <n v="137.5"/>
    <n v="0.77562500000000001"/>
    <n v="42.814500000000002"/>
    <n v="55.2"/>
    <n v="7.5"/>
    <n v="0.77562500000000001"/>
    <n v="91.877435000000006"/>
    <n v="118.456"/>
    <n v="8"/>
    <n v="0.77562500000000001"/>
    <n v="340.87555312500001"/>
    <n v="439.48500000000001"/>
    <n v="153"/>
    <n v="0.77562500000000001"/>
    <s v="PCE"/>
    <n v="0"/>
    <x v="3"/>
    <x v="3"/>
    <s v="Doyon"/>
    <s v="YU"/>
  </r>
  <r>
    <s v="Golden Valley Elec Assn Inc"/>
    <m/>
    <n v="68389.2"/>
    <n v="305090"/>
    <n v="37835"/>
    <n v="0.22416"/>
    <n v="28777.3"/>
    <n v="138534"/>
    <n v="6417"/>
    <n v="0.20773"/>
    <n v="144490.70000000001"/>
    <n v="846303"/>
    <n v="483"/>
    <n v="0.17072999999999999"/>
    <n v="241657.2"/>
    <n v="1289927"/>
    <n v="44735"/>
    <n v="0.18734176430139071"/>
    <s v="EIA"/>
    <n v="0"/>
    <x v="9"/>
    <x v="18"/>
    <s v="Doyon"/>
    <s v="YU"/>
  </r>
  <r>
    <s v="Golovin Power Utilities"/>
    <s v="Golovin"/>
    <n v="130.51269000000002"/>
    <n v="225.99600000000001"/>
    <n v="55"/>
    <n v="0.57750000000000001"/>
    <n v="138.63927000000001"/>
    <n v="240.06800000000001"/>
    <n v="26"/>
    <n v="0.57750000000000001"/>
    <n v="58.231057499999999"/>
    <n v="100.833"/>
    <n v="12"/>
    <n v="0.57750000000000001"/>
    <n v="327.38301750000005"/>
    <n v="566.89700000000005"/>
    <n v="93"/>
    <n v="0.57750000000000001"/>
    <s v="PCE"/>
    <n v="0"/>
    <x v="6"/>
    <x v="10"/>
    <s v="Bering Straits"/>
    <s v="AN"/>
  </r>
  <r>
    <s v="Gustavus Electric Co"/>
    <s v="Gustavus"/>
    <n v="407.13580257572994"/>
    <n v="912.28099999999995"/>
    <n v="428.91665999999998"/>
    <n v="0.44628332999999998"/>
    <n v="259.55883101132997"/>
    <n v="581.601"/>
    <n v="119.58334000000001"/>
    <n v="0.44628332999999998"/>
    <n v="148.18793344316998"/>
    <n v="332.04899999999998"/>
    <n v="30"/>
    <n v="0.44628332999999998"/>
    <n v="814.88256703022989"/>
    <n v="1825.931"/>
    <n v="578.5"/>
    <n v="0.44628332999999998"/>
    <s v="PCE"/>
    <n v="0"/>
    <x v="2"/>
    <x v="17"/>
    <s v="Sealaska"/>
    <s v="SE"/>
  </r>
  <r>
    <s v="Gwitchyaa Zhee Utilities Company"/>
    <s v="Fort Yukon"/>
    <n v="659.81470745541003"/>
    <n v="1104.123"/>
    <n v="262.66665999999998"/>
    <n v="0.59759167000000002"/>
    <n v="605.01853927475997"/>
    <n v="1012.428"/>
    <n v="68"/>
    <n v="0.59759167000000002"/>
    <n v="380.84337851599003"/>
    <n v="637.29700000000003"/>
    <n v="30.166667"/>
    <n v="0.59759167000000002"/>
    <n v="1645.67662524616"/>
    <n v="2753.848"/>
    <n v="360.833327"/>
    <n v="0.59759167000000002"/>
    <s v="PCE"/>
    <n v="0"/>
    <x v="3"/>
    <x v="3"/>
    <s v="Doyon"/>
    <s v="YU"/>
  </r>
  <r>
    <s v="Homer Electric Assn Inc"/>
    <m/>
    <n v="35185"/>
    <n v="178368"/>
    <n v="25634"/>
    <n v="0.19726071941155365"/>
    <n v="31514"/>
    <n v="177569"/>
    <n v="3834"/>
    <n v="0.17747467181771592"/>
    <n v="9509"/>
    <n v="118432"/>
    <n v="25"/>
    <n v="8.0290799783842209E-2"/>
    <n v="76208"/>
    <n v="474369"/>
    <n v="29493"/>
    <n v="0.16054977257836514"/>
    <s v="EIA"/>
    <s v="Generation from Bradley Lake is shared among Chugach, AML&amp;P, HEA, MEA, Seward Electric and GVEA"/>
    <x v="9"/>
    <x v="13"/>
    <s v="Cook Inlet"/>
    <s v="SC"/>
  </r>
  <r>
    <s v="Hughes Power &amp; Light"/>
    <s v="Hughes"/>
    <n v="98.82987"/>
    <n v="139.197"/>
    <n v="37"/>
    <n v="0.71"/>
    <n v="53.921659999999996"/>
    <n v="75.945999999999998"/>
    <n v="8.6666670000000003"/>
    <n v="0.71"/>
    <n v="59.059930000000001"/>
    <n v="83.183000000000007"/>
    <n v="5"/>
    <n v="0.71"/>
    <n v="211.81146000000001"/>
    <n v="298.32600000000002"/>
    <n v="50.666667000000004"/>
    <n v="0.71"/>
    <s v="PCE"/>
    <n v="0"/>
    <x v="3"/>
    <x v="3"/>
    <s v="Doyon"/>
    <s v="YU"/>
  </r>
  <r>
    <s v="Igiugig Electric Company"/>
    <s v="Igiugig"/>
    <n v="71.780023854000007"/>
    <n v="89.389818000000005"/>
    <n v="23.666665999999999"/>
    <n v="0.80300000000000005"/>
    <n v="74.767256927000005"/>
    <n v="93.109909000000002"/>
    <n v="9"/>
    <n v="0.80300000000000005"/>
    <n v="72.349205511000008"/>
    <n v="90.098636999999997"/>
    <n v="14.25"/>
    <n v="0.80300000000000005"/>
    <n v="218.89648629200002"/>
    <n v="272.598364"/>
    <n v="46.916665999999999"/>
    <n v="0.80300000000000005"/>
    <s v="PCE"/>
    <n v="0"/>
    <x v="7"/>
    <x v="16"/>
    <s v="Bristol Bay"/>
    <s v="SW"/>
  </r>
  <r>
    <s v="I-N-N Electric Coop, Inc"/>
    <s v="Iliamna, Newhalen, Nondalton"/>
    <n v="577.30616637500009"/>
    <n v="971.85500000000002"/>
    <n v="195"/>
    <n v="0.59402500000000003"/>
    <n v="848.52075464999996"/>
    <n v="1428.4259999999999"/>
    <n v="91"/>
    <n v="0.59402500000000003"/>
    <n v="313.97785399999998"/>
    <n v="528.55999999999995"/>
    <n v="24"/>
    <n v="0.59402500000000003"/>
    <n v="1739.804775025"/>
    <n v="2928.8409999999999"/>
    <n v="310"/>
    <n v="0.59402500000000003"/>
    <s v="PCE"/>
    <s v="Power produced at the Tazimina hydroelectric project and the Newhalen plant is shared by Iliamna, Newhalen and Nondalton. Newhalen's information is included in Nondalton's data."/>
    <x v="7"/>
    <x v="16"/>
    <s v="Bristol Bay"/>
    <s v="SW"/>
  </r>
  <r>
    <s v="Inside Passage Electric"/>
    <s v="Angoon"/>
    <n v="605.45172739999998"/>
    <n v="968.25800000000004"/>
    <n v="197.25"/>
    <n v="0.62529999999999997"/>
    <n v="374.67663350000004"/>
    <n v="599.19500000000005"/>
    <n v="27.083334000000001"/>
    <n v="0.62529999999999997"/>
    <n v="183.3054444"/>
    <n v="293.14800000000002"/>
    <n v="14.1666665"/>
    <n v="0.62529999999999997"/>
    <n v="1163.4338052999999"/>
    <n v="1860.6010000000001"/>
    <n v="238.5000005"/>
    <n v="0.62529999999999997"/>
    <s v="PCE"/>
    <n v="0"/>
    <x v="2"/>
    <x v="17"/>
    <s v="Sealaska"/>
    <s v="SE"/>
  </r>
  <r>
    <s v="Inside Passage Electric"/>
    <s v="Chilkat Valley"/>
    <n v="437.18643513574006"/>
    <n v="704.27800000000002"/>
    <n v="201"/>
    <n v="0.62075833000000002"/>
    <n v="256.87538377897005"/>
    <n v="413.80900000000003"/>
    <n v="28.583334000000001"/>
    <n v="0.62075833000000002"/>
    <n v="12.861491839270002"/>
    <n v="20.719000000000001"/>
    <n v="8.6666664999999998"/>
    <n v="0.62075833000000002"/>
    <n v="706.9233107539801"/>
    <n v="1138.806"/>
    <n v="238.2500005"/>
    <n v="0.62075833000000002"/>
    <s v="PCE"/>
    <s v="Provides power to Klukwan via intertie. Power is purchased from AP&amp;T."/>
    <x v="2"/>
    <x v="7"/>
    <s v="Sealaska"/>
    <s v="SE"/>
  </r>
  <r>
    <s v="Inside Passage Electric"/>
    <s v="Hoonah"/>
    <n v="1117.49742867392"/>
    <n v="1797.8240000000001"/>
    <n v="358.41665999999998"/>
    <n v="0.62158332999999999"/>
    <n v="1143.8823978657599"/>
    <n v="1840.2719999999999"/>
    <n v="56.5"/>
    <n v="0.62158332999999999"/>
    <n v="488.90512504484002"/>
    <n v="786.548"/>
    <n v="42.666665999999999"/>
    <n v="0.62158332999999999"/>
    <n v="2750.2849515845201"/>
    <n v="4424.6440000000002"/>
    <n v="457.583326"/>
    <n v="0.62158332999999999"/>
    <s v="PCE"/>
    <n v="0"/>
    <x v="2"/>
    <x v="17"/>
    <s v="Sealaska"/>
    <s v="SE"/>
  </r>
  <r>
    <s v="Inside Passage Electric"/>
    <s v="Kake"/>
    <n v="655.82136769021997"/>
    <n v="1057.066"/>
    <n v="224.08332999999999"/>
    <n v="0.62041667"/>
    <n v="746.18877817574003"/>
    <n v="1202.722"/>
    <n v="49.333331999999999"/>
    <n v="0.62041667"/>
    <n v="170.71447133386999"/>
    <n v="275.161"/>
    <n v="20.666667"/>
    <n v="0.62041667"/>
    <n v="1572.7246171998302"/>
    <n v="2534.9490000000001"/>
    <n v="294.08332899999999"/>
    <n v="0.62041667"/>
    <s v="PCE"/>
    <n v="0"/>
    <x v="2"/>
    <x v="19"/>
    <s v="Sealaska"/>
    <s v="SE"/>
  </r>
  <r>
    <s v="Inside Passage Electric"/>
    <s v="Klukwan"/>
    <n v="137.43588300208"/>
    <n v="220.624"/>
    <n v="47"/>
    <n v="0.62294167"/>
    <n v="57.197881197729998"/>
    <n v="91.819000000000003"/>
    <n v="7"/>
    <n v="0.62294167"/>
    <n v="38.812380749349998"/>
    <n v="62.305"/>
    <n v="8.1666670000000003"/>
    <n v="0.62294167"/>
    <n v="233.44614494915999"/>
    <n v="374.74799999999999"/>
    <n v="62.166667000000004"/>
    <n v="0.62294167"/>
    <s v="PCE"/>
    <s v="Receives power from Chilkat Valley via intertie. Chilkat Valley purchases power from AP&amp;T."/>
    <x v="2"/>
    <x v="17"/>
    <s v="Sealaska"/>
    <s v="SE"/>
  </r>
  <r>
    <s v="Ketchikan Public Utilities"/>
    <s v="Ketchikan"/>
    <n v="7233.5"/>
    <n v="70815"/>
    <n v="6208"/>
    <n v="0.10201"/>
    <n v="6837.1"/>
    <n v="70657"/>
    <n v="1223"/>
    <n v="9.6759999999999999E-2"/>
    <n v="1952.6"/>
    <n v="23242"/>
    <n v="12"/>
    <n v="8.4010000000000001E-2"/>
    <n v="16013.2"/>
    <n v="164714"/>
    <n v="7443"/>
    <n v="9.7218208531150971E-2"/>
    <s v="EIA"/>
    <n v="0"/>
    <x v="2"/>
    <x v="20"/>
    <s v="Sealaska"/>
    <s v="SE"/>
  </r>
  <r>
    <s v="King Cove, City of"/>
    <s v="King Cove"/>
    <n v="321.49610100000007"/>
    <n v="1147.6880000000001"/>
    <n v="126.75"/>
    <n v="0.28012500000000001"/>
    <n v="408.59088525000004"/>
    <n v="1458.6020000000001"/>
    <n v="210"/>
    <n v="0.28012500000000001"/>
    <n v="378.46372162500006"/>
    <n v="1351.0530000000001"/>
    <n v="36.25"/>
    <n v="0.28012500000000001"/>
    <n v="1108.5507078750002"/>
    <n v="3957.3429999999998"/>
    <n v="373"/>
    <n v="0.28012500000000001"/>
    <s v="PCE"/>
    <n v="0"/>
    <x v="1"/>
    <x v="1"/>
    <s v="Aleut"/>
    <s v="SW"/>
  </r>
  <r>
    <s v="Kipnuk Light Plant"/>
    <s v="Kipnuk"/>
    <n v="443.80786192197002"/>
    <n v="773.40899999999999"/>
    <n v="165.25"/>
    <n v="0.57383333000000003"/>
    <n v="197.10371518837999"/>
    <n v="343.48599999999999"/>
    <n v="31"/>
    <n v="0.57383333000000003"/>
    <n v="142.40649600611002"/>
    <n v="248.167"/>
    <n v="13.0833335"/>
    <n v="0.57383333000000003"/>
    <n v="783.31807311646003"/>
    <n v="1365.0619999999999"/>
    <n v="209.33333350000001"/>
    <n v="0.57383333000000003"/>
    <s v="PCE"/>
    <n v="0"/>
    <x v="0"/>
    <x v="0"/>
    <s v="Calista"/>
    <s v="SW"/>
  </r>
  <r>
    <s v="Kobuk Valley Electric Company"/>
    <s v="Kobuk"/>
    <n v="144.58617000000001"/>
    <n v="166.191"/>
    <n v="33.166668000000001"/>
    <n v="0.87"/>
    <n v="157.64225999999999"/>
    <n v="181.19800000000001"/>
    <n v="12.083333"/>
    <n v="0.87"/>
    <n v="132.75155999999998"/>
    <n v="152.58799999999999"/>
    <n v="8.4166668100000006"/>
    <n v="0.87"/>
    <n v="434.97998999999999"/>
    <n v="499.97699999999998"/>
    <n v="53.66666781"/>
    <n v="0.87"/>
    <s v="PCE"/>
    <s v="Receives power from Shungnak via intertie. For fuel use and cost, please refer to Shungnak. On July 1, 2012, AVEC took over operations in Kobuk."/>
    <x v="5"/>
    <x v="9"/>
    <s v="NANA"/>
    <s v="AN"/>
  </r>
  <r>
    <s v="Kodiak Electric Assn Inc"/>
    <s v="Kodiak"/>
    <n v="6493"/>
    <n v="34125"/>
    <n v="4689"/>
    <n v="0.19027000000000002"/>
    <n v="3982"/>
    <n v="21537"/>
    <n v="1032"/>
    <n v="0.18489"/>
    <n v="14987"/>
    <n v="86308"/>
    <n v="99"/>
    <n v="0.17354"/>
    <n v="25453"/>
    <n v="141970"/>
    <n v="5820"/>
    <n v="0.17928435584982744"/>
    <s v="EIA"/>
    <n v="0"/>
    <x v="8"/>
    <x v="12"/>
    <s v="Koniag"/>
    <s v="SC"/>
  </r>
  <r>
    <s v="Kokhanok Village Council"/>
    <s v="Kokhanok"/>
    <n v="160.434"/>
    <n v="178.26"/>
    <n v="54.833331999999999"/>
    <n v="0.9"/>
    <n v="49.918500000000002"/>
    <n v="55.465000000000003"/>
    <n v="6.1666664999999998"/>
    <n v="0.9"/>
    <n v="153.46349999999998"/>
    <n v="170.51499999999999"/>
    <n v="14"/>
    <n v="0.9"/>
    <n v="363.81599999999997"/>
    <n v="404.24"/>
    <n v="74.999998500000004"/>
    <n v="0.9"/>
    <s v="PCE"/>
    <n v="0"/>
    <x v="7"/>
    <x v="16"/>
    <s v="Bristol Bay"/>
    <s v="SW"/>
  </r>
  <r>
    <s v="Kotzebue Electric Association"/>
    <s v="Kotzebue"/>
    <n v="3085.3220396627098"/>
    <n v="7388.8130000000001"/>
    <n v="975"/>
    <n v="0.41756666999999997"/>
    <n v="4419.6287742474897"/>
    <n v="10584.246999999999"/>
    <n v="107"/>
    <n v="0.41756666999999997"/>
    <n v="1235.85704079888"/>
    <n v="2959.6640000000002"/>
    <n v="93"/>
    <n v="0.41756666999999997"/>
    <n v="8740.8078547090809"/>
    <n v="20932.723999999998"/>
    <n v="1175"/>
    <n v="0.41756666999999997"/>
    <s v="PCE"/>
    <n v="0"/>
    <x v="5"/>
    <x v="9"/>
    <s v="NANA"/>
    <s v="AN"/>
  </r>
  <r>
    <s v="Koyukuk, City of"/>
    <s v="Koyukuk"/>
    <n v="59.576233737239995"/>
    <n v="121.172"/>
    <n v="56.666668000000001"/>
    <n v="0.49166666999999997"/>
    <n v="41.450941947689998"/>
    <n v="84.307000000000002"/>
    <n v="5"/>
    <n v="0.49166666999999997"/>
    <n v="30.442033539719997"/>
    <n v="61.915999999999997"/>
    <n v="10"/>
    <n v="0.49166666999999997"/>
    <n v="131.46920922465"/>
    <n v="267.39499999999998"/>
    <n v="71.666668000000001"/>
    <n v="0.49166666999999997"/>
    <s v="PCE"/>
    <n v="0"/>
    <x v="3"/>
    <x v="3"/>
    <s v="Doyon"/>
    <s v="YU"/>
  </r>
  <r>
    <s v="Kwethluk Incorporated"/>
    <s v="Kwethluk"/>
    <n v="324.44776000000002"/>
    <n v="623.93799999999999"/>
    <n v="178.66667000000001"/>
    <n v="0.52"/>
    <n v="130.89439999999999"/>
    <n v="251.72"/>
    <n v="8.1666670000000003"/>
    <n v="0.52"/>
    <n v="69.750720000000001"/>
    <n v="134.136"/>
    <n v="14.166667"/>
    <n v="0.52"/>
    <n v="525.09288000000004"/>
    <n v="1009.794"/>
    <n v="201.00000399999999"/>
    <n v="0.52"/>
    <s v="PCE"/>
    <n v="0"/>
    <x v="0"/>
    <x v="0"/>
    <s v="Calista"/>
    <s v="SW"/>
  </r>
  <r>
    <s v="Kwigillingok Power Company"/>
    <s v="Kwigillingok"/>
    <n v="260.19930000000005"/>
    <n v="435.48"/>
    <n v="84.333336000000003"/>
    <n v="0.59750000000000003"/>
    <n v="238.46762749999999"/>
    <n v="399.10899999999998"/>
    <n v="12.333333"/>
    <n v="0.59750000000000003"/>
    <n v="48.360455000000002"/>
    <n v="80.938000000000002"/>
    <n v="11.666667"/>
    <n v="0.59750000000000003"/>
    <n v="547.02738250000004"/>
    <n v="915.52699999999993"/>
    <n v="108.333336"/>
    <n v="0.59750000000000003"/>
    <s v="PCE"/>
    <n v="0"/>
    <x v="0"/>
    <x v="0"/>
    <s v="Calista"/>
    <s v="SW"/>
  </r>
  <r>
    <s v="Larsen Bay Utility Company"/>
    <s v="Larsen Bay"/>
    <n v="71.99397175"/>
    <n v="173.47945000000001"/>
    <n v="43.583331999999999"/>
    <n v="0.41499999999999998"/>
    <n v="108.5908256"/>
    <n v="261.66464000000002"/>
    <n v="26.492424"/>
    <n v="0.41499999999999998"/>
    <n v="72.752555644999987"/>
    <n v="175.30736299999998"/>
    <n v="11.454545299999999"/>
    <n v="0.41499999999999998"/>
    <n v="253.337352995"/>
    <n v="610.45145300000001"/>
    <n v="81.530301299999991"/>
    <n v="0.41499999999999998"/>
    <s v="PCE"/>
    <n v="0"/>
    <x v="8"/>
    <x v="12"/>
    <s v="Koniag"/>
    <s v="SC"/>
  </r>
  <r>
    <s v="Levelock Electrical Coop"/>
    <s v="Levelock"/>
    <n v="110.45299999999999"/>
    <n v="157.79"/>
    <n v="33.5"/>
    <n v="0.7"/>
    <n v="72.671199999999999"/>
    <n v="103.816"/>
    <n v="9.25"/>
    <n v="0.7"/>
    <n v="67.50869999999999"/>
    <n v="96.441000000000003"/>
    <n v="10.9166665"/>
    <n v="0.7"/>
    <n v="250.63289999999995"/>
    <n v="358.04700000000003"/>
    <n v="53.666666499999998"/>
    <n v="0.7"/>
    <s v="PCE"/>
    <n v="0"/>
    <x v="7"/>
    <x v="16"/>
    <s v="Bristol Bay"/>
    <s v="SW"/>
  </r>
  <r>
    <s v="Manokotak Power Company"/>
    <s v="Manokotak"/>
    <n v="298.56035000000003"/>
    <n v="542.83699999999999"/>
    <n v="147"/>
    <n v="0.55000000000000004"/>
    <n v="75.132200000000012"/>
    <n v="136.60400000000001"/>
    <n v="19.25"/>
    <n v="0.55000000000000004"/>
    <n v="298.87715000000003"/>
    <n v="543.41300000000001"/>
    <n v="26.666665999999999"/>
    <n v="0.55000000000000004"/>
    <n v="672.56970000000001"/>
    <n v="1222.854"/>
    <n v="192.91666599999999"/>
    <n v="0.55000000000000004"/>
    <s v="PCE"/>
    <n v="0"/>
    <x v="7"/>
    <x v="11"/>
    <s v="Bristol Bay"/>
    <s v="SW"/>
  </r>
  <r>
    <s v="Matanuska Electric Association"/>
    <m/>
    <n v="68212"/>
    <n v="451449"/>
    <n v="53239"/>
    <n v="0.15109999999999998"/>
    <n v="33796"/>
    <n v="265746"/>
    <n v="3668"/>
    <n v="0.12717000000000001"/>
    <n v="0"/>
    <n v="0"/>
    <n v="0"/>
    <m/>
    <n v="102008"/>
    <n v="717195"/>
    <n v="56907"/>
    <n v="0.14223188951400945"/>
    <s v="EIA"/>
    <n v="0"/>
    <x v="9"/>
    <x v="21"/>
    <s v="Cook Inlet"/>
    <s v="SC"/>
  </r>
  <r>
    <s v="Mcgrath Light &amp; Power"/>
    <s v="McGrath"/>
    <n v="361.79945459999999"/>
    <n v="710.31600000000003"/>
    <n v="188"/>
    <n v="0.50934999999999997"/>
    <n v="450.5119254"/>
    <n v="884.48400000000004"/>
    <n v="60"/>
    <n v="0.50934999999999997"/>
    <n v="481.41164314999997"/>
    <n v="945.149"/>
    <n v="55.166667000000004"/>
    <n v="0.50934999999999997"/>
    <n v="1293.72302315"/>
    <n v="2539.9490000000001"/>
    <n v="303.16666700000002"/>
    <n v="0.50934999999999997"/>
    <s v="PCE"/>
    <n v="0"/>
    <x v="3"/>
    <x v="3"/>
    <s v="Doyon"/>
    <s v="SW"/>
  </r>
  <r>
    <s v="Metlakatla Power &amp; Light"/>
    <s v="Metlakatla"/>
    <n v="772"/>
    <n v="8455"/>
    <n v="641"/>
    <n v="9.1306918982850385E-2"/>
    <n v="1185"/>
    <n v="9881"/>
    <n v="210"/>
    <n v="0.11992713288128731"/>
    <n v="11"/>
    <n v="60"/>
    <n v="67"/>
    <n v="0.18333333333333332"/>
    <n v="1968"/>
    <n v="18396"/>
    <n v="918"/>
    <n v="0.10697977821265492"/>
    <s v="EIA"/>
    <n v="0"/>
    <x v="2"/>
    <x v="5"/>
    <s v="Sealaska"/>
    <s v="SE"/>
  </r>
  <r>
    <s v="Middle Kuskokwim Electric"/>
    <s v="Chuathbaluk"/>
    <n v="99.980659075000005"/>
    <n v="117.697"/>
    <n v="33.166668000000001"/>
    <n v="0.84947499999999998"/>
    <n v="92.777111074999993"/>
    <n v="109.217"/>
    <n v="6"/>
    <n v="0.84947499999999998"/>
    <n v="22.913738649999999"/>
    <n v="26.974"/>
    <n v="8"/>
    <n v="0.84947499999999998"/>
    <n v="215.6715088"/>
    <n v="253.88799999999998"/>
    <n v="47.166668000000001"/>
    <n v="0.84947499999999998"/>
    <s v="PCE"/>
    <n v="0"/>
    <x v="0"/>
    <x v="0"/>
    <s v="Calista"/>
    <s v="SW"/>
  </r>
  <r>
    <s v="Middle Kuskokwim Electric"/>
    <s v="Crooked Creek"/>
    <n v="86.526675006199994"/>
    <n v="101.86"/>
    <n v="33"/>
    <n v="0.84946666999999998"/>
    <n v="89.714723418709994"/>
    <n v="105.613"/>
    <n v="8"/>
    <n v="0.84946666999999998"/>
    <n v="42.925249768439997"/>
    <n v="50.531999999999996"/>
    <n v="8"/>
    <n v="0.84946666999999998"/>
    <n v="219.16664819335"/>
    <n v="258.005"/>
    <n v="49"/>
    <n v="0.84946666999999998"/>
    <s v="PCE"/>
    <n v="0"/>
    <x v="0"/>
    <x v="0"/>
    <s v="Calista"/>
    <s v="SW"/>
  </r>
  <r>
    <s v="Middle Kuskokwim Electric"/>
    <s v="Red Devil"/>
    <n v="48.105296188799997"/>
    <n v="56.64"/>
    <n v="16.166665999999999"/>
    <n v="0.84931667"/>
    <n v="19.689708360609998"/>
    <n v="23.183"/>
    <n v="3"/>
    <n v="0.84931667"/>
    <n v="12.23950253137"/>
    <n v="14.411"/>
    <n v="4"/>
    <n v="0.84931667"/>
    <n v="80.034507080780003"/>
    <n v="94.234000000000009"/>
    <n v="23.166665999999999"/>
    <n v="0.84931667"/>
    <s v="PCE"/>
    <n v="0"/>
    <x v="0"/>
    <x v="0"/>
    <s v="Calista"/>
    <s v="SW"/>
  </r>
  <r>
    <s v="Middle Kuskokwim Electric"/>
    <s v="Sleetmute"/>
    <n v="87.739735222380006"/>
    <n v="103.286"/>
    <n v="31.083334000000001"/>
    <n v="0.84948332999999998"/>
    <n v="55.937627797170002"/>
    <n v="65.849000000000004"/>
    <n v="7"/>
    <n v="0.84948332999999998"/>
    <n v="70.677013056000007"/>
    <n v="83.2"/>
    <n v="8"/>
    <n v="0.84948332999999998"/>
    <n v="214.35437607555002"/>
    <n v="252.33499999999998"/>
    <n v="46.083334000000001"/>
    <n v="0.84948332999999998"/>
    <s v="PCE"/>
    <n v="0"/>
    <x v="0"/>
    <x v="0"/>
    <s v="Calista"/>
    <s v="SW"/>
  </r>
  <r>
    <s v="Middle Kuskokwim Electric"/>
    <s v="Stony River"/>
    <n v="36.282994500000001"/>
    <n v="42.710999999999999"/>
    <n v="18.166665999999999"/>
    <n v="0.84950000000000003"/>
    <n v="41.600014999999999"/>
    <n v="48.97"/>
    <n v="5"/>
    <n v="0.84950000000000003"/>
    <n v="16.682481000000003"/>
    <n v="19.638000000000002"/>
    <n v="3"/>
    <n v="0.84950000000000003"/>
    <n v="94.56549050000001"/>
    <n v="111.319"/>
    <n v="26.166665999999999"/>
    <n v="0.84950000000000003"/>
    <s v="PCE"/>
    <n v="0"/>
    <x v="0"/>
    <x v="0"/>
    <s v="Calista"/>
    <s v="SW"/>
  </r>
  <r>
    <s v="Naknek Electric Association"/>
    <s v="Naknek, King Salmon, South Naknek"/>
    <n v="1707.3799784703001"/>
    <n v="3383.91"/>
    <n v="741.41669000000002"/>
    <n v="0.50455833000000005"/>
    <n v="4833.7308620745907"/>
    <n v="9580.1229999999996"/>
    <n v="244.91667000000001"/>
    <n v="0.50455833000000005"/>
    <n v="2761.0617529675501"/>
    <n v="5472.2349999999997"/>
    <n v="136.166664"/>
    <n v="0.50455833000000005"/>
    <n v="9302.1725935124414"/>
    <n v="18436.268"/>
    <n v="1122.5000240000002"/>
    <n v="0.50455833000000005"/>
    <s v="PCE"/>
    <s v="Provides power to South Naknek and King Salmon via intertie. Data includes South Naknek's and King Salmon's information."/>
    <x v="7"/>
    <x v="22"/>
    <s v="Bristol Bay"/>
    <s v="SW"/>
  </r>
  <r>
    <s v="Napakiak Ircinraq"/>
    <s v="Napakiak"/>
    <n v="296.61635653543999"/>
    <n v="359.36799999999999"/>
    <n v="111.58334000000001"/>
    <n v="0.82538332999999997"/>
    <n v="139.38660985375"/>
    <n v="168.875"/>
    <n v="17"/>
    <n v="0.82538332999999997"/>
    <n v="60.780403037869995"/>
    <n v="73.638999999999996"/>
    <n v="11.5833333"/>
    <n v="0.82538332999999997"/>
    <n v="496.78336942705994"/>
    <n v="601.88199999999995"/>
    <n v="140.16667330000001"/>
    <n v="0.82538332999999997"/>
    <s v="PCE"/>
    <s v="Purchases power from Bethel Utilities Corporation"/>
    <x v="0"/>
    <x v="0"/>
    <s v="Calista"/>
    <s v="SW"/>
  </r>
  <r>
    <s v="Napaskiak Electric Utility"/>
    <s v="Napaskiak"/>
    <n v="282.7491"/>
    <n v="443.52800000000002"/>
    <n v="107"/>
    <n v="0.63749999999999996"/>
    <n v="137.08098749999999"/>
    <n v="215.029"/>
    <n v="5"/>
    <n v="0.63749999999999996"/>
    <n v="58.085812499999996"/>
    <n v="91.114999999999995"/>
    <n v="13"/>
    <n v="0.63749999999999996"/>
    <n v="477.91589999999997"/>
    <n v="749.67200000000003"/>
    <n v="125"/>
    <n v="0.63749999999999996"/>
    <s v="PCE"/>
    <n v="0"/>
    <x v="0"/>
    <x v="0"/>
    <s v="Calista"/>
    <s v="SW"/>
  </r>
  <r>
    <s v="Naterkaq Light Plant"/>
    <s v="Chefornak"/>
    <n v="242.7149319344"/>
    <n v="419.68"/>
    <n v="95.166663999999997"/>
    <n v="0.57833332999999998"/>
    <n v="107.35370271458"/>
    <n v="185.626"/>
    <n v="7.1666664999999998"/>
    <n v="0.57833332999999998"/>
    <n v="282.08613004081002"/>
    <n v="487.75700000000001"/>
    <n v="24.833333500000002"/>
    <n v="0.57833332999999998"/>
    <n v="632.15476468979"/>
    <n v="1093.0630000000001"/>
    <n v="127.166664"/>
    <n v="0.57833332999999998"/>
    <s v="PCE"/>
    <n v="0"/>
    <x v="0"/>
    <x v="0"/>
    <s v="Calista"/>
    <s v="SW"/>
  </r>
  <r>
    <s v="Native Village of Perryville"/>
    <s v="Perryville"/>
    <n v="116.94119999999999"/>
    <n v="123.096"/>
    <n v="44.75"/>
    <n v="0.95"/>
    <n v="149.834"/>
    <n v="157.72"/>
    <n v="9.6666670000000003"/>
    <n v="0.95"/>
    <n v="58.115299999999998"/>
    <n v="61.173999999999999"/>
    <n v="8.0833335000000002"/>
    <n v="0.95"/>
    <n v="324.89049999999997"/>
    <n v="341.99"/>
    <n v="62.500000500000006"/>
    <n v="0.95"/>
    <s v="PCE"/>
    <n v="0"/>
    <x v="7"/>
    <x v="16"/>
    <s v="Bristol Bay"/>
    <s v="SW"/>
  </r>
  <r>
    <s v="Nelson Lagoon Electrical Coop"/>
    <s v="Nelson Lagoon"/>
    <n v="117.77863500000001"/>
    <n v="153.959"/>
    <n v="36"/>
    <n v="0.76500000000000001"/>
    <n v="119.37213"/>
    <n v="156.042"/>
    <n v="13"/>
    <n v="0.76500000000000001"/>
    <n v="48.386250000000004"/>
    <n v="63.25"/>
    <n v="11"/>
    <n v="0.76500000000000001"/>
    <n v="285.537015"/>
    <n v="373.25099999999998"/>
    <n v="60"/>
    <n v="0.76500000000000001"/>
    <s v="PCE"/>
    <n v="0"/>
    <x v="1"/>
    <x v="1"/>
    <s v="Aleut"/>
    <s v="SW"/>
  </r>
  <r>
    <s v="New Koliganek Village Council"/>
    <s v="Koliganek"/>
    <n v="130.37686000000002"/>
    <n v="258.17200000000003"/>
    <n v="70"/>
    <n v="0.505"/>
    <n v="35.590885"/>
    <n v="70.477000000000004"/>
    <n v="7"/>
    <n v="0.505"/>
    <n v="142.12265499999998"/>
    <n v="281.43099999999998"/>
    <n v="23"/>
    <n v="0.505"/>
    <n v="308.09040000000005"/>
    <n v="610.07999999999993"/>
    <n v="100"/>
    <n v="0.505"/>
    <s v="PCE"/>
    <n v="0"/>
    <x v="7"/>
    <x v="11"/>
    <s v="Bristol Bay"/>
    <s v="SW"/>
  </r>
  <r>
    <s v="Nikolai, City of"/>
    <s v="Nikolai"/>
    <n v="127.11996312499998"/>
    <n v="158.07499999999999"/>
    <n v="35.333331999999999"/>
    <n v="0.80417499999999997"/>
    <n v="56.437001500000001"/>
    <n v="70.180000000000007"/>
    <n v="6"/>
    <n v="0.80417499999999997"/>
    <n v="85.152482399999997"/>
    <n v="105.88800000000001"/>
    <n v="13"/>
    <n v="0.80417499999999997"/>
    <n v="268.70944702499997"/>
    <n v="334.14300000000003"/>
    <n v="54.333331999999999"/>
    <n v="0.80417499999999997"/>
    <s v="PCE"/>
    <n v="0"/>
    <x v="3"/>
    <x v="3"/>
    <s v="Doyon"/>
    <s v="SW"/>
  </r>
  <r>
    <s v="Nome Joint Utility Systems"/>
    <s v="Nome"/>
    <n v="3338.3782034000001"/>
    <n v="9216.9470000000001"/>
    <n v="1700.9166"/>
    <n v="0.36220000000000002"/>
    <n v="6087.4696838"/>
    <n v="16806.929"/>
    <n v="280.66665999999998"/>
    <n v="0.36220000000000002"/>
    <n v="2445.6370606"/>
    <n v="6752.1729999999998"/>
    <n v="125.833332"/>
    <n v="0.36220000000000002"/>
    <n v="11871.4849478"/>
    <n v="32776.048999999999"/>
    <n v="2107.416592"/>
    <n v="0.36220000000000002"/>
    <s v="PCE"/>
    <n v="0"/>
    <x v="6"/>
    <x v="10"/>
    <s v="Bering Straits"/>
    <s v="AN"/>
  </r>
  <r>
    <s v="North Slope Borough Power &amp; Light"/>
    <s v="Anaktuvuk Pass"/>
    <n v="97.884599999999992"/>
    <n v="652.56399999999996"/>
    <n v="92"/>
    <n v="0.15"/>
    <n v="385.48154999999997"/>
    <n v="2569.877"/>
    <n v="59.166668000000001"/>
    <n v="0.15"/>
    <n v="10.553849999999999"/>
    <n v="70.358999999999995"/>
    <n v="4"/>
    <n v="0.15"/>
    <n v="493.91999999999996"/>
    <n v="3292.7999999999997"/>
    <n v="155.16666800000002"/>
    <n v="0.15"/>
    <s v="PCE"/>
    <n v="0"/>
    <x v="10"/>
    <x v="15"/>
    <s v="Arctic Slope"/>
    <s v="AN"/>
  </r>
  <r>
    <s v="North Slope Borough Power &amp; Light"/>
    <s v="Atqasuk"/>
    <n v="87.6066"/>
    <n v="584.04399999999998"/>
    <n v="57.75"/>
    <n v="0.15"/>
    <n v="348.21165000000002"/>
    <n v="2321.4110000000001"/>
    <n v="56"/>
    <n v="0.15"/>
    <n v="13.279500000000001"/>
    <n v="88.53"/>
    <n v="4"/>
    <n v="0.15"/>
    <n v="449.09775000000002"/>
    <n v="2993.9850000000001"/>
    <n v="117.75"/>
    <n v="0.15"/>
    <s v="PCE"/>
    <n v="0"/>
    <x v="10"/>
    <x v="15"/>
    <s v="Arctic Slope"/>
    <s v="AN"/>
  </r>
  <r>
    <s v="North Slope Borough Power &amp; Light"/>
    <s v="Kaktovik"/>
    <n v="97.421399999999991"/>
    <n v="649.476"/>
    <n v="78.583336000000003"/>
    <n v="0.15"/>
    <n v="500.52074999999996"/>
    <n v="3336.8049999999998"/>
    <n v="48.916668000000001"/>
    <n v="0.15"/>
    <n v="129.02295000000001"/>
    <n v="860.15300000000002"/>
    <n v="10"/>
    <n v="0.15"/>
    <n v="726.96510000000001"/>
    <n v="4846.4340000000002"/>
    <n v="137.50000399999999"/>
    <n v="0.15"/>
    <s v="PCE"/>
    <n v="0"/>
    <x v="10"/>
    <x v="15"/>
    <s v="Arctic Slope"/>
    <s v="AN"/>
  </r>
  <r>
    <s v="North Slope Borough Power &amp; Light"/>
    <s v="Nuiqsut"/>
    <n v="71.562240000000003"/>
    <n v="894.52800000000002"/>
    <n v="104.75"/>
    <n v="0.08"/>
    <n v="284.43056000000001"/>
    <n v="3555.3820000000001"/>
    <n v="66.25"/>
    <n v="0.08"/>
    <n v="9.3680800000000009"/>
    <n v="117.101"/>
    <n v="5.3333332999999996"/>
    <n v="0.08"/>
    <n v="365.36088000000001"/>
    <n v="4567.0109999999995"/>
    <n v="176.33333329999999"/>
    <n v="0.08"/>
    <s v="PCE"/>
    <n v="0"/>
    <x v="10"/>
    <x v="15"/>
    <s v="Arctic Slope"/>
    <s v="AN"/>
  </r>
  <r>
    <s v="North Slope Borough Power &amp; Light"/>
    <s v="Point Hope"/>
    <n v="248.80124999999998"/>
    <n v="1658.675"/>
    <n v="181.16667000000001"/>
    <n v="0.15"/>
    <n v="483.52364999999998"/>
    <n v="3223.491"/>
    <n v="76.916663999999997"/>
    <n v="0.15"/>
    <n v="42.15"/>
    <n v="281"/>
    <n v="8"/>
    <n v="0.15"/>
    <n v="774.47489999999993"/>
    <n v="5163.1660000000002"/>
    <n v="266.08333400000004"/>
    <n v="0.15"/>
    <s v="PCE"/>
    <n v="0"/>
    <x v="10"/>
    <x v="15"/>
    <s v="Arctic Slope"/>
    <s v="AN"/>
  </r>
  <r>
    <s v="North Slope Borough Power &amp; Light"/>
    <s v="Point Lay"/>
    <n v="63.067499999999995"/>
    <n v="420.45"/>
    <n v="55.5"/>
    <n v="0.15"/>
    <n v="275.62605000000002"/>
    <n v="1837.5070000000001"/>
    <n v="44.5"/>
    <n v="0.15"/>
    <n v="14.835149999999999"/>
    <n v="98.900999999999996"/>
    <n v="3"/>
    <n v="0.15"/>
    <n v="353.52870000000001"/>
    <n v="2356.8579999999997"/>
    <n v="103"/>
    <n v="0.15"/>
    <s v="PCE"/>
    <n v="0"/>
    <x v="10"/>
    <x v="15"/>
    <s v="Arctic Slope"/>
    <s v="AN"/>
  </r>
  <r>
    <s v="North Slope Borough Power &amp; Light"/>
    <s v="Wainwright"/>
    <n v="172.5"/>
    <n v="1150"/>
    <n v="141.41667000000001"/>
    <n v="0.15"/>
    <n v="509.8587"/>
    <n v="3399.058"/>
    <n v="71.833336000000003"/>
    <n v="0.15"/>
    <n v="19.6281"/>
    <n v="130.85400000000001"/>
    <n v="6"/>
    <n v="0.15"/>
    <n v="701.98680000000002"/>
    <n v="4679.9120000000003"/>
    <n v="219.25000600000001"/>
    <n v="0.15"/>
    <s v="PCE"/>
    <n v="0"/>
    <x v="10"/>
    <x v="15"/>
    <s v="Arctic Slope"/>
    <s v="AN"/>
  </r>
  <r>
    <s v="Nunam Iqua Electric Company"/>
    <s v="Nunam Iqua"/>
    <n v="91.969840000000005"/>
    <n v="173.52799999999999"/>
    <n v="40.666668000000001"/>
    <n v="0.53"/>
    <n v="201.47685000000001"/>
    <n v="380.14499999999998"/>
    <n v="6.75"/>
    <n v="0.53"/>
    <n v="114.99834000000001"/>
    <n v="216.97800000000001"/>
    <n v="9.6666664999999998"/>
    <n v="0.53"/>
    <n v="408.44502999999997"/>
    <n v="770.65100000000007"/>
    <n v="57.083334499999999"/>
    <n v="0.53"/>
    <s v="PCE"/>
    <n v="0"/>
    <x v="0"/>
    <x v="8"/>
    <s v="Calista"/>
    <s v="YU"/>
  </r>
  <r>
    <s v="Nushagak Electric Cooperative"/>
    <s v="Dillingham, Aleknagik"/>
    <n v="2279.2359367333502"/>
    <n v="5695.0050000000001"/>
    <n v="1000.5833"/>
    <n v="0.40021667"/>
    <n v="4241.1796972740303"/>
    <n v="10597.209000000001"/>
    <n v="388.5"/>
    <n v="0.40021667"/>
    <n v="691.29545474101008"/>
    <n v="1727.3030000000001"/>
    <n v="101.333332"/>
    <n v="0.40021667"/>
    <n v="7211.7110887483905"/>
    <n v="18019.517"/>
    <n v="1490.4166319999999"/>
    <n v="0.40021667"/>
    <s v="PCE"/>
    <s v="Provides power to Aleknagik via intertie. Data includes Aleknagik's information."/>
    <x v="7"/>
    <x v="11"/>
    <s v="Bristol Bay"/>
    <s v="SW"/>
  </r>
  <r>
    <s v="Ouzinkie, City of"/>
    <s v="Ouzinkie"/>
    <n v="134.78135895"/>
    <n v="325.38200000000001"/>
    <n v="76.833336000000003"/>
    <n v="0.41422500000000001"/>
    <n v="100.470687975"/>
    <n v="242.55099999999999"/>
    <n v="9.5"/>
    <n v="0.41422500000000001"/>
    <n v="43.868912850000001"/>
    <n v="105.90600000000001"/>
    <n v="7.9166668100000006"/>
    <n v="0.41422500000000001"/>
    <n v="279.12095977500002"/>
    <n v="673.83899999999994"/>
    <n v="94.250002809999998"/>
    <n v="0.41422500000000001"/>
    <s v="PCE"/>
    <n v="0"/>
    <x v="8"/>
    <x v="12"/>
    <s v="Koniag"/>
    <s v="SC"/>
  </r>
  <r>
    <s v="Pedro Bay Village Council"/>
    <s v="Pedro Bay"/>
    <n v="59.287410000000001"/>
    <n v="65.150999999999996"/>
    <n v="22.5"/>
    <n v="0.91"/>
    <n v="93.27955"/>
    <n v="102.505"/>
    <n v="9.8333329999999997"/>
    <n v="0.91"/>
    <n v="30.290260000000004"/>
    <n v="33.286000000000001"/>
    <n v="6.1666664999999998"/>
    <n v="0.91"/>
    <n v="182.85721999999998"/>
    <n v="200.94200000000001"/>
    <n v="38.499999499999994"/>
    <n v="0.91"/>
    <s v="PCE"/>
    <n v="0"/>
    <x v="7"/>
    <x v="16"/>
    <s v="Bristol Bay"/>
    <s v="SW"/>
  </r>
  <r>
    <s v="Pelican Utility"/>
    <s v="Pelican"/>
    <n v="228.44364439034999"/>
    <n v="332.89499999999998"/>
    <n v="68.083336000000003"/>
    <n v="0.68623332999999997"/>
    <n v="124.66457789444999"/>
    <n v="181.66499999999999"/>
    <n v="13.666667"/>
    <n v="0.68623332999999997"/>
    <n v="134.91347267800001"/>
    <n v="196.6"/>
    <n v="26.5"/>
    <n v="0.68623332999999997"/>
    <n v="488.02169496279998"/>
    <n v="711.16"/>
    <n v="108.25000300000001"/>
    <n v="0.68623332999999997"/>
    <s v="PCE"/>
    <n v="0"/>
    <x v="2"/>
    <x v="17"/>
    <s v="Sealaska"/>
    <s v="SE"/>
  </r>
  <r>
    <s v="Petersburg, City of"/>
    <s v="Petersburg"/>
    <n v="2006.8"/>
    <n v="20389"/>
    <n v="1367"/>
    <n v="9.8425621658737555E-2"/>
    <n v="1000.6"/>
    <n v="8580"/>
    <n v="713"/>
    <n v="0.11662004662004662"/>
    <n v="2329.9"/>
    <n v="21706"/>
    <n v="37"/>
    <n v="0.10733898461254952"/>
    <n v="5337.3"/>
    <n v="50675"/>
    <n v="2117"/>
    <n v="0.10532412432165762"/>
    <s v="EIA"/>
    <n v="0"/>
    <x v="2"/>
    <x v="19"/>
    <s v="Sealaska"/>
    <s v="SE"/>
  </r>
  <r>
    <s v="Pilot Point Electric Utility"/>
    <s v="Pilot Point"/>
    <n v="83.621499999999997"/>
    <n v="167.24299999999999"/>
    <n v="39"/>
    <n v="0.5"/>
    <n v="61.274999999999999"/>
    <n v="122.55"/>
    <n v="15.25"/>
    <n v="0.5"/>
    <n v="53.3065"/>
    <n v="106.613"/>
    <n v="15"/>
    <n v="0.5"/>
    <n v="198.203"/>
    <n v="396.40600000000001"/>
    <n v="69.25"/>
    <n v="0.5"/>
    <s v="PCE"/>
    <n v="0"/>
    <x v="7"/>
    <x v="16"/>
    <s v="Bristol Bay"/>
    <s v="SW"/>
  </r>
  <r>
    <s v="Port Heiden Utilities"/>
    <s v="Port Heiden"/>
    <n v="146.51325"/>
    <n v="195.351"/>
    <n v="44.75"/>
    <n v="0.75"/>
    <n v="103.70175"/>
    <n v="138.26900000000001"/>
    <n v="26.833334000000001"/>
    <n v="0.75"/>
    <n v="190.11599999999999"/>
    <n v="253.488"/>
    <n v="12.25"/>
    <n v="0.75"/>
    <n v="440.33100000000002"/>
    <n v="587.10799999999995"/>
    <n v="83.833334000000008"/>
    <n v="0.75"/>
    <s v="PCE"/>
    <n v="0"/>
    <x v="7"/>
    <x v="16"/>
    <s v="Bristol Bay"/>
    <s v="SW"/>
  </r>
  <r>
    <s v="Puvurnaq Power Company"/>
    <s v="Kongiganak"/>
    <n v="283.38234232484001"/>
    <n v="507.452"/>
    <n v="104.66665999999999"/>
    <n v="0.55844167"/>
    <n v="96.631629693460013"/>
    <n v="173.03800000000001"/>
    <n v="14.833333"/>
    <n v="0.55844167"/>
    <n v="54.827244718930004"/>
    <n v="98.179000000000002"/>
    <n v="9.6666670000000003"/>
    <n v="0.55844167"/>
    <n v="434.84121673723001"/>
    <n v="778.66899999999998"/>
    <n v="129.16665999999998"/>
    <n v="0.55844167"/>
    <s v="PCE"/>
    <n v="0"/>
    <x v="0"/>
    <x v="0"/>
    <s v="Calista"/>
    <s v="SW"/>
  </r>
  <r>
    <s v="Ruby, City of"/>
    <s v="Ruby"/>
    <n v="207.26579999999998"/>
    <n v="246.745"/>
    <n v="130.91667000000001"/>
    <n v="0.84"/>
    <n v="241.91328000000001"/>
    <n v="287.99200000000002"/>
    <n v="14"/>
    <n v="0.84"/>
    <n v="105.735"/>
    <n v="125.875"/>
    <n v="22"/>
    <n v="0.84"/>
    <n v="554.91408000000001"/>
    <n v="660.61200000000008"/>
    <n v="166.91667000000001"/>
    <n v="0.84"/>
    <s v="PCE"/>
    <n v="0"/>
    <x v="3"/>
    <x v="3"/>
    <s v="Doyon"/>
    <s v="YU"/>
  </r>
  <r>
    <s v="Saint George, City of"/>
    <s v="Saint George"/>
    <n v="100.5368625"/>
    <n v="120.765"/>
    <n v="42.125"/>
    <n v="0.83250000000000002"/>
    <n v="75.764160000000004"/>
    <n v="91.007999999999996"/>
    <n v="15"/>
    <n v="0.83250000000000002"/>
    <n v="150.32202750000002"/>
    <n v="180.56700000000001"/>
    <n v="21"/>
    <n v="0.83250000000000002"/>
    <n v="326.62305000000003"/>
    <n v="392.34000000000003"/>
    <n v="78.125"/>
    <n v="0.83250000000000002"/>
    <s v="PCE"/>
    <n v="0"/>
    <x v="1"/>
    <x v="14"/>
    <s v="Aleut"/>
    <s v="SW"/>
  </r>
  <r>
    <s v="Saint Paul Municipal Electric"/>
    <s v="Saint Paul"/>
    <n v="428.57572025169003"/>
    <n v="825.50699999999995"/>
    <n v="142.33332999999999"/>
    <n v="0.51916667000000005"/>
    <n v="715.21646459208011"/>
    <n v="1377.624"/>
    <n v="33"/>
    <n v="0.51916667000000005"/>
    <n v="756.79392735903014"/>
    <n v="1457.7090000000001"/>
    <n v="48"/>
    <n v="0.51916667000000005"/>
    <n v="1900.5861122028005"/>
    <n v="3660.84"/>
    <n v="223.33332999999999"/>
    <n v="0.51916667000000005"/>
    <s v="PCE"/>
    <n v="0"/>
    <x v="1"/>
    <x v="14"/>
    <s v="Aleut"/>
    <s v="SW"/>
  </r>
  <r>
    <s v="Seward, City of"/>
    <s v="Seward"/>
    <n v="3123"/>
    <n v="16246"/>
    <n v="2053"/>
    <n v="0.19222999999999998"/>
    <n v="1724"/>
    <n v="8464"/>
    <n v="496"/>
    <n v="0.20369000000000001"/>
    <n v="5319"/>
    <n v="32544"/>
    <n v="122"/>
    <n v="0.16344"/>
    <n v="10166"/>
    <n v="57254"/>
    <n v="2671"/>
    <n v="0.17755964648758166"/>
    <s v="EIA"/>
    <n v="0"/>
    <x v="9"/>
    <x v="23"/>
    <s v="Chugach"/>
    <s v="SC"/>
  </r>
  <r>
    <s v="Sitka, City &amp; Borough of"/>
    <s v="Sitka"/>
    <n v="4573"/>
    <n v="48297"/>
    <n v="3682"/>
    <n v="9.468E-2"/>
    <n v="5442"/>
    <n v="58422"/>
    <n v="1603"/>
    <n v="9.3149999999999997E-2"/>
    <n v="522"/>
    <n v="5563"/>
    <n v="16"/>
    <n v="9.3829999999999997E-2"/>
    <n v="10537"/>
    <n v="112282"/>
    <n v="5301"/>
    <n v="9.3844071177927008E-2"/>
    <s v="EIA"/>
    <n v="0"/>
    <x v="2"/>
    <x v="24"/>
    <s v="Sealaska"/>
    <s v="SE"/>
  </r>
  <r>
    <s v="Takotna Community Assoc Inc"/>
    <s v="Takotna"/>
    <n v="56.880431999999999"/>
    <n v="55.655999999999999"/>
    <n v="23.083334000000001"/>
    <n v="1.022"/>
    <n v="64.202039999999997"/>
    <n v="62.82"/>
    <n v="12.666667"/>
    <n v="1.022"/>
    <n v="56.072030000000005"/>
    <n v="54.865000000000002"/>
    <n v="6.1666666000000001"/>
    <n v="1.022"/>
    <n v="177.15450200000001"/>
    <n v="173.34100000000001"/>
    <n v="41.916667599999997"/>
    <n v="1.022"/>
    <s v="PCE"/>
    <n v="0"/>
    <x v="3"/>
    <x v="3"/>
    <s v="Doyon"/>
    <s v="SW"/>
  </r>
  <r>
    <s v="Tanalian Electric Cooperative"/>
    <s v="Port Alsworth"/>
    <n v="177.42315937500001"/>
    <n v="259.875"/>
    <n v="62.166668000000001"/>
    <n v="0.68272500000000003"/>
    <n v="182.287575"/>
    <n v="267"/>
    <n v="31.416665999999999"/>
    <n v="0.68272500000000003"/>
    <n v="54.086839949999998"/>
    <n v="79.221999999999994"/>
    <n v="15"/>
    <n v="0.68272500000000003"/>
    <n v="413.79757432500003"/>
    <n v="606.09699999999998"/>
    <n v="108.58333400000001"/>
    <n v="0.68272500000000003"/>
    <s v="PCE"/>
    <n v="0"/>
    <x v="7"/>
    <x v="16"/>
    <s v="Cook Inlet"/>
    <s v="SW"/>
  </r>
  <r>
    <s v="Tanana Power Company Inc"/>
    <s v="Tanana"/>
    <n v="212.40038512499999"/>
    <n v="297.61500000000001"/>
    <n v="104.08334000000001"/>
    <n v="0.71367499999999995"/>
    <n v="292.40335262499997"/>
    <n v="409.71499999999997"/>
    <n v="34.916668000000001"/>
    <n v="0.71367499999999995"/>
    <n v="257.82651255000002"/>
    <n v="361.26600000000002"/>
    <n v="18.75"/>
    <n v="0.71367499999999995"/>
    <n v="762.63025029999994"/>
    <n v="1068.596"/>
    <n v="157.75000800000001"/>
    <n v="0.71367499999999995"/>
    <s v="PCE"/>
    <n v="0"/>
    <x v="3"/>
    <x v="3"/>
    <s v="Doyon"/>
    <s v="YU"/>
  </r>
  <r>
    <s v="Tatitlek Village Ira Council"/>
    <s v="Tatitlek"/>
    <n v="86.166836100000012"/>
    <n v="137.88900000000001"/>
    <n v="40"/>
    <n v="0.62490000000000001"/>
    <n v="53.143995599999997"/>
    <n v="85.043999999999997"/>
    <n v="14"/>
    <n v="0.62490000000000001"/>
    <n v="102.9885192"/>
    <n v="164.80799999999999"/>
    <n v="11"/>
    <n v="0.62490000000000001"/>
    <n v="242.29935089999998"/>
    <n v="387.74099999999999"/>
    <n v="65"/>
    <n v="0.62490000000000001"/>
    <s v="PCE"/>
    <n v="0"/>
    <x v="4"/>
    <x v="4"/>
    <s v="Chugach"/>
    <s v="SC"/>
  </r>
  <r>
    <s v="TDX Adak Generating LLC"/>
    <s v="Adak"/>
    <n v="301.09502529008603"/>
    <n v="370.9742"/>
    <n v="106.15"/>
    <n v="0.81163333000000004"/>
    <n v="795.67337219888009"/>
    <n v="980.33600000000001"/>
    <n v="62.266666000000001"/>
    <n v="0.81163333000000004"/>
    <n v="511.67231879859003"/>
    <n v="630.423"/>
    <n v="26.949999599999998"/>
    <n v="0.81163333000000004"/>
    <n v="1608.4407162875559"/>
    <n v="1981.7331999999999"/>
    <n v="195.36666560000003"/>
    <n v="0.81163333000000004"/>
    <s v="PCE"/>
    <n v="0"/>
    <x v="1"/>
    <x v="14"/>
    <s v="Aleut"/>
    <s v="SW"/>
  </r>
  <r>
    <s v="TDX Corporation"/>
    <s v="Sand Point"/>
    <n v="861.71920212604994"/>
    <n v="1475.3150000000001"/>
    <n v="287.66665999999998"/>
    <n v="0.58409166999999995"/>
    <n v="1012.3360006106"/>
    <n v="1733.18"/>
    <n v="162.33332999999999"/>
    <n v="0.58409166999999995"/>
    <n v="380.32661818714001"/>
    <n v="651.14200000000005"/>
    <n v="44.083334000000001"/>
    <n v="0.58409166999999995"/>
    <n v="2254.3818209237897"/>
    <n v="3859.6369999999997"/>
    <n v="494.08332399999995"/>
    <n v="0.58409166999999995"/>
    <s v="PCE"/>
    <n v="0"/>
    <x v="1"/>
    <x v="1"/>
    <s v="Aleut"/>
    <s v="SW"/>
  </r>
  <r>
    <s v="TDX Manley Generating LLC"/>
    <s v="Manley Hot Springs"/>
    <n v="106.38987336802998"/>
    <n v="157.90899999999999"/>
    <n v="82.472221000000005"/>
    <n v="0.67374166999999996"/>
    <n v="111.56510547005109"/>
    <n v="165.59032999999999"/>
    <n v="15.055555"/>
    <n v="0.67374166999999996"/>
    <n v="11.725575399207223"/>
    <n v="17.403666600000001"/>
    <n v="4"/>
    <n v="0.67374166999999996"/>
    <n v="229.68055423728831"/>
    <n v="340.90299659999999"/>
    <n v="101.527776"/>
    <n v="0.67374166999999996"/>
    <s v="PCE"/>
    <n v="0"/>
    <x v="3"/>
    <x v="3"/>
    <s v="Doyon"/>
    <s v="YU"/>
  </r>
  <r>
    <s v="Tenakee Springs, City of"/>
    <s v="Tenakee Springs"/>
    <n v="164.81522086852999"/>
    <n v="239.441"/>
    <n v="123"/>
    <n v="0.68833332999999997"/>
    <n v="57.479963054979997"/>
    <n v="83.506"/>
    <n v="21.333334000000001"/>
    <n v="0.68833332999999997"/>
    <n v="25.371278210469999"/>
    <n v="36.859000000000002"/>
    <n v="14"/>
    <n v="0.68833332999999997"/>
    <n v="247.66646213397999"/>
    <n v="359.80599999999998"/>
    <n v="158.33333400000001"/>
    <n v="0.68833332999999997"/>
    <s v="PCE"/>
    <n v="0"/>
    <x v="2"/>
    <x v="17"/>
    <s v="Sealaska"/>
    <s v="SE"/>
  </r>
  <r>
    <s v="Tuluksak Traditional"/>
    <s v="Tuluksak"/>
    <n v="159.70320000000001"/>
    <n v="266.17200000000003"/>
    <n v="84.5"/>
    <n v="0.6"/>
    <n v="95.389200000000002"/>
    <n v="158.982"/>
    <n v="9.8333329999999997"/>
    <n v="0.6"/>
    <n v="42.864600000000003"/>
    <n v="71.441000000000003"/>
    <n v="6"/>
    <n v="0.6"/>
    <n v="297.95699999999999"/>
    <n v="496.59500000000003"/>
    <n v="100.333333"/>
    <n v="0.6"/>
    <s v="PCE"/>
    <n v="0"/>
    <x v="0"/>
    <x v="0"/>
    <s v="Calista"/>
    <s v="SW"/>
  </r>
  <r>
    <s v="Tuntutuliak Community"/>
    <s v="Tuntutuliak"/>
    <n v="267.61995000000002"/>
    <n v="411.72300000000001"/>
    <n v="91.583336000000003"/>
    <n v="0.65"/>
    <n v="265.57765000000001"/>
    <n v="408.58100000000002"/>
    <n v="25.5"/>
    <n v="0.65"/>
    <n v="47.134750000000004"/>
    <n v="72.515000000000001"/>
    <n v="12.9166665"/>
    <n v="0.65"/>
    <n v="580.33235000000002"/>
    <n v="892.81900000000007"/>
    <n v="130.00000249999999"/>
    <n v="0.65"/>
    <s v="PCE"/>
    <n v="0"/>
    <x v="0"/>
    <x v="0"/>
    <s v="Calista"/>
    <s v="SW"/>
  </r>
  <r>
    <s v="Twin Hills Village Council"/>
    <s v="Twin Hills"/>
    <n v="56.462032275000006"/>
    <n v="101.79300000000001"/>
    <n v="27.833334000000001"/>
    <n v="0.55467500000000003"/>
    <n v="26.194526875000001"/>
    <n v="47.225000000000001"/>
    <n v="4"/>
    <n v="0.55467500000000003"/>
    <n v="30.208155175000002"/>
    <n v="54.460999999999999"/>
    <n v="8"/>
    <n v="0.55467500000000003"/>
    <n v="112.86471432500001"/>
    <n v="203.47899999999998"/>
    <n v="39.833334000000001"/>
    <n v="0.55467500000000003"/>
    <s v="PCE"/>
    <n v="0"/>
    <x v="7"/>
    <x v="11"/>
    <s v="Bristol Bay"/>
    <s v="SW"/>
  </r>
  <r>
    <s v="Umnak Power Company"/>
    <s v="Nikolski"/>
    <n v="31.322399999999998"/>
    <n v="52.204000000000001"/>
    <n v="15"/>
    <n v="0.6"/>
    <n v="67.997399999999999"/>
    <n v="113.32899999999999"/>
    <n v="11"/>
    <n v="0.6"/>
    <n v="19.465799999999998"/>
    <n v="32.442999999999998"/>
    <n v="6"/>
    <n v="0.6"/>
    <n v="118.7856"/>
    <n v="197.976"/>
    <n v="32"/>
    <n v="0.6"/>
    <s v="PCE"/>
    <n v="0"/>
    <x v="1"/>
    <x v="14"/>
    <s v="Aleut"/>
    <s v="SW"/>
  </r>
  <r>
    <s v="Unalakleet Valley Electric Cooperative"/>
    <s v="Unalakleet"/>
    <n v="583.73571242844002"/>
    <n v="1491.4680000000001"/>
    <n v="283.91665999999998"/>
    <n v="0.39138332999999997"/>
    <n v="747.5362895500499"/>
    <n v="1909.9849999999999"/>
    <n v="44"/>
    <n v="0.39138332999999997"/>
    <n v="283.91690386527"/>
    <n v="725.41899999999998"/>
    <n v="30"/>
    <n v="0.39138332999999997"/>
    <n v="1615.18890584376"/>
    <n v="4126.8720000000003"/>
    <n v="357.91665999999998"/>
    <n v="0.39138332999999997"/>
    <s v="PCE"/>
    <n v="0"/>
    <x v="6"/>
    <x v="10"/>
    <s v="Bering Straits"/>
    <s v="AN"/>
  </r>
  <r>
    <s v="Unalaska, City of"/>
    <s v="Unalaska"/>
    <n v="1770.16400299772"/>
    <n v="3970.6840000000002"/>
    <n v="688.66669000000002"/>
    <n v="0.44580832999999997"/>
    <n v="15235.311992443068"/>
    <n v="34174.578999999998"/>
    <n v="181.75"/>
    <n v="0.44580832999999997"/>
    <n v="1535.6951241091899"/>
    <n v="3444.7429999999999"/>
    <n v="74.916668000000001"/>
    <n v="0.44580832999999997"/>
    <n v="18541.171119549977"/>
    <n v="41590.006000000001"/>
    <n v="945.33335799999998"/>
    <n v="0.44580832999999997"/>
    <s v="PCE"/>
    <n v="0"/>
    <x v="1"/>
    <x v="14"/>
    <s v="Aleut"/>
    <s v="SW"/>
  </r>
  <r>
    <s v="Ungusraq Power Company"/>
    <s v="Newtok"/>
    <n v="199.20480000000001"/>
    <n v="249.006"/>
    <n v="66.5"/>
    <n v="0.8"/>
    <n v="91.325600000000009"/>
    <n v="114.157"/>
    <n v="16"/>
    <n v="0.8"/>
    <n v="32.348000000000006"/>
    <n v="40.435000000000002"/>
    <n v="6"/>
    <n v="0.8"/>
    <n v="322.8784"/>
    <n v="403.59800000000001"/>
    <n v="88.5"/>
    <n v="0.8"/>
    <s v="PCE"/>
    <n v="0"/>
    <x v="0"/>
    <x v="0"/>
    <s v="Calista"/>
    <s v="SW"/>
  </r>
  <r>
    <s v="White Mountain, City of"/>
    <s v="White Mountain"/>
    <n v="81.01018705992"/>
    <n v="117.976"/>
    <n v="66.833336000000003"/>
    <n v="0.68666667000000003"/>
    <n v="107.87327385699001"/>
    <n v="157.09700000000001"/>
    <n v="17.833334000000001"/>
    <n v="0.68666667000000003"/>
    <n v="48.2383335675"/>
    <n v="70.25"/>
    <n v="12.9999997"/>
    <n v="0.68666667000000003"/>
    <n v="237.12179448441"/>
    <n v="345.32299999999998"/>
    <n v="97.666669700000014"/>
    <n v="0.68666667000000003"/>
    <s v="PCE"/>
    <n v="0"/>
    <x v="6"/>
    <x v="10"/>
    <s v="Bering Straits"/>
    <s v="AN"/>
  </r>
  <r>
    <s v="Wrangell, City of"/>
    <s v="Wrangell"/>
    <n v="1506"/>
    <n v="14183"/>
    <n v="1050"/>
    <n v="0.10618"/>
    <n v="2096"/>
    <n v="19585"/>
    <n v="578"/>
    <n v="0.10702"/>
    <n v="0"/>
    <n v="0"/>
    <n v="0"/>
    <m/>
    <n v="3602"/>
    <n v="33768"/>
    <n v="1628"/>
    <n v="0.10666903577351339"/>
    <s v="EIA"/>
    <n v="0"/>
    <x v="2"/>
    <x v="25"/>
    <s v="Sealaska"/>
    <s v="SE"/>
  </r>
  <r>
    <s v="Yakutat Power Inc"/>
    <s v="Yakutat"/>
    <n v="722.99191046768999"/>
    <n v="1437.193"/>
    <n v="274.58334000000002"/>
    <n v="0.50305833"/>
    <n v="1680.2867595411899"/>
    <n v="3340.143"/>
    <n v="85.25"/>
    <n v="0.50305833"/>
    <n v="597.95122890456003"/>
    <n v="1188.6320000000001"/>
    <n v="60.166665999999999"/>
    <n v="0.50305833"/>
    <n v="3001.2298989134401"/>
    <n v="5965.9680000000008"/>
    <n v="420.00000600000004"/>
    <n v="0.50305833"/>
    <s v="PCE"/>
    <n v="0"/>
    <x v="2"/>
    <x v="26"/>
    <s v="Sealaska"/>
    <s v="SE"/>
  </r>
</pivotCacheRecords>
</file>

<file path=xl/pivotCache/pivotCacheRecords6.xml><?xml version="1.0" encoding="utf-8"?>
<pivotCacheRecords xmlns="http://schemas.openxmlformats.org/spreadsheetml/2006/main" xmlns:r="http://schemas.openxmlformats.org/officeDocument/2006/relationships" count="229">
  <r>
    <x v="0"/>
    <s v="Akiachak"/>
    <s v="Akiachak"/>
    <n v="1851.5340000000001"/>
    <n v="0"/>
    <n v="0"/>
    <n v="0"/>
    <n v="0"/>
    <n v="141170"/>
    <n v="0"/>
    <n v="0"/>
    <s v="PCE"/>
    <n v="0"/>
    <x v="0"/>
    <s v="Bethel (CA)"/>
    <s v="Calista"/>
    <s v="SW"/>
  </r>
  <r>
    <x v="1"/>
    <s v="Akiak"/>
    <s v="Akiak"/>
    <n v="1029.5309999999999"/>
    <n v="0"/>
    <n v="0"/>
    <n v="0"/>
    <n v="0"/>
    <n v="86993"/>
    <n v="0"/>
    <n v="0"/>
    <s v="PCE"/>
    <n v="0"/>
    <x v="0"/>
    <s v="Bethel (CA)"/>
    <s v="Calista"/>
    <s v="SW"/>
  </r>
  <r>
    <x v="2"/>
    <s v="Akutan"/>
    <s v="Akutan"/>
    <n v="489.57059999999996"/>
    <n v="0"/>
    <n v="0"/>
    <n v="42.110999999999997"/>
    <n v="0"/>
    <n v="45345"/>
    <n v="0"/>
    <n v="0"/>
    <s v="PCE"/>
    <n v="0"/>
    <x v="1"/>
    <s v="Aleutians East"/>
    <s v="Aleut"/>
    <s v="SW"/>
  </r>
  <r>
    <x v="3"/>
    <s v="Annex Creek"/>
    <s v="Juneau"/>
    <n v="0"/>
    <n v="0"/>
    <n v="0"/>
    <n v="22270"/>
    <n v="0"/>
    <n v="0"/>
    <n v="0"/>
    <n v="0"/>
    <s v="EIA"/>
    <n v="0"/>
    <x v="2"/>
    <s v="Juneau"/>
    <s v="Sealaska"/>
    <s v="SE"/>
  </r>
  <r>
    <x v="3"/>
    <s v="Auke Bay"/>
    <s v="Juneau"/>
    <n v="1119"/>
    <n v="0"/>
    <n v="0"/>
    <n v="0"/>
    <n v="0"/>
    <n v="140910"/>
    <n v="0"/>
    <n v="0"/>
    <s v="EIA"/>
    <n v="0"/>
    <x v="2"/>
    <s v="Juneau"/>
    <s v="Sealaska"/>
    <s v="SE"/>
  </r>
  <r>
    <x v="3"/>
    <s v="Gold Creek"/>
    <s v="Juneau"/>
    <n v="23"/>
    <n v="0"/>
    <n v="0"/>
    <n v="4838"/>
    <n v="0"/>
    <n v="1218"/>
    <n v="0"/>
    <n v="0"/>
    <s v="EIA"/>
    <n v="0"/>
    <x v="2"/>
    <s v="Juneau"/>
    <s v="Sealaska"/>
    <s v="SE"/>
  </r>
  <r>
    <x v="3"/>
    <s v="Lake Dorothy"/>
    <s v="Juneau"/>
    <n v="0"/>
    <n v="0"/>
    <n v="0"/>
    <n v="70602"/>
    <n v="0"/>
    <n v="0"/>
    <n v="0"/>
    <n v="0"/>
    <s v="EIA"/>
    <n v="0"/>
    <x v="2"/>
    <s v="Juneau"/>
    <s v="Sealaska"/>
    <s v="SE"/>
  </r>
  <r>
    <x v="3"/>
    <s v="Lemon Creek"/>
    <s v="Juneau"/>
    <n v="2283"/>
    <n v="0"/>
    <n v="0"/>
    <n v="0"/>
    <n v="0"/>
    <n v="252504"/>
    <n v="0"/>
    <n v="0"/>
    <s v="EIA"/>
    <n v="0"/>
    <x v="2"/>
    <s v="Juneau"/>
    <s v="Sealaska"/>
    <s v="SE"/>
  </r>
  <r>
    <x v="3"/>
    <s v="Salmon Creek 1"/>
    <s v="Juneau"/>
    <n v="0"/>
    <n v="0"/>
    <n v="0"/>
    <n v="24337"/>
    <n v="0"/>
    <n v="0"/>
    <n v="0"/>
    <n v="0"/>
    <s v="EIA"/>
    <n v="0"/>
    <x v="2"/>
    <s v="Juneau"/>
    <s v="Sealaska"/>
    <s v="SE"/>
  </r>
  <r>
    <x v="3"/>
    <s v="Snettisham"/>
    <s v="Juneau"/>
    <n v="0"/>
    <n v="0"/>
    <n v="0"/>
    <n v="263749"/>
    <n v="0"/>
    <n v="0"/>
    <n v="0"/>
    <n v="0"/>
    <s v="EIA"/>
    <n v="0"/>
    <x v="2"/>
    <s v="Juneau"/>
    <s v="Sealaska"/>
    <s v="SE"/>
  </r>
  <r>
    <x v="4"/>
    <s v="Alaska Environmental"/>
    <m/>
    <n v="0"/>
    <n v="0"/>
    <n v="0"/>
    <n v="0"/>
    <n v="1394"/>
    <n v="0"/>
    <n v="0"/>
    <n v="0"/>
    <s v="EIA"/>
    <s v="Plant is also know as Delta Wind. Alaska Environmental LLC is an independent power producer that sells all its power to GVEA."/>
    <x v="3"/>
    <s v="Southeast Fairbanks (CA)"/>
    <s v="Doyon"/>
    <s v="YU"/>
  </r>
  <r>
    <x v="5"/>
    <s v="Allakaket"/>
    <s v="Allakaket, Alatna"/>
    <n v="655.36800000000005"/>
    <n v="0"/>
    <n v="0"/>
    <n v="0"/>
    <n v="0"/>
    <n v="57040"/>
    <n v="0"/>
    <n v="0"/>
    <s v="PCE"/>
    <s v="Provides power to Alatna via intertie. Data includes Alatna's information."/>
    <x v="4"/>
    <s v="Yukon-Koyukuk (CA)"/>
    <s v="Doyon"/>
    <s v="YU"/>
  </r>
  <r>
    <x v="5"/>
    <s v="Bettles"/>
    <s v="Bettles, Evansville"/>
    <n v="573.84500000000003"/>
    <n v="0"/>
    <n v="0"/>
    <n v="0"/>
    <n v="0"/>
    <n v="49487"/>
    <n v="0"/>
    <n v="0"/>
    <s v="PCE"/>
    <s v="Provides power to Evansville via intertie. Data includes Evansville's information."/>
    <x v="4"/>
    <s v="Yukon-Koyukuk (CA)"/>
    <s v="Doyon"/>
    <s v="YU"/>
  </r>
  <r>
    <x v="5"/>
    <s v="Chistochina"/>
    <s v="Chistochina"/>
    <n v="-2.1480000000000001"/>
    <n v="0"/>
    <n v="0"/>
    <n v="0"/>
    <n v="0"/>
    <n v="50.999999999999993"/>
    <n v="0"/>
    <n v="0"/>
    <s v="PCE"/>
    <s v="Receives power from Slana via intertie."/>
    <x v="5"/>
    <s v="Valdez-Cordova (CA)"/>
    <s v="Ahtna"/>
    <s v="YU"/>
  </r>
  <r>
    <x v="5"/>
    <s v="Coffman Cove"/>
    <s v="Coffman Cove"/>
    <n v="632.58299999999997"/>
    <n v="0"/>
    <n v="0"/>
    <n v="0"/>
    <n v="0"/>
    <n v="48370"/>
    <n v="0"/>
    <n v="0"/>
    <s v="PCE"/>
    <s v="Part of the Alaska Power Company's grid on Prince of Wales Island."/>
    <x v="2"/>
    <s v="Prince of Wales-Hyder (CA)"/>
    <s v="Sealaska"/>
    <s v="SE"/>
  </r>
  <r>
    <x v="5"/>
    <s v="Craig"/>
    <s v="Craig, Klawock"/>
    <n v="2779"/>
    <n v="0"/>
    <n v="0"/>
    <n v="0"/>
    <n v="0"/>
    <n v="206178"/>
    <n v="0"/>
    <n v="0"/>
    <s v="EIA"/>
    <s v="Part of the Alaska Power Company's grid on Prince of Wales Island. Provides to Hollis, Hydaburg, Klawock, Thorne Bay and Kaasan."/>
    <x v="2"/>
    <s v="Prince of Wales-Hyder (CA)"/>
    <s v="Sealaska"/>
    <s v="SE"/>
  </r>
  <r>
    <x v="5"/>
    <s v="Viking"/>
    <s v="Craig"/>
    <n v="65"/>
    <n v="0"/>
    <n v="0"/>
    <n v="0"/>
    <n v="0"/>
    <n v="7434"/>
    <n v="0"/>
    <n v="0"/>
    <s v="EIA"/>
    <s v="Provides power to Hollis, Klawock, Thorne Bay/Kasaan and Hydaburg via intertie."/>
    <x v="2"/>
    <s v="Prince of Wales-Hyder (CA)"/>
    <s v="Sealaska"/>
    <s v="SE"/>
  </r>
  <r>
    <x v="5"/>
    <s v="Black Bear Lake"/>
    <s v="Craig, Klawock, Hollis, Hydaburg, Thorne Bay, Kasaan, Coffman Cove"/>
    <n v="0"/>
    <n v="0"/>
    <n v="0"/>
    <n v="17791"/>
    <n v="0"/>
    <n v="0"/>
    <n v="0"/>
    <n v="0"/>
    <s v="EIA"/>
    <s v="Provides power to Hollis, Klawock, Thorne Bay/Kasaan and Hydaburg via intertie."/>
    <x v="2"/>
    <s v="Prince of Wales-Hyder (CA)"/>
    <s v="Sealaska"/>
    <s v="SE"/>
  </r>
  <r>
    <x v="5"/>
    <s v="South Fork"/>
    <s v="Craig, Klawock, Hollis, Hydaburg, Thorne Bay, Kasaan, Coffman Cove"/>
    <n v="0"/>
    <n v="0"/>
    <n v="0"/>
    <n v="6115"/>
    <n v="0"/>
    <n v="0"/>
    <n v="0"/>
    <n v="0"/>
    <s v="EIA"/>
    <s v="Receives power from Craig via intertie."/>
    <x v="2"/>
    <s v="Prince of Wales-Hyder (CA)"/>
    <s v="Sealaska"/>
    <s v="SE"/>
  </r>
  <r>
    <x v="5"/>
    <s v="Tok"/>
    <s v="Dot Lake, Dot Lake Village"/>
    <n v="-0.6"/>
    <n v="0"/>
    <n v="0"/>
    <n v="0"/>
    <n v="0"/>
    <n v="0"/>
    <n v="0"/>
    <n v="0"/>
    <s v="PCE"/>
    <s v="Receives power form Tok via intertie. Dot Lake's data includes Dot Lake Village's information. For fuel use and cost information, please refer to Tok."/>
    <x v="4"/>
    <s v="Southeast Fairbanks (CA)"/>
    <s v="Doyon"/>
    <s v="YU"/>
  </r>
  <r>
    <x v="5"/>
    <s v="Eagle"/>
    <s v="Eagle, Eagle Village"/>
    <n v="749.74199999999996"/>
    <n v="0"/>
    <n v="0"/>
    <n v="0"/>
    <n v="0"/>
    <n v="54362"/>
    <n v="0"/>
    <n v="0"/>
    <s v="PCE"/>
    <s v="Provides power to Eagle Village via intertie. Data includes Eagle Village's information."/>
    <x v="4"/>
    <s v="Southeast Fairbanks (CA)"/>
    <s v="Doyon"/>
    <s v="YU"/>
  </r>
  <r>
    <x v="5"/>
    <s v="Goat Lake"/>
    <s v="Haines, Covenant Life, Skagway"/>
    <n v="0"/>
    <n v="0"/>
    <n v="0"/>
    <n v="15831"/>
    <n v="0"/>
    <n v="0"/>
    <n v="0"/>
    <n v="0"/>
    <s v="EIA"/>
    <s v="Part of the Alaska Power Company's grid in the Upper Lynn Canal service area."/>
    <x v="2"/>
    <s v="Skagway"/>
    <s v="Sealaska"/>
    <s v="SE"/>
  </r>
  <r>
    <x v="5"/>
    <s v="Haines"/>
    <s v="Haines, Skagway"/>
    <n v="185"/>
    <n v="0"/>
    <n v="0"/>
    <n v="0"/>
    <n v="0"/>
    <n v="36885"/>
    <n v="0"/>
    <n v="0"/>
    <s v="EIA, PCE"/>
    <s v="Plant is also referred to as Lutak. Part of the Alaska Power Company's grid in the Upper Lynn Canal service area."/>
    <x v="2"/>
    <s v="Haines"/>
    <s v="Sealaska"/>
    <s v="SE"/>
  </r>
  <r>
    <x v="5"/>
    <s v="Skagway"/>
    <s v="Haines, Skagway"/>
    <n v="95"/>
    <n v="0"/>
    <n v="0"/>
    <n v="3000.12"/>
    <n v="0"/>
    <n v="14928"/>
    <n v="0"/>
    <n v="0"/>
    <s v="EIA, PCE"/>
    <s v="Plant is also referred to as Dewey Lake. Part of the Alaska Power Company's grid in the Upper Lynn Canal service area."/>
    <x v="2"/>
    <s v="Skagway"/>
    <s v="Sealaska"/>
    <s v="SE"/>
  </r>
  <r>
    <x v="5"/>
    <s v="Healy Lake"/>
    <s v="Healy Lake"/>
    <n v="83.3"/>
    <n v="0"/>
    <n v="0"/>
    <n v="0"/>
    <n v="0"/>
    <n v="9100"/>
    <n v="0"/>
    <n v="0"/>
    <s v="PCE"/>
    <n v="0"/>
    <x v="4"/>
    <s v="Southeast Fairbanks (CA)"/>
    <s v="Doyon"/>
    <s v="YU"/>
  </r>
  <r>
    <x v="5"/>
    <s v="Hollis"/>
    <s v="Hollis"/>
    <n v="-12.348000000000001"/>
    <n v="0"/>
    <n v="0"/>
    <n v="0"/>
    <n v="0"/>
    <n v="0"/>
    <n v="0"/>
    <n v="0"/>
    <s v="PCE"/>
    <s v="Part of the Alaska Power Company's grid on Prince of Wales Island. Receives power from Craig. Refer to Craig for fuel use and cost."/>
    <x v="2"/>
    <s v="Prince of Wales-Hyder (CA)"/>
    <s v="Sealaska"/>
    <s v="SE"/>
  </r>
  <r>
    <x v="5"/>
    <s v="Hydaburg"/>
    <s v="Hydaburg"/>
    <n v="23"/>
    <n v="0"/>
    <n v="0"/>
    <n v="0"/>
    <n v="0"/>
    <n v="3864"/>
    <n v="0"/>
    <n v="0"/>
    <s v="EIA"/>
    <s v="Part of the Alaska Power Company's grid on Prince of Wales Island. Receives power from Craig. Refer to Craig for fuel use and cost."/>
    <x v="2"/>
    <s v="Prince of Wales-Hyder (CA)"/>
    <s v="Sealaska"/>
    <s v="SE"/>
  </r>
  <r>
    <x v="5"/>
    <s v="Mentasta Lake"/>
    <s v="Mentasta Lake"/>
    <n v="237.108"/>
    <n v="0"/>
    <n v="0"/>
    <n v="0"/>
    <n v="0"/>
    <n v="19779"/>
    <n v="0"/>
    <n v="0"/>
    <s v="PCE"/>
    <n v="0"/>
    <x v="5"/>
    <s v="Valdez-Cordova (CA)"/>
    <s v="Ahtna"/>
    <s v="YU"/>
  </r>
  <r>
    <x v="5"/>
    <s v="Naukati Bay"/>
    <s v="Naukati Bay"/>
    <n v="449.90800000000002"/>
    <n v="0"/>
    <n v="0"/>
    <n v="0"/>
    <n v="0"/>
    <n v="37322"/>
    <n v="0"/>
    <n v="0"/>
    <s v="PCE"/>
    <n v="0"/>
    <x v="2"/>
    <s v="Prince of Wales-Hyder (CA)"/>
    <s v="Sealaska"/>
    <s v="SE"/>
  </r>
  <r>
    <x v="5"/>
    <s v="Northway"/>
    <s v="Northway, Northway Village"/>
    <n v="1286"/>
    <n v="0"/>
    <n v="0"/>
    <n v="0"/>
    <n v="0"/>
    <n v="98616"/>
    <n v="0"/>
    <n v="0"/>
    <s v="EIA"/>
    <s v="Provides power to Northway Village via intertie. Data includes Northway Village's information."/>
    <x v="4"/>
    <s v="Southeast Fairbanks (CA)"/>
    <s v="Doyon"/>
    <s v="YU"/>
  </r>
  <r>
    <x v="5"/>
    <s v="Kasidaya Creek"/>
    <s v="Skagway"/>
    <n v="0"/>
    <n v="0"/>
    <n v="0"/>
    <n v="7965"/>
    <n v="0"/>
    <n v="0"/>
    <n v="0"/>
    <n v="0"/>
    <s v="EIA"/>
    <s v="Part of the Alaska Power Company's grid in the Upper Lynn Canal service area."/>
    <x v="2"/>
    <s v="Skagway"/>
    <s v="Sealaska"/>
    <s v="SE"/>
  </r>
  <r>
    <x v="5"/>
    <s v="Slana"/>
    <s v="Slana, Chistochina"/>
    <n v="1150.4580000000001"/>
    <n v="0"/>
    <n v="0"/>
    <n v="0"/>
    <n v="0"/>
    <n v="94630"/>
    <n v="0"/>
    <n v="0"/>
    <s v="PCE"/>
    <s v="Provides power to Chistochina via intertie. Includes Chistochina's fuel use and fuel cost."/>
    <x v="5"/>
    <s v="Valdez-Cordova (CA)"/>
    <s v="Ahtna"/>
    <s v="YU"/>
  </r>
  <r>
    <x v="5"/>
    <s v="Tok"/>
    <s v="Tetlin"/>
    <n v="0"/>
    <n v="0"/>
    <n v="0"/>
    <n v="0"/>
    <n v="0"/>
    <n v="0"/>
    <n v="0"/>
    <n v="0"/>
    <s v="PCE"/>
    <s v="Receives power from Tok via intertie. For fuel use and cost information please refer to Tok."/>
    <x v="4"/>
    <s v="Southeast Fairbanks (CA)"/>
    <s v="Dyon"/>
    <s v="YU"/>
  </r>
  <r>
    <x v="5"/>
    <s v="False Island"/>
    <s v="Thorne Bay, Kasaan"/>
    <n v="929"/>
    <n v="0"/>
    <n v="0"/>
    <n v="0"/>
    <n v="0"/>
    <n v="67956"/>
    <n v="0"/>
    <n v="0"/>
    <s v="EIA"/>
    <s v="Part of the Alaska Power Company's grid on Prince of Wales Island. Receives power from Craig. Refer to Craig for fuel use and cost. Includes data for Kaasan."/>
    <x v="2"/>
    <s v="Prince of Wales-Hyder (CA)"/>
    <s v="Sealaska"/>
    <s v="SE"/>
  </r>
  <r>
    <x v="5"/>
    <s v="Thorne Bay Plant"/>
    <s v="Thorne Bay, Kasaan"/>
    <n v="119"/>
    <n v="0"/>
    <n v="0"/>
    <n v="0"/>
    <n v="0"/>
    <n v="13692"/>
    <n v="0"/>
    <n v="0"/>
    <s v="EIA"/>
    <s v="Part of the Alaska Power Company's grid on Prince of Wales Island. Receives power from Craig. Refer to Craig for fuel use and cost. Includes data for Kaasan."/>
    <x v="2"/>
    <s v="Prince of Wales-Hyder (CA)"/>
    <s v="Sealaska"/>
    <s v="SE"/>
  </r>
  <r>
    <x v="5"/>
    <s v="Tok"/>
    <s v="Tok, Tanacross"/>
    <n v="10400"/>
    <n v="0"/>
    <n v="0"/>
    <n v="0"/>
    <n v="0"/>
    <n v="751919"/>
    <n v="0"/>
    <n v="0"/>
    <s v="PCE"/>
    <s v="Provides power to Tanacross, Tetlin and Dot Lake via intertie. Includes Tanacross' information. Fuel use and cost also includes Tetlin's and Dot Lake's information."/>
    <x v="4"/>
    <s v="Southeast Fairbanks (CA)"/>
    <s v="Doyon"/>
    <s v="YU"/>
  </r>
  <r>
    <x v="5"/>
    <s v="Whale Pass"/>
    <s v="Whale Pass"/>
    <n v="267.04199999999997"/>
    <n v="0"/>
    <n v="0"/>
    <n v="0"/>
    <n v="0"/>
    <n v="23384.000000000004"/>
    <n v="0"/>
    <n v="0"/>
    <s v="PCE"/>
    <n v="0"/>
    <x v="2"/>
    <s v="Prince of Wales-Hyder (CA)"/>
    <s v="Sealaska"/>
    <s v="SE"/>
  </r>
  <r>
    <x v="6"/>
    <s v="Alakanuk"/>
    <s v="Alakanuk"/>
    <n v="1946.2080000000001"/>
    <n v="0"/>
    <n v="0"/>
    <n v="0"/>
    <n v="0"/>
    <n v="152732"/>
    <n v="0"/>
    <n v="0"/>
    <s v="PCE"/>
    <n v="0"/>
    <x v="0"/>
    <s v="Wade Hampton (CA)"/>
    <s v="Calista"/>
    <s v="YU"/>
  </r>
  <r>
    <x v="6"/>
    <s v="Ambler"/>
    <s v="Ambler"/>
    <n v="1277.7739999999999"/>
    <n v="0"/>
    <n v="0"/>
    <n v="0"/>
    <n v="0"/>
    <n v="95531.000000000015"/>
    <n v="0"/>
    <n v="0"/>
    <s v="PCE"/>
    <n v="0"/>
    <x v="6"/>
    <s v="Northwest Arctic"/>
    <s v="NANA"/>
    <s v="AN"/>
  </r>
  <r>
    <x v="6"/>
    <s v="Anvik"/>
    <s v="Anvik"/>
    <n v="405.42"/>
    <n v="0"/>
    <n v="0"/>
    <n v="0"/>
    <n v="0"/>
    <n v="33807"/>
    <n v="0"/>
    <n v="0"/>
    <s v="PCE"/>
    <n v="0"/>
    <x v="4"/>
    <s v="Yukon-Koyukuk (CA)"/>
    <s v="Doyon"/>
    <s v="YU"/>
  </r>
  <r>
    <x v="6"/>
    <s v="Brevig Mission"/>
    <s v="Brevig Mission"/>
    <n v="1176.3320000000001"/>
    <n v="0"/>
    <n v="0"/>
    <n v="0"/>
    <n v="0"/>
    <n v="89023"/>
    <n v="0"/>
    <n v="0"/>
    <s v="PCE"/>
    <n v="0"/>
    <x v="7"/>
    <s v="Nome (CA)"/>
    <s v="Bering Straits"/>
    <s v="AN"/>
  </r>
  <r>
    <x v="6"/>
    <s v="Chevak"/>
    <s v="Chevak"/>
    <n v="1657.2670000000001"/>
    <n v="0"/>
    <n v="0"/>
    <n v="0"/>
    <n v="741.62900000000002"/>
    <n v="132277"/>
    <n v="0"/>
    <n v="0"/>
    <s v="PCE"/>
    <n v="0"/>
    <x v="0"/>
    <s v="Wade Hampton (CA)"/>
    <s v="Calista"/>
    <s v="YU"/>
  </r>
  <r>
    <x v="6"/>
    <s v="Eek"/>
    <s v="Eek"/>
    <n v="800.57799999999997"/>
    <n v="0"/>
    <n v="0"/>
    <n v="0"/>
    <n v="0"/>
    <n v="58323"/>
    <n v="0"/>
    <n v="0"/>
    <s v="PCE"/>
    <n v="0"/>
    <x v="0"/>
    <s v="Bethel (CA)"/>
    <s v="Calista"/>
    <s v="SW"/>
  </r>
  <r>
    <x v="6"/>
    <s v="Ekwok"/>
    <s v="Ekwok"/>
    <n v="261.51549999999997"/>
    <n v="0"/>
    <n v="0"/>
    <n v="0"/>
    <n v="0"/>
    <n v="23205.817999999999"/>
    <n v="0"/>
    <n v="0"/>
    <s v="PCE"/>
    <n v="0"/>
    <x v="8"/>
    <s v="Dillingham (CA)"/>
    <s v="Bristol Bay"/>
    <s v="SW"/>
  </r>
  <r>
    <x v="6"/>
    <s v="Elim"/>
    <s v="Elim"/>
    <n v="1159.4449999999999"/>
    <n v="0"/>
    <n v="0"/>
    <n v="0"/>
    <n v="0"/>
    <n v="81625"/>
    <n v="0"/>
    <n v="0"/>
    <s v="PCE"/>
    <n v="0"/>
    <x v="7"/>
    <s v="Nome (CA)"/>
    <s v="Bering Straits"/>
    <s v="AN"/>
  </r>
  <r>
    <x v="6"/>
    <s v="Emmonak"/>
    <s v="Emmonak"/>
    <n v="3089.884"/>
    <n v="0"/>
    <n v="0"/>
    <n v="0"/>
    <n v="80.325000000000003"/>
    <n v="226911"/>
    <n v="0"/>
    <n v="0"/>
    <s v="PCE"/>
    <n v="0"/>
    <x v="0"/>
    <s v="Wade Hampton (CA)"/>
    <s v="Calista"/>
    <s v="YU"/>
  </r>
  <r>
    <x v="6"/>
    <s v="Gambell"/>
    <s v="Gambell"/>
    <n v="1495.8810000000001"/>
    <n v="0"/>
    <n v="0"/>
    <n v="0"/>
    <n v="387.20400000000001"/>
    <n v="125869"/>
    <n v="0"/>
    <n v="0"/>
    <s v="PCE"/>
    <n v="0"/>
    <x v="7"/>
    <s v="Nome (CA)"/>
    <s v="Bering Straits"/>
    <s v="AN"/>
  </r>
  <r>
    <x v="6"/>
    <s v="Goodnews Bay"/>
    <s v="Goodnews Bay"/>
    <n v="773.07299999999998"/>
    <n v="0"/>
    <n v="0"/>
    <n v="0"/>
    <n v="0"/>
    <n v="58888"/>
    <n v="0"/>
    <n v="0"/>
    <s v="PCE"/>
    <n v="0"/>
    <x v="0"/>
    <s v="Bethel (CA)"/>
    <s v="Calista"/>
    <s v="SW"/>
  </r>
  <r>
    <x v="6"/>
    <s v="Grayling"/>
    <s v="Grayling"/>
    <n v="569.04700000000003"/>
    <n v="0"/>
    <n v="0"/>
    <n v="0"/>
    <n v="0"/>
    <n v="48789"/>
    <n v="0"/>
    <n v="0"/>
    <s v="PCE"/>
    <n v="0"/>
    <x v="4"/>
    <s v="Yukon-Koyukuk (CA)"/>
    <s v="Doyon"/>
    <s v="YU"/>
  </r>
  <r>
    <x v="6"/>
    <s v="Holy Cross"/>
    <s v="Holy Cross"/>
    <n v="594.37199999999996"/>
    <n v="0"/>
    <n v="0"/>
    <n v="0"/>
    <n v="0"/>
    <n v="47496"/>
    <n v="0"/>
    <n v="0"/>
    <s v="PCE"/>
    <n v="0"/>
    <x v="4"/>
    <s v="Yukon-Koyukuk (CA)"/>
    <s v="Doyon"/>
    <s v="YU"/>
  </r>
  <r>
    <x v="6"/>
    <s v="Hooper Bay"/>
    <s v="Hooper Bay"/>
    <n v="2711.4679999999998"/>
    <n v="0"/>
    <n v="0"/>
    <n v="0"/>
    <n v="543.096"/>
    <n v="205933"/>
    <n v="0"/>
    <n v="0"/>
    <s v="PCE"/>
    <n v="0"/>
    <x v="0"/>
    <s v="Wade Hampton (CA)"/>
    <s v="Calista"/>
    <s v="YU"/>
  </r>
  <r>
    <x v="6"/>
    <s v="Huslia"/>
    <s v="Huslia"/>
    <n v="1005.8"/>
    <n v="0"/>
    <n v="0"/>
    <n v="0"/>
    <n v="0"/>
    <n v="75045"/>
    <n v="0"/>
    <n v="0"/>
    <s v="PCE"/>
    <n v="0"/>
    <x v="4"/>
    <s v="Yukon-Koyukuk (CA)"/>
    <s v="Doyon"/>
    <s v="YU"/>
  </r>
  <r>
    <x v="6"/>
    <s v="Upper Kalskag"/>
    <s v="Kalskag, Lower Kalskag"/>
    <n v="1472.2059999999999"/>
    <n v="0"/>
    <n v="0"/>
    <n v="0"/>
    <n v="0"/>
    <n v="107113"/>
    <n v="0"/>
    <n v="0"/>
    <s v="PCE"/>
    <s v="Provides power to Lower Kalskag via intertie. Fuel use and cost data includes information for Lower Kalskag."/>
    <x v="0"/>
    <s v="Bethel (CA)"/>
    <s v="Calista"/>
    <s v="SW"/>
  </r>
  <r>
    <x v="6"/>
    <s v="Kaltag"/>
    <s v="Kaltag"/>
    <n v="727.03800000000001"/>
    <n v="0"/>
    <n v="0"/>
    <n v="0"/>
    <n v="0"/>
    <n v="53499"/>
    <n v="0"/>
    <n v="0"/>
    <s v="PCE"/>
    <n v="0"/>
    <x v="4"/>
    <s v="Yukon-Koyukuk (CA)"/>
    <s v="Doyon"/>
    <s v="YU"/>
  </r>
  <r>
    <x v="6"/>
    <s v="Kasigluk"/>
    <s v="Kasigluk, Nunapitchuk"/>
    <n v="2286.42"/>
    <n v="0"/>
    <n v="0"/>
    <n v="0"/>
    <n v="496.85"/>
    <n v="168858"/>
    <n v="0"/>
    <n v="0"/>
    <s v="PCE"/>
    <s v="Provides power to Nunapitchuk via intertie.  Fuel use and cost includes Nunapitchuk's information."/>
    <x v="0"/>
    <s v="Bethel (CA)"/>
    <s v="Calista"/>
    <s v="SW"/>
  </r>
  <r>
    <x v="6"/>
    <s v="Kiana"/>
    <s v="Kiana"/>
    <n v="1511.732"/>
    <n v="0"/>
    <n v="0"/>
    <n v="0"/>
    <n v="0"/>
    <n v="120902.09"/>
    <n v="0"/>
    <n v="0"/>
    <s v="PCE"/>
    <n v="0"/>
    <x v="6"/>
    <s v="Northwest Arctic"/>
    <s v="NANA"/>
    <s v="AN"/>
  </r>
  <r>
    <x v="6"/>
    <s v="Kivalina"/>
    <s v="Kivalina"/>
    <n v="1212.085"/>
    <n v="0"/>
    <n v="0"/>
    <n v="0"/>
    <n v="0"/>
    <n v="94027"/>
    <n v="0"/>
    <n v="0"/>
    <s v="PCE"/>
    <n v="0"/>
    <x v="6"/>
    <s v="Northwest Arctic"/>
    <s v="NANA"/>
    <s v="AN"/>
  </r>
  <r>
    <x v="6"/>
    <s v="Kotlik"/>
    <s v="Kotlik"/>
    <n v="1966.4570000000001"/>
    <n v="0"/>
    <n v="0"/>
    <n v="0"/>
    <n v="0"/>
    <n v="151421"/>
    <n v="0"/>
    <n v="0"/>
    <s v="PCE"/>
    <n v="0"/>
    <x v="0"/>
    <s v="Wade Hampton (CA)"/>
    <s v="Calista"/>
    <s v="YU"/>
  </r>
  <r>
    <x v="6"/>
    <s v="Koyuk"/>
    <s v="Koyuk"/>
    <n v="1315.9179999999999"/>
    <n v="0"/>
    <n v="0"/>
    <n v="0"/>
    <n v="0"/>
    <n v="96030.999999999985"/>
    <n v="0"/>
    <n v="0"/>
    <s v="PCE"/>
    <n v="0"/>
    <x v="7"/>
    <s v="Nome (CA)"/>
    <s v="Bering Straits"/>
    <s v="AN"/>
  </r>
  <r>
    <x v="6"/>
    <s v="Upper Kalskag"/>
    <s v="Lower Kalskag"/>
    <n v="0"/>
    <n v="0"/>
    <n v="0"/>
    <n v="0"/>
    <n v="0"/>
    <n v="0"/>
    <n v="0"/>
    <n v="0"/>
    <s v="PCE"/>
    <s v="Receives power from (Upper) Kalskag via intertie. For fuel use and cost, please refer to (Upper) Kalskag."/>
    <x v="0"/>
    <s v="Bethel (CA)"/>
    <s v="Calista"/>
    <s v="SW"/>
  </r>
  <r>
    <x v="6"/>
    <s v="Marshall"/>
    <s v="Marshall"/>
    <n v="1644.1759999999999"/>
    <n v="0"/>
    <n v="0"/>
    <n v="0"/>
    <n v="0"/>
    <n v="123515"/>
    <n v="0"/>
    <n v="0"/>
    <s v="PCE"/>
    <n v="0"/>
    <x v="0"/>
    <s v="Wade Hampton (CA)"/>
    <s v="Calista"/>
    <s v="YU"/>
  </r>
  <r>
    <x v="6"/>
    <s v="Mekoryuk"/>
    <s v="Mekoryuk"/>
    <n v="708.83100000000002"/>
    <n v="0"/>
    <n v="0"/>
    <n v="0"/>
    <n v="238.70599999999999"/>
    <n v="58222"/>
    <n v="0"/>
    <n v="0"/>
    <s v="PCE"/>
    <n v="0"/>
    <x v="0"/>
    <s v="Bethel (CA)"/>
    <s v="Calista"/>
    <s v="SW"/>
  </r>
  <r>
    <x v="6"/>
    <s v="Minto"/>
    <s v="Minto"/>
    <n v="652.66300000000001"/>
    <n v="0"/>
    <n v="0"/>
    <n v="0"/>
    <n v="0"/>
    <n v="48155"/>
    <n v="0"/>
    <n v="0"/>
    <s v="PCE"/>
    <n v="0"/>
    <x v="4"/>
    <s v="Yukon-Koyukuk (CA)"/>
    <s v="Doyon"/>
    <s v="YU"/>
  </r>
  <r>
    <x v="6"/>
    <s v="Mountain Village"/>
    <s v="Mountain Village"/>
    <n v="2796.866"/>
    <n v="0"/>
    <n v="0"/>
    <n v="0"/>
    <n v="0"/>
    <n v="205079"/>
    <n v="0"/>
    <n v="0"/>
    <s v="PCE"/>
    <n v="0"/>
    <x v="0"/>
    <s v="Wade Hampton (CA)"/>
    <s v="Calista"/>
    <s v="YU"/>
  </r>
  <r>
    <x v="6"/>
    <s v="New Stuyahok"/>
    <s v="New Stuyahok"/>
    <n v="1466.3779999999999"/>
    <n v="0"/>
    <n v="0"/>
    <n v="0"/>
    <n v="0"/>
    <n v="114321"/>
    <n v="0"/>
    <n v="0"/>
    <s v="PCE"/>
    <n v="0"/>
    <x v="8"/>
    <s v="Dillingham (CA)"/>
    <s v="Bristol Bay"/>
    <s v="SW"/>
  </r>
  <r>
    <x v="6"/>
    <s v="Nightmute"/>
    <s v="Nightmute"/>
    <n v="0"/>
    <n v="0"/>
    <n v="0"/>
    <n v="0"/>
    <n v="0"/>
    <n v="0"/>
    <n v="0"/>
    <n v="0"/>
    <s v="PCE"/>
    <s v="Receives power from Toksook Bay via intertie. For fuel use and cost, please refer to Toksook Bay."/>
    <x v="0"/>
    <s v="Bethel (CA)"/>
    <s v="Calista"/>
    <s v="SW"/>
  </r>
  <r>
    <x v="6"/>
    <s v="Noatak"/>
    <s v="Noatak"/>
    <n v="1800.64"/>
    <n v="0"/>
    <n v="0"/>
    <n v="0"/>
    <n v="0"/>
    <n v="127333"/>
    <n v="0"/>
    <n v="0"/>
    <s v="PCE"/>
    <n v="0"/>
    <x v="6"/>
    <s v="Northwest Arctic"/>
    <s v="NANA"/>
    <s v="AN"/>
  </r>
  <r>
    <x v="6"/>
    <s v="Noorvik"/>
    <s v="Noorvik"/>
    <n v="2001.4739999999999"/>
    <n v="0"/>
    <n v="0"/>
    <n v="0"/>
    <n v="0"/>
    <n v="153358"/>
    <n v="0"/>
    <n v="0"/>
    <s v="PCE"/>
    <n v="0"/>
    <x v="6"/>
    <s v="Northwest Arctic"/>
    <s v="NANA"/>
    <s v="AN"/>
  </r>
  <r>
    <x v="6"/>
    <s v="Nulato"/>
    <s v="Nulato"/>
    <n v="1110.2139999999999"/>
    <n v="0"/>
    <n v="0"/>
    <n v="0"/>
    <n v="0"/>
    <n v="83771"/>
    <n v="0"/>
    <n v="0"/>
    <s v="PCE"/>
    <n v="0"/>
    <x v="4"/>
    <s v="Yukon-Koyukuk (CA)"/>
    <s v="Doyon"/>
    <s v="YU"/>
  </r>
  <r>
    <x v="6"/>
    <s v="Nunapitchuk"/>
    <s v="Nunapitchuk"/>
    <n v="0"/>
    <n v="0"/>
    <n v="0"/>
    <n v="0"/>
    <n v="0"/>
    <n v="0"/>
    <n v="0"/>
    <n v="0"/>
    <s v="PCE"/>
    <s v="Receives power from Kasigluk. Please refer to Kasigluk for fuel use and cost."/>
    <x v="0"/>
    <s v="Bethel (CA)"/>
    <s v="Calista"/>
    <s v="SW"/>
  </r>
  <r>
    <x v="6"/>
    <s v="Old Harbor"/>
    <s v="Old Harbor"/>
    <n v="788.01900000000001"/>
    <n v="0"/>
    <n v="0"/>
    <n v="0"/>
    <n v="0"/>
    <n v="56390"/>
    <n v="0"/>
    <n v="0"/>
    <s v="PCE"/>
    <n v="0"/>
    <x v="9"/>
    <s v="Kodiak Island"/>
    <s v="Koniag"/>
    <s v="SC"/>
  </r>
  <r>
    <x v="6"/>
    <s v="Pilot Station"/>
    <s v="Pilot Station"/>
    <n v="1750.671"/>
    <n v="0"/>
    <n v="0"/>
    <n v="0"/>
    <n v="0"/>
    <n v="133531"/>
    <n v="0"/>
    <n v="0"/>
    <s v="PCE"/>
    <n v="0"/>
    <x v="0"/>
    <s v="Wade Hampton (CA)"/>
    <s v="Calista"/>
    <s v="YU"/>
  </r>
  <r>
    <x v="6"/>
    <s v="Saint Mary's"/>
    <s v="Pitkas Point"/>
    <n v="0"/>
    <n v="0"/>
    <n v="0"/>
    <n v="0"/>
    <n v="0"/>
    <n v="0"/>
    <n v="0"/>
    <n v="0"/>
    <s v="PCE"/>
    <s v="Receives power from Saint Mary's via intertie. For fuel use and cost, please refer to Saint Mary's."/>
    <x v="0"/>
    <s v="Wade Hampton (CA)"/>
    <s v="Calista"/>
    <s v="YU"/>
  </r>
  <r>
    <x v="6"/>
    <s v="Quinhagak"/>
    <s v="Quinhagak"/>
    <n v="1415.165"/>
    <n v="0"/>
    <n v="0"/>
    <n v="0"/>
    <n v="409.24"/>
    <n v="113432"/>
    <n v="0"/>
    <n v="0"/>
    <s v="PCE"/>
    <n v="0"/>
    <x v="0"/>
    <s v="Bethel (CA)"/>
    <s v="Calista"/>
    <s v="SW"/>
  </r>
  <r>
    <x v="6"/>
    <s v="Russian Mission"/>
    <s v="Russian Mission"/>
    <n v="1123.7860000000001"/>
    <n v="0"/>
    <n v="0"/>
    <n v="0"/>
    <n v="0"/>
    <n v="80202"/>
    <n v="0"/>
    <n v="0"/>
    <s v="PCE"/>
    <n v="0"/>
    <x v="0"/>
    <s v="Wade Hampton (CA)"/>
    <s v="Calista"/>
    <s v="YU"/>
  </r>
  <r>
    <x v="6"/>
    <s v="Saint Mary's"/>
    <s v="Saint Mary's, Andreafsky, Pitkas Point"/>
    <n v="3172.4340000000002"/>
    <n v="0"/>
    <n v="0"/>
    <n v="0"/>
    <n v="0"/>
    <n v="241899"/>
    <n v="0"/>
    <n v="0"/>
    <s v="PCE"/>
    <s v="Provides power to Andreafsky and Pitkas Point via intertie. Includes Andreafsky's information. Fuel use and cost also includes Pitkas Point."/>
    <x v="0"/>
    <s v="Wade Hampton (CA)"/>
    <s v="Calista"/>
    <s v="YU"/>
  </r>
  <r>
    <x v="6"/>
    <s v="Saint Michael"/>
    <s v="Saint Michael"/>
    <n v="1734.962"/>
    <n v="0"/>
    <n v="0"/>
    <n v="0"/>
    <n v="0"/>
    <n v="126431"/>
    <n v="0"/>
    <n v="0"/>
    <s v="PCE"/>
    <n v="0"/>
    <x v="7"/>
    <s v="Nome (CA)"/>
    <s v="Bering Straits"/>
    <s v="AN"/>
  </r>
  <r>
    <x v="6"/>
    <s v="Savoonga"/>
    <s v="Savoonga"/>
    <n v="1753.6369999999999"/>
    <n v="0"/>
    <n v="0"/>
    <n v="0"/>
    <n v="359.92399999999998"/>
    <n v="141602"/>
    <n v="0"/>
    <n v="0"/>
    <s v="PCE"/>
    <n v="0"/>
    <x v="7"/>
    <s v="Nome (CA)"/>
    <s v="Bering Straits"/>
    <s v="AN"/>
  </r>
  <r>
    <x v="6"/>
    <s v="Scammon Bay"/>
    <s v="Scammon Bay"/>
    <n v="1735.5519999999999"/>
    <n v="0"/>
    <n v="0"/>
    <n v="0"/>
    <n v="0"/>
    <n v="132746"/>
    <n v="0"/>
    <n v="0"/>
    <s v="PCE"/>
    <n v="0"/>
    <x v="0"/>
    <s v="Wade Hampton (CA)"/>
    <s v="Calista"/>
    <s v="YU"/>
  </r>
  <r>
    <x v="6"/>
    <s v="Selawik"/>
    <s v="Selawik"/>
    <n v="2745.7550000000001"/>
    <n v="0"/>
    <n v="0"/>
    <n v="0"/>
    <n v="107.907"/>
    <n v="206729"/>
    <n v="0"/>
    <n v="0"/>
    <s v="PCE"/>
    <n v="0"/>
    <x v="6"/>
    <s v="Northwest Arctic"/>
    <s v="NANA"/>
    <s v="AN"/>
  </r>
  <r>
    <x v="6"/>
    <s v="Shageluk"/>
    <s v="Shageluk"/>
    <n v="369.01499999999999"/>
    <n v="0"/>
    <n v="0"/>
    <n v="0"/>
    <n v="0"/>
    <n v="31328"/>
    <n v="0"/>
    <n v="0"/>
    <s v="PCE"/>
    <n v="0"/>
    <x v="4"/>
    <s v="Yukon-Koyukuk (CA)"/>
    <s v="Doyon"/>
    <s v="YU"/>
  </r>
  <r>
    <x v="6"/>
    <s v="Shaktoolik"/>
    <s v="Shaktoolik"/>
    <n v="903.83900000000006"/>
    <n v="0"/>
    <n v="0"/>
    <n v="0"/>
    <n v="8.2000000000000003E-2"/>
    <n v="70025"/>
    <n v="0"/>
    <n v="0"/>
    <s v="PCE"/>
    <n v="0"/>
    <x v="7"/>
    <s v="Nome (CA)"/>
    <s v="Bering Straits"/>
    <s v="AN"/>
  </r>
  <r>
    <x v="6"/>
    <s v="Shishmaref"/>
    <s v="Shishmaref"/>
    <n v="1593.91"/>
    <n v="0"/>
    <n v="0"/>
    <n v="0"/>
    <n v="0"/>
    <n v="116751"/>
    <n v="0"/>
    <n v="0"/>
    <s v="PCE"/>
    <n v="0"/>
    <x v="7"/>
    <s v="Nome (CA)"/>
    <s v="Bering Straits"/>
    <s v="AN"/>
  </r>
  <r>
    <x v="6"/>
    <s v="Shungnak"/>
    <s v="Shungnak, Kobuk"/>
    <n v="1527.3440000000001"/>
    <n v="0"/>
    <n v="0"/>
    <n v="0"/>
    <n v="0"/>
    <n v="113831"/>
    <n v="0"/>
    <n v="0"/>
    <s v="PCE"/>
    <s v="Provides power to Kobuk via intertie. Fuel use and cost includes Kobu's information."/>
    <x v="6"/>
    <s v="Northwest Arctic"/>
    <s v="NANA"/>
    <s v="AN"/>
  </r>
  <r>
    <x v="6"/>
    <s v="Stebbins"/>
    <s v="Stebbins"/>
    <n v="1354.2349999999999"/>
    <n v="0"/>
    <n v="0"/>
    <n v="0"/>
    <n v="0"/>
    <n v="102124"/>
    <n v="0"/>
    <n v="0"/>
    <s v="PCE"/>
    <n v="0"/>
    <x v="7"/>
    <s v="Nome (CA)"/>
    <s v="Bering Straits"/>
    <s v="AN"/>
  </r>
  <r>
    <x v="6"/>
    <s v="Teller"/>
    <s v="Teller"/>
    <n v="837.98900000000003"/>
    <n v="0"/>
    <n v="0"/>
    <n v="0"/>
    <n v="0"/>
    <n v="72035"/>
    <n v="0"/>
    <n v="0"/>
    <s v="PCE"/>
    <n v="0"/>
    <x v="7"/>
    <s v="Nome (CA)"/>
    <s v="Bering Straits"/>
    <s v="AN"/>
  </r>
  <r>
    <x v="6"/>
    <s v="Togiak"/>
    <s v="Togiak"/>
    <n v="3044.7559999999999"/>
    <n v="0"/>
    <n v="0"/>
    <n v="0"/>
    <n v="0"/>
    <n v="225519"/>
    <n v="0"/>
    <n v="0"/>
    <s v="PCE"/>
    <n v="0"/>
    <x v="8"/>
    <s v="Dillingham (CA)"/>
    <s v="Bristol Bay"/>
    <s v="SW"/>
  </r>
  <r>
    <x v="6"/>
    <s v="Toksook Bay"/>
    <s v="Toksook Bay, Nightmute, Tununak"/>
    <n v="2592.1080000000002"/>
    <n v="0"/>
    <n v="0"/>
    <n v="0"/>
    <n v="559.97299999999996"/>
    <n v="200398"/>
    <n v="0"/>
    <n v="0"/>
    <s v="PCE"/>
    <s v="Provides power to Nightmute and Tununak via intertie. Fuel use and cost includes Nightmute's and Tununak's information."/>
    <x v="0"/>
    <s v="Bethel (CA)"/>
    <s v="Calista"/>
    <s v="SW"/>
  </r>
  <r>
    <x v="6"/>
    <s v="Tununak"/>
    <s v="Tununak"/>
    <n v="0"/>
    <n v="0"/>
    <n v="0"/>
    <n v="0"/>
    <n v="0"/>
    <n v="0"/>
    <n v="0"/>
    <n v="0"/>
    <s v="PCE"/>
    <s v="Receives power from Toksook Bay via intertie. For fuel use and cost, please refer to Toksook Bay."/>
    <x v="0"/>
    <s v="Bethel (CA)"/>
    <s v="Calista"/>
    <s v="SW"/>
  </r>
  <r>
    <x v="6"/>
    <s v="Wales"/>
    <s v="Wales"/>
    <n v="582.09500000000003"/>
    <n v="0"/>
    <n v="0"/>
    <n v="0"/>
    <n v="0"/>
    <n v="47325"/>
    <n v="0"/>
    <n v="0"/>
    <s v="PCE"/>
    <n v="0"/>
    <x v="7"/>
    <s v="Nome (CA)"/>
    <s v="Bering Straits"/>
    <s v="AN"/>
  </r>
  <r>
    <x v="7"/>
    <s v="Karluk"/>
    <s v="Karluk"/>
    <n v="252.608"/>
    <n v="0"/>
    <n v="0"/>
    <n v="0"/>
    <n v="0"/>
    <n v="22089"/>
    <n v="0"/>
    <n v="0"/>
    <s v="PCE"/>
    <n v="0"/>
    <x v="9"/>
    <s v="Kodiak Island"/>
    <s v="Koniag"/>
    <s v="SC"/>
  </r>
  <r>
    <x v="8"/>
    <s v="Anchorage 1"/>
    <s v="Anchorage"/>
    <n v="48.344999999999999"/>
    <n v="91290.654999999999"/>
    <n v="0"/>
    <n v="0"/>
    <n v="0"/>
    <n v="4242"/>
    <n v="1089173"/>
    <n v="0"/>
    <s v="EIA"/>
    <n v="0"/>
    <x v="3"/>
    <s v="Anchorage"/>
    <s v="Cook Inlet"/>
    <s v="SC"/>
  </r>
  <r>
    <x v="8"/>
    <s v="Eklutna Lake"/>
    <s v="Anchorage"/>
    <n v="0"/>
    <n v="0"/>
    <n v="0"/>
    <n v="66088"/>
    <n v="0"/>
    <n v="0"/>
    <n v="0"/>
    <n v="0"/>
    <s v="EIA"/>
    <n v="0"/>
    <x v="3"/>
    <s v="Anchorage"/>
    <s v="Cook Inlet"/>
    <s v="SC"/>
  </r>
  <r>
    <x v="8"/>
    <s v="George M Sullivan Generation Plant 2"/>
    <s v="Anchorage"/>
    <n v="328"/>
    <n v="1082675"/>
    <n v="0"/>
    <n v="0"/>
    <n v="0"/>
    <n v="19110"/>
    <n v="10551686"/>
    <n v="0"/>
    <s v="EIA"/>
    <n v="0"/>
    <x v="3"/>
    <s v="Anchorage"/>
    <s v="Cook Inlet"/>
    <s v="SC"/>
  </r>
  <r>
    <x v="9"/>
    <s v="Aniak"/>
    <s v="Aniak"/>
    <n v="2618.598"/>
    <n v="0"/>
    <n v="0"/>
    <n v="0"/>
    <n v="0"/>
    <n v="204154"/>
    <n v="0"/>
    <n v="0"/>
    <s v="PCE"/>
    <n v="0"/>
    <x v="0"/>
    <s v="Bethel (CA)"/>
    <s v="Calista"/>
    <s v="SW"/>
  </r>
  <r>
    <x v="10"/>
    <s v="Atka"/>
    <s v="Atka"/>
    <n v="444.322"/>
    <n v="0"/>
    <n v="0"/>
    <n v="0"/>
    <n v="0"/>
    <n v="49036.000000000007"/>
    <n v="0"/>
    <n v="0"/>
    <s v="PCE"/>
    <n v="0"/>
    <x v="1"/>
    <s v="Aleutians West (CA)"/>
    <s v="Aleut"/>
    <s v="SW"/>
  </r>
  <r>
    <x v="11"/>
    <s v="Atmautluak"/>
    <s v="Atmautluak"/>
    <n v="796.81399999999996"/>
    <n v="0"/>
    <n v="0"/>
    <n v="0"/>
    <n v="0"/>
    <n v="54344.999999999993"/>
    <n v="0"/>
    <n v="0"/>
    <s v="PCE"/>
    <n v="0"/>
    <x v="0"/>
    <s v="Bethel (CA)"/>
    <s v="Calista"/>
    <s v="SW"/>
  </r>
  <r>
    <x v="12"/>
    <s v="Aurora Energy"/>
    <s v="Fairbanks"/>
    <n v="0"/>
    <n v="0"/>
    <n v="209150"/>
    <n v="0"/>
    <n v="0"/>
    <n v="0"/>
    <n v="0"/>
    <n v="222349"/>
    <s v="EIA"/>
    <s v=" Aurora Energy LLC is an independent power producer that sells all its power to GVEA."/>
    <x v="3"/>
    <s v="Fairbanks North Star"/>
    <s v="Doyon"/>
    <s v="YU"/>
  </r>
  <r>
    <x v="13"/>
    <s v="Banner Peak Wind Farm"/>
    <s v="Nome"/>
    <n v="0"/>
    <n v="0"/>
    <n v="0"/>
    <n v="0"/>
    <n v="955"/>
    <n v="0"/>
    <n v="0"/>
    <n v="0"/>
    <s v="PCE"/>
    <s v="Banner Wind, LLC. is an independent power proucer, who sells all its power to Nome Joint Utility Systems."/>
    <x v="7"/>
    <s v="Nome (CA)"/>
    <s v="Bering Straits"/>
    <s v="AN"/>
  </r>
  <r>
    <x v="14"/>
    <s v="Barrow"/>
    <s v="Barrow"/>
    <n v="0"/>
    <n v="50211"/>
    <n v="0"/>
    <n v="0"/>
    <n v="0"/>
    <n v="0"/>
    <n v="745980"/>
    <n v="0"/>
    <s v="EIA"/>
    <n v="0"/>
    <x v="10"/>
    <s v="North Slope"/>
    <s v="Arctic Slope"/>
    <s v="AN"/>
  </r>
  <r>
    <x v="15"/>
    <s v="Beaver"/>
    <s v="Beaver"/>
    <n v="318.02999999999997"/>
    <n v="0"/>
    <n v="0"/>
    <n v="0"/>
    <n v="0"/>
    <n v="30506"/>
    <n v="0"/>
    <n v="0"/>
    <s v="PCE"/>
    <n v="0"/>
    <x v="4"/>
    <s v="Yukon-Koyukuk (CA)"/>
    <s v="Doyon"/>
    <s v="YU"/>
  </r>
  <r>
    <x v="16"/>
    <s v="Bethel"/>
    <s v="Bethel, Oscarville"/>
    <n v="41800"/>
    <n v="0"/>
    <n v="0"/>
    <n v="0"/>
    <n v="0"/>
    <n v="3094125"/>
    <n v="0"/>
    <n v="0"/>
    <s v="PCE"/>
    <s v="Provides power to Oscarville and sells power to Napakiak Ircinraq via intertie. Data includes Oscarville's information."/>
    <x v="0"/>
    <s v="Bethel (CA)"/>
    <s v="Calista"/>
    <s v="SW"/>
  </r>
  <r>
    <x v="17"/>
    <s v="Buckland"/>
    <s v="Buckland"/>
    <n v="1592.204"/>
    <n v="0"/>
    <n v="0"/>
    <n v="0"/>
    <n v="0"/>
    <n v="116056"/>
    <n v="0"/>
    <n v="0"/>
    <s v="PCE"/>
    <n v="0"/>
    <x v="6"/>
    <s v="Northwest Arctic"/>
    <s v="NANA"/>
    <s v="AN"/>
  </r>
  <r>
    <x v="18"/>
    <s v="Chalkyitsik"/>
    <s v="Chalkyitsik"/>
    <n v="304.16500000000002"/>
    <n v="0"/>
    <n v="0"/>
    <n v="0"/>
    <n v="0"/>
    <n v="30609.000000000004"/>
    <n v="0"/>
    <n v="0"/>
    <s v="PCE"/>
    <n v="0"/>
    <x v="4"/>
    <s v="Yukon-Koyukuk (CA)"/>
    <s v="Doyon"/>
    <s v="YU"/>
  </r>
  <r>
    <x v="19"/>
    <s v="Chenega Bay"/>
    <s v="Chenega Bay"/>
    <n v="308.27600000000001"/>
    <n v="0"/>
    <n v="0"/>
    <n v="0"/>
    <n v="0"/>
    <n v="29631"/>
    <n v="0"/>
    <n v="0"/>
    <s v="PCE"/>
    <n v="0"/>
    <x v="5"/>
    <s v="Valdez-Cordova (CA)"/>
    <s v="Chugach"/>
    <s v="SC"/>
  </r>
  <r>
    <x v="20"/>
    <s v="Chignik Lagoon"/>
    <s v="Chignik Lagoon"/>
    <n v="506.53100000000001"/>
    <n v="0"/>
    <n v="0"/>
    <n v="0"/>
    <n v="0"/>
    <n v="43418"/>
    <n v="0"/>
    <n v="0"/>
    <s v="PCE"/>
    <n v="0"/>
    <x v="8"/>
    <s v="Lake and Peninsula"/>
    <s v="Bristol Bay"/>
    <s v="SW"/>
  </r>
  <r>
    <x v="21"/>
    <s v="Chignik Lake"/>
    <s v="Chignik Lake"/>
    <n v="199.04300000000001"/>
    <n v="0"/>
    <n v="0"/>
    <n v="0"/>
    <n v="0"/>
    <n v="17351"/>
    <n v="0"/>
    <n v="0"/>
    <s v="PCE"/>
    <n v="0"/>
    <x v="8"/>
    <s v="Lake and Peninsula"/>
    <s v="Bristol Bay"/>
    <s v="SW"/>
  </r>
  <r>
    <x v="22"/>
    <s v="Chignik"/>
    <s v="Chignik"/>
    <n v="868.08199999999999"/>
    <n v="0"/>
    <n v="0"/>
    <n v="0"/>
    <n v="0"/>
    <n v="68013.455000000002"/>
    <n v="0"/>
    <n v="0"/>
    <s v="PCE"/>
    <n v="0"/>
    <x v="8"/>
    <s v="Lake and Peninsula"/>
    <s v="Bristol Bay"/>
    <s v="SW"/>
  </r>
  <r>
    <x v="23"/>
    <s v="Chitina"/>
    <s v="Chitina"/>
    <n v="519.23599999999999"/>
    <n v="0"/>
    <n v="0"/>
    <n v="0"/>
    <n v="0"/>
    <n v="41918"/>
    <n v="0"/>
    <n v="0"/>
    <s v="PCE"/>
    <n v="0"/>
    <x v="5"/>
    <s v="Valdez-Cordova (CA)"/>
    <s v="Ahtna"/>
    <s v="SC"/>
  </r>
  <r>
    <x v="24"/>
    <s v="Beluga"/>
    <m/>
    <n v="0"/>
    <n v="2281306"/>
    <n v="0"/>
    <n v="0"/>
    <n v="0"/>
    <n v="0"/>
    <n v="24008970"/>
    <n v="0"/>
    <s v="EIA"/>
    <n v="0"/>
    <x v="3"/>
    <s v="Anchorage"/>
    <s v="Cook Inlet"/>
    <s v="SC"/>
  </r>
  <r>
    <x v="24"/>
    <s v="Bernice Lake"/>
    <m/>
    <n v="41995"/>
    <n v="0"/>
    <n v="0"/>
    <n v="0"/>
    <n v="0"/>
    <n v="0"/>
    <n v="601772"/>
    <n v="0"/>
    <s v="EIA"/>
    <n v="0"/>
    <x v="3"/>
    <s v="Kenai Peninsula"/>
    <s v="Cook Inlet"/>
    <s v="SC"/>
  </r>
  <r>
    <x v="24"/>
    <s v="Cooper Lake"/>
    <m/>
    <n v="0"/>
    <n v="0"/>
    <n v="0"/>
    <n v="28759"/>
    <n v="0"/>
    <n v="0"/>
    <n v="0"/>
    <n v="0"/>
    <s v="EIA"/>
    <n v="0"/>
    <x v="3"/>
    <s v="Anchorage"/>
    <s v="Cook Inlet"/>
    <s v="SC"/>
  </r>
  <r>
    <x v="24"/>
    <s v="International"/>
    <m/>
    <n v="21789"/>
    <n v="0"/>
    <n v="0"/>
    <n v="0"/>
    <n v="0"/>
    <n v="0"/>
    <n v="352079"/>
    <n v="0"/>
    <s v="EIA"/>
    <n v="0"/>
    <x v="3"/>
    <s v="Anchorage"/>
    <s v="Cook Inlet"/>
    <s v="SC"/>
  </r>
  <r>
    <x v="25"/>
    <s v="Circle"/>
    <s v="Circle"/>
    <n v="389.51"/>
    <n v="0"/>
    <n v="0"/>
    <n v="0"/>
    <n v="0"/>
    <n v="36322"/>
    <n v="0"/>
    <n v="0"/>
    <s v="PCE"/>
    <n v="0"/>
    <x v="4"/>
    <s v="Yukon-Koyukuk (CA)"/>
    <s v="Doyon"/>
    <s v="YU"/>
  </r>
  <r>
    <x v="26"/>
    <s v="Glennallen"/>
    <s v="Glennallen"/>
    <n v="15113"/>
    <n v="0"/>
    <n v="0"/>
    <n v="0"/>
    <n v="0"/>
    <n v="1136226"/>
    <n v="0"/>
    <n v="0"/>
    <s v="EIA"/>
    <n v="0"/>
    <x v="5"/>
    <s v="Valdez-Cordova (CA)"/>
    <s v="Ahtna"/>
    <s v="SC"/>
  </r>
  <r>
    <x v="26"/>
    <s v="Solomon Gulch"/>
    <s v="Glennallen, Valdez"/>
    <n v="0"/>
    <n v="0"/>
    <n v="0"/>
    <n v="46189"/>
    <n v="0"/>
    <n v="0"/>
    <n v="0"/>
    <n v="0"/>
    <s v="EIA"/>
    <n v="0"/>
    <x v="5"/>
    <s v="Valdez-Cordova (CA)"/>
    <s v="Chugach"/>
    <s v="SC"/>
  </r>
  <r>
    <x v="26"/>
    <s v="Valdez"/>
    <s v="Valdez"/>
    <n v="7338"/>
    <n v="0"/>
    <n v="0"/>
    <n v="0"/>
    <n v="0"/>
    <n v="643230"/>
    <n v="0"/>
    <n v="0"/>
    <s v="EIA"/>
    <n v="0"/>
    <x v="5"/>
    <s v="Valdez-Cordova (CA)"/>
    <s v="Chugach"/>
    <s v="SC"/>
  </r>
  <r>
    <x v="26"/>
    <s v="Valdez Cogen"/>
    <s v="Valdez"/>
    <n v="17519"/>
    <n v="0"/>
    <n v="0"/>
    <n v="0"/>
    <n v="0"/>
    <n v="1869252"/>
    <n v="0"/>
    <n v="0"/>
    <s v="EIA"/>
    <n v="0"/>
    <x v="5"/>
    <s v="Valdez-Cordova (CA)"/>
    <s v="Chugach"/>
    <s v="SC"/>
  </r>
  <r>
    <x v="27"/>
    <s v="Orca"/>
    <s v="Cordova"/>
    <n v="9068"/>
    <n v="0"/>
    <n v="0"/>
    <n v="0"/>
    <n v="0"/>
    <n v="781015"/>
    <n v="0"/>
    <n v="0"/>
    <s v="PCE"/>
    <n v="0"/>
    <x v="5"/>
    <s v="Valdez-Cordova (CA)"/>
    <s v="Chugach"/>
    <s v="SC"/>
  </r>
  <r>
    <x v="27"/>
    <s v="Power Creek"/>
    <s v="Cordova"/>
    <n v="0"/>
    <n v="0"/>
    <n v="0"/>
    <n v="16759.928"/>
    <n v="0"/>
    <n v="0"/>
    <n v="0"/>
    <n v="0"/>
    <s v="PCE"/>
    <n v="0"/>
    <x v="5"/>
    <s v="Valdez-Cordova (CA)"/>
    <s v="Chugach"/>
    <s v="SC"/>
  </r>
  <r>
    <x v="28"/>
    <s v="Diomede"/>
    <s v="Diomede"/>
    <n v="438.73590000000002"/>
    <n v="0"/>
    <n v="0"/>
    <n v="0"/>
    <n v="0"/>
    <n v="45572"/>
    <n v="0"/>
    <n v="0"/>
    <s v="PCE"/>
    <n v="0"/>
    <x v="7"/>
    <s v="Nome (CA)"/>
    <s v="Bering Straits"/>
    <s v="AN"/>
  </r>
  <r>
    <x v="29"/>
    <s v="Egegik"/>
    <s v="Egegik"/>
    <n v="281.745"/>
    <n v="0"/>
    <n v="0"/>
    <n v="0"/>
    <n v="0"/>
    <n v="27601"/>
    <n v="0"/>
    <n v="0"/>
    <s v="PCE"/>
    <n v="0"/>
    <x v="8"/>
    <s v="Lake and Peninsula"/>
    <s v="Bristol Bay"/>
    <s v="SW"/>
  </r>
  <r>
    <x v="30"/>
    <s v="Elfin Cove"/>
    <s v="Elfin Cove"/>
    <n v="277.4572"/>
    <n v="0"/>
    <n v="0"/>
    <n v="0"/>
    <n v="0"/>
    <n v="25097"/>
    <n v="0"/>
    <n v="0"/>
    <s v="PCE"/>
    <n v="0"/>
    <x v="2"/>
    <s v="Hoonah-Angoon (CA)"/>
    <s v="Sealaska"/>
    <s v="SE"/>
  </r>
  <r>
    <x v="31"/>
    <s v="False Pass"/>
    <s v="False Pass"/>
    <n v="461.351"/>
    <n v="0"/>
    <n v="0"/>
    <n v="0"/>
    <n v="0"/>
    <n v="45211.999999999993"/>
    <n v="0"/>
    <n v="0"/>
    <s v="PCE"/>
    <n v="0"/>
    <x v="1"/>
    <s v="Aleutians East"/>
    <s v="Aleut"/>
    <s v="SW"/>
  </r>
  <r>
    <x v="32"/>
    <s v="Cold Bay"/>
    <s v="Cold Bay"/>
    <n v="2566.9209999999998"/>
    <n v="0"/>
    <n v="0"/>
    <n v="0"/>
    <n v="0"/>
    <n v="205710"/>
    <n v="0"/>
    <n v="0"/>
    <s v="PCE"/>
    <n v="0"/>
    <x v="1"/>
    <s v="Aleutians East"/>
    <s v="Aleut"/>
    <s v="SW"/>
  </r>
  <r>
    <x v="33"/>
    <s v="Galena"/>
    <s v="Galena"/>
    <n v="2907.3449999999998"/>
    <m/>
    <m/>
    <n v="0"/>
    <n v="0"/>
    <n v="232400"/>
    <m/>
    <m/>
    <s v="PCE"/>
    <n v="0"/>
    <x v="4"/>
    <s v="Yukon-Koyukuk (CA)"/>
    <s v="Doyon"/>
    <s v="YU"/>
  </r>
  <r>
    <x v="34"/>
    <s v="Central"/>
    <s v="Central"/>
    <n v="474.60300000000001"/>
    <n v="0"/>
    <n v="0"/>
    <n v="0"/>
    <n v="0"/>
    <n v="45258.000000000007"/>
    <n v="0"/>
    <n v="0"/>
    <s v="PCE"/>
    <n v="0"/>
    <x v="4"/>
    <s v="Yukon-Koyukuk (CA)"/>
    <s v="Doyon"/>
    <s v="YU"/>
  </r>
  <r>
    <x v="35"/>
    <s v="Delta Power"/>
    <m/>
    <n v="-170"/>
    <n v="0"/>
    <n v="0"/>
    <n v="0"/>
    <n v="0"/>
    <n v="1806"/>
    <n v="0"/>
    <n v="0"/>
    <s v="EIA"/>
    <n v="0"/>
    <x v="3"/>
    <s v="Fairbanks North Star"/>
    <s v="Doyon"/>
    <s v="YU"/>
  </r>
  <r>
    <x v="35"/>
    <s v="Fairbanks"/>
    <m/>
    <n v="8529"/>
    <n v="0"/>
    <n v="0"/>
    <n v="0"/>
    <n v="0"/>
    <n v="1495746"/>
    <n v="0"/>
    <n v="0"/>
    <s v="EIA"/>
    <n v="0"/>
    <x v="3"/>
    <s v="Fairbanks North Star"/>
    <s v="Doyon"/>
    <s v="YU"/>
  </r>
  <r>
    <x v="35"/>
    <s v="Healy"/>
    <m/>
    <n v="178"/>
    <n v="0"/>
    <n v="178010"/>
    <n v="0"/>
    <n v="0"/>
    <n v="24192"/>
    <n v="0"/>
    <n v="175018"/>
    <s v="EIA"/>
    <n v="0"/>
    <x v="3"/>
    <s v="Denali"/>
    <s v="Doyon"/>
    <s v="YU"/>
  </r>
  <r>
    <x v="35"/>
    <s v="North Pole"/>
    <m/>
    <n v="486542"/>
    <n v="0"/>
    <n v="0"/>
    <n v="0"/>
    <n v="0"/>
    <n v="32928882"/>
    <n v="0"/>
    <n v="0"/>
    <s v="EIA"/>
    <n v="0"/>
    <x v="3"/>
    <s v="Fairbanks North Star"/>
    <s v="Doyon"/>
    <s v="YU"/>
  </r>
  <r>
    <x v="36"/>
    <s v="Golovin"/>
    <s v="Golovin"/>
    <n v="755.70100000000002"/>
    <n v="0"/>
    <n v="0"/>
    <n v="0"/>
    <n v="0"/>
    <n v="60975"/>
    <n v="0"/>
    <n v="0"/>
    <s v="PCE"/>
    <n v="0"/>
    <x v="7"/>
    <s v="Nome (CA)"/>
    <s v="Bering Straits"/>
    <s v="AN"/>
  </r>
  <r>
    <x v="37"/>
    <s v="Falls Creek"/>
    <s v="Gustavus"/>
    <n v="0"/>
    <n v="0"/>
    <n v="0"/>
    <n v="1955"/>
    <n v="0"/>
    <n v="0"/>
    <n v="0"/>
    <n v="0"/>
    <s v="PCE"/>
    <n v="0"/>
    <x v="2"/>
    <s v="Hoonah-Angoon (CA)"/>
    <s v="Sealaska"/>
    <s v="SE"/>
  </r>
  <r>
    <x v="37"/>
    <s v="Gustavus"/>
    <s v="Gustavus"/>
    <n v="98.196960000000004"/>
    <n v="0"/>
    <n v="0"/>
    <n v="0"/>
    <n v="0"/>
    <n v="12625.089"/>
    <n v="0"/>
    <n v="0"/>
    <s v="PCE"/>
    <n v="0"/>
    <x v="2"/>
    <s v="Hoonah-Angoon (CA)"/>
    <s v="Sealaska"/>
    <s v="SE"/>
  </r>
  <r>
    <x v="38"/>
    <s v="Fort Yukon"/>
    <s v="Fort Yukon"/>
    <n v="3061.62"/>
    <n v="0"/>
    <n v="0"/>
    <n v="0"/>
    <n v="0"/>
    <n v="238873"/>
    <n v="0"/>
    <n v="0"/>
    <s v="PCE"/>
    <n v="0"/>
    <x v="4"/>
    <s v="Yukon-Koyukuk (CA)"/>
    <s v="Doyon"/>
    <s v="YU"/>
  </r>
  <r>
    <x v="39"/>
    <s v="Nikiski Co-Generation"/>
    <m/>
    <n v="0"/>
    <n v="276289"/>
    <n v="0"/>
    <n v="0"/>
    <n v="0"/>
    <n v="0"/>
    <n v="3577770"/>
    <n v="0"/>
    <s v="EIA"/>
    <n v="0"/>
    <x v="3"/>
    <s v="Kenai Peninsula"/>
    <s v="Cook Inlet"/>
    <s v="SC"/>
  </r>
  <r>
    <x v="39"/>
    <s v="Seldovia"/>
    <m/>
    <n v="143"/>
    <n v="0"/>
    <n v="0"/>
    <n v="0"/>
    <n v="0"/>
    <n v="10206"/>
    <n v="0"/>
    <n v="0"/>
    <s v="EIA"/>
    <n v="0"/>
    <x v="3"/>
    <s v="Kenai Peninsula"/>
    <s v="Cook Inlet"/>
    <s v="SC"/>
  </r>
  <r>
    <x v="39"/>
    <s v="Bradley Lake"/>
    <m/>
    <n v="0"/>
    <n v="0"/>
    <n v="0"/>
    <n v="303900"/>
    <n v="0"/>
    <n v="0"/>
    <n v="0"/>
    <n v="0"/>
    <s v="EIA"/>
    <s v="Generation from Bradley Lake is shared among Chugach, AML&amp;P, HEA, MEA, Seward Electric and GVEA"/>
    <x v="3"/>
    <s v="Anchorage"/>
    <s v="Cook Inlet"/>
    <s v="SC"/>
  </r>
  <r>
    <x v="40"/>
    <s v="Hughes"/>
    <s v="Hughes"/>
    <n v="372.29500000000002"/>
    <n v="0"/>
    <n v="0"/>
    <n v="0"/>
    <n v="0"/>
    <n v="40992"/>
    <n v="0"/>
    <n v="0"/>
    <s v="PCE"/>
    <n v="0"/>
    <x v="4"/>
    <s v="Yukon-Koyukuk (CA)"/>
    <s v="Doyon"/>
    <s v="YU"/>
  </r>
  <r>
    <x v="41"/>
    <s v="Igiugig"/>
    <s v="Igiugig"/>
    <n v="307.71845500000001"/>
    <n v="0"/>
    <n v="0"/>
    <n v="0"/>
    <n v="0"/>
    <n v="27001.090199999999"/>
    <n v="0"/>
    <n v="0"/>
    <s v="PCE"/>
    <n v="0"/>
    <x v="8"/>
    <s v="Lake and Peninsula"/>
    <s v="Bristol Bay"/>
    <s v="SW"/>
  </r>
  <r>
    <x v="42"/>
    <s v="Newhalen"/>
    <s v="Iliamna, Newhalen, Nondalton"/>
    <n v="84.087000000000003"/>
    <n v="0"/>
    <n v="0"/>
    <n v="0"/>
    <n v="0"/>
    <n v="6620.7960000000003"/>
    <n v="0"/>
    <n v="0"/>
    <s v="PCE"/>
    <s v="Power produced at the Tazimina hydroelectric project and the Newhalen plant is shared by Iliamna, Newhalen and Nondalton. Newhalen's information is included in Nondalton's data."/>
    <x v="8"/>
    <s v="Lake and Peninsula"/>
    <s v="Bristol Bay"/>
    <s v="SW"/>
  </r>
  <r>
    <x v="42"/>
    <s v="Tazimina"/>
    <s v="Iliamna, Newhalen, Nondalton"/>
    <n v="0"/>
    <n v="0"/>
    <n v="0"/>
    <n v="3566.2379999999998"/>
    <n v="0"/>
    <n v="0"/>
    <n v="0"/>
    <n v="0"/>
    <s v="PCE"/>
    <s v="Power produced at the Tazimina hydroelectric project and the Newhalen plant is shared by Iliamna, Newhalen and Nondalton. Iliamna's information is included in Nondalton's data."/>
    <x v="8"/>
    <s v="Lake and Peninsula"/>
    <s v="Bristol Bay"/>
    <s v="SW"/>
  </r>
  <r>
    <x v="43"/>
    <s v="Angoon"/>
    <s v="Angoon"/>
    <n v="2025.2149999999999"/>
    <n v="0"/>
    <n v="0"/>
    <n v="0"/>
    <n v="0"/>
    <n v="141021"/>
    <n v="0"/>
    <n v="0"/>
    <s v="PCE"/>
    <n v="0"/>
    <x v="2"/>
    <s v="Hoonah-Angoon (CA)"/>
    <s v="Sealaska"/>
    <s v="SE"/>
  </r>
  <r>
    <x v="43"/>
    <s v="Chilkat Valley"/>
    <s v="Chilkat Valley"/>
    <n v="-68.440910000000002"/>
    <n v="0"/>
    <n v="0"/>
    <n v="183.54"/>
    <n v="0"/>
    <n v="0"/>
    <n v="0"/>
    <n v="0"/>
    <s v="PCE"/>
    <s v="Provides power to Klukwan via intertie. Power is purchased from AP&amp;T."/>
    <x v="2"/>
    <s v="Haines"/>
    <s v="Sealaska"/>
    <s v="SE"/>
  </r>
  <r>
    <x v="43"/>
    <s v="Hoonah"/>
    <s v="Hoonah"/>
    <n v="4816.875"/>
    <n v="0"/>
    <n v="0"/>
    <n v="0"/>
    <n v="0"/>
    <n v="331185"/>
    <n v="0"/>
    <n v="0"/>
    <s v="PCE"/>
    <n v="0"/>
    <x v="2"/>
    <s v="Hoonah-Angoon (CA)"/>
    <s v="Sealaska"/>
    <s v="SE"/>
  </r>
  <r>
    <x v="43"/>
    <s v="Kake"/>
    <s v="Kake"/>
    <n v="2769.4879999999998"/>
    <n v="0"/>
    <n v="0"/>
    <n v="0"/>
    <n v="0"/>
    <n v="213498.00000000003"/>
    <n v="0"/>
    <n v="0"/>
    <s v="PCE"/>
    <n v="0"/>
    <x v="2"/>
    <s v="Petersburg (CA)"/>
    <s v="Sealaska"/>
    <s v="SE"/>
  </r>
  <r>
    <x v="43"/>
    <s v="Klukwan"/>
    <s v="Klukwan"/>
    <n v="0"/>
    <n v="0"/>
    <n v="0"/>
    <n v="0"/>
    <n v="0"/>
    <n v="0"/>
    <n v="0"/>
    <n v="0"/>
    <s v="PCE"/>
    <s v="Receives power from Chilkat Valley via intertie. Chilkat Valley purchases power from AP&amp;T."/>
    <x v="2"/>
    <s v="Hoonah-Angoon (CA)"/>
    <s v="Sealaska"/>
    <s v="SE"/>
  </r>
  <r>
    <x v="44"/>
    <s v="Deering"/>
    <s v="Deering"/>
    <n v="336.34699999999998"/>
    <m/>
    <m/>
    <n v="0"/>
    <n v="0"/>
    <n v="26904"/>
    <m/>
    <m/>
    <s v="PCE"/>
    <n v="0"/>
    <x v="6"/>
    <s v="Northwest Arctic"/>
    <s v="NANA"/>
    <s v="AN"/>
  </r>
  <r>
    <x v="45"/>
    <s v="Beaver Falls"/>
    <s v="Ketchikan"/>
    <n v="0"/>
    <n v="0"/>
    <n v="0"/>
    <n v="46676"/>
    <n v="0"/>
    <n v="0"/>
    <n v="0"/>
    <n v="0"/>
    <s v="EIA"/>
    <n v="0"/>
    <x v="2"/>
    <s v="Ketchikan Gateway"/>
    <s v="Sealaska"/>
    <s v="SE"/>
  </r>
  <r>
    <x v="45"/>
    <s v="Ketchikan"/>
    <s v="Ketchikan"/>
    <n v="0"/>
    <n v="0"/>
    <n v="0"/>
    <n v="22625"/>
    <n v="0"/>
    <n v="0"/>
    <n v="0"/>
    <n v="0"/>
    <s v="EIA"/>
    <n v="0"/>
    <x v="2"/>
    <s v="Ketchikan Gateway"/>
    <s v="Sealaska"/>
    <s v="SE"/>
  </r>
  <r>
    <x v="45"/>
    <s v="S W Bailey"/>
    <s v="Ketchikan"/>
    <n v="2603"/>
    <n v="0"/>
    <n v="0"/>
    <n v="0"/>
    <n v="0"/>
    <n v="294588"/>
    <n v="0"/>
    <n v="0"/>
    <s v="EIA"/>
    <n v="0"/>
    <x v="2"/>
    <s v="Ketchikan Gateway"/>
    <s v="Sealaska"/>
    <s v="SE"/>
  </r>
  <r>
    <x v="45"/>
    <s v="Silvis"/>
    <s v="Ketchikan"/>
    <n v="0"/>
    <n v="0"/>
    <n v="0"/>
    <n v="12871"/>
    <n v="0"/>
    <n v="0"/>
    <n v="0"/>
    <n v="0"/>
    <s v="EIA"/>
    <n v="0"/>
    <x v="2"/>
    <s v="Ketchikan Gateway"/>
    <s v="Sealaska"/>
    <s v="SE"/>
  </r>
  <r>
    <x v="45"/>
    <s v="Swan Lake"/>
    <s v="Wrangell, Petersburg, Ketchikan"/>
    <n v="0"/>
    <n v="0"/>
    <n v="0"/>
    <n v="90502"/>
    <n v="0"/>
    <n v="0"/>
    <n v="0"/>
    <n v="0"/>
    <s v="EIA"/>
    <n v="0"/>
    <x v="2"/>
    <s v="Ketchikan Gateway"/>
    <s v="Sealaska"/>
    <s v="SE"/>
  </r>
  <r>
    <x v="46"/>
    <s v="King Cove"/>
    <s v="King Cove"/>
    <n v="1712.346"/>
    <n v="0"/>
    <n v="0"/>
    <n v="3102.4639999999999"/>
    <n v="0"/>
    <n v="143977"/>
    <n v="0"/>
    <n v="0"/>
    <s v="PCE"/>
    <n v="0"/>
    <x v="1"/>
    <s v="Aleutians East"/>
    <s v="Aleut"/>
    <s v="SW"/>
  </r>
  <r>
    <x v="47"/>
    <s v="Kipnuk"/>
    <s v="Kipnuk"/>
    <n v="1583.2080000000001"/>
    <n v="0"/>
    <n v="0"/>
    <n v="0"/>
    <n v="0"/>
    <n v="154889"/>
    <n v="0"/>
    <n v="0"/>
    <s v="PCE"/>
    <n v="0"/>
    <x v="0"/>
    <s v="Bethel (CA)"/>
    <s v="Calista"/>
    <s v="SW"/>
  </r>
  <r>
    <x v="48"/>
    <s v="Kobuk"/>
    <s v="Kobuk"/>
    <n v="0"/>
    <n v="0"/>
    <n v="0"/>
    <n v="0"/>
    <n v="0"/>
    <n v="0"/>
    <n v="0"/>
    <n v="0"/>
    <s v="PCE"/>
    <s v="Receives power from Shungnak via intertie. For fuel use and cost, please refer to Shungnak. On July 1, 2012, AVEC took over operations in Kobuk."/>
    <x v="6"/>
    <s v="Northwest Arctic"/>
    <s v="NANA"/>
    <s v="AN"/>
  </r>
  <r>
    <x v="49"/>
    <s v="Kodiak"/>
    <s v="Kodiak"/>
    <n v="18214"/>
    <n v="0"/>
    <n v="0"/>
    <n v="0"/>
    <n v="0"/>
    <n v="1296582"/>
    <n v="0"/>
    <n v="0"/>
    <s v="EIA"/>
    <n v="0"/>
    <x v="9"/>
    <s v="Kodiak Island"/>
    <s v="Koniag"/>
    <s v="SC"/>
  </r>
  <r>
    <x v="49"/>
    <s v="Nymans Plant"/>
    <s v="Kodiak"/>
    <n v="3568"/>
    <n v="0"/>
    <n v="0"/>
    <n v="0"/>
    <n v="0"/>
    <n v="350490"/>
    <n v="0"/>
    <n v="0"/>
    <s v="EIA"/>
    <n v="0"/>
    <x v="9"/>
    <s v="Kodiak Island"/>
    <s v="Koniag"/>
    <s v="SC"/>
  </r>
  <r>
    <x v="49"/>
    <s v="Pillar Mountain"/>
    <s v="Kodiak"/>
    <n v="0"/>
    <n v="0"/>
    <n v="0"/>
    <n v="0"/>
    <n v="12364"/>
    <n v="0"/>
    <n v="0"/>
    <n v="0"/>
    <s v="EIA"/>
    <n v="0"/>
    <x v="9"/>
    <s v="Kodiak Island"/>
    <s v="Koniag"/>
    <s v="SC"/>
  </r>
  <r>
    <x v="49"/>
    <s v="Port Lions"/>
    <s v="Kodiak"/>
    <n v="70"/>
    <n v="0"/>
    <n v="0"/>
    <n v="0"/>
    <n v="0"/>
    <n v="6510"/>
    <n v="0"/>
    <n v="0"/>
    <s v="EIA"/>
    <n v="0"/>
    <x v="9"/>
    <s v="Kodiak Island"/>
    <s v="Koniag"/>
    <s v="SC"/>
  </r>
  <r>
    <x v="49"/>
    <s v="Terror Lake"/>
    <s v="Kodiak"/>
    <n v="0"/>
    <n v="0"/>
    <n v="0"/>
    <n v="114186"/>
    <n v="0"/>
    <n v="0"/>
    <n v="0"/>
    <n v="0"/>
    <s v="EIA"/>
    <n v="0"/>
    <x v="9"/>
    <s v="Kodiak Island"/>
    <s v="Koniag"/>
    <s v="SC"/>
  </r>
  <r>
    <x v="50"/>
    <s v="Kokhanok"/>
    <s v="Kokhanok"/>
    <n v="406.92200000000003"/>
    <n v="0"/>
    <n v="0"/>
    <n v="0"/>
    <n v="66.448999999999998"/>
    <n v="39090"/>
    <n v="0"/>
    <n v="0"/>
    <s v="PCE"/>
    <n v="0"/>
    <x v="8"/>
    <s v="Lake and Peninsula"/>
    <s v="Bristol Bay"/>
    <s v="SW"/>
  </r>
  <r>
    <x v="51"/>
    <s v="Kotzebue"/>
    <s v="Kotzebue"/>
    <n v="20300"/>
    <n v="0"/>
    <n v="0"/>
    <n v="0"/>
    <n v="1502.537"/>
    <n v="1417074"/>
    <n v="0"/>
    <n v="0"/>
    <s v="PCE"/>
    <n v="0"/>
    <x v="6"/>
    <s v="Northwest Arctic"/>
    <s v="NANA"/>
    <s v="AN"/>
  </r>
  <r>
    <x v="52"/>
    <s v="Koyukuk"/>
    <s v="Koyukuk"/>
    <n v="314.14699999999999"/>
    <n v="0"/>
    <n v="0"/>
    <n v="0"/>
    <n v="0"/>
    <n v="32927"/>
    <n v="0"/>
    <n v="0"/>
    <s v="PCE"/>
    <n v="0"/>
    <x v="4"/>
    <s v="Yukon-Koyukuk (CA)"/>
    <s v="Doyon"/>
    <s v="YU"/>
  </r>
  <r>
    <x v="53"/>
    <s v="Kwethluk"/>
    <s v="Kwethluk"/>
    <n v="1377.5930000000001"/>
    <n v="0"/>
    <n v="0"/>
    <n v="0"/>
    <n v="0"/>
    <n v="102428"/>
    <n v="0"/>
    <n v="0"/>
    <s v="PCE"/>
    <n v="0"/>
    <x v="0"/>
    <s v="Bethel (CA)"/>
    <s v="Calista"/>
    <s v="SW"/>
  </r>
  <r>
    <x v="54"/>
    <s v="Kwigillingok"/>
    <s v="Kwigillingok"/>
    <n v="1168.2660000000001"/>
    <n v="0"/>
    <n v="0"/>
    <n v="0"/>
    <n v="0"/>
    <n v="84078"/>
    <n v="0"/>
    <n v="0"/>
    <s v="PCE"/>
    <n v="0"/>
    <x v="0"/>
    <s v="Bethel (CA)"/>
    <s v="Calista"/>
    <s v="SW"/>
  </r>
  <r>
    <x v="55"/>
    <s v="Larsen Bay"/>
    <s v="Larsen Bay"/>
    <n v="159.17355000000001"/>
    <n v="0"/>
    <n v="0"/>
    <n v="342.38499999999999"/>
    <n v="0"/>
    <n v="14340.001200000001"/>
    <n v="0"/>
    <n v="0"/>
    <s v="PCE"/>
    <n v="0"/>
    <x v="9"/>
    <s v="Kodiak Island"/>
    <s v="Koniag"/>
    <s v="SC"/>
  </r>
  <r>
    <x v="56"/>
    <s v="Levelock"/>
    <s v="Levelock"/>
    <n v="472.11799999999999"/>
    <n v="0"/>
    <n v="0"/>
    <n v="0"/>
    <n v="0"/>
    <n v="42434"/>
    <n v="0"/>
    <n v="0"/>
    <s v="PCE"/>
    <n v="0"/>
    <x v="8"/>
    <s v="Lake and Peninsula"/>
    <s v="Bristol Bay"/>
    <s v="SW"/>
  </r>
  <r>
    <x v="57"/>
    <s v="Lime Village"/>
    <s v="Lime Village"/>
    <n v="32.902999999999999"/>
    <m/>
    <m/>
    <n v="0"/>
    <n v="0"/>
    <n v="4227"/>
    <m/>
    <m/>
    <s v="PCE"/>
    <n v="0"/>
    <x v="0"/>
    <s v="Bethel (CA)"/>
    <s v="Calista"/>
    <s v="SW"/>
  </r>
  <r>
    <x v="58"/>
    <s v="Manokotak"/>
    <s v="Manokotak"/>
    <n v="1365.7190000000001"/>
    <n v="0"/>
    <n v="0"/>
    <n v="0"/>
    <n v="0"/>
    <n v="104840"/>
    <n v="0"/>
    <n v="0"/>
    <s v="PCE"/>
    <n v="0"/>
    <x v="8"/>
    <s v="Dillingham (CA)"/>
    <s v="Bristol Bay"/>
    <s v="SW"/>
  </r>
  <r>
    <x v="59"/>
    <s v="McGrath"/>
    <s v="McGrath"/>
    <n v="2840.7040000000002"/>
    <n v="0"/>
    <n v="0"/>
    <n v="0"/>
    <n v="0"/>
    <n v="191841"/>
    <n v="0"/>
    <n v="0"/>
    <s v="PCE"/>
    <n v="0"/>
    <x v="4"/>
    <s v="Yukon-Koyukuk (CA)"/>
    <s v="Doyon"/>
    <s v="SW"/>
  </r>
  <r>
    <x v="60"/>
    <s v="Centennial"/>
    <s v="Metlakatla"/>
    <n v="65"/>
    <n v="0"/>
    <n v="0"/>
    <n v="0"/>
    <n v="0"/>
    <n v="16212"/>
    <n v="0"/>
    <n v="0"/>
    <s v="EIA"/>
    <n v="0"/>
    <x v="2"/>
    <s v="Prince of Wales-Hyder (CA)"/>
    <s v="Sealaska"/>
    <s v="SE"/>
  </r>
  <r>
    <x v="60"/>
    <s v="Chester Lake"/>
    <s v="Metlakatla"/>
    <n v="0"/>
    <n v="0"/>
    <n v="0"/>
    <n v="5129"/>
    <n v="0"/>
    <n v="0"/>
    <n v="0"/>
    <n v="0"/>
    <s v="EIA"/>
    <n v="0"/>
    <x v="2"/>
    <s v="Prince of Wales-Hyder (CA)"/>
    <s v="Sealaska"/>
    <s v="SE"/>
  </r>
  <r>
    <x v="60"/>
    <s v="Purple Lake"/>
    <s v="Metlakatla"/>
    <n v="0"/>
    <n v="0"/>
    <n v="0"/>
    <n v="15040"/>
    <n v="0"/>
    <n v="0"/>
    <n v="0"/>
    <n v="0"/>
    <s v="EIA"/>
    <n v="0"/>
    <x v="2"/>
    <s v="Prince of Wales-Hyder (CA)"/>
    <s v="Sealaska"/>
    <s v="SE"/>
  </r>
  <r>
    <x v="61"/>
    <s v="Chuathbaluk"/>
    <s v="Chuathbaluk"/>
    <n v="220.98479999999998"/>
    <n v="0"/>
    <n v="0"/>
    <n v="0"/>
    <n v="0"/>
    <n v="25737.908999999996"/>
    <n v="0"/>
    <n v="0"/>
    <s v="PCE"/>
    <n v="0"/>
    <x v="0"/>
    <s v="Bethel (CA)"/>
    <s v="Calista"/>
    <s v="SW"/>
  </r>
  <r>
    <x v="61"/>
    <s v="Crooked Creek"/>
    <s v="Crooked Creek"/>
    <n v="302.6524"/>
    <n v="0"/>
    <n v="0"/>
    <n v="0"/>
    <n v="0"/>
    <n v="25305"/>
    <n v="0"/>
    <n v="0"/>
    <s v="PCE"/>
    <n v="0"/>
    <x v="0"/>
    <s v="Bethel (CA)"/>
    <s v="Calista"/>
    <s v="SW"/>
  </r>
  <r>
    <x v="61"/>
    <s v="Red Devil"/>
    <s v="Red Devil"/>
    <n v="106.4297"/>
    <n v="0"/>
    <n v="0"/>
    <n v="0"/>
    <n v="0"/>
    <n v="13336"/>
    <n v="0"/>
    <n v="0"/>
    <s v="PCE"/>
    <n v="0"/>
    <x v="0"/>
    <s v="Bethel (CA)"/>
    <s v="Calista"/>
    <s v="SW"/>
  </r>
  <r>
    <x v="61"/>
    <s v="Sleetmute"/>
    <s v="Sleetmute"/>
    <n v="259.13670000000002"/>
    <n v="0"/>
    <n v="0"/>
    <n v="0"/>
    <n v="0"/>
    <n v="24532"/>
    <n v="0"/>
    <n v="0"/>
    <s v="PCE"/>
    <n v="0"/>
    <x v="0"/>
    <s v="Bethel (CA)"/>
    <s v="Calista"/>
    <s v="SW"/>
  </r>
  <r>
    <x v="61"/>
    <s v="Stony River"/>
    <s v="Stony River"/>
    <n v="128.072"/>
    <n v="0"/>
    <n v="0"/>
    <n v="0"/>
    <n v="0"/>
    <n v="14182"/>
    <n v="0"/>
    <n v="0"/>
    <s v="PCE"/>
    <n v="0"/>
    <x v="0"/>
    <s v="Bethel (CA)"/>
    <s v="Calista"/>
    <s v="SW"/>
  </r>
  <r>
    <x v="62"/>
    <s v="Naknek"/>
    <s v="Naknek, King Salmon, South Naknek"/>
    <n v="19900"/>
    <n v="0"/>
    <n v="0"/>
    <n v="0"/>
    <n v="0"/>
    <n v="1319147"/>
    <n v="0"/>
    <n v="0"/>
    <s v="PCE"/>
    <s v="Provides power to South Naknek and King Salmon via intertie. Data includes South Naknek's and King Salmon's information."/>
    <x v="8"/>
    <s v="Bristol Bay"/>
    <s v="Bristol Bay"/>
    <s v="SW"/>
  </r>
  <r>
    <x v="63"/>
    <s v="Napakiak"/>
    <s v="Napakiak"/>
    <n v="0"/>
    <n v="0"/>
    <n v="0"/>
    <n v="0"/>
    <n v="0"/>
    <n v="0"/>
    <n v="0"/>
    <n v="0"/>
    <s v="PCE"/>
    <s v="Purchases power from Bethel Utilities Corporation"/>
    <x v="0"/>
    <s v="Bethel (CA)"/>
    <s v="Calista"/>
    <s v="SW"/>
  </r>
  <r>
    <x v="64"/>
    <s v="Napaskiak"/>
    <s v="Napaskiak"/>
    <n v="979.45"/>
    <n v="0"/>
    <n v="0"/>
    <n v="0"/>
    <n v="0"/>
    <n v="77093"/>
    <n v="0"/>
    <n v="0"/>
    <s v="PCE"/>
    <n v="0"/>
    <x v="0"/>
    <s v="Bethel (CA)"/>
    <s v="Calista"/>
    <s v="SW"/>
  </r>
  <r>
    <x v="65"/>
    <s v="Chefornak"/>
    <s v="Chefornak"/>
    <n v="1630.624"/>
    <n v="0"/>
    <n v="0"/>
    <n v="0"/>
    <n v="0"/>
    <n v="123703"/>
    <n v="0"/>
    <n v="0"/>
    <s v="PCE"/>
    <n v="0"/>
    <x v="0"/>
    <s v="Bethel (CA)"/>
    <s v="Calista"/>
    <s v="SW"/>
  </r>
  <r>
    <x v="66"/>
    <s v="Perryville"/>
    <s v="Perryville"/>
    <n v="176.43129999999999"/>
    <n v="0"/>
    <n v="0"/>
    <n v="0"/>
    <n v="15.798999999999999"/>
    <n v="14464.000000000002"/>
    <n v="0"/>
    <n v="0"/>
    <s v="PCE"/>
    <n v="0"/>
    <x v="8"/>
    <s v="Lake and Peninsula"/>
    <s v="Bristol Bay"/>
    <s v="SW"/>
  </r>
  <r>
    <x v="67"/>
    <s v="Nelson Lagoon"/>
    <s v="Nelson Lagoon"/>
    <n v="392.2319"/>
    <n v="0"/>
    <n v="0"/>
    <n v="0"/>
    <n v="0"/>
    <n v="44500.000000000007"/>
    <n v="0"/>
    <n v="0"/>
    <s v="PCE"/>
    <n v="0"/>
    <x v="1"/>
    <s v="Aleutians East"/>
    <s v="Aleut"/>
    <s v="SW"/>
  </r>
  <r>
    <x v="68"/>
    <s v="Koliganek"/>
    <s v="Koliganek"/>
    <n v="648.44000000000005"/>
    <n v="0"/>
    <n v="0"/>
    <n v="0"/>
    <n v="0"/>
    <n v="72207"/>
    <n v="0"/>
    <n v="0"/>
    <s v="PCE"/>
    <n v="0"/>
    <x v="8"/>
    <s v="Dillingham (CA)"/>
    <s v="Bristol Bay"/>
    <s v="SW"/>
  </r>
  <r>
    <x v="69"/>
    <s v="Nikolai"/>
    <s v="Nikolai"/>
    <n v="399.21109999999999"/>
    <n v="0"/>
    <n v="0"/>
    <n v="0"/>
    <n v="0"/>
    <n v="36527"/>
    <n v="0"/>
    <n v="0"/>
    <s v="PCE"/>
    <n v="0"/>
    <x v="4"/>
    <s v="Yukon-Koyukuk (CA)"/>
    <s v="Doyon"/>
    <s v="SW"/>
  </r>
  <r>
    <x v="70"/>
    <s v="Snake River"/>
    <s v="Nome"/>
    <n v="33500"/>
    <n v="0"/>
    <n v="0"/>
    <n v="0"/>
    <n v="0"/>
    <n v="2109802"/>
    <n v="0"/>
    <n v="0"/>
    <s v="PCE"/>
    <n v="0"/>
    <x v="7"/>
    <s v="Nome (CA)"/>
    <s v="Bering Straits"/>
    <s v="AN"/>
  </r>
  <r>
    <x v="71"/>
    <s v="Anaktuvuk Pass"/>
    <s v="Anaktuvuk Pass"/>
    <n v="3599"/>
    <n v="0"/>
    <n v="0"/>
    <n v="0"/>
    <n v="0"/>
    <n v="278922"/>
    <n v="0"/>
    <n v="0"/>
    <s v="EIA"/>
    <n v="0"/>
    <x v="10"/>
    <s v="North Slope"/>
    <s v="Arctic Slope"/>
    <s v="AN"/>
  </r>
  <r>
    <x v="71"/>
    <s v="Atqasuk"/>
    <s v="Atqasuk"/>
    <n v="3241"/>
    <n v="0"/>
    <n v="0"/>
    <n v="0"/>
    <n v="0"/>
    <n v="255318"/>
    <n v="0"/>
    <n v="0"/>
    <s v="EIA"/>
    <n v="0"/>
    <x v="10"/>
    <s v="North Slope"/>
    <s v="Arctic Slope"/>
    <s v="AN"/>
  </r>
  <r>
    <x v="71"/>
    <s v="Kaktovik"/>
    <s v="Kaktovik"/>
    <n v="4550"/>
    <n v="0"/>
    <n v="0"/>
    <n v="0"/>
    <n v="0"/>
    <n v="353430"/>
    <n v="0"/>
    <n v="0"/>
    <s v="EIA"/>
    <n v="0"/>
    <x v="10"/>
    <s v="North Slope"/>
    <s v="Arctic Slope"/>
    <s v="AN"/>
  </r>
  <r>
    <x v="71"/>
    <s v="Nuiqsut"/>
    <s v="Nuiqsut"/>
    <n v="1754"/>
    <n v="1475"/>
    <n v="0"/>
    <n v="0"/>
    <n v="0"/>
    <n v="88284"/>
    <n v="10329"/>
    <n v="0"/>
    <s v="EIA"/>
    <n v="0"/>
    <x v="10"/>
    <s v="North Slope"/>
    <s v="Arctic Slope"/>
    <s v="AN"/>
  </r>
  <r>
    <x v="71"/>
    <s v="Point Hope"/>
    <s v="Point Hope"/>
    <n v="6153"/>
    <n v="0"/>
    <n v="0"/>
    <n v="0"/>
    <n v="0"/>
    <n v="412482"/>
    <n v="0"/>
    <n v="0"/>
    <s v="EIA"/>
    <n v="0"/>
    <x v="10"/>
    <s v="North Slope"/>
    <s v="Arctic Slope"/>
    <s v="AN"/>
  </r>
  <r>
    <x v="71"/>
    <s v="Point Lay"/>
    <s v="Point Lay"/>
    <n v="3085"/>
    <n v="0"/>
    <n v="0"/>
    <n v="0"/>
    <n v="0"/>
    <n v="283458"/>
    <n v="0"/>
    <n v="0"/>
    <s v="EIA"/>
    <n v="0"/>
    <x v="10"/>
    <s v="North Slope"/>
    <s v="Arctic Slope"/>
    <s v="AN"/>
  </r>
  <r>
    <x v="71"/>
    <s v="Wainwright"/>
    <s v="Wainwright"/>
    <n v="6258"/>
    <n v="0"/>
    <n v="0"/>
    <n v="0"/>
    <n v="0"/>
    <n v="490896"/>
    <n v="0"/>
    <n v="0"/>
    <s v="EIA"/>
    <n v="0"/>
    <x v="10"/>
    <s v="North Slope"/>
    <s v="Arctic Slope"/>
    <s v="AN"/>
  </r>
  <r>
    <x v="72"/>
    <s v="Sheldon Point"/>
    <s v="Nunam Iqua"/>
    <n v="829.24900000000002"/>
    <n v="0"/>
    <n v="0"/>
    <n v="0"/>
    <n v="0"/>
    <n v="67849"/>
    <n v="0"/>
    <n v="0"/>
    <s v="PCE"/>
    <n v="0"/>
    <x v="0"/>
    <s v="Wade Hampton (CA)"/>
    <s v="Calista"/>
    <s v="YU"/>
  </r>
  <r>
    <x v="73"/>
    <s v="Dillingham"/>
    <s v="Dillingham, Aleknagik"/>
    <n v="18800"/>
    <n v="0"/>
    <n v="0"/>
    <n v="0"/>
    <n v="0"/>
    <n v="1276725"/>
    <n v="0"/>
    <n v="0"/>
    <s v="PCE"/>
    <s v="Provides power to Aleknagik via intertie. Data includes Aleknagik's information."/>
    <x v="8"/>
    <s v="Dillingham (CA)"/>
    <s v="Bristol Bay"/>
    <s v="SW"/>
  </r>
  <r>
    <x v="74"/>
    <s v="Ouzinkie"/>
    <s v="Ouzinkie"/>
    <n v="328.82"/>
    <n v="0"/>
    <n v="0"/>
    <n v="0"/>
    <n v="0"/>
    <n v="26152"/>
    <n v="0"/>
    <n v="0"/>
    <s v="PCE"/>
    <n v="0"/>
    <x v="9"/>
    <s v="Kodiak Island"/>
    <s v="Koniag"/>
    <s v="SC"/>
  </r>
  <r>
    <x v="75"/>
    <s v="Pedro Bay"/>
    <s v="Pedro Bay"/>
    <n v="211.78700000000001"/>
    <n v="0"/>
    <n v="0"/>
    <n v="0"/>
    <n v="0"/>
    <n v="19514"/>
    <n v="0"/>
    <n v="0"/>
    <s v="PCE"/>
    <n v="0"/>
    <x v="8"/>
    <s v="Lake and Peninsula"/>
    <s v="Bristol Bay"/>
    <s v="SW"/>
  </r>
  <r>
    <x v="76"/>
    <s v="Pelican"/>
    <s v="Pelican"/>
    <n v="798.50199999999995"/>
    <n v="0"/>
    <n v="0"/>
    <n v="0"/>
    <n v="0"/>
    <n v="66631"/>
    <n v="0"/>
    <n v="0"/>
    <s v="PCE"/>
    <n v="0"/>
    <x v="2"/>
    <s v="Hoonah-Angoon (CA)"/>
    <s v="Sealaska"/>
    <s v="SE"/>
  </r>
  <r>
    <x v="77"/>
    <s v="Blind Slough"/>
    <s v="Petersburg"/>
    <n v="618"/>
    <n v="0"/>
    <n v="0"/>
    <n v="10803"/>
    <n v="0"/>
    <n v="46662"/>
    <n v="0"/>
    <n v="0"/>
    <s v="EIA"/>
    <n v="0"/>
    <x v="2"/>
    <s v="Petersburg (CA)"/>
    <s v="Sealaska"/>
    <s v="SE"/>
  </r>
  <r>
    <x v="78"/>
    <s v="Pilot Point"/>
    <s v="Pilot Point"/>
    <n v="443.084"/>
    <n v="0"/>
    <n v="0"/>
    <n v="0"/>
    <n v="5.5170000000000003"/>
    <n v="44192"/>
    <n v="0"/>
    <n v="0"/>
    <s v="PCE"/>
    <n v="0"/>
    <x v="8"/>
    <s v="Lake and Peninsula"/>
    <s v="Bristol Bay"/>
    <s v="SW"/>
  </r>
  <r>
    <x v="79"/>
    <s v="Port Heiden"/>
    <s v="Port Heiden"/>
    <n v="490.07"/>
    <n v="0"/>
    <n v="0"/>
    <n v="0"/>
    <n v="0"/>
    <n v="57543.000000000007"/>
    <n v="0"/>
    <n v="0"/>
    <s v="PCE"/>
    <n v="0"/>
    <x v="8"/>
    <s v="Lake and Peninsula"/>
    <s v="Bristol Bay"/>
    <s v="SW"/>
  </r>
  <r>
    <x v="80"/>
    <s v="Kongiganak"/>
    <s v="Kongiganak"/>
    <n v="671.83900000000006"/>
    <n v="0"/>
    <n v="0"/>
    <n v="0"/>
    <n v="44"/>
    <n v="88397"/>
    <n v="0"/>
    <n v="0"/>
    <s v="PCE"/>
    <n v="0"/>
    <x v="0"/>
    <s v="Bethel (CA)"/>
    <s v="Calista"/>
    <s v="SW"/>
  </r>
  <r>
    <x v="81"/>
    <s v="Ruby"/>
    <s v="Ruby"/>
    <n v="732.57640000000004"/>
    <n v="0"/>
    <n v="0"/>
    <n v="0"/>
    <n v="0"/>
    <n v="53248"/>
    <n v="0"/>
    <n v="0"/>
    <s v="PCE"/>
    <n v="0"/>
    <x v="4"/>
    <s v="Yukon-Koyukuk (CA)"/>
    <s v="Doyon"/>
    <s v="YU"/>
  </r>
  <r>
    <x v="82"/>
    <s v="Saint George"/>
    <s v="Saint George"/>
    <n v="420.73200000000003"/>
    <n v="0"/>
    <n v="0"/>
    <n v="0"/>
    <n v="0"/>
    <n v="35990"/>
    <n v="0"/>
    <n v="0"/>
    <s v="PCE"/>
    <n v="0"/>
    <x v="1"/>
    <s v="Aleutians West (CA)"/>
    <s v="Aleut"/>
    <s v="SW"/>
  </r>
  <r>
    <x v="83"/>
    <s v="Saint Paul"/>
    <s v="Saint Paul"/>
    <n v="4295.9750000000004"/>
    <n v="0"/>
    <n v="0"/>
    <n v="0"/>
    <n v="0"/>
    <n v="316222"/>
    <n v="0"/>
    <n v="0"/>
    <s v="PCE"/>
    <n v="0"/>
    <x v="1"/>
    <s v="Aleutians West (CA)"/>
    <s v="Aleut"/>
    <s v="SW"/>
  </r>
  <r>
    <x v="84"/>
    <s v="Seward"/>
    <s v="Seward"/>
    <n v="44"/>
    <n v="0"/>
    <n v="0"/>
    <n v="0"/>
    <n v="0"/>
    <n v="2226"/>
    <n v="0"/>
    <n v="0"/>
    <s v="EIA"/>
    <n v="0"/>
    <x v="3"/>
    <s v="Kenai Peninsula"/>
    <s v="Chugach"/>
    <s v="SC"/>
  </r>
  <r>
    <x v="85"/>
    <s v="Blue Lake"/>
    <s v="Sitka"/>
    <n v="0"/>
    <n v="0"/>
    <n v="0"/>
    <n v="56154"/>
    <n v="0"/>
    <n v="0"/>
    <n v="0"/>
    <n v="0"/>
    <s v="EIA"/>
    <n v="0"/>
    <x v="2"/>
    <s v="Sitka"/>
    <s v="Sealaska"/>
    <s v="SE"/>
  </r>
  <r>
    <x v="85"/>
    <s v="Green Lake"/>
    <s v="Sitka"/>
    <n v="0"/>
    <n v="0"/>
    <n v="0"/>
    <n v="58996"/>
    <n v="0"/>
    <n v="0"/>
    <n v="0"/>
    <n v="0"/>
    <s v="EIA"/>
    <n v="0"/>
    <x v="2"/>
    <s v="Sitka"/>
    <s v="Sealaska"/>
    <s v="SE"/>
  </r>
  <r>
    <x v="85"/>
    <s v="Jarvis Street"/>
    <s v="Sitka"/>
    <n v="1386"/>
    <n v="0"/>
    <n v="0"/>
    <n v="0"/>
    <n v="0"/>
    <n v="161028"/>
    <n v="0"/>
    <n v="0"/>
    <s v="EIA"/>
    <n v="0"/>
    <x v="2"/>
    <s v="Sitka"/>
    <s v="Sealaska"/>
    <s v="SE"/>
  </r>
  <r>
    <x v="86"/>
    <s v="Takotna"/>
    <s v="Takotna"/>
    <n v="194.57050000000001"/>
    <n v="0"/>
    <n v="0"/>
    <n v="0"/>
    <n v="0"/>
    <n v="21799"/>
    <n v="0"/>
    <n v="0"/>
    <s v="PCE"/>
    <n v="0"/>
    <x v="4"/>
    <s v="Yukon-Koyukuk (CA)"/>
    <s v="Doyon"/>
    <s v="SW"/>
  </r>
  <r>
    <x v="87"/>
    <s v="Port Alsworth"/>
    <s v="Port Alsworth"/>
    <n v="648.31299999999999"/>
    <n v="0"/>
    <n v="0"/>
    <n v="0"/>
    <n v="0"/>
    <n v="54661"/>
    <n v="0"/>
    <n v="0"/>
    <s v="PCE"/>
    <n v="0"/>
    <x v="8"/>
    <s v="Lake and Peninsula"/>
    <s v="Cook Inlet"/>
    <s v="SW"/>
  </r>
  <r>
    <x v="88"/>
    <s v="Tanana"/>
    <s v="Tanana"/>
    <n v="1146.596"/>
    <n v="0"/>
    <n v="0"/>
    <n v="0"/>
    <n v="0"/>
    <n v="88911"/>
    <n v="0"/>
    <n v="0"/>
    <s v="PCE"/>
    <n v="0"/>
    <x v="4"/>
    <s v="Yukon-Koyukuk (CA)"/>
    <s v="Doyon"/>
    <s v="YU"/>
  </r>
  <r>
    <x v="89"/>
    <s v="Tatitlek"/>
    <s v="Tatitlek"/>
    <n v="472.20400000000001"/>
    <n v="0"/>
    <n v="0"/>
    <n v="0"/>
    <n v="0"/>
    <n v="42599"/>
    <n v="0"/>
    <n v="0"/>
    <s v="PCE"/>
    <n v="0"/>
    <x v="5"/>
    <s v="Valdez-Cordova (CA)"/>
    <s v="Chugach"/>
    <s v="SC"/>
  </r>
  <r>
    <x v="90"/>
    <s v="Adak"/>
    <s v="Adak"/>
    <n v="1908.4159999999999"/>
    <n v="0"/>
    <n v="0"/>
    <n v="0"/>
    <n v="0"/>
    <n v="217292.2"/>
    <n v="0"/>
    <n v="0"/>
    <s v="PCE"/>
    <n v="0"/>
    <x v="1"/>
    <s v="Aleutians West (CA)"/>
    <s v="Aleut"/>
    <s v="SW"/>
  </r>
  <r>
    <x v="91"/>
    <s v="Sand Point"/>
    <s v="Sand Point"/>
    <n v="4313.7950000000001"/>
    <n v="0"/>
    <n v="0"/>
    <n v="0"/>
    <n v="0"/>
    <n v="299184"/>
    <n v="0"/>
    <n v="0"/>
    <s v="PCE"/>
    <n v="0"/>
    <x v="1"/>
    <s v="Aleutians East"/>
    <s v="Aleut"/>
    <s v="SW"/>
  </r>
  <r>
    <x v="92"/>
    <s v="Manley Hot Springs"/>
    <s v="Manley Hot Springs"/>
    <n v="434.1617"/>
    <n v="0"/>
    <n v="0"/>
    <n v="0"/>
    <n v="0"/>
    <n v="34534.667000000001"/>
    <n v="0"/>
    <n v="0"/>
    <s v="PCE"/>
    <n v="0"/>
    <x v="4"/>
    <s v="Yukon-Koyukuk (CA)"/>
    <s v="Doyon"/>
    <s v="YU"/>
  </r>
  <r>
    <x v="93"/>
    <s v="Tenakee Springs"/>
    <s v="Tenakee Springs"/>
    <n v="416.31299999999999"/>
    <n v="0"/>
    <n v="0"/>
    <n v="0"/>
    <n v="0"/>
    <n v="33616"/>
    <n v="0"/>
    <n v="0"/>
    <s v="PCE"/>
    <n v="0"/>
    <x v="2"/>
    <s v="Hoonah-Angoon (CA)"/>
    <s v="Sealaska"/>
    <s v="SE"/>
  </r>
  <r>
    <x v="94"/>
    <s v="Tuluksak"/>
    <s v="Tuluksak"/>
    <n v="606.72309999999993"/>
    <n v="0"/>
    <n v="0"/>
    <n v="0"/>
    <n v="0"/>
    <n v="58214"/>
    <n v="0"/>
    <n v="0"/>
    <s v="PCE"/>
    <n v="0"/>
    <x v="0"/>
    <s v="Bethel (CA)"/>
    <s v="Calista"/>
    <s v="SW"/>
  </r>
  <r>
    <x v="95"/>
    <s v="Tuntutuliak"/>
    <s v="Tuntutuliak"/>
    <n v="970.95100000000002"/>
    <n v="0"/>
    <n v="0"/>
    <n v="0"/>
    <n v="0"/>
    <n v="92280.000000000015"/>
    <n v="0"/>
    <n v="0"/>
    <s v="PCE"/>
    <n v="0"/>
    <x v="0"/>
    <s v="Bethel (CA)"/>
    <s v="Calista"/>
    <s v="SW"/>
  </r>
  <r>
    <x v="96"/>
    <s v="Twin Hills"/>
    <s v="Twin Hills"/>
    <n v="282.24180000000001"/>
    <n v="0"/>
    <n v="0"/>
    <n v="0"/>
    <n v="0"/>
    <n v="30161"/>
    <n v="0"/>
    <n v="0"/>
    <s v="PCE"/>
    <n v="0"/>
    <x v="8"/>
    <s v="Dillingham (CA)"/>
    <s v="Bristol Bay"/>
    <s v="SW"/>
  </r>
  <r>
    <x v="97"/>
    <s v="Nikolski"/>
    <s v="Nikolski"/>
    <n v="211.643"/>
    <n v="0"/>
    <n v="0"/>
    <n v="0"/>
    <n v="0.66"/>
    <n v="24532"/>
    <n v="0"/>
    <n v="0"/>
    <s v="PCE"/>
    <n v="0"/>
    <x v="1"/>
    <s v="Aleutians West (CA)"/>
    <s v="Aleut"/>
    <s v="SW"/>
  </r>
  <r>
    <x v="98"/>
    <s v="Unalakleet"/>
    <s v="Unalakleet"/>
    <n v="3497.944"/>
    <n v="0"/>
    <n v="0"/>
    <n v="0"/>
    <n v="921.36699999999996"/>
    <n v="233637.00000000003"/>
    <n v="0"/>
    <n v="0"/>
    <s v="PCE"/>
    <n v="0"/>
    <x v="7"/>
    <s v="Nome (CA)"/>
    <s v="Bering Straits"/>
    <s v="AN"/>
  </r>
  <r>
    <x v="99"/>
    <m/>
    <s v="Unalaska"/>
    <n v="43500"/>
    <n v="0"/>
    <n v="0"/>
    <n v="0"/>
    <n v="0"/>
    <n v="2794440"/>
    <n v="0"/>
    <n v="0"/>
    <s v="PCE"/>
    <s v="Includes Unalaska Power Module and Dutch Harbor plants"/>
    <x v="1"/>
    <s v="Aleutians West (CA)"/>
    <s v="Aleut"/>
    <s v="SW"/>
  </r>
  <r>
    <x v="100"/>
    <s v="Newtok"/>
    <s v="Newtok"/>
    <n v="426.98399999999998"/>
    <n v="0"/>
    <n v="0"/>
    <n v="0"/>
    <n v="0"/>
    <n v="41159"/>
    <n v="0"/>
    <n v="0"/>
    <s v="PCE"/>
    <n v="0"/>
    <x v="0"/>
    <s v="Bethel (CA)"/>
    <s v="Calista"/>
    <s v="SW"/>
  </r>
  <r>
    <x v="101"/>
    <s v="White Mountain"/>
    <s v="White Mountain"/>
    <n v="369.21600000000001"/>
    <n v="0"/>
    <n v="0"/>
    <n v="0"/>
    <n v="0"/>
    <n v="29509"/>
    <n v="0"/>
    <n v="0"/>
    <s v="PCE"/>
    <n v="0"/>
    <x v="7"/>
    <s v="Nome (CA)"/>
    <s v="Bering Straits"/>
    <s v="AN"/>
  </r>
  <r>
    <x v="102"/>
    <s v="Wrangell"/>
    <s v="Wrangell"/>
    <n v="1374"/>
    <n v="0"/>
    <n v="0"/>
    <n v="0"/>
    <n v="0"/>
    <n v="39816"/>
    <n v="0"/>
    <n v="0"/>
    <s v="EIA"/>
    <n v="0"/>
    <x v="2"/>
    <s v="Wrangell"/>
    <s v="Sealaska"/>
    <s v="SE"/>
  </r>
  <r>
    <x v="103"/>
    <s v="Yakutat"/>
    <s v="Yakutat"/>
    <n v="6511.7089999999998"/>
    <n v="0"/>
    <n v="0"/>
    <n v="0"/>
    <n v="0"/>
    <n v="450578"/>
    <n v="0"/>
    <n v="0"/>
    <s v="PCE"/>
    <n v="0"/>
    <x v="2"/>
    <s v="Yakutat"/>
    <s v="Sealaska"/>
    <s v="SE"/>
  </r>
</pivotCacheRecords>
</file>

<file path=xl/pivotCache/pivotCacheRecords7.xml><?xml version="1.0" encoding="utf-8"?>
<pivotCacheRecords xmlns="http://schemas.openxmlformats.org/spreadsheetml/2006/main" xmlns:r="http://schemas.openxmlformats.org/officeDocument/2006/relationships" count="184">
  <r>
    <s v="Akiachak Native Community"/>
    <s v="Akiachak"/>
    <n v="0.60499999999999998"/>
    <n v="0.38092500000000001"/>
    <n v="0.22407499999999997"/>
    <n v="0.62962809917355378"/>
    <s v="PCE"/>
    <x v="0"/>
    <n v="0"/>
    <s v="Lower Yukon-Kuskokwim"/>
    <s v="Bethel (CA)"/>
    <s v="Calista"/>
    <s v="SW"/>
  </r>
  <r>
    <s v="Akiak City Council"/>
    <s v="Akiak"/>
    <n v="0.63"/>
    <n v="0.33463333000000001"/>
    <n v="0.29536667"/>
    <n v="0.53116401587301587"/>
    <s v="PCE"/>
    <x v="0"/>
    <n v="0"/>
    <s v="Lower Yukon-Kuskokwim"/>
    <s v="Bethel (CA)"/>
    <s v="Calista"/>
    <s v="SW"/>
  </r>
  <r>
    <s v="Akutan, City of"/>
    <s v="Akutan"/>
    <n v="0.32300000000000001"/>
    <n v="0.18395"/>
    <n v="0.13905000000000001"/>
    <n v="0.56950464396284828"/>
    <s v="PCE"/>
    <x v="0"/>
    <n v="0"/>
    <s v="Aleutians"/>
    <s v="Aleutians East"/>
    <s v="Aleut"/>
    <s v="SW"/>
  </r>
  <r>
    <s v="Alaska Electric Light &amp; Power Company"/>
    <s v="Juneau"/>
    <n v="0.12099"/>
    <n v="0"/>
    <n v="0.12099"/>
    <n v="0"/>
    <s v="EIA"/>
    <x v="1"/>
    <n v="0"/>
    <s v="Southeast"/>
    <s v="Juneau"/>
    <s v="Sealaska"/>
    <s v="SE"/>
  </r>
  <r>
    <s v="Alaska Power &amp; Telephone Company"/>
    <s v="Allakaket, Alatna"/>
    <n v="0.85897500000000004"/>
    <n v="0.66300000000000003"/>
    <n v="0.19597500000000001"/>
    <n v="0.77185017026106695"/>
    <s v="PCE"/>
    <x v="0"/>
    <s v="Provides power to Alatna via intertie. Data includes Alatna's information."/>
    <s v="Yukon-Koyukuk/Upper Tanana"/>
    <s v="Yukon-Koyukuk (CA)"/>
    <s v="Doyon"/>
    <s v="YU"/>
  </r>
  <r>
    <s v="Alaska Power &amp; Telephone Company"/>
    <s v="Bettles, Evansville"/>
    <n v="0.63519999999999999"/>
    <n v="0.45052500000000001"/>
    <n v="0.18467499999999998"/>
    <n v="0.70926479848866497"/>
    <s v="PCE"/>
    <x v="0"/>
    <s v="Provides power to Evansville via intertie. Data includes Evansville's information."/>
    <s v="Yukon-Koyukuk/Upper Tanana"/>
    <s v="Yukon-Koyukuk (CA)"/>
    <s v="Doyon"/>
    <s v="YU"/>
  </r>
  <r>
    <s v="Alaska Power &amp; Telephone Company"/>
    <s v="Chistochina"/>
    <n v="0.67158333000000003"/>
    <n v="0.48381667"/>
    <n v="0.18776666000000003"/>
    <n v="0.72041197032094284"/>
    <s v="PCE"/>
    <x v="0"/>
    <s v="Receives power from Slana via intertie."/>
    <s v="Copper River/Chugach"/>
    <s v="Valdez-Cordova (CA)"/>
    <s v="Ahtna"/>
    <s v="YU"/>
  </r>
  <r>
    <s v="Alaska Power &amp; Telephone Company"/>
    <s v="Coffman Cove"/>
    <n v="0.46661667000000001"/>
    <n v="0.28821667000000001"/>
    <n v="0.1784"/>
    <n v="0.61767332487285553"/>
    <s v="PCE"/>
    <x v="0"/>
    <s v="Part of the Alaska Power Company's grid on Prince of Wales Island."/>
    <s v="Southeast"/>
    <s v="Prince of Wales-Hyder (CA)"/>
    <s v="Sealaska"/>
    <s v="SE"/>
  </r>
  <r>
    <s v="Alaska Power &amp; Telephone Company"/>
    <s v="Craig"/>
    <n v="0.24024166999999999"/>
    <n v="8.4058330000000001E-2"/>
    <n v="0.15618334"/>
    <n v="0.34989071629413832"/>
    <s v="PCE"/>
    <x v="0"/>
    <s v="Provides power to Hollis, Klawock, Thorne Bay/Kasaan and Hydaburg via intertie."/>
    <s v="Southeast"/>
    <s v="Prince of Wales-Hyder (CA)"/>
    <s v="Sealaska"/>
    <s v="SE"/>
  </r>
  <r>
    <s v="Alaska Power &amp; Telephone Company"/>
    <s v="Dot Lake, Dot Lake Village"/>
    <n v="0.49041667"/>
    <n v="0.31230000000000002"/>
    <n v="0.17811666999999998"/>
    <n v="0.6368054332247719"/>
    <s v="PCE"/>
    <x v="0"/>
    <s v="Receives power form Tok via intertie. Dot Lake's data includes Dot Lake Village's information. For fuel use and cost information, please refer to Tok."/>
    <s v="Yukon-Koyukuk/Upper Tanana"/>
    <s v="Southeast Fairbanks (CA)"/>
    <s v="Doyon"/>
    <s v="YU"/>
  </r>
  <r>
    <s v="Alaska Power &amp; Telephone Company"/>
    <s v="Eagle, Eagle Village"/>
    <n v="0.59460000000000002"/>
    <n v="0.41197499999999998"/>
    <n v="0.18262500000000004"/>
    <n v="0.69286074672048426"/>
    <s v="PCE"/>
    <x v="0"/>
    <s v="Provides power to Eagle Village via intertie. Data includes Eagle Village's information."/>
    <s v="Yukon-Koyukuk/Upper Tanana"/>
    <s v="Southeast Fairbanks (CA)"/>
    <s v="Doyon"/>
    <s v="YU"/>
  </r>
  <r>
    <s v="Alaska Power &amp; Telephone Company"/>
    <s v="Haines, Skagway"/>
    <n v="0.22019167000000001"/>
    <n v="6.6233330000000007E-2"/>
    <n v="0.15395834"/>
    <n v="0.30079852702874732"/>
    <s v="PCE"/>
    <x v="0"/>
    <s v="Plant is also referred to as Lutak. Part of the Alaska Power Company's grid in the Upper Lynn Canal service area."/>
    <s v="Southeast"/>
    <s v="Haines"/>
    <s v="Sealaska"/>
    <s v="SE"/>
  </r>
  <r>
    <s v="Alaska Power &amp; Telephone Company"/>
    <s v="Healy Lake"/>
    <n v="0.82661667000000005"/>
    <n v="0.59830000000000005"/>
    <n v="0.22831667"/>
    <n v="0.72379377493076691"/>
    <s v="PCE"/>
    <x v="0"/>
    <n v="0"/>
    <s v="Yukon-Koyukuk/Upper Tanana"/>
    <s v="Southeast Fairbanks (CA)"/>
    <s v="Doyon"/>
    <s v="YU"/>
  </r>
  <r>
    <s v="Alaska Power &amp; Telephone Company"/>
    <s v="Hollis"/>
    <n v="0.24022499999999999"/>
    <n v="8.4058330000000001E-2"/>
    <n v="0.15616667000000001"/>
    <n v="0.34991499635758144"/>
    <s v="PCE"/>
    <x v="0"/>
    <s v="Part of the Alaska Power Company's grid on Prince of Wales Island. Receives power from Craig. Refer to Craig for fuel use and cost."/>
    <s v="Southeast"/>
    <s v="Prince of Wales-Hyder (CA)"/>
    <s v="Sealaska"/>
    <s v="SE"/>
  </r>
  <r>
    <s v="Alaska Power &amp; Telephone Company"/>
    <s v="Hydaburg"/>
    <n v="0.24023332999999999"/>
    <n v="8.4058330000000001E-2"/>
    <n v="0.15617500000000001"/>
    <n v="0.34990286318721886"/>
    <s v="PCE"/>
    <x v="0"/>
    <s v="Part of the Alaska Power Company's grid on Prince of Wales Island. Receives power from Craig. Refer to Craig for fuel use and cost."/>
    <s v="Southeast"/>
    <s v="Prince of Wales-Hyder (CA)"/>
    <s v="Sealaska"/>
    <s v="SE"/>
  </r>
  <r>
    <s v="Alaska Power &amp; Telephone Company"/>
    <s v="Klawock"/>
    <n v="0.24023332999999999"/>
    <n v="8.4058330000000001E-2"/>
    <n v="0.15617500000000001"/>
    <n v="0.34990286318721886"/>
    <s v="PCE"/>
    <x v="0"/>
    <s v="Part of the Alaska Power Company's grid on Prince of Wales Island. Receives power from Craig. Refer to Craig for fuel use and cost."/>
    <s v="Southeast"/>
    <s v="Prince of Wales-Hyder (CA)"/>
    <s v="Sealaska"/>
    <s v="SE"/>
  </r>
  <r>
    <s v="Alaska Power &amp; Telephone Company"/>
    <s v="Mentasta Lake"/>
    <n v="0.67206666999999998"/>
    <n v="0.47995832999999999"/>
    <n v="0.19210833999999999"/>
    <n v="0.71415285331736511"/>
    <s v="PCE"/>
    <x v="0"/>
    <n v="0"/>
    <s v="Copper River/Chugach"/>
    <s v="Valdez-Cordova (CA)"/>
    <s v="Ahtna"/>
    <s v="YU"/>
  </r>
  <r>
    <s v="Alaska Power &amp; Telephone Company"/>
    <s v="Naukati Bay"/>
    <n v="0.55281667000000001"/>
    <n v="0.37011666999999998"/>
    <n v="0.18270000000000003"/>
    <n v="0.66951068968307337"/>
    <s v="PCE"/>
    <x v="0"/>
    <n v="0"/>
    <s v="Southeast"/>
    <s v="Prince of Wales-Hyder (CA)"/>
    <s v="Sealaska"/>
    <s v="SE"/>
  </r>
  <r>
    <s v="Alaska Power &amp; Telephone Company"/>
    <s v="Northway, Northway Village"/>
    <n v="0.66501666999999998"/>
    <n v="0.47889166999999999"/>
    <n v="0.18612499999999998"/>
    <n v="0.72011979789920155"/>
    <s v="PCE"/>
    <x v="0"/>
    <s v="Provides power to Northway Village via intertie. Data includes Northway Village's information."/>
    <s v="Yukon-Koyukuk/Upper Tanana"/>
    <s v="Southeast Fairbanks (CA)"/>
    <s v="Doyon"/>
    <s v="YU"/>
  </r>
  <r>
    <s v="Alaska Power &amp; Telephone Company"/>
    <s v="Slana, Chistochina"/>
    <n v="0.67160832999999998"/>
    <n v="0.48381667"/>
    <n v="0.18779165999999997"/>
    <n v="0.72038515365049149"/>
    <s v="PCE"/>
    <x v="0"/>
    <s v="Provides power to Chistochina via intertie. Includes Chistochina's fuel use and fuel cost."/>
    <s v="Copper River/Chugach"/>
    <s v="Valdez-Cordova (CA)"/>
    <s v="Ahtna"/>
    <s v="YU"/>
  </r>
  <r>
    <s v="Alaska Power &amp; Telephone Company"/>
    <s v="Tetlin"/>
    <n v="0.49043333"/>
    <n v="0.31230000000000002"/>
    <n v="0.17813332999999998"/>
    <n v="0.63678380097046017"/>
    <s v="PCE"/>
    <x v="0"/>
    <s v="Receives power from Tok via intertie. For fuel use and cost information please refer to Tok."/>
    <s v="Yukon-Koyukuk/Upper Tanana"/>
    <s v="Southeast Fairbanks (CA)"/>
    <s v="Dyon"/>
    <s v="YU"/>
  </r>
  <r>
    <s v="Alaska Power &amp; Telephone Company"/>
    <s v="Thorne Bay, Kasaan"/>
    <n v="0.2402"/>
    <n v="8.4058330000000001E-2"/>
    <n v="0.15614167000000001"/>
    <n v="0.34995141548709408"/>
    <s v="PCE"/>
    <x v="0"/>
    <s v="Part of the Alaska Power Company's grid on Prince of Wales Island. Receives power from Craig. Refer to Craig for fuel use and cost. Includes data for Kaasan."/>
    <s v="Southeast"/>
    <s v="Prince of Wales-Hyder (CA)"/>
    <s v="Sealaska"/>
    <s v="SE"/>
  </r>
  <r>
    <s v="Alaska Power &amp; Telephone Company"/>
    <s v="Tok, Tanacross"/>
    <n v="0.49040833"/>
    <n v="0.31230000000000002"/>
    <n v="0.17810832999999998"/>
    <n v="0.63681626288851989"/>
    <s v="PCE"/>
    <x v="0"/>
    <s v="Provides power to Tanacross, Tetlin and Dot Lake via intertie. Includes Tanacross' information. Fuel use and cost also includes Tetlin's and Dot Lake's information."/>
    <s v="Yukon-Koyukuk/Upper Tanana"/>
    <s v="Southeast Fairbanks (CA)"/>
    <s v="Doyon"/>
    <s v="YU"/>
  </r>
  <r>
    <s v="Alaska Power &amp; Telephone Company"/>
    <s v="Whale Pass"/>
    <n v="0.59952499999999997"/>
    <n v="0.3377"/>
    <n v="0.26182499999999997"/>
    <n v="0.56327926274967688"/>
    <s v="PCE"/>
    <x v="0"/>
    <n v="0"/>
    <s v="Southeast"/>
    <s v="Prince of Wales-Hyder (CA)"/>
    <s v="Sealaska"/>
    <s v="SE"/>
  </r>
  <r>
    <s v="Alaska Village Electric Cooperative"/>
    <s v="Alakanuk"/>
    <n v="0.59294999999999998"/>
    <n v="0.37985000000000002"/>
    <n v="0.21309999999999996"/>
    <n v="0.6406105067880935"/>
    <s v="PCE"/>
    <x v="0"/>
    <n v="0"/>
    <s v="Lower Yukon-Kuskokwim"/>
    <s v="Wade Hampton (CA)"/>
    <s v="Calista"/>
    <s v="YU"/>
  </r>
  <r>
    <s v="Alaska Village Electric Cooperative"/>
    <s v="Ambler"/>
    <n v="0.63168332999999999"/>
    <n v="0.41661667000000002"/>
    <n v="0.21506665999999997"/>
    <n v="0.65953405799073406"/>
    <s v="PCE"/>
    <x v="0"/>
    <n v="0"/>
    <s v="Northwest Arctic"/>
    <s v="Northwest Arctic"/>
    <s v="NANA"/>
    <s v="AN"/>
  </r>
  <r>
    <s v="Alaska Village Electric Cooperative"/>
    <s v="Anvik"/>
    <n v="0.59096667000000003"/>
    <n v="0.37790833000000001"/>
    <n v="0.21305834000000001"/>
    <n v="0.639474862431751"/>
    <s v="PCE"/>
    <x v="0"/>
    <n v="0"/>
    <s v="Yukon-Koyukuk/Upper Tanana"/>
    <s v="Yukon-Koyukuk (CA)"/>
    <s v="Doyon"/>
    <s v="YU"/>
  </r>
  <r>
    <s v="Alaska Village Electric Cooperative"/>
    <s v="Brevig Mission"/>
    <n v="0.53576667"/>
    <n v="0.32549167000000001"/>
    <n v="0.21027499999999999"/>
    <n v="0.60752504443772137"/>
    <s v="PCE"/>
    <x v="0"/>
    <n v="0"/>
    <s v="Bering Straits"/>
    <s v="Nome (CA)"/>
    <s v="Bering Straits"/>
    <s v="AN"/>
  </r>
  <r>
    <s v="Alaska Village Electric Cooperative"/>
    <s v="Chevak"/>
    <n v="0.48440833"/>
    <n v="0.2767"/>
    <n v="0.20770833"/>
    <n v="0.5712123076000778"/>
    <s v="PCE"/>
    <x v="0"/>
    <n v="0"/>
    <s v="Lower Yukon-Kuskokwim"/>
    <s v="Wade Hampton (CA)"/>
    <s v="Calista"/>
    <s v="YU"/>
  </r>
  <r>
    <s v="Alaska Village Electric Cooperative"/>
    <s v="Eek"/>
    <n v="0.60357499999999997"/>
    <n v="0.38990833000000003"/>
    <n v="0.21366666999999995"/>
    <n v="0.64599814438967829"/>
    <s v="PCE"/>
    <x v="0"/>
    <n v="0"/>
    <s v="Lower Yukon-Kuskokwim"/>
    <s v="Bethel (CA)"/>
    <s v="Calista"/>
    <s v="SW"/>
  </r>
  <r>
    <s v="Alaska Village Electric Cooperative"/>
    <s v="Ekwok"/>
    <n v="0.74070000000000003"/>
    <n v="0.51876"/>
    <n v="0.22194000000000003"/>
    <n v="0.70036452004860261"/>
    <s v="PCE"/>
    <x v="0"/>
    <n v="0"/>
    <s v="Bristol Bay"/>
    <s v="Dillingham (CA)"/>
    <s v="Bristol Bay"/>
    <s v="SW"/>
  </r>
  <r>
    <s v="Alaska Village Electric Cooperative"/>
    <s v="Elim"/>
    <n v="0.58745000000000003"/>
    <n v="0.35848332999999999"/>
    <n v="0.22896667000000004"/>
    <n v="0.61023632649587189"/>
    <s v="PCE"/>
    <x v="0"/>
    <n v="0"/>
    <s v="Bering Straits"/>
    <s v="Nome (CA)"/>
    <s v="Bering Straits"/>
    <s v="AN"/>
  </r>
  <r>
    <s v="Alaska Village Electric Cooperative"/>
    <s v="Emmonak"/>
    <n v="0.55097499999999999"/>
    <n v="0.33993332999999998"/>
    <n v="0.21104167000000001"/>
    <n v="0.61696688597486271"/>
    <s v="PCE"/>
    <x v="0"/>
    <n v="0"/>
    <s v="Lower Yukon-Kuskokwim"/>
    <s v="Wade Hampton (CA)"/>
    <s v="Calista"/>
    <s v="YU"/>
  </r>
  <r>
    <s v="Alaska Village Electric Cooperative"/>
    <s v="Gambell"/>
    <n v="0.52198332999999997"/>
    <n v="0.31240833000000001"/>
    <n v="0.20957499999999996"/>
    <n v="0.59850250390180093"/>
    <s v="PCE"/>
    <x v="0"/>
    <n v="0"/>
    <s v="Bering Straits"/>
    <s v="Nome (CA)"/>
    <s v="Bering Straits"/>
    <s v="AN"/>
  </r>
  <r>
    <s v="Alaska Village Electric Cooperative"/>
    <s v="Goodnews Bay"/>
    <n v="0.58979999999999999"/>
    <n v="0.37681667000000002"/>
    <n v="0.21298332999999997"/>
    <n v="0.63888889454052222"/>
    <s v="PCE"/>
    <x v="0"/>
    <n v="0"/>
    <s v="Lower Yukon-Kuskokwim"/>
    <s v="Bethel (CA)"/>
    <s v="Calista"/>
    <s v="SW"/>
  </r>
  <r>
    <s v="Alaska Village Electric Cooperative"/>
    <s v="Grayling"/>
    <n v="0.55513332999999998"/>
    <n v="0.34387499999999999"/>
    <n v="0.21125832999999999"/>
    <n v="0.61944578251138338"/>
    <s v="PCE"/>
    <x v="0"/>
    <n v="0"/>
    <s v="Yukon-Koyukuk/Upper Tanana"/>
    <s v="Yukon-Koyukuk (CA)"/>
    <s v="Doyon"/>
    <s v="YU"/>
  </r>
  <r>
    <s v="Alaska Village Electric Cooperative"/>
    <s v="Holy Cross"/>
    <n v="0.53326667000000005"/>
    <n v="0.323125"/>
    <n v="0.21014167000000006"/>
    <n v="0.60593511310204318"/>
    <s v="PCE"/>
    <x v="0"/>
    <n v="0"/>
    <s v="Yukon-Koyukuk/Upper Tanana"/>
    <s v="Yukon-Koyukuk (CA)"/>
    <s v="Doyon"/>
    <s v="YU"/>
  </r>
  <r>
    <s v="Alaska Village Electric Cooperative"/>
    <s v="Hooper Bay"/>
    <n v="0.51734999999999998"/>
    <n v="0.30801666999999999"/>
    <n v="0.20933332999999998"/>
    <n v="0.59537386682130089"/>
    <s v="PCE"/>
    <x v="0"/>
    <n v="0"/>
    <s v="Lower Yukon-Kuskokwim"/>
    <s v="Wade Hampton (CA)"/>
    <s v="Calista"/>
    <s v="YU"/>
  </r>
  <r>
    <s v="Alaska Village Electric Cooperative"/>
    <s v="Huslia"/>
    <n v="0.54396666999999999"/>
    <n v="0.33329166999999998"/>
    <n v="0.210675"/>
    <n v="0.6127060505379861"/>
    <s v="PCE"/>
    <x v="0"/>
    <n v="0"/>
    <s v="Yukon-Koyukuk/Upper Tanana"/>
    <s v="Yukon-Koyukuk (CA)"/>
    <s v="Doyon"/>
    <s v="YU"/>
  </r>
  <r>
    <s v="Alaska Village Electric Cooperative"/>
    <s v="Kalskag, Lower Kalskag"/>
    <n v="0.57994999999999997"/>
    <n v="0.36745833"/>
    <n v="0.21249166999999997"/>
    <n v="0.63360346581601867"/>
    <s v="PCE"/>
    <x v="0"/>
    <s v="Provides power to Lower Kalskag via intertie. Fuel use and cost data includes information for Lower Kalskag."/>
    <s v="Lower Yukon-Kuskokwim"/>
    <s v="Bethel (CA)"/>
    <s v="Calista"/>
    <s v="SW"/>
  </r>
  <r>
    <s v="Alaska Village Electric Cooperative"/>
    <s v="Kaltag"/>
    <n v="0.51991666999999997"/>
    <n v="0.31046667"/>
    <n v="0.20944999999999997"/>
    <n v="0.59714698126528631"/>
    <s v="PCE"/>
    <x v="0"/>
    <n v="0"/>
    <s v="Yukon-Koyukuk/Upper Tanana"/>
    <s v="Yukon-Koyukuk (CA)"/>
    <s v="Doyon"/>
    <s v="YU"/>
  </r>
  <r>
    <s v="Alaska Village Electric Cooperative"/>
    <s v="Kasigluk, Nunapitchuk"/>
    <n v="0.53120833000000001"/>
    <n v="0.32116666999999999"/>
    <n v="0.21004166000000002"/>
    <n v="0.60459644900523302"/>
    <s v="PCE"/>
    <x v="0"/>
    <s v="Provides power to Nunapitchuk via intertie.  Fuel use and cost includes Nunapitchuk's information."/>
    <s v="Lower Yukon-Kuskokwim"/>
    <s v="Bethel (CA)"/>
    <s v="Calista"/>
    <s v="SW"/>
  </r>
  <r>
    <s v="Alaska Village Electric Cooperative"/>
    <s v="Kiana"/>
    <n v="0.65162500000000001"/>
    <n v="0.43556666999999999"/>
    <n v="0.21605833000000002"/>
    <n v="0.6684314905045079"/>
    <s v="PCE"/>
    <x v="0"/>
    <n v="0"/>
    <s v="Northwest Arctic"/>
    <s v="Northwest Arctic"/>
    <s v="NANA"/>
    <s v="AN"/>
  </r>
  <r>
    <s v="Alaska Village Electric Cooperative"/>
    <s v="Kivalina"/>
    <n v="0.63886666999999997"/>
    <n v="0.42344166999999999"/>
    <n v="0.21542499999999998"/>
    <n v="0.66280131658770058"/>
    <s v="PCE"/>
    <x v="0"/>
    <n v="0"/>
    <s v="Northwest Arctic"/>
    <s v="Northwest Arctic"/>
    <s v="NANA"/>
    <s v="AN"/>
  </r>
  <r>
    <s v="Alaska Village Electric Cooperative"/>
    <s v="Kotlik"/>
    <n v="0.58574999999999999"/>
    <n v="0.372975"/>
    <n v="0.21277499999999999"/>
    <n v="0.63674775928297056"/>
    <s v="PCE"/>
    <x v="0"/>
    <n v="0"/>
    <s v="Lower Yukon-Kuskokwim"/>
    <s v="Wade Hampton (CA)"/>
    <s v="Calista"/>
    <s v="YU"/>
  </r>
  <r>
    <s v="Alaska Village Electric Cooperative"/>
    <s v="Koyuk"/>
    <n v="0.55073333000000002"/>
    <n v="0.33969167"/>
    <n v="0.21104166000000002"/>
    <n v="0.61679882348867465"/>
    <s v="PCE"/>
    <x v="0"/>
    <n v="0"/>
    <s v="Bering Straits"/>
    <s v="Nome (CA)"/>
    <s v="Bering Straits"/>
    <s v="AN"/>
  </r>
  <r>
    <s v="Alaska Village Electric Cooperative"/>
    <s v="Lower Kalskag"/>
    <n v="0.57994999999999997"/>
    <n v="0.36745833"/>
    <n v="0.21249166999999997"/>
    <n v="0.63360346581601867"/>
    <s v="PCE"/>
    <x v="0"/>
    <s v="Receives power from (Upper) Kalskag via intertie. For fuel use and cost, please refer to (Upper) Kalskag."/>
    <s v="Lower Yukon-Kuskokwim"/>
    <s v="Bethel (CA)"/>
    <s v="Calista"/>
    <s v="SW"/>
  </r>
  <r>
    <s v="Alaska Village Electric Cooperative"/>
    <s v="Marshall"/>
    <n v="0.50402499999999995"/>
    <n v="0.295325"/>
    <n v="0.20869999999999994"/>
    <n v="0.58593323743861914"/>
    <s v="PCE"/>
    <x v="0"/>
    <n v="0"/>
    <s v="Lower Yukon-Kuskokwim"/>
    <s v="Wade Hampton (CA)"/>
    <s v="Calista"/>
    <s v="YU"/>
  </r>
  <r>
    <s v="Alaska Village Electric Cooperative"/>
    <s v="Mekoryuk"/>
    <n v="0.54693333"/>
    <n v="0.33612500000000001"/>
    <n v="0.21080832999999999"/>
    <n v="0.61456302178548894"/>
    <s v="PCE"/>
    <x v="0"/>
    <n v="0"/>
    <s v="Lower Yukon-Kuskokwim"/>
    <s v="Bethel (CA)"/>
    <s v="Calista"/>
    <s v="SW"/>
  </r>
  <r>
    <s v="Alaska Village Electric Cooperative"/>
    <s v="Minto"/>
    <n v="0.58937499999999998"/>
    <n v="0.37645000000000001"/>
    <n v="0.21292499999999998"/>
    <n v="0.63872746553552495"/>
    <s v="PCE"/>
    <x v="0"/>
    <n v="0"/>
    <s v="Yukon-Koyukuk/Upper Tanana"/>
    <s v="Yukon-Koyukuk (CA)"/>
    <s v="Doyon"/>
    <s v="YU"/>
  </r>
  <r>
    <s v="Alaska Village Electric Cooperative"/>
    <s v="Mountain Village"/>
    <n v="0.54399167000000004"/>
    <n v="0.33329999999999999"/>
    <n v="0.21069167000000005"/>
    <n v="0.61269320539411931"/>
    <s v="PCE"/>
    <x v="0"/>
    <n v="0"/>
    <s v="Lower Yukon-Kuskokwim"/>
    <s v="Wade Hampton (CA)"/>
    <s v="Calista"/>
    <s v="YU"/>
  </r>
  <r>
    <s v="Alaska Village Electric Cooperative"/>
    <s v="New Stuyahok"/>
    <n v="0.62085833000000001"/>
    <n v="0.40630833"/>
    <n v="0.21455000000000002"/>
    <n v="0.65443002109676129"/>
    <s v="PCE"/>
    <x v="0"/>
    <n v="0"/>
    <s v="Bristol Bay"/>
    <s v="Dillingham (CA)"/>
    <s v="Bristol Bay"/>
    <s v="SW"/>
  </r>
  <r>
    <s v="Alaska Village Electric Cooperative"/>
    <s v="Nightmute"/>
    <n v="0.51793999999999996"/>
    <n v="0.30769999999999997"/>
    <n v="0.21023999999999998"/>
    <n v="0.59408425686372934"/>
    <s v="PCE"/>
    <x v="0"/>
    <s v="Receives power from Toksook Bay via intertie. For fuel use and cost, please refer to Toksook Bay."/>
    <s v="Lower Yukon-Kuskokwim"/>
    <s v="Bethel (CA)"/>
    <s v="Calista"/>
    <s v="SW"/>
  </r>
  <r>
    <s v="Alaska Village Electric Cooperative"/>
    <s v="Noatak"/>
    <n v="0.73998333000000005"/>
    <n v="0.51951667000000001"/>
    <n v="0.22046666000000004"/>
    <n v="0.70206536949960752"/>
    <s v="PCE"/>
    <x v="0"/>
    <n v="0"/>
    <s v="Northwest Arctic"/>
    <s v="Northwest Arctic"/>
    <s v="NANA"/>
    <s v="AN"/>
  </r>
  <r>
    <s v="Alaska Village Electric Cooperative"/>
    <s v="Noorvik"/>
    <n v="0.61409166999999998"/>
    <n v="0.39989166999999998"/>
    <n v="0.2142"/>
    <n v="0.65119214204615405"/>
    <s v="PCE"/>
    <x v="0"/>
    <n v="0"/>
    <s v="Northwest Arctic"/>
    <s v="Northwest Arctic"/>
    <s v="NANA"/>
    <s v="AN"/>
  </r>
  <r>
    <s v="Alaska Village Electric Cooperative"/>
    <s v="Nulato"/>
    <n v="0.53249999999999997"/>
    <n v="0.32240833000000002"/>
    <n v="0.21009166999999995"/>
    <n v="0.60546165258215967"/>
    <s v="PCE"/>
    <x v="0"/>
    <n v="0"/>
    <s v="Yukon-Koyukuk/Upper Tanana"/>
    <s v="Yukon-Koyukuk (CA)"/>
    <s v="Doyon"/>
    <s v="YU"/>
  </r>
  <r>
    <s v="Alaska Village Electric Cooperative"/>
    <s v="Nunapitchuk"/>
    <n v="0.53463000000000005"/>
    <n v="0.32116666999999999"/>
    <n v="0.21346333000000006"/>
    <n v="0.60072698875858066"/>
    <s v="PCE"/>
    <x v="0"/>
    <s v="Receives power from Kasigluk. Please refer to Kasigluk for fuel use and cost."/>
    <s v="Lower Yukon-Kuskokwim"/>
    <s v="Bethel (CA)"/>
    <s v="Calista"/>
    <s v="SW"/>
  </r>
  <r>
    <s v="Alaska Village Electric Cooperative"/>
    <s v="Old Harbor"/>
    <n v="0.57622499999999999"/>
    <n v="0.36396666999999999"/>
    <n v="0.21225833"/>
    <n v="0.63163984554644448"/>
    <s v="PCE"/>
    <x v="0"/>
    <n v="0"/>
    <s v="Kodiak"/>
    <s v="Kodiak Island"/>
    <s v="Koniag"/>
    <s v="SC"/>
  </r>
  <r>
    <s v="Alaska Village Electric Cooperative"/>
    <s v="Pilot Station"/>
    <n v="0.53568333000000001"/>
    <n v="0.32542500000000002"/>
    <n v="0.21025832999999999"/>
    <n v="0.60749510349706048"/>
    <s v="PCE"/>
    <x v="0"/>
    <n v="0"/>
    <s v="Lower Yukon-Kuskokwim"/>
    <s v="Wade Hampton (CA)"/>
    <s v="Calista"/>
    <s v="YU"/>
  </r>
  <r>
    <s v="Alaska Village Electric Cooperative"/>
    <s v="Pitkas Point"/>
    <n v="0.49639"/>
    <n v="0.28547499999999998"/>
    <n v="0.21091500000000002"/>
    <n v="0.57510223815951167"/>
    <s v="PCE"/>
    <x v="0"/>
    <s v="Receives power from Saint Mary's via intertie. For fuel use and cost, please refer to Saint Mary's."/>
    <s v="Lower Yukon-Kuskokwim"/>
    <s v="Wade Hampton (CA)"/>
    <s v="Calista"/>
    <s v="YU"/>
  </r>
  <r>
    <s v="Alaska Village Electric Cooperative"/>
    <s v="Quinhagak"/>
    <n v="0.53666667000000001"/>
    <n v="0.32635832999999997"/>
    <n v="0.21030834000000004"/>
    <n v="0.60812110802409247"/>
    <s v="PCE"/>
    <x v="0"/>
    <n v="0"/>
    <s v="Lower Yukon-Kuskokwim"/>
    <s v="Bethel (CA)"/>
    <s v="Calista"/>
    <s v="SW"/>
  </r>
  <r>
    <s v="Alaska Village Electric Cooperative"/>
    <s v="Russian Mission"/>
    <n v="0.54639167"/>
    <n v="0.33558333000000001"/>
    <n v="0.21080833999999998"/>
    <n v="0.61418090433186878"/>
    <s v="PCE"/>
    <x v="0"/>
    <n v="0"/>
    <s v="Lower Yukon-Kuskokwim"/>
    <s v="Wade Hampton (CA)"/>
    <s v="Calista"/>
    <s v="YU"/>
  </r>
  <r>
    <s v="Alaska Village Electric Cooperative"/>
    <s v="Saint Mary's, Andreafsky, Pitkas Point"/>
    <n v="0.49364166999999998"/>
    <n v="0.28547499999999998"/>
    <n v="0.20816667"/>
    <n v="0.57830409657272241"/>
    <s v="PCE"/>
    <x v="0"/>
    <s v="Provides power to Andreafsky and Pitkas Point via intertie. Includes Andreafsky's information. Fuel use and cost also includes Pitkas Point."/>
    <s v="Lower Yukon-Kuskokwim"/>
    <s v="Wade Hampton (CA)"/>
    <s v="Calista"/>
    <s v="YU"/>
  </r>
  <r>
    <s v="Alaska Village Electric Cooperative"/>
    <s v="Saint Michael"/>
    <n v="0.55336666999999995"/>
    <n v="0.34223333"/>
    <n v="0.21113333999999995"/>
    <n v="0.61845670972557854"/>
    <s v="PCE"/>
    <x v="0"/>
    <n v="0"/>
    <s v="Bering Straits"/>
    <s v="Nome (CA)"/>
    <s v="Bering Straits"/>
    <s v="AN"/>
  </r>
  <r>
    <s v="Alaska Village Electric Cooperative"/>
    <s v="Savoonga"/>
    <n v="0.49088333000000001"/>
    <n v="0.28286666999999999"/>
    <n v="0.20801666000000002"/>
    <n v="0.57624012206729447"/>
    <s v="PCE"/>
    <x v="0"/>
    <n v="0"/>
    <s v="Bering Straits"/>
    <s v="Nome (CA)"/>
    <s v="Bering Straits"/>
    <s v="AN"/>
  </r>
  <r>
    <s v="Alaska Village Electric Cooperative"/>
    <s v="Scammon Bay"/>
    <n v="0.56645000000000001"/>
    <n v="0.35464167000000002"/>
    <n v="0.21180832999999999"/>
    <n v="0.62607762379733434"/>
    <s v="PCE"/>
    <x v="0"/>
    <n v="0"/>
    <s v="Lower Yukon-Kuskokwim"/>
    <s v="Wade Hampton (CA)"/>
    <s v="Calista"/>
    <s v="YU"/>
  </r>
  <r>
    <s v="Alaska Village Electric Cooperative"/>
    <s v="Selawik"/>
    <n v="0.57445833000000002"/>
    <n v="0.36225833000000002"/>
    <n v="0.2122"/>
    <n v="0.63060854213742534"/>
    <s v="PCE"/>
    <x v="0"/>
    <n v="0"/>
    <s v="Northwest Arctic"/>
    <s v="Northwest Arctic"/>
    <s v="NANA"/>
    <s v="AN"/>
  </r>
  <r>
    <s v="Alaska Village Electric Cooperative"/>
    <s v="Shageluk"/>
    <n v="0.60007500000000003"/>
    <n v="0.38659167"/>
    <n v="0.21348333000000003"/>
    <n v="0.64423892013498307"/>
    <s v="PCE"/>
    <x v="0"/>
    <n v="0"/>
    <s v="Yukon-Koyukuk/Upper Tanana"/>
    <s v="Yukon-Koyukuk (CA)"/>
    <s v="Doyon"/>
    <s v="YU"/>
  </r>
  <r>
    <s v="Alaska Village Electric Cooperative"/>
    <s v="Shaktoolik"/>
    <n v="0.57519167000000004"/>
    <n v="0.36294999999999999"/>
    <n v="0.21224167000000005"/>
    <n v="0.63100705196234841"/>
    <s v="PCE"/>
    <x v="0"/>
    <n v="0"/>
    <s v="Bering Straits"/>
    <s v="Nome (CA)"/>
    <s v="Bering Straits"/>
    <s v="AN"/>
  </r>
  <r>
    <s v="Alaska Village Electric Cooperative"/>
    <s v="Shishmaref"/>
    <n v="0.591275"/>
    <n v="0.37822499999999998"/>
    <n v="0.21305000000000002"/>
    <n v="0.63967696926134199"/>
    <s v="PCE"/>
    <x v="0"/>
    <n v="0"/>
    <s v="Bering Straits"/>
    <s v="Nome (CA)"/>
    <s v="Bering Straits"/>
    <s v="AN"/>
  </r>
  <r>
    <s v="Alaska Village Electric Cooperative"/>
    <s v="Shungnak, Kobuk"/>
    <n v="0.72724999999999995"/>
    <n v="0.50739999999999996"/>
    <n v="0.21984999999999999"/>
    <n v="0.69769680302509451"/>
    <s v="PCE"/>
    <x v="0"/>
    <s v="Provides power to Kobuk via intertie. Fuel use and cost includes Kobuk's information."/>
    <s v="Northwest Arctic"/>
    <s v="Northwest Arctic"/>
    <s v="NANA"/>
    <s v="AN"/>
  </r>
  <r>
    <s v="Alaska Village Electric Cooperative"/>
    <s v="Stebbins"/>
    <n v="0.55827499999999997"/>
    <n v="0.34686666999999999"/>
    <n v="0.21140832999999998"/>
    <n v="0.6213186512023644"/>
    <s v="PCE"/>
    <x v="0"/>
    <n v="0"/>
    <s v="Bering Straits"/>
    <s v="Nome (CA)"/>
    <s v="Bering Straits"/>
    <s v="AN"/>
  </r>
  <r>
    <s v="Alaska Village Electric Cooperative"/>
    <s v="Teller"/>
    <n v="0.62324166999999997"/>
    <n v="0.40858333000000002"/>
    <n v="0.21465833999999995"/>
    <n v="0.65557768305190511"/>
    <s v="PCE"/>
    <x v="0"/>
    <n v="0"/>
    <s v="Bering Straits"/>
    <s v="Nome (CA)"/>
    <s v="Bering Straits"/>
    <s v="AN"/>
  </r>
  <r>
    <s v="Alaska Village Electric Cooperative"/>
    <s v="Togiak"/>
    <n v="0.56834167000000002"/>
    <n v="0.35647499999999999"/>
    <n v="0.21186667000000003"/>
    <n v="0.62721953855679802"/>
    <s v="PCE"/>
    <x v="0"/>
    <n v="0"/>
    <s v="Bristol Bay"/>
    <s v="Dillingham (CA)"/>
    <s v="Bristol Bay"/>
    <s v="SW"/>
  </r>
  <r>
    <s v="Alaska Village Electric Cooperative"/>
    <s v="Toksook Bay, Nightmute, Tununak"/>
    <n v="0.51705000000000001"/>
    <n v="0.30769999999999997"/>
    <n v="0.20935000000000004"/>
    <n v="0.59510685620346193"/>
    <s v="PCE"/>
    <x v="0"/>
    <s v="Provides power to Nightmute and Tununak via intertie. Fuel use and cost includes Nightmute's and Tununak's information."/>
    <s v="Lower Yukon-Kuskokwim"/>
    <s v="Bethel (CA)"/>
    <s v="Calista"/>
    <s v="SW"/>
  </r>
  <r>
    <s v="Alaska Village Electric Cooperative"/>
    <s v="Tununak"/>
    <n v="0.51793999999999996"/>
    <n v="0.30769999999999997"/>
    <n v="0.21023999999999998"/>
    <n v="0.59408425686372934"/>
    <s v="PCE"/>
    <x v="0"/>
    <s v="Receives power from Toksook Bay via intertie. For fuel use and cost, please refer to Toksook Bay."/>
    <s v="Lower Yukon-Kuskokwim"/>
    <s v="Bethel (CA)"/>
    <s v="Calista"/>
    <s v="SW"/>
  </r>
  <r>
    <s v="Alaska Village Electric Cooperative"/>
    <s v="Wales"/>
    <n v="0.64396666999999996"/>
    <n v="0.42826667000000002"/>
    <n v="0.21569999999999995"/>
    <n v="0.6650447763080658"/>
    <s v="PCE"/>
    <x v="0"/>
    <n v="0"/>
    <s v="Bering Straits"/>
    <s v="Nome (CA)"/>
    <s v="Bering Straits"/>
    <s v="AN"/>
  </r>
  <r>
    <s v="Alutiiq Power Company"/>
    <s v="Karluk"/>
    <n v="0.6"/>
    <n v="0.34909167000000002"/>
    <n v="0.25090832999999996"/>
    <n v="0.58181945000000002"/>
    <s v="PCE"/>
    <x v="0"/>
    <n v="0"/>
    <s v="Kodiak"/>
    <s v="Kodiak Island"/>
    <s v="Koniag"/>
    <s v="SC"/>
  </r>
  <r>
    <s v="Anchorage Municipal Light &amp; Power"/>
    <s v="Anchorage"/>
    <n v="0.13022999999999998"/>
    <n v="0"/>
    <n v="0.13022999999999998"/>
    <n v="0"/>
    <s v="EIA"/>
    <x v="1"/>
    <n v="0"/>
    <s v="Railbelt"/>
    <s v="Anchorage"/>
    <s v="Cook Inlet"/>
    <s v="SC"/>
  </r>
  <r>
    <s v="Aniak Light &amp; Power"/>
    <s v="Aniak"/>
    <n v="0.71872499999999995"/>
    <n v="0.43711666999999998"/>
    <n v="0.28160832999999996"/>
    <n v="0.60818347768618042"/>
    <s v="PCE"/>
    <x v="0"/>
    <n v="0"/>
    <s v="Lower Yukon-Kuskokwim"/>
    <s v="Bethel (CA)"/>
    <s v="Calista"/>
    <s v="SW"/>
  </r>
  <r>
    <s v="Atka, City of"/>
    <s v="Atka"/>
    <n v="0.70166667000000005"/>
    <n v="0.49935000000000002"/>
    <n v="0.20231667000000003"/>
    <n v="0.71166270445765933"/>
    <s v="PCE"/>
    <x v="0"/>
    <n v="0"/>
    <s v="Aleutians"/>
    <s v="Aleutians West (CA)"/>
    <s v="Aleut"/>
    <s v="SW"/>
  </r>
  <r>
    <s v="Atmautluak Tribal Utilities"/>
    <s v="Atmautluak"/>
    <n v="0.6986"/>
    <n v="0.36183333000000001"/>
    <n v="0.33676666999999999"/>
    <n v="0.51794063841969651"/>
    <s v="PCE"/>
    <x v="0"/>
    <n v="0"/>
    <s v="Lower Yukon-Kuskokwim"/>
    <s v="Bethel (CA)"/>
    <s v="Calista"/>
    <s v="SW"/>
  </r>
  <r>
    <s v="Barrow Utilities &amp; Electric Cooperative Inc."/>
    <s v="Barrow"/>
    <n v="0.11588"/>
    <n v="0"/>
    <n v="0.11588"/>
    <n v="0"/>
    <s v="EIA"/>
    <x v="1"/>
    <n v="0"/>
    <s v="North Slope"/>
    <s v="North Slope"/>
    <s v="Arctic Slope"/>
    <s v="AN"/>
  </r>
  <r>
    <s v="Beaver Joint Utilities"/>
    <s v="Beaver"/>
    <n v="0.65"/>
    <n v="0.49825000000000003"/>
    <n v="0.15175"/>
    <n v="0.7665384615384615"/>
    <s v="PCE"/>
    <x v="0"/>
    <n v="0"/>
    <s v="Yukon-Koyukuk/Upper Tanana"/>
    <s v="Yukon-Koyukuk (CA)"/>
    <s v="Doyon"/>
    <s v="YU"/>
  </r>
  <r>
    <s v="Bethel Utilities Corporation"/>
    <s v="Bethel, Oscarville"/>
    <n v="0.51338333000000003"/>
    <n v="0.34568333000000001"/>
    <n v="0.16770000000000002"/>
    <n v="0.67334350338177129"/>
    <s v="PCE"/>
    <x v="0"/>
    <s v="Provides power to Oscarville and sells power to Napakiak Ircinraq via intertie. Data includes Oscarville's information."/>
    <s v="Lower Yukon-Kuskokwim"/>
    <s v="Bethel (CA)"/>
    <s v="Calista"/>
    <s v="SW"/>
  </r>
  <r>
    <s v="Buckland, City of"/>
    <s v="Buckland"/>
    <n v="0.47410000000000002"/>
    <n v="0.280225"/>
    <n v="0.19387500000000002"/>
    <n v="0.5910672853828306"/>
    <s v="PCE"/>
    <x v="0"/>
    <n v="0"/>
    <s v="Northwest Arctic"/>
    <s v="Northwest Arctic"/>
    <s v="NANA"/>
    <s v="AN"/>
  </r>
  <r>
    <s v="Chalkyitsik Village Council"/>
    <s v="Chalkyitsik"/>
    <n v="0.95"/>
    <n v="0.50636667000000002"/>
    <n v="0.44363332999999994"/>
    <n v="0.53301754736842111"/>
    <s v="PCE"/>
    <x v="0"/>
    <n v="0"/>
    <s v="Yukon-Koyukuk/Upper Tanana"/>
    <s v="Yukon-Koyukuk (CA)"/>
    <s v="Doyon"/>
    <s v="YU"/>
  </r>
  <r>
    <s v="Chenega Ira Council"/>
    <s v="Chenega Bay"/>
    <n v="0.435"/>
    <n v="0.29594999999999999"/>
    <n v="0.13905000000000001"/>
    <n v="0.68034482758620685"/>
    <s v="PCE"/>
    <x v="0"/>
    <n v="0"/>
    <s v="Copper River/Chugach"/>
    <s v="Valdez-Cordova (CA)"/>
    <s v="Chugach"/>
    <s v="SC"/>
  </r>
  <r>
    <s v="Chignik Lagoon Power Utility"/>
    <s v="Chignik Lagoon"/>
    <n v="0.69174999999999998"/>
    <n v="0.38758333"/>
    <n v="0.30416666999999997"/>
    <n v="0.5602939356704012"/>
    <s v="PCE"/>
    <x v="0"/>
    <n v="0"/>
    <s v="Bristol Bay"/>
    <s v="Lake and Peninsula"/>
    <s v="Bristol Bay"/>
    <s v="SW"/>
  </r>
  <r>
    <s v="Chignik Lake Electric Utility"/>
    <s v="Chignik Lake"/>
    <n v="0.67300000000000004"/>
    <n v="0.44423332999999998"/>
    <n v="0.22876667000000006"/>
    <n v="0.66007924219910841"/>
    <s v="PCE"/>
    <x v="0"/>
    <n v="0"/>
    <s v="Bristol Bay"/>
    <s v="Lake and Peninsula"/>
    <s v="Bristol Bay"/>
    <s v="SW"/>
  </r>
  <r>
    <s v="Chignik, City of"/>
    <s v="Chignik"/>
    <n v="0.47556667000000002"/>
    <n v="0.32815833"/>
    <n v="0.14740834000000003"/>
    <n v="0.6900364359007749"/>
    <s v="PCE"/>
    <x v="0"/>
    <n v="0"/>
    <s v="Bristol Bay"/>
    <s v="Lake and Peninsula"/>
    <s v="Bristol Bay"/>
    <s v="SW"/>
  </r>
  <r>
    <s v="Chitina Electric Inc"/>
    <s v="Chitina"/>
    <n v="0.62916667000000004"/>
    <n v="0.36809999999999998"/>
    <n v="0.26106667000000006"/>
    <n v="0.58505959954935305"/>
    <s v="PCE"/>
    <x v="0"/>
    <n v="0"/>
    <s v="Copper River/Chugach"/>
    <s v="Valdez-Cordova (CA)"/>
    <s v="Ahtna"/>
    <s v="SC"/>
  </r>
  <r>
    <s v="Chugach Electric Assn Inc"/>
    <m/>
    <n v="0.14230999999999999"/>
    <n v="0"/>
    <n v="0.14230999999999999"/>
    <n v="0"/>
    <s v="EIA"/>
    <x v="1"/>
    <n v="0"/>
    <s v="Railbelt"/>
    <s v="Anchorage"/>
    <s v="Cook Inlet"/>
    <s v="SC"/>
  </r>
  <r>
    <s v="Circle Electric Utility"/>
    <s v="Circle"/>
    <n v="0.77449166999999997"/>
    <n v="0.51212500000000005"/>
    <n v="0.26236666999999991"/>
    <n v="0.66124016543651154"/>
    <s v="PCE"/>
    <x v="0"/>
    <n v="0"/>
    <s v="Yukon-Koyukuk/Upper Tanana"/>
    <s v="Yukon-Koyukuk (CA)"/>
    <s v="Doyon"/>
    <s v="YU"/>
  </r>
  <r>
    <s v="Copper Valley Elec Assn Inc"/>
    <s v="Valdez"/>
    <n v="0.28439999999999999"/>
    <n v="0"/>
    <n v="0.28439999999999999"/>
    <n v="0"/>
    <s v="EIA"/>
    <x v="1"/>
    <n v="0"/>
    <s v="Copper River/Chugach"/>
    <s v="Valdez-Cordova (CA)"/>
    <s v="Chugach"/>
    <s v="SC"/>
  </r>
  <r>
    <s v="Cordova Electric Cooperative"/>
    <s v="Cordova, Eyak"/>
    <n v="0.42116667000000002"/>
    <n v="0.13869999999999999"/>
    <n v="0.28246667000000003"/>
    <n v="0.32932330566423973"/>
    <s v="PCE"/>
    <x v="0"/>
    <m/>
    <s v="Copper River/Chugach"/>
    <s v="Valdez-Cordova (CA)"/>
    <s v="Chugach"/>
    <s v="SC"/>
  </r>
  <r>
    <s v="Diomede Joint Utilities"/>
    <s v="Diomede"/>
    <n v="0.6"/>
    <n v="0.46095000000000003"/>
    <n v="0.13904999999999995"/>
    <n v="0.7682500000000001"/>
    <s v="PCE"/>
    <x v="0"/>
    <n v="0"/>
    <s v="Bering Straits"/>
    <s v="Nome (CA)"/>
    <s v="Bering Straits"/>
    <s v="AN"/>
  </r>
  <r>
    <s v="Egegik Light &amp; Power Co"/>
    <s v="Egegik"/>
    <n v="0.86"/>
    <n v="0.53453333000000003"/>
    <n v="0.32546666999999996"/>
    <n v="0.6215503837209303"/>
    <s v="PCE"/>
    <x v="0"/>
    <n v="0"/>
    <s v="Bristol Bay"/>
    <s v="Lake and Peninsula"/>
    <s v="Bristol Bay"/>
    <s v="SW"/>
  </r>
  <r>
    <s v="Elfin Cove Utility Commission"/>
    <s v="Elfin Cove"/>
    <n v="0.74601667000000005"/>
    <n v="0.36607499999999998"/>
    <n v="0.37994167000000006"/>
    <n v="0.49070619293265921"/>
    <s v="PCE"/>
    <x v="0"/>
    <n v="0"/>
    <s v="Southeast"/>
    <s v="Hoonah-Angoon (CA)"/>
    <s v="Sealaska"/>
    <s v="SE"/>
  </r>
  <r>
    <s v="False Pass, City of"/>
    <s v="False Pass"/>
    <n v="0.51319166999999999"/>
    <n v="0.24496667"/>
    <n v="0.26822499999999999"/>
    <n v="0.47733952891324211"/>
    <s v="PCE"/>
    <x v="0"/>
    <n v="0"/>
    <s v="Aleutians"/>
    <s v="Aleutians East"/>
    <s v="Aleut"/>
    <s v="SW"/>
  </r>
  <r>
    <s v="G &amp; K Inc"/>
    <s v="Cold Bay"/>
    <n v="0.71516667"/>
    <n v="0.48702499999999999"/>
    <n v="0.22814167000000002"/>
    <n v="0.68099510286182663"/>
    <s v="PCE"/>
    <x v="0"/>
    <n v="0"/>
    <s v="Aleutians"/>
    <s v="Aleutians East"/>
    <s v="Aleut"/>
    <s v="SW"/>
  </r>
  <r>
    <s v="Gold Country Energy"/>
    <s v="Central"/>
    <n v="0.77562500000000001"/>
    <n v="0.53647500000000004"/>
    <n v="0.23914999999999997"/>
    <n v="0.69166800966962128"/>
    <s v="PCE"/>
    <x v="0"/>
    <n v="0"/>
    <s v="Yukon-Koyukuk/Upper Tanana"/>
    <s v="Yukon-Koyukuk (CA)"/>
    <s v="Doyon"/>
    <s v="YU"/>
  </r>
  <r>
    <s v="Golden Valley Elec Assn Inc"/>
    <m/>
    <n v="0.22416"/>
    <n v="0"/>
    <n v="0.22416"/>
    <n v="0"/>
    <s v="EIA"/>
    <x v="1"/>
    <n v="0"/>
    <s v="Railbelt"/>
    <s v="Fairbanks North Star"/>
    <s v="Doyon"/>
    <s v="YU"/>
  </r>
  <r>
    <s v="Golovin Power Utilities"/>
    <s v="Golovin"/>
    <n v="0.57750000000000001"/>
    <n v="0.33065"/>
    <n v="0.24685000000000001"/>
    <n v="0.57255411255411259"/>
    <s v="PCE"/>
    <x v="0"/>
    <n v="0"/>
    <s v="Bering Straits"/>
    <s v="Nome (CA)"/>
    <s v="Bering Straits"/>
    <s v="AN"/>
  </r>
  <r>
    <s v="Gustavus Electric Co"/>
    <s v="Gustavus"/>
    <n v="0.44628332999999998"/>
    <n v="0.17078333000000001"/>
    <n v="0.27549999999999997"/>
    <n v="0.38267916034416977"/>
    <s v="PCE"/>
    <x v="0"/>
    <n v="0"/>
    <s v="Southeast"/>
    <s v="Hoonah-Angoon (CA)"/>
    <s v="Sealaska"/>
    <s v="SE"/>
  </r>
  <r>
    <s v="Gwitchyaa Zhee Utilities Company"/>
    <s v="Fort Yukon"/>
    <n v="0.59759167000000002"/>
    <n v="0.38570832999999999"/>
    <n v="0.21188334000000003"/>
    <n v="0.64543792921343768"/>
    <s v="PCE"/>
    <x v="0"/>
    <n v="0"/>
    <s v="Yukon-Koyukuk/Upper Tanana"/>
    <s v="Yukon-Koyukuk (CA)"/>
    <s v="Doyon"/>
    <s v="YU"/>
  </r>
  <r>
    <s v="Homer Electric Assn Inc"/>
    <m/>
    <n v="0.19726071941155365"/>
    <n v="0"/>
    <n v="0.19726071941155365"/>
    <n v="0"/>
    <s v="EIA"/>
    <x v="1"/>
    <s v="Generation from Bradley Lake is shared among Chugach, AML&amp;P, HEA, MEA, Seward Electric and GVEA"/>
    <s v="Railbelt"/>
    <s v="Anchorage"/>
    <s v="Cook Inlet"/>
    <s v="SC"/>
  </r>
  <r>
    <s v="Hughes Power &amp; Light"/>
    <s v="Hughes"/>
    <n v="0.71"/>
    <n v="0.50509166999999999"/>
    <n v="0.20490832999999997"/>
    <n v="0.71139671830985918"/>
    <s v="PCE"/>
    <x v="0"/>
    <n v="0"/>
    <s v="Yukon-Koyukuk/Upper Tanana"/>
    <s v="Yukon-Koyukuk (CA)"/>
    <s v="Doyon"/>
    <s v="YU"/>
  </r>
  <r>
    <s v="Igiugig Electric Company"/>
    <s v="Igiugig"/>
    <n v="0.80300000000000005"/>
    <n v="0.41439999999999999"/>
    <n v="0.38860000000000006"/>
    <n v="0.51606475716064748"/>
    <s v="PCE"/>
    <x v="0"/>
    <n v="0"/>
    <s v="Bristol Bay"/>
    <s v="Lake and Peninsula"/>
    <s v="Bristol Bay"/>
    <s v="SW"/>
  </r>
  <r>
    <s v="I-N-N Electric Coop, Inc"/>
    <s v="Iliamna, Newhalen, Nondalton"/>
    <n v="0.59402500000000003"/>
    <n v="0.26124999999999998"/>
    <n v="0.33277500000000004"/>
    <n v="0.43979630486932364"/>
    <s v="PCE"/>
    <x v="0"/>
    <s v="Power produced at the Tazimina hydroelectric project and the Newhalen plant is shared by Iliamna, Newhalen and Nondalton. Newhalen's information is included in Nondalton's data."/>
    <s v="Bristol Bay"/>
    <s v="Lake and Peninsula"/>
    <s v="Bristol Bay"/>
    <s v="SW"/>
  </r>
  <r>
    <s v="Inside Passage Electric"/>
    <s v="Angoon"/>
    <n v="0.62529999999999997"/>
    <n v="0.39946667000000002"/>
    <n v="0.22583332999999994"/>
    <n v="0.63884002878618273"/>
    <s v="PCE"/>
    <x v="0"/>
    <n v="0"/>
    <s v="Southeast"/>
    <s v="Hoonah-Angoon (CA)"/>
    <s v="Sealaska"/>
    <s v="SE"/>
  </r>
  <r>
    <s v="Inside Passage Electric"/>
    <s v="Chilkat Valley"/>
    <n v="0.62075833000000002"/>
    <n v="0.39946667000000002"/>
    <n v="0.22129166"/>
    <n v="0.64351399038012103"/>
    <s v="PCE"/>
    <x v="0"/>
    <s v="Provides power to Klukwan via intertie. Power is purchased from AP&amp;T."/>
    <s v="Southeast"/>
    <s v="Haines"/>
    <s v="Sealaska"/>
    <s v="SE"/>
  </r>
  <r>
    <s v="Inside Passage Electric"/>
    <s v="Hoonah"/>
    <n v="0.62158332999999999"/>
    <n v="0.39946667000000002"/>
    <n v="0.22211665999999997"/>
    <n v="0.64265988278675368"/>
    <s v="PCE"/>
    <x v="0"/>
    <n v="0"/>
    <s v="Southeast"/>
    <s v="Hoonah-Angoon (CA)"/>
    <s v="Sealaska"/>
    <s v="SE"/>
  </r>
  <r>
    <s v="Inside Passage Electric"/>
    <s v="Kake"/>
    <n v="0.62041667"/>
    <n v="0.39946667000000002"/>
    <n v="0.22094999999999998"/>
    <n v="0.64386836994563668"/>
    <s v="PCE"/>
    <x v="0"/>
    <n v="0"/>
    <s v="Southeast"/>
    <s v="Petersburg (CA)"/>
    <s v="Sealaska"/>
    <s v="SE"/>
  </r>
  <r>
    <s v="Inside Passage Electric"/>
    <s v="Klukwan"/>
    <n v="0.62294167"/>
    <n v="0.39946667000000002"/>
    <n v="0.22347499999999998"/>
    <n v="0.64125854672717597"/>
    <s v="PCE"/>
    <x v="0"/>
    <s v="Receives power from Chilkat Valley via intertie. Chilkat Valley purchases power from AP&amp;T."/>
    <s v="Southeast"/>
    <s v="Hoonah-Angoon (CA)"/>
    <s v="Sealaska"/>
    <s v="SE"/>
  </r>
  <r>
    <s v="Ketchikan Public Utilities"/>
    <s v="Ketchikan"/>
    <n v="0.10201"/>
    <n v="0"/>
    <n v="0.10201"/>
    <n v="0"/>
    <s v="EIA"/>
    <x v="1"/>
    <n v="0"/>
    <s v="Southeast"/>
    <s v="Ketchikan Gateway"/>
    <s v="Sealaska"/>
    <s v="SE"/>
  </r>
  <r>
    <s v="King Cove, City of"/>
    <s v="King Cove"/>
    <n v="0.28012500000000001"/>
    <n v="0.12025833"/>
    <n v="0.15986667000000002"/>
    <n v="0.4293023828647925"/>
    <s v="PCE"/>
    <x v="0"/>
    <n v="0"/>
    <s v="Aleutians"/>
    <s v="Aleutians East"/>
    <s v="Aleut"/>
    <s v="SW"/>
  </r>
  <r>
    <s v="Kipnuk Light Plant"/>
    <s v="Kipnuk"/>
    <n v="0.57383333000000003"/>
    <n v="0.31459166999999999"/>
    <n v="0.25924166000000004"/>
    <n v="0.54822829827608655"/>
    <s v="PCE"/>
    <x v="0"/>
    <n v="0"/>
    <s v="Lower Yukon-Kuskokwim"/>
    <s v="Bethel (CA)"/>
    <s v="Calista"/>
    <s v="SW"/>
  </r>
  <r>
    <s v="Kobuk Valley Electric Company"/>
    <s v="Kobuk"/>
    <n v="0.87"/>
    <n v="0.48177500000000001"/>
    <n v="0.38822499999999999"/>
    <n v="0.55376436781609195"/>
    <s v="PCE"/>
    <x v="0"/>
    <s v="Receives power from Shungnak via intertie. For fuel use and cost, please refer to Shungnak. On July 1, 2012, AVEC took over operations in Kobuk."/>
    <s v="Northwest Arctic"/>
    <s v="Northwest Arctic"/>
    <s v="NANA"/>
    <s v="AN"/>
  </r>
  <r>
    <s v="Kodiak Electric Assn Inc"/>
    <s v="Kodiak"/>
    <n v="0.19027000000000002"/>
    <n v="0"/>
    <n v="0.19027000000000002"/>
    <n v="0"/>
    <s v="EIA"/>
    <x v="1"/>
    <n v="0"/>
    <s v="Kodiak"/>
    <s v="Kodiak Island"/>
    <s v="Koniag"/>
    <s v="SC"/>
  </r>
  <r>
    <s v="Kokhanok Village Council"/>
    <s v="Kokhanok"/>
    <n v="0.9"/>
    <n v="0.52652500000000002"/>
    <n v="0.373475"/>
    <n v="0.58502777777777781"/>
    <s v="PCE"/>
    <x v="0"/>
    <n v="0"/>
    <s v="Bristol Bay"/>
    <s v="Lake and Peninsula"/>
    <s v="Bristol Bay"/>
    <s v="SW"/>
  </r>
  <r>
    <s v="Kotzebue Electric Association"/>
    <s v="Kotzebue"/>
    <n v="0.41756666999999997"/>
    <n v="0.26684999999999998"/>
    <n v="0.15071667"/>
    <n v="0.63905962609515743"/>
    <s v="PCE"/>
    <x v="0"/>
    <n v="0"/>
    <s v="Northwest Arctic"/>
    <s v="Northwest Arctic"/>
    <s v="NANA"/>
    <s v="AN"/>
  </r>
  <r>
    <s v="Koyukuk, City of"/>
    <s v="Koyukuk"/>
    <n v="0.49166666999999997"/>
    <n v="0.25533333000000002"/>
    <n v="0.23633333999999995"/>
    <n v="0.51932202359781687"/>
    <s v="PCE"/>
    <x v="0"/>
    <n v="0"/>
    <s v="Yukon-Koyukuk/Upper Tanana"/>
    <s v="Yukon-Koyukuk (CA)"/>
    <s v="Doyon"/>
    <s v="YU"/>
  </r>
  <r>
    <s v="Kwethluk Incorporated"/>
    <s v="Kwethluk"/>
    <n v="0.52"/>
    <n v="0.2742"/>
    <n v="0.24580000000000002"/>
    <n v="0.52730769230769226"/>
    <s v="PCE"/>
    <x v="0"/>
    <n v="0"/>
    <s v="Lower Yukon-Kuskokwim"/>
    <s v="Bethel (CA)"/>
    <s v="Calista"/>
    <s v="SW"/>
  </r>
  <r>
    <s v="Kwigillingok Power Company"/>
    <s v="Kwigillingok"/>
    <n v="0.59750000000000003"/>
    <n v="0.39340000000000003"/>
    <n v="0.2041"/>
    <n v="0.65841004184100416"/>
    <s v="PCE"/>
    <x v="0"/>
    <n v="0"/>
    <s v="Lower Yukon-Kuskokwim"/>
    <s v="Bethel (CA)"/>
    <s v="Calista"/>
    <s v="SW"/>
  </r>
  <r>
    <s v="Larsen Bay Utility Company"/>
    <s v="Larsen Bay"/>
    <n v="0.41499999999999998"/>
    <n v="0.1041"/>
    <n v="0.31089999999999995"/>
    <n v="0.2508433734939759"/>
    <s v="PCE"/>
    <x v="0"/>
    <n v="0"/>
    <s v="Kodiak"/>
    <s v="Kodiak Island"/>
    <s v="Koniag"/>
    <s v="SC"/>
  </r>
  <r>
    <s v="Levelock Electrical Coop"/>
    <s v="Levelock"/>
    <n v="0.7"/>
    <n v="0.39930832999999999"/>
    <n v="0.30069166999999997"/>
    <n v="0.57044047142857146"/>
    <s v="PCE"/>
    <x v="0"/>
    <n v="0"/>
    <s v="Bristol Bay"/>
    <s v="Lake and Peninsula"/>
    <s v="Bristol Bay"/>
    <s v="SW"/>
  </r>
  <r>
    <s v="Manokotak Power Company"/>
    <s v="Manokotak"/>
    <n v="0.55000000000000004"/>
    <n v="0.28505833000000003"/>
    <n v="0.26494167000000002"/>
    <n v="0.51828787272727272"/>
    <s v="PCE"/>
    <x v="0"/>
    <n v="0"/>
    <s v="Bristol Bay"/>
    <s v="Dillingham (CA)"/>
    <s v="Bristol Bay"/>
    <s v="SW"/>
  </r>
  <r>
    <s v="Matanuska Electric Association"/>
    <m/>
    <n v="0.15109999999999998"/>
    <n v="0"/>
    <n v="0.15109999999999998"/>
    <n v="0"/>
    <s v="EIA"/>
    <x v="1"/>
    <n v="0"/>
    <s v="Railbelt"/>
    <s v="Matanuska Susitna"/>
    <s v="Cook Inlet"/>
    <s v="SC"/>
  </r>
  <r>
    <s v="Mcgrath Light &amp; Power"/>
    <s v="McGrath"/>
    <n v="0.50934999999999997"/>
    <n v="0.33663333000000001"/>
    <n v="0.17271666999999996"/>
    <n v="0.66090768626681073"/>
    <s v="PCE"/>
    <x v="0"/>
    <n v="0"/>
    <s v="Yukon-Koyukuk/Upper Tanana"/>
    <s v="Yukon-Koyukuk (CA)"/>
    <s v="Doyon"/>
    <s v="SW"/>
  </r>
  <r>
    <s v="Metlakatla Power &amp; Light"/>
    <s v="Metlakatla"/>
    <n v="9.1306918982850385E-2"/>
    <n v="0"/>
    <n v="9.1306918982850385E-2"/>
    <n v="0"/>
    <s v="EIA"/>
    <x v="1"/>
    <n v="0"/>
    <s v="Southeast"/>
    <s v="Prince of Wales-Hyder (CA)"/>
    <s v="Sealaska"/>
    <s v="SE"/>
  </r>
  <r>
    <s v="Middle Kuskokwim Electric"/>
    <s v="Chuathbaluk"/>
    <n v="0.84947499999999998"/>
    <n v="0.66042500000000004"/>
    <n v="0.18904999999999994"/>
    <n v="0.77745077842196653"/>
    <s v="PCE"/>
    <x v="0"/>
    <n v="0"/>
    <s v="Lower Yukon-Kuskokwim"/>
    <s v="Bethel (CA)"/>
    <s v="Calista"/>
    <s v="SW"/>
  </r>
  <r>
    <s v="Middle Kuskokwim Electric"/>
    <s v="Crooked Creek"/>
    <n v="0.84946666999999998"/>
    <n v="0.66042500000000004"/>
    <n v="0.18904166999999994"/>
    <n v="0.77745840222312668"/>
    <s v="PCE"/>
    <x v="0"/>
    <n v="0"/>
    <s v="Lower Yukon-Kuskokwim"/>
    <s v="Bethel (CA)"/>
    <s v="Calista"/>
    <s v="SW"/>
  </r>
  <r>
    <s v="Middle Kuskokwim Electric"/>
    <s v="Red Devil"/>
    <n v="0.84931667"/>
    <n v="0.66042500000000004"/>
    <n v="0.18889166999999996"/>
    <n v="0.77759571114976467"/>
    <s v="PCE"/>
    <x v="0"/>
    <n v="0"/>
    <s v="Lower Yukon-Kuskokwim"/>
    <s v="Bethel (CA)"/>
    <s v="Calista"/>
    <s v="SW"/>
  </r>
  <r>
    <s v="Middle Kuskokwim Electric"/>
    <s v="Sleetmute"/>
    <n v="0.84948332999999998"/>
    <n v="0.66042500000000004"/>
    <n v="0.18905832999999994"/>
    <n v="0.77744315477032377"/>
    <s v="PCE"/>
    <x v="0"/>
    <n v="0"/>
    <s v="Lower Yukon-Kuskokwim"/>
    <s v="Bethel (CA)"/>
    <s v="Calista"/>
    <s v="SW"/>
  </r>
  <r>
    <s v="Middle Kuskokwim Electric"/>
    <s v="Stony River"/>
    <n v="0.84950000000000003"/>
    <n v="0.66042500000000004"/>
    <n v="0.18907499999999999"/>
    <n v="0.77742789876397878"/>
    <s v="PCE"/>
    <x v="0"/>
    <n v="0"/>
    <s v="Lower Yukon-Kuskokwim"/>
    <s v="Bethel (CA)"/>
    <s v="Calista"/>
    <s v="SW"/>
  </r>
  <r>
    <s v="Naknek Electric Association"/>
    <s v="Naknek, King Salmon, South Naknek"/>
    <n v="0.50455833000000005"/>
    <n v="0.26014999999999999"/>
    <n v="0.24440833000000006"/>
    <n v="0.51559945507192395"/>
    <s v="PCE"/>
    <x v="0"/>
    <s v="Provides power to South Naknek and King Salmon via intertie. Data includes South Naknek's and King Salmon's information."/>
    <s v="Bristol Bay"/>
    <s v="Bristol Bay"/>
    <s v="Bristol Bay"/>
    <s v="SW"/>
  </r>
  <r>
    <s v="Napakiak Ircinraq"/>
    <s v="Napakiak"/>
    <n v="0.82538332999999997"/>
    <n v="0.57527499999999998"/>
    <n v="0.25010832999999999"/>
    <n v="0.69697918420523464"/>
    <s v="PCE"/>
    <x v="0"/>
    <s v="Purchases power from Bethel Utilities Corporation"/>
    <s v="Lower Yukon-Kuskokwim"/>
    <s v="Bethel (CA)"/>
    <s v="Calista"/>
    <s v="SW"/>
  </r>
  <r>
    <s v="Napaskiak Electric Utility"/>
    <s v="Napaskiak"/>
    <n v="0.63749999999999996"/>
    <n v="0.41102499999999997"/>
    <n v="0.22647499999999998"/>
    <n v="0.64474509803921565"/>
    <s v="PCE"/>
    <x v="0"/>
    <n v="0"/>
    <s v="Lower Yukon-Kuskokwim"/>
    <s v="Bethel (CA)"/>
    <s v="Calista"/>
    <s v="SW"/>
  </r>
  <r>
    <s v="Naterkaq Light Plant"/>
    <s v="Chefornak"/>
    <n v="0.57833332999999998"/>
    <n v="0.27195000000000003"/>
    <n v="0.30638332999999995"/>
    <n v="0.47023055026069488"/>
    <s v="PCE"/>
    <x v="0"/>
    <n v="0"/>
    <s v="Lower Yukon-Kuskokwim"/>
    <s v="Bethel (CA)"/>
    <s v="Calista"/>
    <s v="SW"/>
  </r>
  <r>
    <s v="Native Village of Perryville"/>
    <s v="Perryville"/>
    <n v="0.95"/>
    <n v="0.24371667"/>
    <n v="0.70628332999999999"/>
    <n v="0.25654386315789474"/>
    <s v="PCE"/>
    <x v="0"/>
    <n v="0"/>
    <s v="Bristol Bay"/>
    <s v="Lake and Peninsula"/>
    <s v="Bristol Bay"/>
    <s v="SW"/>
  </r>
  <r>
    <s v="Nelson Lagoon Electrical Coop"/>
    <s v="Nelson Lagoon"/>
    <n v="0.76500000000000001"/>
    <n v="0.43794167000000001"/>
    <n v="0.32705833000000001"/>
    <n v="0.57247277124183005"/>
    <s v="PCE"/>
    <x v="0"/>
    <n v="0"/>
    <s v="Aleutians"/>
    <s v="Aleutians East"/>
    <s v="Aleut"/>
    <s v="SW"/>
  </r>
  <r>
    <s v="New Koliganek Village Council"/>
    <s v="Koliganek"/>
    <n v="0.505"/>
    <n v="0.36094999999999999"/>
    <n v="0.14405000000000001"/>
    <n v="0.71475247524752472"/>
    <s v="PCE"/>
    <x v="0"/>
    <n v="0"/>
    <s v="Bristol Bay"/>
    <s v="Dillingham (CA)"/>
    <s v="Bristol Bay"/>
    <s v="SW"/>
  </r>
  <r>
    <s v="Nikolai, City of"/>
    <s v="Nikolai"/>
    <n v="0.80417499999999997"/>
    <n v="0.57782500000000003"/>
    <n v="0.22634999999999994"/>
    <n v="0.71853141418223654"/>
    <s v="PCE"/>
    <x v="0"/>
    <n v="0"/>
    <s v="Yukon-Koyukuk/Upper Tanana"/>
    <s v="Yukon-Koyukuk (CA)"/>
    <s v="Doyon"/>
    <s v="SW"/>
  </r>
  <r>
    <s v="Nome Joint Utility Systems"/>
    <s v="Nome"/>
    <n v="0.36220000000000002"/>
    <n v="0.16927500000000001"/>
    <n v="0.19292500000000001"/>
    <n v="0.46735229155162894"/>
    <s v="PCE"/>
    <x v="0"/>
    <n v="0"/>
    <s v="Bering Straits"/>
    <s v="Nome (CA)"/>
    <s v="Bering Straits"/>
    <s v="AN"/>
  </r>
  <r>
    <s v="North Slope Borough Power &amp; Light"/>
    <s v="Anaktuvuk Pass"/>
    <n v="0.15"/>
    <n v="1.095E-2"/>
    <n v="0.13905000000000001"/>
    <n v="7.2999999999999995E-2"/>
    <s v="PCE"/>
    <x v="0"/>
    <n v="0"/>
    <s v="North Slope"/>
    <s v="North Slope"/>
    <s v="Arctic Slope"/>
    <s v="AN"/>
  </r>
  <r>
    <s v="North Slope Borough Power &amp; Light"/>
    <s v="Atqasuk"/>
    <n v="0.15"/>
    <n v="1.095E-2"/>
    <n v="0.13905000000000001"/>
    <n v="7.2999999999999995E-2"/>
    <s v="PCE"/>
    <x v="0"/>
    <n v="0"/>
    <s v="North Slope"/>
    <s v="North Slope"/>
    <s v="Arctic Slope"/>
    <s v="AN"/>
  </r>
  <r>
    <s v="North Slope Borough Power &amp; Light"/>
    <s v="Kaktovik"/>
    <n v="0.15"/>
    <n v="1.095E-2"/>
    <n v="0.13905000000000001"/>
    <n v="7.2999999999999995E-2"/>
    <s v="PCE"/>
    <x v="0"/>
    <n v="0"/>
    <s v="North Slope"/>
    <s v="North Slope"/>
    <s v="Arctic Slope"/>
    <s v="AN"/>
  </r>
  <r>
    <s v="North Slope Borough Power &amp; Light"/>
    <s v="Nuiqsut"/>
    <n v="0.08"/>
    <n v="0"/>
    <n v="0.08"/>
    <n v="0"/>
    <s v="PCE"/>
    <x v="0"/>
    <n v="0"/>
    <s v="North Slope"/>
    <s v="North Slope"/>
    <s v="Arctic Slope"/>
    <s v="AN"/>
  </r>
  <r>
    <s v="North Slope Borough Power &amp; Light"/>
    <s v="Point Hope"/>
    <n v="0.15"/>
    <n v="1.095E-2"/>
    <n v="0.13905000000000001"/>
    <n v="7.2999999999999995E-2"/>
    <s v="PCE"/>
    <x v="0"/>
    <n v="0"/>
    <s v="North Slope"/>
    <s v="North Slope"/>
    <s v="Arctic Slope"/>
    <s v="AN"/>
  </r>
  <r>
    <s v="North Slope Borough Power &amp; Light"/>
    <s v="Point Lay"/>
    <n v="0.15"/>
    <n v="1.095E-2"/>
    <n v="0.13905000000000001"/>
    <n v="7.2999999999999995E-2"/>
    <s v="PCE"/>
    <x v="0"/>
    <n v="0"/>
    <s v="North Slope"/>
    <s v="North Slope"/>
    <s v="Arctic Slope"/>
    <s v="AN"/>
  </r>
  <r>
    <s v="North Slope Borough Power &amp; Light"/>
    <s v="Wainwright"/>
    <n v="0.15"/>
    <n v="1.095E-2"/>
    <n v="0.13905000000000001"/>
    <n v="7.2999999999999995E-2"/>
    <s v="PCE"/>
    <x v="0"/>
    <n v="0"/>
    <s v="North Slope"/>
    <s v="North Slope"/>
    <s v="Arctic Slope"/>
    <s v="AN"/>
  </r>
  <r>
    <s v="Nunam Iqua Electric Company"/>
    <s v="Nunam Iqua"/>
    <n v="0.53"/>
    <n v="0.27150000000000002"/>
    <n v="0.25850000000000001"/>
    <n v="0.51226415094339628"/>
    <s v="PCE"/>
    <x v="0"/>
    <n v="0"/>
    <s v="Lower Yukon-Kuskokwim"/>
    <s v="Wade Hampton (CA)"/>
    <s v="Calista"/>
    <s v="YU"/>
  </r>
  <r>
    <s v="Nushagak Electric Cooperative"/>
    <s v="Dillingham, Aleknagik"/>
    <n v="0.40021667"/>
    <n v="0.20178333000000001"/>
    <n v="0.19843333999999999"/>
    <n v="0.50418522047070158"/>
    <s v="PCE"/>
    <x v="0"/>
    <s v="Provides power to Aleknagik via intertie. Data includes Aleknagik's information."/>
    <s v="Bristol Bay"/>
    <s v="Dillingham (CA)"/>
    <s v="Bristol Bay"/>
    <s v="SW"/>
  </r>
  <r>
    <s v="Ouzinkie, City of"/>
    <s v="Ouzinkie"/>
    <n v="0.41422500000000001"/>
    <n v="0.21595"/>
    <n v="0.19827500000000001"/>
    <n v="0.52133502323616387"/>
    <s v="PCE"/>
    <x v="0"/>
    <n v="0"/>
    <s v="Kodiak"/>
    <s v="Kodiak Island"/>
    <s v="Koniag"/>
    <s v="SC"/>
  </r>
  <r>
    <s v="Pedro Bay Village Council"/>
    <s v="Pedro Bay"/>
    <n v="0.91"/>
    <n v="0.459675"/>
    <n v="0.45032500000000003"/>
    <n v="0.50513736263736264"/>
    <s v="PCE"/>
    <x v="0"/>
    <n v="0"/>
    <s v="Bristol Bay"/>
    <s v="Lake and Peninsula"/>
    <s v="Bristol Bay"/>
    <s v="SW"/>
  </r>
  <r>
    <s v="Pelican Utility"/>
    <s v="Pelican"/>
    <n v="0.68623332999999997"/>
    <n v="0.37854167"/>
    <n v="0.30769165999999998"/>
    <n v="0.55162239059417295"/>
    <s v="PCE"/>
    <x v="0"/>
    <n v="0"/>
    <s v="Southeast"/>
    <s v="Hoonah-Angoon (CA)"/>
    <s v="Sealaska"/>
    <s v="SE"/>
  </r>
  <r>
    <s v="Petersburg, City of"/>
    <s v="Petersburg"/>
    <n v="9.8425621658737555E-2"/>
    <n v="0"/>
    <n v="9.8425621658737555E-2"/>
    <n v="0"/>
    <s v="EIA"/>
    <x v="1"/>
    <n v="0"/>
    <s v="Southeast"/>
    <s v="Petersburg (CA)"/>
    <s v="Sealaska"/>
    <s v="SE"/>
  </r>
  <r>
    <s v="Pilot Point Electric Utility"/>
    <s v="Pilot Point"/>
    <n v="0.5"/>
    <n v="0.36175833000000002"/>
    <n v="0.13824166999999998"/>
    <n v="0.72351666000000003"/>
    <s v="PCE"/>
    <x v="0"/>
    <n v="0"/>
    <s v="Bristol Bay"/>
    <s v="Lake and Peninsula"/>
    <s v="Bristol Bay"/>
    <s v="SW"/>
  </r>
  <r>
    <s v="Port Heiden Utilities"/>
    <s v="Port Heiden"/>
    <n v="0.75"/>
    <n v="0.2107"/>
    <n v="0.5393"/>
    <n v="0.28093333333333331"/>
    <s v="PCE"/>
    <x v="0"/>
    <n v="0"/>
    <s v="Bristol Bay"/>
    <s v="Lake and Peninsula"/>
    <s v="Bristol Bay"/>
    <s v="SW"/>
  </r>
  <r>
    <s v="Puvurnaq Power Company"/>
    <s v="Kongiganak"/>
    <n v="0.55844167"/>
    <n v="0.35175000000000001"/>
    <n v="0.20669166999999999"/>
    <n v="0.62987778114767112"/>
    <s v="PCE"/>
    <x v="0"/>
    <n v="0"/>
    <s v="Lower Yukon-Kuskokwim"/>
    <s v="Bethel (CA)"/>
    <s v="Calista"/>
    <s v="SW"/>
  </r>
  <r>
    <s v="Ruby, City of"/>
    <s v="Ruby"/>
    <n v="0.84"/>
    <n v="0.45610833000000001"/>
    <n v="0.38389166999999996"/>
    <n v="0.54298610714285722"/>
    <s v="PCE"/>
    <x v="0"/>
    <n v="0"/>
    <s v="Yukon-Koyukuk/Upper Tanana"/>
    <s v="Yukon-Koyukuk (CA)"/>
    <s v="Doyon"/>
    <s v="YU"/>
  </r>
  <r>
    <s v="Saint George, City of"/>
    <s v="Saint George"/>
    <n v="0.83250000000000002"/>
    <n v="0.52456250000000004"/>
    <n v="0.30793749999999998"/>
    <n v="0.63010510510510509"/>
    <s v="PCE"/>
    <x v="0"/>
    <n v="0"/>
    <s v="Aleutians"/>
    <s v="Aleutians West (CA)"/>
    <s v="Aleut"/>
    <s v="SW"/>
  </r>
  <r>
    <s v="Saint Paul Municipal Electric"/>
    <s v="Saint Paul"/>
    <n v="0.51916667000000005"/>
    <n v="0.31095"/>
    <n v="0.20821667000000005"/>
    <n v="0.59894060610632027"/>
    <s v="PCE"/>
    <x v="0"/>
    <n v="0"/>
    <s v="Aleutians"/>
    <s v="Aleutians West (CA)"/>
    <s v="Aleut"/>
    <s v="SW"/>
  </r>
  <r>
    <s v="Seward, City of"/>
    <s v="Seward"/>
    <n v="0.19222999999999998"/>
    <n v="0"/>
    <n v="0.19222999999999998"/>
    <n v="0"/>
    <s v="EIA"/>
    <x v="1"/>
    <n v="0"/>
    <s v="Railbelt"/>
    <s v="Kenai Peninsula"/>
    <s v="Chugach"/>
    <s v="SC"/>
  </r>
  <r>
    <s v="Sitka, City &amp; Borough of"/>
    <s v="Sitka"/>
    <n v="9.468E-2"/>
    <n v="0"/>
    <n v="9.468E-2"/>
    <n v="0"/>
    <s v="EIA"/>
    <x v="1"/>
    <n v="0"/>
    <s v="Southeast"/>
    <s v="Sitka"/>
    <s v="Sealaska"/>
    <s v="SE"/>
  </r>
  <r>
    <s v="Takotna Community Assoc Inc"/>
    <s v="Takotna"/>
    <n v="1.022"/>
    <n v="0.57379999999999998"/>
    <n v="0.44820000000000004"/>
    <n v="0.56144814090019568"/>
    <s v="PCE"/>
    <x v="0"/>
    <n v="0"/>
    <s v="Yukon-Koyukuk/Upper Tanana"/>
    <s v="Yukon-Koyukuk (CA)"/>
    <s v="Doyon"/>
    <s v="SW"/>
  </r>
  <r>
    <s v="Tanalian Electric Cooperative"/>
    <s v="Port Alsworth"/>
    <n v="0.68272500000000003"/>
    <n v="0.49322500000000002"/>
    <n v="0.1895"/>
    <n v="0.72243582701673437"/>
    <s v="PCE"/>
    <x v="0"/>
    <n v="0"/>
    <s v="Bristol Bay"/>
    <s v="Lake and Peninsula"/>
    <s v="Cook Inlet"/>
    <s v="SW"/>
  </r>
  <r>
    <s v="Tanana Power Company Inc"/>
    <s v="Tanana"/>
    <n v="0.71367499999999995"/>
    <n v="0.41390832999999999"/>
    <n v="0.29976666999999996"/>
    <n v="0.57996753424177672"/>
    <s v="PCE"/>
    <x v="0"/>
    <n v="0"/>
    <s v="Yukon-Koyukuk/Upper Tanana"/>
    <s v="Yukon-Koyukuk (CA)"/>
    <s v="Doyon"/>
    <s v="YU"/>
  </r>
  <r>
    <s v="Tatitlek Village Ira Council"/>
    <s v="Tatitlek"/>
    <n v="0.62490000000000001"/>
    <n v="0.41562500000000002"/>
    <n v="0.20927499999999999"/>
    <n v="0.66510641702672435"/>
    <s v="PCE"/>
    <x v="0"/>
    <n v="0"/>
    <s v="Copper River/Chugach"/>
    <s v="Valdez-Cordova (CA)"/>
    <s v="Chugach"/>
    <s v="SC"/>
  </r>
  <r>
    <s v="TDX Adak Generating LLC"/>
    <s v="Adak"/>
    <n v="0.81163333000000004"/>
    <n v="0.52908332999999996"/>
    <n v="0.28255000000000008"/>
    <n v="0.65187481889143206"/>
    <s v="PCE"/>
    <x v="0"/>
    <n v="0"/>
    <s v="Aleutians"/>
    <s v="Aleutians West (CA)"/>
    <s v="Aleut"/>
    <s v="SW"/>
  </r>
  <r>
    <s v="TDX Corporation"/>
    <s v="Sand Point"/>
    <n v="0.58409166999999995"/>
    <n v="0.39076666999999998"/>
    <n v="0.19332499999999997"/>
    <n v="0.66901599538305356"/>
    <s v="PCE"/>
    <x v="0"/>
    <n v="0"/>
    <s v="Aleutians"/>
    <s v="Aleutians East"/>
    <s v="Aleut"/>
    <s v="SW"/>
  </r>
  <r>
    <s v="TDX Manley Generating LLC"/>
    <s v="Manley Hot Springs"/>
    <n v="0.67374166999999996"/>
    <n v="0.21681666999999999"/>
    <n v="0.45692499999999997"/>
    <n v="0.32180979692112555"/>
    <s v="PCE"/>
    <x v="0"/>
    <n v="0"/>
    <s v="Yukon-Koyukuk/Upper Tanana"/>
    <s v="Yukon-Koyukuk (CA)"/>
    <s v="Doyon"/>
    <s v="YU"/>
  </r>
  <r>
    <s v="Tenakee Springs, City of"/>
    <s v="Tenakee Springs"/>
    <n v="0.68833332999999997"/>
    <n v="0.37343333000000001"/>
    <n v="0.31489999999999996"/>
    <n v="0.54251815759088695"/>
    <s v="PCE"/>
    <x v="0"/>
    <n v="0"/>
    <s v="Southeast"/>
    <s v="Hoonah-Angoon (CA)"/>
    <s v="Sealaska"/>
    <s v="SE"/>
  </r>
  <r>
    <s v="Tuluksak Traditional"/>
    <s v="Tuluksak"/>
    <n v="0.6"/>
    <n v="0.33045000000000002"/>
    <n v="0.26954999999999996"/>
    <n v="0.55075000000000007"/>
    <s v="PCE"/>
    <x v="0"/>
    <n v="0"/>
    <s v="Lower Yukon-Kuskokwim"/>
    <s v="Bethel (CA)"/>
    <s v="Calista"/>
    <s v="SW"/>
  </r>
  <r>
    <s v="Tuntutuliak Community"/>
    <s v="Tuntutuliak"/>
    <n v="0.65"/>
    <n v="0.25725832999999998"/>
    <n v="0.39274167000000004"/>
    <n v="0.3957820461538461"/>
    <s v="PCE"/>
    <x v="0"/>
    <n v="0"/>
    <s v="Lower Yukon-Kuskokwim"/>
    <s v="Bethel (CA)"/>
    <s v="Calista"/>
    <s v="SW"/>
  </r>
  <r>
    <s v="Twin Hills Village Council"/>
    <s v="Twin Hills"/>
    <n v="0.55467500000000003"/>
    <n v="0.36836667000000001"/>
    <n v="0.18630833000000002"/>
    <n v="0.66411262450984809"/>
    <s v="PCE"/>
    <x v="0"/>
    <n v="0"/>
    <s v="Bristol Bay"/>
    <s v="Dillingham (CA)"/>
    <s v="Bristol Bay"/>
    <s v="SW"/>
  </r>
  <r>
    <s v="Umnak Power Company"/>
    <s v="Nikolski"/>
    <n v="0.6"/>
    <n v="0.4002"/>
    <n v="0.19979999999999998"/>
    <n v="0.66700000000000004"/>
    <s v="PCE"/>
    <x v="0"/>
    <n v="0"/>
    <s v="Aleutians"/>
    <s v="Aleutians West (CA)"/>
    <s v="Aleut"/>
    <s v="SW"/>
  </r>
  <r>
    <s v="Unalakleet Valley Electric Cooperative"/>
    <s v="Unalakleet"/>
    <n v="0.39138332999999997"/>
    <n v="0.197325"/>
    <n v="0.19405832999999997"/>
    <n v="0.50417323599346964"/>
    <s v="PCE"/>
    <x v="0"/>
    <n v="0"/>
    <s v="Bering Straits"/>
    <s v="Nome (CA)"/>
    <s v="Bering Straits"/>
    <s v="AN"/>
  </r>
  <r>
    <s v="Unalaska, City of"/>
    <s v="Unalaska"/>
    <n v="0.44580832999999997"/>
    <n v="0.20428333000000001"/>
    <n v="0.24152499999999996"/>
    <n v="0.45823129863903628"/>
    <s v="PCE"/>
    <x v="0"/>
    <n v="0"/>
    <s v="Aleutians"/>
    <s v="Aleutians West (CA)"/>
    <s v="Aleut"/>
    <s v="SW"/>
  </r>
  <r>
    <s v="Ungusraq Power Company"/>
    <s v="Newtok"/>
    <n v="0.8"/>
    <n v="0.48654999999999998"/>
    <n v="0.31345000000000006"/>
    <n v="0.60818749999999999"/>
    <s v="PCE"/>
    <x v="0"/>
    <n v="0"/>
    <s v="Lower Yukon-Kuskokwim"/>
    <s v="Bethel (CA)"/>
    <s v="Calista"/>
    <s v="SW"/>
  </r>
  <r>
    <s v="White Mountain, City of"/>
    <s v="White Mountain"/>
    <n v="0.68666667000000003"/>
    <n v="0.32996667000000002"/>
    <n v="0.35670000000000002"/>
    <n v="0.48053398310420398"/>
    <s v="PCE"/>
    <x v="0"/>
    <n v="0"/>
    <s v="Bering Straits"/>
    <s v="Nome (CA)"/>
    <s v="Bering Straits"/>
    <s v="AN"/>
  </r>
  <r>
    <s v="Wrangell, City of"/>
    <s v="Wrangell"/>
    <n v="0.10618"/>
    <n v="0"/>
    <n v="0.10618"/>
    <n v="0"/>
    <s v="EIA"/>
    <x v="1"/>
    <n v="0"/>
    <s v="Southeast"/>
    <s v="Wrangell"/>
    <s v="Sealaska"/>
    <s v="SE"/>
  </r>
  <r>
    <s v="Yakutat Power Inc"/>
    <s v="Yakutat"/>
    <n v="0.50305833"/>
    <n v="0.33380832999999999"/>
    <n v="0.16925000000000001"/>
    <n v="0.66355790192361985"/>
    <s v="PCE"/>
    <x v="0"/>
    <n v="0"/>
    <s v="Southeast"/>
    <s v="Yakutat"/>
    <s v="Sealaska"/>
    <s v="S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9:F71" firstHeaderRow="0" firstDataRow="1" firstDataCol="1"/>
  <pivotFields count="17">
    <pivotField showAll="0"/>
    <pivotField showAll="0"/>
    <pivotField showAll="0"/>
    <pivotField dataField="1" showAll="0"/>
    <pivotField dataField="1" showAll="0"/>
    <pivotField dataField="1" showAll="0"/>
    <pivotField dataField="1" showAll="0"/>
    <pivotField dataField="1" showAll="0"/>
    <pivotField showAll="0" defaultSubtotal="0"/>
    <pivotField showAll="0"/>
    <pivotField showAll="0"/>
    <pivotField showAll="0"/>
    <pivotField showAll="0"/>
    <pivotField axis="axisRow" showAll="0">
      <items count="12">
        <item x="1"/>
        <item x="7"/>
        <item x="8"/>
        <item x="5"/>
        <item x="9"/>
        <item x="0"/>
        <item x="10"/>
        <item x="6"/>
        <item x="3"/>
        <item x="2"/>
        <item x="4"/>
        <item t="default"/>
      </items>
    </pivotField>
    <pivotField showAll="0"/>
    <pivotField showAll="0"/>
    <pivotField showAll="0"/>
  </pivotFields>
  <rowFields count="1">
    <field x="13"/>
  </rowFields>
  <rowItems count="12">
    <i>
      <x/>
    </i>
    <i>
      <x v="1"/>
    </i>
    <i>
      <x v="2"/>
    </i>
    <i>
      <x v="3"/>
    </i>
    <i>
      <x v="4"/>
    </i>
    <i>
      <x v="5"/>
    </i>
    <i>
      <x v="6"/>
    </i>
    <i>
      <x v="7"/>
    </i>
    <i>
      <x v="8"/>
    </i>
    <i>
      <x v="9"/>
    </i>
    <i>
      <x v="10"/>
    </i>
    <i t="grand">
      <x/>
    </i>
  </rowItems>
  <colFields count="1">
    <field x="-2"/>
  </colFields>
  <colItems count="5">
    <i>
      <x/>
    </i>
    <i i="1">
      <x v="1"/>
    </i>
    <i i="2">
      <x v="2"/>
    </i>
    <i i="3">
      <x v="3"/>
    </i>
    <i i="4">
      <x v="4"/>
    </i>
  </colItems>
  <dataFields count="5">
    <dataField name="Sum of Oil" fld="3" baseField="0" baseItem="0"/>
    <dataField name="Sum of Gas" fld="4" baseField="13" baseItem="0"/>
    <dataField name="Sum of Coal" fld="5" baseField="13" baseItem="0"/>
    <dataField name="Sum of Hydro" fld="6" baseField="0" baseItem="0"/>
    <dataField name="Sum of Wind" fld="7"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44:B56" firstHeaderRow="1" firstDataRow="1" firstDataCol="1"/>
  <pivotFields count="16">
    <pivotField showAll="0"/>
    <pivotField showAll="0"/>
    <pivotField showAll="0"/>
    <pivotField numFmtId="3" showAll="0" defaultSubtotal="0"/>
    <pivotField showAll="0"/>
    <pivotField showAll="0"/>
    <pivotField showAll="0"/>
    <pivotField dataField="1" numFmtId="38" showAll="0"/>
    <pivotField showAll="0"/>
    <pivotField showAll="0"/>
    <pivotField showAll="0"/>
    <pivotField showAll="0"/>
    <pivotField axis="axisRow" showAll="0">
      <items count="12">
        <item x="1"/>
        <item x="7"/>
        <item x="8"/>
        <item x="5"/>
        <item x="9"/>
        <item x="0"/>
        <item x="10"/>
        <item x="6"/>
        <item x="3"/>
        <item x="2"/>
        <item x="4"/>
        <item t="default"/>
      </items>
    </pivotField>
    <pivotField showAll="0"/>
    <pivotField showAll="0"/>
    <pivotField showAll="0"/>
  </pivotFields>
  <rowFields count="1">
    <field x="12"/>
  </rowFields>
  <rowItems count="12">
    <i>
      <x/>
    </i>
    <i>
      <x v="1"/>
    </i>
    <i>
      <x v="2"/>
    </i>
    <i>
      <x v="3"/>
    </i>
    <i>
      <x v="4"/>
    </i>
    <i>
      <x v="5"/>
    </i>
    <i>
      <x v="6"/>
    </i>
    <i>
      <x v="7"/>
    </i>
    <i>
      <x v="8"/>
    </i>
    <i>
      <x v="9"/>
    </i>
    <i>
      <x v="10"/>
    </i>
    <i t="grand">
      <x/>
    </i>
  </rowItems>
  <colItems count="1">
    <i/>
  </colItems>
  <dataFields count="1">
    <dataField name="Sum of Total Net Generation (1)" fld="7" baseField="0" baseItem="0" numFmtId="3"/>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3" cacheId="1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72:B175" firstHeaderRow="1" firstDataRow="1" firstDataCol="1"/>
  <pivotFields count="13">
    <pivotField showAll="0"/>
    <pivotField showAll="0"/>
    <pivotField dataField="1" numFmtId="2" showAll="0"/>
    <pivotField numFmtId="2" showAll="0"/>
    <pivotField numFmtId="2" showAll="0"/>
    <pivotField numFmtId="9" showAll="0"/>
    <pivotField showAll="0"/>
    <pivotField axis="axisRow" showAll="0">
      <items count="3">
        <item x="1"/>
        <item x="0"/>
        <item t="default"/>
      </items>
    </pivotField>
    <pivotField showAll="0"/>
    <pivotField showAll="0"/>
    <pivotField showAll="0"/>
    <pivotField showAll="0"/>
    <pivotField showAll="0"/>
  </pivotFields>
  <rowFields count="1">
    <field x="7"/>
  </rowFields>
  <rowItems count="3">
    <i>
      <x/>
    </i>
    <i>
      <x v="1"/>
    </i>
    <i t="grand">
      <x/>
    </i>
  </rowItems>
  <colItems count="1">
    <i/>
  </colItems>
  <dataFields count="1">
    <dataField name="Count of Residential Rate ($/kWh)" fld="2" subtotal="count" baseField="7"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0"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44:E50" firstHeaderRow="1" firstDataRow="1" firstDataCol="1"/>
  <pivotFields count="16">
    <pivotField showAll="0"/>
    <pivotField showAll="0"/>
    <pivotField showAll="0"/>
    <pivotField numFmtId="3" showAll="0" defaultSubtotal="0"/>
    <pivotField showAll="0"/>
    <pivotField showAll="0"/>
    <pivotField showAll="0"/>
    <pivotField dataField="1" numFmtId="38" showAll="0"/>
    <pivotField showAll="0"/>
    <pivotField showAll="0"/>
    <pivotField showAll="0"/>
    <pivotField showAll="0"/>
    <pivotField showAll="0"/>
    <pivotField showAll="0"/>
    <pivotField showAll="0"/>
    <pivotField axis="axisRow" showAll="0">
      <items count="6">
        <item x="3"/>
        <item x="4"/>
        <item x="1"/>
        <item x="0"/>
        <item x="2"/>
        <item t="default"/>
      </items>
    </pivotField>
  </pivotFields>
  <rowFields count="1">
    <field x="15"/>
  </rowFields>
  <rowItems count="6">
    <i>
      <x/>
    </i>
    <i>
      <x v="1"/>
    </i>
    <i>
      <x v="2"/>
    </i>
    <i>
      <x v="3"/>
    </i>
    <i>
      <x v="4"/>
    </i>
    <i t="grand">
      <x/>
    </i>
  </rowItems>
  <colItems count="1">
    <i/>
  </colItems>
  <dataFields count="1">
    <dataField name="Sum of Total Net Generation (1)" fld="7" baseField="0" baseItem="0" numFmtId="3"/>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E16" firstHeaderRow="1" firstDataRow="2" firstDataCol="1"/>
  <pivotFields count="10">
    <pivotField showAll="0" defaultSubtotal="0"/>
    <pivotField showAll="0"/>
    <pivotField axis="axisCol" dataField="1" showAll="0">
      <items count="4">
        <item x="1"/>
        <item x="0"/>
        <item x="2"/>
        <item t="default"/>
      </items>
    </pivotField>
    <pivotField axis="axisRow" showAll="0">
      <items count="12">
        <item x="2"/>
        <item x="7"/>
        <item x="8"/>
        <item x="5"/>
        <item x="0"/>
        <item x="1"/>
        <item x="10"/>
        <item x="6"/>
        <item x="9"/>
        <item x="3"/>
        <item x="4"/>
        <item t="default"/>
      </items>
    </pivotField>
    <pivotField showAll="0"/>
    <pivotField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4">
    <i>
      <x/>
    </i>
    <i>
      <x v="1"/>
    </i>
    <i>
      <x v="2"/>
    </i>
    <i t="grand">
      <x/>
    </i>
  </colItems>
  <dataFields count="1">
    <dataField name="Count of PC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I21:J27" firstHeaderRow="1" firstDataRow="1" firstDataCol="1"/>
  <pivotFields count="16">
    <pivotField showAll="0"/>
    <pivotField showAll="0"/>
    <pivotField showAll="0"/>
    <pivotField dataField="1" numFmtId="167" showAll="0"/>
    <pivotField numFmtId="167" showAll="0" defaultSubtotal="0"/>
    <pivotField numFmtId="167" showAll="0"/>
    <pivotField numFmtId="167" showAll="0"/>
    <pivotField numFmtId="167" showAll="0"/>
    <pivotField showAll="0"/>
    <pivotField showAll="0"/>
    <pivotField showAll="0"/>
    <pivotField showAll="0" defaultSubtotal="0"/>
    <pivotField showAll="0"/>
    <pivotField showAll="0"/>
    <pivotField showAll="0"/>
    <pivotField axis="axisRow" showAll="0">
      <items count="6">
        <item x="4"/>
        <item x="0"/>
        <item x="2"/>
        <item x="1"/>
        <item x="3"/>
        <item t="default"/>
      </items>
    </pivotField>
  </pivotFields>
  <rowFields count="1">
    <field x="15"/>
  </rowFields>
  <rowItems count="6">
    <i>
      <x/>
    </i>
    <i>
      <x v="1"/>
    </i>
    <i>
      <x v="2"/>
    </i>
    <i>
      <x v="3"/>
    </i>
    <i>
      <x v="4"/>
    </i>
    <i t="grand">
      <x/>
    </i>
  </rowItems>
  <colItems count="1">
    <i/>
  </colItems>
  <dataFields count="1">
    <dataField name="Sum of Total Capacity, kW (1)" fld="3"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M4:N118" firstHeaderRow="1" firstDataRow="1" firstDataCol="1"/>
  <pivotFields count="10">
    <pivotField dataField="1" showAll="0">
      <items count="329">
        <item x="311"/>
        <item x="0"/>
        <item x="1"/>
        <item x="2"/>
        <item x="3"/>
        <item x="40"/>
        <item x="6"/>
        <item x="7"/>
        <item x="286"/>
        <item x="8"/>
        <item x="41"/>
        <item x="278"/>
        <item x="176"/>
        <item x="95"/>
        <item x="147"/>
        <item x="42"/>
        <item x="206"/>
        <item x="96"/>
        <item x="43"/>
        <item x="97"/>
        <item x="98"/>
        <item x="99"/>
        <item x="279"/>
        <item x="148"/>
        <item x="100"/>
        <item x="300"/>
        <item x="101"/>
        <item x="112"/>
        <item x="102"/>
        <item x="9"/>
        <item x="149"/>
        <item x="230"/>
        <item x="104"/>
        <item x="44"/>
        <item x="105"/>
        <item x="231"/>
        <item x="232"/>
        <item x="150"/>
        <item x="146"/>
        <item x="106"/>
        <item x="233"/>
        <item x="272"/>
        <item x="151"/>
        <item x="107"/>
        <item x="45"/>
        <item x="234"/>
        <item x="110"/>
        <item x="108"/>
        <item x="109"/>
        <item x="207"/>
        <item x="216"/>
        <item x="10"/>
        <item x="111"/>
        <item x="261"/>
        <item x="235"/>
        <item x="121"/>
        <item x="177"/>
        <item x="122"/>
        <item x="11"/>
        <item x="178"/>
        <item x="144"/>
        <item x="152"/>
        <item x="113"/>
        <item x="123"/>
        <item x="124"/>
        <item x="138"/>
        <item x="12"/>
        <item x="13"/>
        <item x="262"/>
        <item x="301"/>
        <item x="314"/>
        <item x="211"/>
        <item x="153"/>
        <item x="154"/>
        <item x="179"/>
        <item x="287"/>
        <item x="140"/>
        <item x="14"/>
        <item x="15"/>
        <item x="4"/>
        <item x="321"/>
        <item x="16"/>
        <item x="236"/>
        <item x="17"/>
        <item x="46"/>
        <item x="141"/>
        <item x="237"/>
        <item x="47"/>
        <item x="142"/>
        <item x="48"/>
        <item x="49"/>
        <item x="155"/>
        <item x="18"/>
        <item x="139"/>
        <item x="172"/>
        <item x="143"/>
        <item x="238"/>
        <item x="156"/>
        <item x="239"/>
        <item x="175"/>
        <item x="157"/>
        <item x="158"/>
        <item x="180"/>
        <item x="181"/>
        <item x="182"/>
        <item x="125"/>
        <item x="145"/>
        <item x="50"/>
        <item x="240"/>
        <item x="114"/>
        <item x="241"/>
        <item x="126"/>
        <item x="159"/>
        <item x="173"/>
        <item x="51"/>
        <item x="52"/>
        <item x="127"/>
        <item x="174"/>
        <item x="19"/>
        <item x="183"/>
        <item x="184"/>
        <item x="160"/>
        <item x="161"/>
        <item x="20"/>
        <item x="21"/>
        <item x="53"/>
        <item x="185"/>
        <item x="208"/>
        <item x="54"/>
        <item x="115"/>
        <item x="242"/>
        <item x="201"/>
        <item x="55"/>
        <item x="22"/>
        <item x="202"/>
        <item x="203"/>
        <item x="186"/>
        <item x="5"/>
        <item x="187"/>
        <item x="209"/>
        <item x="280"/>
        <item x="188"/>
        <item x="56"/>
        <item x="57"/>
        <item x="94"/>
        <item x="23"/>
        <item x="58"/>
        <item x="189"/>
        <item x="190"/>
        <item x="128"/>
        <item x="212"/>
        <item x="59"/>
        <item x="213"/>
        <item x="267"/>
        <item x="214"/>
        <item x="60"/>
        <item x="24"/>
        <item x="210"/>
        <item x="243"/>
        <item x="244"/>
        <item x="215"/>
        <item x="217"/>
        <item x="218"/>
        <item x="221"/>
        <item x="275"/>
        <item x="295"/>
        <item x="61"/>
        <item x="222"/>
        <item x="62"/>
        <item x="223"/>
        <item x="224"/>
        <item x="225"/>
        <item x="245"/>
        <item x="266"/>
        <item x="246"/>
        <item x="226"/>
        <item x="247"/>
        <item x="227"/>
        <item x="228"/>
        <item x="25"/>
        <item x="302"/>
        <item x="63"/>
        <item x="313"/>
        <item x="229"/>
        <item x="64"/>
        <item x="259"/>
        <item x="162"/>
        <item x="248"/>
        <item x="65"/>
        <item x="129"/>
        <item x="26"/>
        <item x="260"/>
        <item x="66"/>
        <item x="163"/>
        <item x="116"/>
        <item x="27"/>
        <item x="67"/>
        <item x="130"/>
        <item x="268"/>
        <item x="191"/>
        <item x="270"/>
        <item x="271"/>
        <item x="28"/>
        <item x="131"/>
        <item x="274"/>
        <item x="164"/>
        <item x="29"/>
        <item x="68"/>
        <item x="204"/>
        <item x="323"/>
        <item x="69"/>
        <item x="192"/>
        <item x="193"/>
        <item x="276"/>
        <item x="319"/>
        <item x="194"/>
        <item x="70"/>
        <item x="277"/>
        <item x="205"/>
        <item x="71"/>
        <item x="165"/>
        <item x="30"/>
        <item x="31"/>
        <item x="32"/>
        <item x="281"/>
        <item x="72"/>
        <item x="285"/>
        <item x="73"/>
        <item x="74"/>
        <item x="103"/>
        <item x="288"/>
        <item x="249"/>
        <item x="289"/>
        <item x="290"/>
        <item x="273"/>
        <item x="291"/>
        <item x="250"/>
        <item x="292"/>
        <item x="75"/>
        <item x="76"/>
        <item x="293"/>
        <item x="166"/>
        <item x="282"/>
        <item x="283"/>
        <item x="251"/>
        <item x="117"/>
        <item x="308"/>
        <item x="195"/>
        <item x="294"/>
        <item x="219"/>
        <item x="303"/>
        <item x="77"/>
        <item x="296"/>
        <item x="263"/>
        <item x="196"/>
        <item x="297"/>
        <item x="78"/>
        <item x="298"/>
        <item x="79"/>
        <item x="80"/>
        <item x="299"/>
        <item x="197"/>
        <item x="167"/>
        <item x="312"/>
        <item x="81"/>
        <item x="82"/>
        <item x="83"/>
        <item x="198"/>
        <item x="304"/>
        <item x="84"/>
        <item x="85"/>
        <item x="86"/>
        <item x="87"/>
        <item x="132"/>
        <item x="305"/>
        <item x="33"/>
        <item x="34"/>
        <item x="264"/>
        <item x="199"/>
        <item x="269"/>
        <item x="168"/>
        <item x="88"/>
        <item x="169"/>
        <item x="200"/>
        <item x="306"/>
        <item x="265"/>
        <item x="118"/>
        <item x="252"/>
        <item x="253"/>
        <item x="307"/>
        <item x="254"/>
        <item x="35"/>
        <item x="255"/>
        <item x="309"/>
        <item x="310"/>
        <item x="133"/>
        <item x="89"/>
        <item x="315"/>
        <item x="36"/>
        <item x="37"/>
        <item x="90"/>
        <item x="38"/>
        <item x="91"/>
        <item x="134"/>
        <item x="135"/>
        <item x="256"/>
        <item x="316"/>
        <item x="317"/>
        <item x="92"/>
        <item x="318"/>
        <item x="170"/>
        <item x="119"/>
        <item x="320"/>
        <item x="322"/>
        <item x="136"/>
        <item x="324"/>
        <item x="284"/>
        <item x="93"/>
        <item x="257"/>
        <item x="39"/>
        <item x="325"/>
        <item x="171"/>
        <item x="120"/>
        <item x="258"/>
        <item x="137"/>
        <item x="220"/>
        <item x="326"/>
        <item x="327"/>
        <item t="default"/>
      </items>
    </pivotField>
    <pivotField axis="axisRow" multipleItemSelectionAllowed="1" showAll="0">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pivotField>
    <pivotField showAll="0"/>
    <pivotField showAll="0"/>
    <pivotField showAll="0"/>
    <pivotField showAll="0"/>
    <pivotField showAll="0"/>
    <pivotField showAll="0"/>
    <pivotField showAll="0"/>
    <pivotField showAll="0"/>
  </pivotFields>
  <rowFields count="1">
    <field x="1"/>
  </rowFields>
  <rowItems count="1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t="grand">
      <x/>
    </i>
  </rowItems>
  <colItems count="1">
    <i/>
  </colItems>
  <dataFields count="1">
    <dataField name="Count of Community Nam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4:D86" firstHeaderRow="0" firstDataRow="1" firstDataCol="1"/>
  <pivotFields count="17">
    <pivotField showAll="0"/>
    <pivotField showAll="0"/>
    <pivotField showAll="0"/>
    <pivotField showAll="0"/>
    <pivotField showAll="0"/>
    <pivotField showAll="0"/>
    <pivotField showAll="0"/>
    <pivotField showAll="0"/>
    <pivotField dataField="1" showAll="0" defaultSubtotal="0"/>
    <pivotField dataField="1" showAll="0"/>
    <pivotField dataField="1" showAll="0"/>
    <pivotField showAll="0"/>
    <pivotField showAll="0"/>
    <pivotField axis="axisRow" showAll="0">
      <items count="12">
        <item x="1"/>
        <item x="7"/>
        <item x="8"/>
        <item x="5"/>
        <item x="9"/>
        <item x="0"/>
        <item x="10"/>
        <item x="6"/>
        <item x="3"/>
        <item x="2"/>
        <item x="4"/>
        <item t="default"/>
      </items>
    </pivotField>
    <pivotField showAll="0"/>
    <pivotField showAll="0"/>
    <pivotField showAll="0"/>
  </pivotFields>
  <rowFields count="1">
    <field x="13"/>
  </rowFields>
  <rowItems count="12">
    <i>
      <x/>
    </i>
    <i>
      <x v="1"/>
    </i>
    <i>
      <x v="2"/>
    </i>
    <i>
      <x v="3"/>
    </i>
    <i>
      <x v="4"/>
    </i>
    <i>
      <x v="5"/>
    </i>
    <i>
      <x v="6"/>
    </i>
    <i>
      <x v="7"/>
    </i>
    <i>
      <x v="8"/>
    </i>
    <i>
      <x v="9"/>
    </i>
    <i>
      <x v="10"/>
    </i>
    <i t="grand">
      <x/>
    </i>
  </rowItems>
  <colFields count="1">
    <field x="-2"/>
  </colFields>
  <colItems count="3">
    <i>
      <x/>
    </i>
    <i i="1">
      <x v="1"/>
    </i>
    <i i="2">
      <x v="2"/>
    </i>
  </colItems>
  <dataFields count="3">
    <dataField name="Sum of Oil (gallons)" fld="8" baseField="0" baseItem="0"/>
    <dataField name="Sum of Gas (Mcf)" fld="9" baseField="13" baseItem="1"/>
    <dataField name="Sum of Coal (Short Tons)" fld="10" baseField="13" baseItem="1"/>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9"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21:F33" firstHeaderRow="0" firstDataRow="1" firstDataCol="1"/>
  <pivotFields count="16">
    <pivotField showAll="0"/>
    <pivotField showAll="0"/>
    <pivotField showAll="0"/>
    <pivotField dataField="1" numFmtId="167" showAll="0"/>
    <pivotField dataField="1" showAll="0"/>
    <pivotField dataField="1" showAll="0"/>
    <pivotField dataField="1" numFmtId="167" showAll="0"/>
    <pivotField dataField="1" showAll="0"/>
    <pivotField showAll="0"/>
    <pivotField showAll="0"/>
    <pivotField showAll="0"/>
    <pivotField showAll="0" defaultSubtotal="0"/>
    <pivotField axis="axisRow" showAll="0">
      <items count="12">
        <item x="2"/>
        <item x="8"/>
        <item x="9"/>
        <item x="6"/>
        <item x="0"/>
        <item x="1"/>
        <item x="10"/>
        <item x="7"/>
        <item x="4"/>
        <item x="3"/>
        <item x="5"/>
        <item t="default"/>
      </items>
    </pivotField>
    <pivotField showAll="0"/>
    <pivotField showAll="0"/>
    <pivotField showAll="0"/>
  </pivotFields>
  <rowFields count="1">
    <field x="12"/>
  </rowFields>
  <rowItems count="12">
    <i>
      <x/>
    </i>
    <i>
      <x v="1"/>
    </i>
    <i>
      <x v="2"/>
    </i>
    <i>
      <x v="3"/>
    </i>
    <i>
      <x v="4"/>
    </i>
    <i>
      <x v="5"/>
    </i>
    <i>
      <x v="6"/>
    </i>
    <i>
      <x v="7"/>
    </i>
    <i>
      <x v="8"/>
    </i>
    <i>
      <x v="9"/>
    </i>
    <i>
      <x v="10"/>
    </i>
    <i t="grand">
      <x/>
    </i>
  </rowItems>
  <colFields count="1">
    <field x="-2"/>
  </colFields>
  <colItems count="5">
    <i>
      <x/>
    </i>
    <i i="1">
      <x v="1"/>
    </i>
    <i i="2">
      <x v="2"/>
    </i>
    <i i="3">
      <x v="3"/>
    </i>
    <i i="4">
      <x v="4"/>
    </i>
  </colItems>
  <dataFields count="5">
    <dataField name="Sum of Total Capacity, kW (1)" fld="3" baseField="0" baseItem="0"/>
    <dataField name="Sum of Fossil Fuel Turbines" fld="4" baseField="12" baseItem="0"/>
    <dataField name="Sum of Internal Combustion" fld="5" baseField="12" baseItem="0"/>
    <dataField name="Sum of Hydroelectric" fld="6" baseField="0" baseItem="0"/>
    <dataField name="Sum of Wind Turbine" fld="7" baseField="12"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4"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I74:J82" firstHeaderRow="1" firstDataRow="1" firstDataCol="1" rowPageCount="1" colPageCount="1"/>
  <pivotFields count="17">
    <pivotField axis="axisRow" showAll="0">
      <items count="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showAll="0"/>
    <pivotField showAll="0"/>
    <pivotField showAll="0"/>
    <pivotField showAll="0"/>
    <pivotField showAll="0"/>
    <pivotField showAll="0"/>
    <pivotField showAll="0"/>
    <pivotField dataField="1" showAll="0" defaultSubtotal="0"/>
    <pivotField showAll="0"/>
    <pivotField showAll="0"/>
    <pivotField showAll="0"/>
    <pivotField showAll="0"/>
    <pivotField axis="axisPage" multipleItemSelectionAllowed="1" showAll="0">
      <items count="12">
        <item h="1" x="1"/>
        <item h="1" x="7"/>
        <item h="1" x="8"/>
        <item h="1" x="5"/>
        <item h="1" x="9"/>
        <item h="1" x="0"/>
        <item h="1" x="10"/>
        <item h="1" x="6"/>
        <item x="3"/>
        <item h="1" x="2"/>
        <item h="1" x="4"/>
        <item t="default"/>
      </items>
    </pivotField>
    <pivotField showAll="0"/>
    <pivotField showAll="0"/>
    <pivotField showAll="0"/>
  </pivotFields>
  <rowFields count="1">
    <field x="0"/>
  </rowFields>
  <rowItems count="8">
    <i>
      <x v="4"/>
    </i>
    <i>
      <x v="8"/>
    </i>
    <i>
      <x v="12"/>
    </i>
    <i>
      <x v="24"/>
    </i>
    <i>
      <x v="35"/>
    </i>
    <i>
      <x v="39"/>
    </i>
    <i>
      <x v="84"/>
    </i>
    <i t="grand">
      <x/>
    </i>
  </rowItems>
  <colItems count="1">
    <i/>
  </colItems>
  <pageFields count="1">
    <pageField fld="13" hier="-1"/>
  </pageFields>
  <dataFields count="1">
    <dataField name="Sum of Oil (gallons)" fld="8"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2"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44:L56" firstHeaderRow="0" firstDataRow="1" firstDataCol="1"/>
  <pivotFields count="16">
    <pivotField showAll="0"/>
    <pivotField showAll="0"/>
    <pivotField showAll="0"/>
    <pivotField dataField="1" numFmtId="3" showAll="0" defaultSubtotal="0"/>
    <pivotField dataField="1" showAll="0"/>
    <pivotField dataField="1" showAll="0"/>
    <pivotField dataField="1" showAll="0"/>
    <pivotField dataField="1" numFmtId="38" showAll="0"/>
    <pivotField showAll="0"/>
    <pivotField showAll="0"/>
    <pivotField showAll="0"/>
    <pivotField showAll="0"/>
    <pivotField axis="axisRow" showAll="0">
      <items count="12">
        <item x="1"/>
        <item x="7"/>
        <item x="8"/>
        <item x="5"/>
        <item x="9"/>
        <item x="0"/>
        <item x="10"/>
        <item x="6"/>
        <item x="3"/>
        <item x="2"/>
        <item x="4"/>
        <item t="default"/>
      </items>
    </pivotField>
    <pivotField showAll="0"/>
    <pivotField showAll="0"/>
    <pivotField showAll="0"/>
  </pivotFields>
  <rowFields count="1">
    <field x="12"/>
  </rowFields>
  <rowItems count="12">
    <i>
      <x/>
    </i>
    <i>
      <x v="1"/>
    </i>
    <i>
      <x v="2"/>
    </i>
    <i>
      <x v="3"/>
    </i>
    <i>
      <x v="4"/>
    </i>
    <i>
      <x v="5"/>
    </i>
    <i>
      <x v="6"/>
    </i>
    <i>
      <x v="7"/>
    </i>
    <i>
      <x v="8"/>
    </i>
    <i>
      <x v="9"/>
    </i>
    <i>
      <x v="10"/>
    </i>
    <i t="grand">
      <x/>
    </i>
  </rowItems>
  <colFields count="1">
    <field x="-2"/>
  </colFields>
  <colItems count="5">
    <i>
      <x/>
    </i>
    <i i="1">
      <x v="1"/>
    </i>
    <i i="2">
      <x v="2"/>
    </i>
    <i i="3">
      <x v="3"/>
    </i>
    <i i="4">
      <x v="4"/>
    </i>
  </colItems>
  <dataFields count="5">
    <dataField name="Sum of Total Net Generation (1)" fld="7" baseField="0" baseItem="0" numFmtId="3"/>
    <dataField name="Sum of Fossil Fuel Turbines" fld="3" baseField="0" baseItem="0"/>
    <dataField name="Sum of Reciprocating Internal Combustion" fld="4" baseField="0" baseItem="0"/>
    <dataField name="Sum of Hydroelectric" fld="5" baseField="0" baseItem="0"/>
    <dataField name="Sum of Wind Turbine" fld="6"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06:E118" firstHeaderRow="0" firstDataRow="1" firstDataCol="1"/>
  <pivotFields count="24">
    <pivotField showAll="0"/>
    <pivotField showAll="0"/>
    <pivotField dataField="1" numFmtId="38" showAll="0"/>
    <pivotField numFmtId="38" showAll="0"/>
    <pivotField numFmtId="38" showAll="0"/>
    <pivotField numFmtId="40" showAll="0"/>
    <pivotField dataField="1" numFmtId="38" showAll="0"/>
    <pivotField numFmtId="38" showAll="0"/>
    <pivotField numFmtId="38" showAll="0"/>
    <pivotField numFmtId="40" showAll="0"/>
    <pivotField dataField="1" numFmtId="38" showAll="0"/>
    <pivotField numFmtId="38" showAll="0"/>
    <pivotField numFmtId="38" showAll="0"/>
    <pivotField showAll="0"/>
    <pivotField dataField="1" numFmtId="38" showAll="0"/>
    <pivotField numFmtId="38" showAll="0"/>
    <pivotField numFmtId="38" showAll="0"/>
    <pivotField numFmtId="40" showAll="0"/>
    <pivotField showAll="0"/>
    <pivotField showAll="0"/>
    <pivotField axis="axisRow" showAll="0">
      <items count="12">
        <item x="1"/>
        <item x="6"/>
        <item x="7"/>
        <item x="4"/>
        <item x="8"/>
        <item x="0"/>
        <item x="10"/>
        <item x="5"/>
        <item x="9"/>
        <item x="2"/>
        <item x="3"/>
        <item t="default"/>
      </items>
    </pivotField>
    <pivotField showAll="0"/>
    <pivotField showAll="0"/>
    <pivotField showAll="0"/>
  </pivotFields>
  <rowFields count="1">
    <field x="20"/>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Sum of Revenue ($000)" fld="2" baseField="0" baseItem="0"/>
    <dataField name="Sum of Revenue ($000)2" fld="6" baseField="0" baseItem="0"/>
    <dataField name="Sum of Revenue ($000)3" fld="10" baseField="0" baseItem="0"/>
    <dataField name="Sum of Revenue ($000)4" fld="14"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90:E102" firstHeaderRow="0" firstDataRow="1" firstDataCol="1"/>
  <pivotFields count="24">
    <pivotField showAll="0"/>
    <pivotField showAll="0"/>
    <pivotField numFmtId="38" showAll="0"/>
    <pivotField dataField="1" numFmtId="38" showAll="0"/>
    <pivotField numFmtId="38" showAll="0"/>
    <pivotField numFmtId="40" showAll="0"/>
    <pivotField numFmtId="38" showAll="0"/>
    <pivotField dataField="1" numFmtId="38" showAll="0"/>
    <pivotField numFmtId="38" showAll="0"/>
    <pivotField numFmtId="40" showAll="0"/>
    <pivotField numFmtId="38" showAll="0"/>
    <pivotField dataField="1" numFmtId="38" showAll="0"/>
    <pivotField numFmtId="38" showAll="0"/>
    <pivotField showAll="0"/>
    <pivotField numFmtId="38" showAll="0"/>
    <pivotField dataField="1" numFmtId="38" showAll="0"/>
    <pivotField numFmtId="38" showAll="0"/>
    <pivotField numFmtId="40" showAll="0"/>
    <pivotField showAll="0"/>
    <pivotField showAll="0"/>
    <pivotField axis="axisRow" showAll="0">
      <items count="12">
        <item x="1"/>
        <item x="6"/>
        <item x="7"/>
        <item x="4"/>
        <item x="8"/>
        <item x="0"/>
        <item x="10"/>
        <item x="5"/>
        <item x="9"/>
        <item x="2"/>
        <item x="3"/>
        <item t="default"/>
      </items>
    </pivotField>
    <pivotField showAll="0"/>
    <pivotField showAll="0"/>
    <pivotField showAll="0"/>
  </pivotFields>
  <rowFields count="1">
    <field x="20"/>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Sum of Sales (MWh)" fld="3" baseField="0" baseItem="0"/>
    <dataField name="Sum of Sales  (MWh)" fld="7" baseField="0" baseItem="0"/>
    <dataField name="Sum of Sales (MWh)2" fld="11" baseField="0" baseItem="0"/>
    <dataField name="Sum of Sales (MWh)3" fld="15"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22:E134" firstHeaderRow="0" firstDataRow="1" firstDataCol="1"/>
  <pivotFields count="24">
    <pivotField showAll="0"/>
    <pivotField showAll="0"/>
    <pivotField numFmtId="38" showAll="0"/>
    <pivotField numFmtId="38" showAll="0"/>
    <pivotField dataField="1" numFmtId="38" showAll="0"/>
    <pivotField numFmtId="40" showAll="0"/>
    <pivotField numFmtId="38" showAll="0"/>
    <pivotField numFmtId="38" showAll="0"/>
    <pivotField dataField="1" numFmtId="38" showAll="0"/>
    <pivotField numFmtId="40" showAll="0"/>
    <pivotField numFmtId="38" showAll="0"/>
    <pivotField numFmtId="38" showAll="0"/>
    <pivotField dataField="1" numFmtId="38" showAll="0"/>
    <pivotField showAll="0"/>
    <pivotField numFmtId="38" showAll="0"/>
    <pivotField numFmtId="38" showAll="0"/>
    <pivotField dataField="1" numFmtId="38" showAll="0"/>
    <pivotField numFmtId="40" showAll="0"/>
    <pivotField showAll="0"/>
    <pivotField showAll="0"/>
    <pivotField axis="axisRow" showAll="0">
      <items count="12">
        <item x="1"/>
        <item x="6"/>
        <item x="7"/>
        <item x="4"/>
        <item x="8"/>
        <item x="0"/>
        <item x="10"/>
        <item x="5"/>
        <item x="9"/>
        <item x="2"/>
        <item x="3"/>
        <item t="default"/>
      </items>
    </pivotField>
    <pivotField showAll="0"/>
    <pivotField showAll="0"/>
    <pivotField showAll="0"/>
  </pivotFields>
  <rowFields count="1">
    <field x="20"/>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Sum of Customers (Accounts)" fld="4" baseField="0" baseItem="0"/>
    <dataField name="Sum of Customers (Accounts)2" fld="8" baseField="0" baseItem="0"/>
    <dataField name="Sum of Customers (Accounts)3" fld="12" baseField="0" baseItem="0"/>
    <dataField name="Sum of Customers (Accounts)4" fld="16"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55:B167" firstHeaderRow="1" firstDataRow="1" firstDataCol="1"/>
  <pivotFields count="19">
    <pivotField showAll="0"/>
    <pivotField showAll="0"/>
    <pivotField showAll="0"/>
    <pivotField showAll="0"/>
    <pivotField showAll="0"/>
    <pivotField numFmtId="38" showAll="0"/>
    <pivotField numFmtId="38" showAll="0"/>
    <pivotField numFmtId="40" showAll="0"/>
    <pivotField dataField="1" numFmtId="38" showAll="0"/>
    <pivotField showAll="0"/>
    <pivotField numFmtId="3" showAll="0"/>
    <pivotField numFmtId="3" showAll="0"/>
    <pivotField numFmtId="165" showAll="0"/>
    <pivotField showAll="0"/>
    <pivotField showAll="0"/>
    <pivotField axis="axisRow" showAll="0">
      <items count="12">
        <item x="1"/>
        <item x="6"/>
        <item x="7"/>
        <item x="4"/>
        <item x="8"/>
        <item x="0"/>
        <item x="10"/>
        <item x="5"/>
        <item x="9"/>
        <item x="2"/>
        <item x="3"/>
        <item t="default"/>
      </items>
    </pivotField>
    <pivotField showAll="0"/>
    <pivotField showAll="0"/>
    <pivotField showAll="0"/>
  </pivotFields>
  <rowFields count="1">
    <field x="15"/>
  </rowFields>
  <rowItems count="12">
    <i>
      <x/>
    </i>
    <i>
      <x v="1"/>
    </i>
    <i>
      <x v="2"/>
    </i>
    <i>
      <x v="3"/>
    </i>
    <i>
      <x v="4"/>
    </i>
    <i>
      <x v="5"/>
    </i>
    <i>
      <x v="6"/>
    </i>
    <i>
      <x v="7"/>
    </i>
    <i>
      <x v="8"/>
    </i>
    <i>
      <x v="9"/>
    </i>
    <i>
      <x v="10"/>
    </i>
    <i t="grand">
      <x/>
    </i>
  </rowItems>
  <colItems count="1">
    <i/>
  </colItems>
  <dataFields count="1">
    <dataField name="Sum of CO2 Metric Tons from Fuel" fld="8" baseField="0" baseItem="0" numFmtId="172"/>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ia.gov/electricity/data/eia860/index.html" TargetMode="External"/><Relationship Id="rId2" Type="http://schemas.openxmlformats.org/officeDocument/2006/relationships/hyperlink" Target="http://www.eia.gov/electricity/data/eia923/" TargetMode="External"/><Relationship Id="rId1" Type="http://schemas.openxmlformats.org/officeDocument/2006/relationships/hyperlink" Target="http://www.akenergyauthority.org/" TargetMode="External"/><Relationship Id="rId5" Type="http://schemas.openxmlformats.org/officeDocument/2006/relationships/printerSettings" Target="../printerSettings/printerSettings1.bin"/><Relationship Id="rId4" Type="http://schemas.openxmlformats.org/officeDocument/2006/relationships/hyperlink" Target="http://www.eia.gov/electricity/data/eia861/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rinterSettings" Target="../printerSettings/printerSettings19.bin"/><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S60"/>
  <sheetViews>
    <sheetView showGridLines="0" tabSelected="1" workbookViewId="0">
      <selection activeCell="B4" sqref="B4"/>
    </sheetView>
  </sheetViews>
  <sheetFormatPr defaultRowHeight="15" x14ac:dyDescent="0.25"/>
  <cols>
    <col min="2" max="2" width="10" customWidth="1"/>
    <col min="11" max="11" width="55.28515625" customWidth="1"/>
    <col min="12" max="12" width="25.5703125" customWidth="1"/>
  </cols>
  <sheetData>
    <row r="1" spans="1:19" ht="15.75" x14ac:dyDescent="0.25">
      <c r="A1" s="211" t="s">
        <v>1049</v>
      </c>
      <c r="B1" s="212"/>
      <c r="C1" s="212"/>
      <c r="D1" s="212"/>
      <c r="E1" s="212"/>
      <c r="F1" s="212"/>
      <c r="G1" s="212"/>
      <c r="H1" s="212"/>
      <c r="I1" s="212"/>
      <c r="J1" s="212"/>
      <c r="K1" s="212"/>
      <c r="L1" s="212"/>
      <c r="M1" s="212"/>
      <c r="N1" s="212"/>
      <c r="O1" s="212"/>
      <c r="P1" s="212"/>
      <c r="Q1" s="212"/>
      <c r="R1" s="212"/>
      <c r="S1" s="212"/>
    </row>
    <row r="2" spans="1:19" ht="15.75" x14ac:dyDescent="0.25">
      <c r="A2" s="207" t="s">
        <v>582</v>
      </c>
      <c r="B2" s="208"/>
      <c r="C2" s="207"/>
      <c r="D2" s="207"/>
      <c r="E2" s="207"/>
      <c r="F2" s="207"/>
      <c r="G2" s="207"/>
      <c r="H2" s="207"/>
      <c r="I2" s="207"/>
      <c r="J2" s="207"/>
      <c r="K2" s="207"/>
      <c r="L2" s="207"/>
    </row>
    <row r="3" spans="1:19" ht="15.75" x14ac:dyDescent="0.25">
      <c r="B3" s="745" t="s">
        <v>1196</v>
      </c>
      <c r="C3" s="207"/>
      <c r="D3" s="207"/>
      <c r="E3" s="207"/>
      <c r="F3" s="207"/>
      <c r="G3" s="207"/>
      <c r="H3" s="207"/>
      <c r="I3" s="207"/>
      <c r="J3" s="207"/>
      <c r="K3" s="207"/>
      <c r="L3" s="207"/>
    </row>
    <row r="4" spans="1:19" ht="15.75" x14ac:dyDescent="0.25">
      <c r="A4" s="207"/>
      <c r="B4" s="209"/>
      <c r="C4" s="207"/>
      <c r="D4" s="207"/>
      <c r="E4" s="207"/>
      <c r="F4" s="207"/>
      <c r="G4" s="207"/>
      <c r="H4" s="207"/>
      <c r="I4" s="207"/>
      <c r="J4" s="207"/>
      <c r="K4" s="207"/>
      <c r="L4" s="207"/>
    </row>
    <row r="5" spans="1:19" ht="15.75" x14ac:dyDescent="0.25">
      <c r="A5" s="207" t="s">
        <v>583</v>
      </c>
      <c r="B5" s="207"/>
      <c r="C5" s="207"/>
      <c r="D5" s="207"/>
      <c r="E5" s="207"/>
      <c r="F5" s="207"/>
      <c r="G5" s="207"/>
      <c r="H5" s="207"/>
      <c r="I5" s="207"/>
      <c r="J5" s="207"/>
      <c r="K5" s="207"/>
      <c r="L5" s="207"/>
    </row>
    <row r="6" spans="1:19" ht="15.75" x14ac:dyDescent="0.25">
      <c r="A6" s="207"/>
      <c r="B6" s="207" t="s">
        <v>584</v>
      </c>
      <c r="C6" s="207"/>
      <c r="D6" s="207"/>
      <c r="E6" s="207"/>
      <c r="F6" s="207"/>
      <c r="G6" s="207"/>
      <c r="H6" s="207"/>
      <c r="I6" s="207"/>
      <c r="J6" s="207"/>
      <c r="K6" s="207"/>
      <c r="L6" s="207"/>
    </row>
    <row r="7" spans="1:19" ht="15.75" x14ac:dyDescent="0.25">
      <c r="A7" s="207" t="s">
        <v>585</v>
      </c>
      <c r="B7" s="207"/>
      <c r="C7" s="207"/>
      <c r="D7" s="207"/>
      <c r="E7" s="207"/>
      <c r="F7" s="207"/>
      <c r="G7" s="207"/>
      <c r="H7" s="207"/>
      <c r="I7" s="207"/>
      <c r="J7" s="207"/>
      <c r="K7" s="207"/>
      <c r="L7" s="207"/>
    </row>
    <row r="8" spans="1:19" ht="15.75" x14ac:dyDescent="0.25">
      <c r="A8" s="207"/>
      <c r="B8" s="207" t="s">
        <v>586</v>
      </c>
      <c r="C8" s="207"/>
      <c r="D8" s="207"/>
      <c r="E8" s="207"/>
      <c r="F8" s="207"/>
      <c r="G8" s="207"/>
      <c r="H8" s="207"/>
      <c r="I8" s="207"/>
      <c r="J8" s="207"/>
      <c r="K8" s="207"/>
      <c r="L8" s="207"/>
    </row>
    <row r="9" spans="1:19" ht="15.75" x14ac:dyDescent="0.25">
      <c r="A9" s="207" t="s">
        <v>587</v>
      </c>
      <c r="B9" s="207"/>
      <c r="C9" s="207"/>
      <c r="D9" s="207"/>
      <c r="E9" s="207"/>
      <c r="F9" s="207"/>
      <c r="G9" s="207"/>
      <c r="H9" s="207"/>
      <c r="I9" s="207"/>
      <c r="J9" s="207"/>
      <c r="K9" s="207"/>
      <c r="L9" s="207"/>
    </row>
    <row r="10" spans="1:19" ht="15.75" x14ac:dyDescent="0.25">
      <c r="A10" s="207"/>
      <c r="B10" s="210" t="s">
        <v>1174</v>
      </c>
      <c r="C10" s="207"/>
      <c r="D10" s="207"/>
      <c r="E10" s="207"/>
      <c r="F10" s="207"/>
      <c r="H10" s="207"/>
      <c r="I10" s="207"/>
      <c r="J10" s="207"/>
      <c r="K10" s="207"/>
      <c r="L10" s="207"/>
    </row>
    <row r="11" spans="1:19" ht="15.75" x14ac:dyDescent="0.25">
      <c r="A11" s="207"/>
      <c r="B11" s="207"/>
      <c r="C11" s="207"/>
      <c r="D11" s="207"/>
      <c r="E11" s="207"/>
      <c r="F11" s="207"/>
      <c r="G11" s="207"/>
      <c r="H11" s="207"/>
      <c r="I11" s="207"/>
      <c r="J11" s="207"/>
      <c r="K11" s="207"/>
      <c r="L11" s="207"/>
    </row>
    <row r="12" spans="1:19" ht="15.75" x14ac:dyDescent="0.25">
      <c r="A12" s="211" t="s">
        <v>588</v>
      </c>
      <c r="B12" s="212"/>
      <c r="C12" s="212"/>
      <c r="D12" s="212"/>
      <c r="E12" s="212"/>
      <c r="F12" s="212"/>
      <c r="G12" s="212"/>
      <c r="H12" s="212"/>
      <c r="I12" s="212"/>
      <c r="J12" s="212"/>
      <c r="K12" s="212"/>
      <c r="L12" s="212"/>
      <c r="M12" s="212"/>
      <c r="N12" s="212"/>
      <c r="O12" s="212"/>
      <c r="P12" s="212"/>
      <c r="Q12" s="212"/>
      <c r="R12" s="212"/>
      <c r="S12" s="212"/>
    </row>
    <row r="13" spans="1:19" ht="15.75" x14ac:dyDescent="0.25">
      <c r="A13" s="207"/>
      <c r="B13" s="207"/>
      <c r="C13" s="207"/>
      <c r="D13" s="207"/>
      <c r="E13" s="207"/>
      <c r="F13" s="207"/>
      <c r="G13" s="207"/>
      <c r="H13" s="207"/>
      <c r="I13" s="207"/>
      <c r="J13" s="207"/>
      <c r="K13" s="207"/>
      <c r="L13" s="207"/>
    </row>
    <row r="14" spans="1:19" ht="15.75" x14ac:dyDescent="0.25">
      <c r="A14" s="338" t="s">
        <v>589</v>
      </c>
      <c r="B14" s="207"/>
      <c r="C14" s="207"/>
      <c r="D14" s="207"/>
      <c r="E14" s="207"/>
      <c r="F14" s="207"/>
      <c r="G14" s="207"/>
      <c r="H14" s="207"/>
      <c r="I14" s="207"/>
      <c r="J14" s="207"/>
      <c r="K14" s="207"/>
      <c r="L14" s="207"/>
    </row>
    <row r="15" spans="1:19" ht="15.75" x14ac:dyDescent="0.25">
      <c r="A15" s="207" t="s">
        <v>662</v>
      </c>
      <c r="C15" s="207"/>
      <c r="D15" s="207"/>
      <c r="E15" s="207"/>
      <c r="F15" s="207"/>
      <c r="G15" s="207"/>
      <c r="H15" s="207"/>
      <c r="I15" s="207"/>
      <c r="J15" s="207"/>
      <c r="K15" s="207"/>
      <c r="L15" s="207"/>
    </row>
    <row r="16" spans="1:19" s="341" customFormat="1" ht="15.75" x14ac:dyDescent="0.25">
      <c r="A16" s="209" t="s">
        <v>664</v>
      </c>
      <c r="C16" s="207"/>
      <c r="D16" s="207"/>
      <c r="E16" s="207"/>
      <c r="F16" s="207"/>
      <c r="G16" s="207"/>
      <c r="H16" s="207"/>
      <c r="I16" s="207"/>
      <c r="J16" s="207"/>
      <c r="K16" s="207"/>
      <c r="L16" s="207"/>
    </row>
    <row r="17" spans="1:19" s="341" customFormat="1" ht="15.75" x14ac:dyDescent="0.25">
      <c r="A17" s="209" t="s">
        <v>663</v>
      </c>
      <c r="C17" s="207"/>
      <c r="D17" s="207"/>
      <c r="E17" s="207"/>
      <c r="F17" s="207"/>
      <c r="G17" s="207"/>
      <c r="H17" s="207"/>
      <c r="I17" s="207"/>
      <c r="J17" s="207"/>
      <c r="K17" s="207"/>
      <c r="L17" s="207"/>
    </row>
    <row r="18" spans="1:19" ht="15.75" x14ac:dyDescent="0.25">
      <c r="A18" s="209" t="s">
        <v>665</v>
      </c>
      <c r="C18" s="207"/>
      <c r="D18" s="207"/>
      <c r="E18" s="207"/>
      <c r="F18" s="207"/>
      <c r="G18" s="207"/>
      <c r="H18" s="207"/>
      <c r="I18" s="207"/>
      <c r="J18" s="207"/>
      <c r="K18" s="207"/>
      <c r="L18" s="207"/>
    </row>
    <row r="19" spans="1:19" ht="15.75" x14ac:dyDescent="0.25">
      <c r="A19" s="338" t="s">
        <v>590</v>
      </c>
      <c r="B19" s="207"/>
      <c r="C19" s="207"/>
      <c r="D19" s="207"/>
      <c r="E19" s="207"/>
      <c r="F19" s="207"/>
      <c r="G19" s="207"/>
      <c r="H19" s="207"/>
      <c r="I19" s="207"/>
      <c r="J19" s="207"/>
      <c r="K19" s="207"/>
      <c r="L19" s="210"/>
    </row>
    <row r="20" spans="1:19" ht="15.75" x14ac:dyDescent="0.25">
      <c r="A20" s="207" t="s">
        <v>599</v>
      </c>
      <c r="B20" s="207"/>
      <c r="C20" s="207"/>
      <c r="D20" s="207"/>
      <c r="E20" s="207"/>
      <c r="F20" s="207"/>
      <c r="G20" s="207"/>
      <c r="H20" s="207"/>
      <c r="I20" s="207"/>
      <c r="J20" s="207"/>
      <c r="K20" s="207"/>
      <c r="L20" s="207"/>
    </row>
    <row r="21" spans="1:19" ht="15.75" x14ac:dyDescent="0.25">
      <c r="A21" s="209" t="s">
        <v>591</v>
      </c>
      <c r="B21" s="207"/>
      <c r="C21" s="207"/>
      <c r="D21" s="207"/>
      <c r="E21" s="207"/>
      <c r="F21" s="207"/>
      <c r="G21" s="207"/>
      <c r="H21" s="207"/>
      <c r="I21" s="207"/>
      <c r="J21" s="207"/>
      <c r="K21" s="207"/>
      <c r="L21" s="207"/>
    </row>
    <row r="22" spans="1:19" ht="15.75" x14ac:dyDescent="0.25">
      <c r="A22" s="337" t="s">
        <v>1046</v>
      </c>
      <c r="B22" s="207"/>
      <c r="C22" s="207"/>
      <c r="D22" s="207"/>
      <c r="E22" s="207"/>
      <c r="F22" s="207"/>
      <c r="G22" s="207"/>
      <c r="H22" s="207"/>
      <c r="I22" s="207"/>
      <c r="J22" s="207"/>
      <c r="K22" s="207"/>
      <c r="L22" s="207"/>
    </row>
    <row r="23" spans="1:19" s="341" customFormat="1" ht="15.75" x14ac:dyDescent="0.25">
      <c r="A23" s="209"/>
      <c r="B23" s="207"/>
      <c r="C23" s="207"/>
      <c r="D23" s="207"/>
      <c r="E23" s="207"/>
      <c r="F23" s="207"/>
      <c r="G23" s="207"/>
      <c r="H23" s="207"/>
      <c r="I23" s="207"/>
      <c r="J23" s="207"/>
      <c r="K23" s="207"/>
      <c r="L23" s="207"/>
    </row>
    <row r="24" spans="1:19" ht="15.75" x14ac:dyDescent="0.25">
      <c r="A24" s="211" t="s">
        <v>592</v>
      </c>
      <c r="B24" s="211"/>
      <c r="C24" s="211"/>
      <c r="D24" s="211"/>
      <c r="E24" s="211"/>
      <c r="F24" s="211"/>
      <c r="G24" s="211"/>
      <c r="H24" s="211"/>
      <c r="I24" s="211"/>
      <c r="J24" s="211"/>
      <c r="K24" s="211"/>
      <c r="L24" s="211"/>
      <c r="M24" s="211"/>
      <c r="N24" s="211"/>
      <c r="O24" s="211"/>
      <c r="P24" s="211"/>
      <c r="Q24" s="211"/>
      <c r="R24" s="211"/>
      <c r="S24" s="211"/>
    </row>
    <row r="25" spans="1:19" ht="15.75" x14ac:dyDescent="0.25">
      <c r="A25" s="220"/>
      <c r="B25" s="220" t="s">
        <v>593</v>
      </c>
      <c r="C25" s="220"/>
      <c r="D25" s="220"/>
      <c r="E25" s="220"/>
      <c r="F25" s="220"/>
      <c r="G25" s="220"/>
      <c r="H25" s="220"/>
      <c r="I25" s="220"/>
      <c r="J25" s="220"/>
      <c r="K25" s="220"/>
      <c r="L25" s="814" t="s">
        <v>1033</v>
      </c>
      <c r="M25" s="814"/>
      <c r="N25" s="814"/>
      <c r="O25" s="814"/>
      <c r="P25" s="814"/>
      <c r="Q25" s="814"/>
      <c r="R25" s="814"/>
      <c r="S25" s="814"/>
    </row>
    <row r="26" spans="1:19" ht="15.75" x14ac:dyDescent="0.25">
      <c r="A26" s="220"/>
      <c r="B26" s="221" t="str">
        <f>'Summary Tables'!B1:F1</f>
        <v>Table 1.a   Communities Participating in Power Cost Equalization Program, 2011</v>
      </c>
      <c r="C26" s="221"/>
      <c r="D26" s="220"/>
      <c r="E26" s="220"/>
      <c r="F26" s="220"/>
      <c r="G26" s="220"/>
      <c r="H26" s="220"/>
      <c r="I26" s="220"/>
      <c r="J26" s="220"/>
      <c r="K26" s="220"/>
      <c r="L26" s="815" t="str">
        <f>'Figure1. PCE Map'!B2</f>
        <v>Figure 1.     PCE Eligible Communities, 2011</v>
      </c>
      <c r="M26" s="814"/>
      <c r="N26" s="814"/>
      <c r="O26" s="814"/>
      <c r="P26" s="814"/>
      <c r="Q26" s="814"/>
      <c r="R26" s="814"/>
      <c r="S26" s="814"/>
    </row>
    <row r="27" spans="1:19" ht="15.75" x14ac:dyDescent="0.25">
      <c r="A27" s="220"/>
      <c r="B27" s="727" t="str">
        <f>'Summary Tables'!H2</f>
        <v>Table 1.b   Communities and Rates ($/kWh), 2011</v>
      </c>
      <c r="C27" s="730"/>
      <c r="D27" s="730"/>
      <c r="E27" s="727"/>
      <c r="F27" s="728"/>
      <c r="G27" s="728"/>
      <c r="H27" s="728"/>
      <c r="I27" s="728"/>
      <c r="J27" s="728"/>
      <c r="K27" s="728"/>
      <c r="L27" s="815" t="str">
        <f>'Summary Figures'!A2</f>
        <v>Figure 2.     Residential Electricity Rates in Power Cost Equalization Communities</v>
      </c>
      <c r="M27" s="816"/>
      <c r="N27" s="816"/>
      <c r="O27" s="816"/>
      <c r="P27" s="816"/>
      <c r="Q27" s="816"/>
      <c r="R27" s="816"/>
      <c r="S27" s="816"/>
    </row>
    <row r="28" spans="1:19" ht="15.75" x14ac:dyDescent="0.25">
      <c r="A28" s="220"/>
      <c r="B28" s="810" t="str">
        <f>'Summary Tables'!N1</f>
        <v xml:space="preserve">Table 1.c   Average Consumption per Residential Customer per Month in PCE communities, 2011 </v>
      </c>
      <c r="C28" s="729"/>
      <c r="D28" s="728"/>
      <c r="E28" s="728"/>
      <c r="F28" s="728"/>
      <c r="G28" s="728"/>
      <c r="H28" s="728"/>
      <c r="I28" s="728"/>
      <c r="J28" s="728"/>
      <c r="K28" s="728"/>
      <c r="L28" s="817" t="str">
        <f>'Summary Figures'!A22</f>
        <v>Figure 3.     Average Price of Electricity for All Consumers in Alaska, 1970 -2011</v>
      </c>
      <c r="M28" s="816"/>
      <c r="N28" s="816"/>
      <c r="O28" s="816"/>
      <c r="P28" s="816"/>
      <c r="Q28" s="816"/>
      <c r="R28" s="816"/>
      <c r="S28" s="816"/>
    </row>
    <row r="29" spans="1:19" s="605" customFormat="1" ht="15.75" x14ac:dyDescent="0.25">
      <c r="A29" s="220"/>
      <c r="B29" s="729" t="str">
        <f>'Summary Tables'!B21:H21</f>
        <v>Table 1.d   Installed Capacity by Certified Utilities (kW), 2011</v>
      </c>
      <c r="C29" s="729"/>
      <c r="D29" s="728"/>
      <c r="E29" s="728"/>
      <c r="F29" s="728"/>
      <c r="G29" s="728"/>
      <c r="H29" s="728"/>
      <c r="I29" s="728"/>
      <c r="J29" s="728"/>
      <c r="K29" s="728"/>
      <c r="L29" s="817" t="str">
        <f>'Summary Figures'!_Toc368489736</f>
        <v>Figure 4.     Average Residential Price of Electricity of Selected Alaska Communities, 1996 – 2011</v>
      </c>
      <c r="M29" s="816"/>
      <c r="N29" s="816"/>
      <c r="O29" s="816"/>
      <c r="P29" s="816"/>
      <c r="Q29" s="816"/>
      <c r="R29" s="816"/>
      <c r="S29" s="816"/>
    </row>
    <row r="30" spans="1:19" ht="15.75" x14ac:dyDescent="0.25">
      <c r="A30" s="220"/>
      <c r="B30" s="729" t="str">
        <f>'Summary Tables'!B40:D40</f>
        <v>Table 1.e   Net Generation by Certified Utilities (MWh), 2011</v>
      </c>
      <c r="C30" s="729"/>
      <c r="D30" s="728"/>
      <c r="E30" s="728"/>
      <c r="F30" s="728"/>
      <c r="G30" s="728"/>
      <c r="H30" s="728"/>
      <c r="I30" s="728"/>
      <c r="J30" s="728"/>
      <c r="K30" s="728"/>
      <c r="L30" s="817" t="str">
        <f>'Summary Figures'!A63</f>
        <v>Figure 5.     Installed Capacity by Prime Mover by Certified Utilities (kW), 2011</v>
      </c>
      <c r="M30" s="816"/>
      <c r="N30" s="816"/>
      <c r="O30" s="816"/>
      <c r="P30" s="816"/>
      <c r="Q30" s="816"/>
      <c r="R30" s="816"/>
      <c r="S30" s="816"/>
    </row>
    <row r="31" spans="1:19" ht="15.75" x14ac:dyDescent="0.25">
      <c r="A31" s="220"/>
      <c r="B31" s="729" t="str">
        <f>'Summary Tables'!B57:H57</f>
        <v>Table 1.f   Net Generation by Fuel Type by Certified Utilities (MWh), 2011</v>
      </c>
      <c r="C31" s="729"/>
      <c r="D31" s="728"/>
      <c r="E31" s="728"/>
      <c r="F31" s="728"/>
      <c r="G31" s="728"/>
      <c r="H31" s="728"/>
      <c r="I31" s="728"/>
      <c r="J31" s="728"/>
      <c r="K31" s="728"/>
      <c r="L31" s="817" t="str">
        <f>'Summary Figures'!A87</f>
        <v>Figure 6.     Installed Capacity by Prime Mover by Certified Utilities (kW), 1962-2011</v>
      </c>
      <c r="M31" s="816"/>
      <c r="N31" s="816"/>
      <c r="O31" s="816"/>
      <c r="P31" s="816"/>
      <c r="Q31" s="816"/>
      <c r="R31" s="816"/>
      <c r="S31" s="816"/>
    </row>
    <row r="32" spans="1:19" ht="15.75" x14ac:dyDescent="0.25">
      <c r="A32" s="220"/>
      <c r="B32" s="729" t="str">
        <f>'Summary Tables'!B75:E75</f>
        <v>Table 1.g   Fuel Use for Power Generation by Certified Utilities, 2011</v>
      </c>
      <c r="C32" s="729"/>
      <c r="D32" s="728"/>
      <c r="E32" s="728"/>
      <c r="F32" s="728"/>
      <c r="G32" s="728"/>
      <c r="H32" s="728"/>
      <c r="I32" s="728"/>
      <c r="J32" s="728"/>
      <c r="K32" s="728"/>
      <c r="L32" s="817" t="str">
        <f>'Summary Figures'!A105</f>
        <v>Figure 7.     Net Generation by Fuel Type by Certified Utilities (MWh), 2011</v>
      </c>
      <c r="M32" s="816"/>
      <c r="N32" s="816"/>
      <c r="O32" s="816"/>
      <c r="P32" s="816"/>
      <c r="Q32" s="816"/>
      <c r="R32" s="816"/>
      <c r="S32" s="816"/>
    </row>
    <row r="33" spans="1:19" ht="15.75" x14ac:dyDescent="0.25">
      <c r="A33" s="220"/>
      <c r="B33" s="729" t="str">
        <f>'Summary Tables'!B95:G95</f>
        <v>Table 1.h   Electricity Sales by Certified Utilities (MWh), 2011</v>
      </c>
      <c r="C33" s="729"/>
      <c r="D33" s="728"/>
      <c r="E33" s="728"/>
      <c r="F33" s="728"/>
      <c r="G33" s="728"/>
      <c r="H33" s="728"/>
      <c r="I33" s="728"/>
      <c r="J33" s="728"/>
      <c r="K33" s="728"/>
      <c r="L33" s="817" t="str">
        <f>'Summary Figures'!A123</f>
        <v>Figure 8.     Net Generation by Fuel Type by Certified Utilities (GWh), 1971-2011</v>
      </c>
      <c r="M33" s="816"/>
      <c r="N33" s="816"/>
      <c r="O33" s="816"/>
      <c r="P33" s="816"/>
      <c r="Q33" s="816"/>
      <c r="R33" s="816"/>
      <c r="S33" s="816"/>
    </row>
    <row r="34" spans="1:19" s="605" customFormat="1" ht="15.75" x14ac:dyDescent="0.25">
      <c r="A34" s="220"/>
      <c r="B34" s="729" t="str">
        <f>'Summary Tables'!B113:G113</f>
        <v>Table 1.i   Revenue by Certified Utilities ($000), 2011</v>
      </c>
      <c r="C34" s="729"/>
      <c r="D34" s="728"/>
      <c r="E34" s="728"/>
      <c r="F34" s="728"/>
      <c r="G34" s="728"/>
      <c r="H34" s="728"/>
      <c r="I34" s="728"/>
      <c r="J34" s="728"/>
      <c r="K34" s="728"/>
      <c r="L34" s="817" t="str">
        <f>'Summary Figures'!A146</f>
        <v>Figure 9.     Distribution of Fuel Used for Power Generation by Certified Utilities (MMBtu), 2011</v>
      </c>
      <c r="M34" s="816"/>
      <c r="N34" s="816"/>
      <c r="O34" s="816"/>
      <c r="P34" s="816"/>
      <c r="Q34" s="816"/>
      <c r="R34" s="816"/>
      <c r="S34" s="816"/>
    </row>
    <row r="35" spans="1:19" ht="15.75" x14ac:dyDescent="0.25">
      <c r="A35" s="221"/>
      <c r="B35" s="729" t="str">
        <f>'Summary Tables'!B131:G131</f>
        <v>Table 1.j   Customers by Certified Utilities (Accounts), 2011</v>
      </c>
      <c r="C35" s="729"/>
      <c r="D35" s="727"/>
      <c r="E35" s="727"/>
      <c r="F35" s="727"/>
      <c r="G35" s="727"/>
      <c r="H35" s="727"/>
      <c r="I35" s="727"/>
      <c r="J35" s="727"/>
      <c r="K35" s="727"/>
      <c r="L35" s="817" t="str">
        <f>'Summary Figures'!A165</f>
        <v>Figure 10.   Fuel Oil Used for Electricity Generation by Certified Utilities, by Energy Regions (%), 2011</v>
      </c>
      <c r="M35" s="817"/>
      <c r="N35" s="817"/>
      <c r="O35" s="817"/>
      <c r="P35" s="817"/>
      <c r="Q35" s="817"/>
      <c r="R35" s="817"/>
      <c r="S35" s="817"/>
    </row>
    <row r="36" spans="1:19" ht="15.75" x14ac:dyDescent="0.25">
      <c r="A36" s="213"/>
      <c r="B36" s="851" t="s">
        <v>594</v>
      </c>
      <c r="C36" s="851"/>
      <c r="D36" s="213"/>
      <c r="E36" s="213"/>
      <c r="F36" s="213"/>
      <c r="G36" s="213"/>
      <c r="H36" s="213"/>
      <c r="I36" s="213"/>
      <c r="J36" s="213"/>
      <c r="K36" s="213"/>
      <c r="L36" s="818" t="str">
        <f>'Summary Figures'!A188</f>
        <v>Figure 11.   Electricity Sales per Capita by Certified Utilities (MWh), 1962-2011</v>
      </c>
      <c r="M36" s="819"/>
      <c r="N36" s="819"/>
      <c r="O36" s="819"/>
      <c r="P36" s="819"/>
      <c r="Q36" s="819"/>
      <c r="R36" s="819"/>
      <c r="S36" s="819"/>
    </row>
    <row r="37" spans="1:19" ht="15.75" x14ac:dyDescent="0.25">
      <c r="A37" s="215"/>
      <c r="B37" s="214"/>
      <c r="C37" s="216" t="s">
        <v>595</v>
      </c>
      <c r="D37" s="217"/>
      <c r="E37" s="217"/>
      <c r="F37" s="217"/>
      <c r="G37" s="217"/>
      <c r="H37" s="217"/>
      <c r="I37" s="217"/>
      <c r="J37" s="217"/>
      <c r="K37" s="215"/>
      <c r="L37" s="820" t="str">
        <f>'Summary Figures'!A207</f>
        <v>Figure 12.   Distribution of Sales, Revenue and Customer by Customer Type by Certified Utilities (%), 2011</v>
      </c>
      <c r="M37" s="820"/>
      <c r="N37" s="820"/>
      <c r="O37" s="820"/>
      <c r="P37" s="820"/>
      <c r="Q37" s="820"/>
      <c r="R37" s="820"/>
      <c r="S37" s="820"/>
    </row>
    <row r="38" spans="1:19" ht="15.75" x14ac:dyDescent="0.25">
      <c r="A38" s="215"/>
      <c r="B38" s="731" t="str">
        <f>'Table 2.1a'!A2</f>
        <v>Table 2.1a  Installed Capacity by Prime Mover by Plant by Certified Utilities (kW), 2011</v>
      </c>
      <c r="C38" s="218"/>
      <c r="D38" s="217"/>
      <c r="E38" s="217"/>
      <c r="F38" s="217"/>
      <c r="G38" s="217"/>
      <c r="H38" s="217"/>
      <c r="I38" s="217"/>
      <c r="J38" s="217"/>
      <c r="K38" s="215"/>
      <c r="L38" s="820" t="str">
        <f>'Summary Figures'!A228</f>
        <v>Figure 13.   Net Generation by Self Generators Type (GWh), 2011</v>
      </c>
      <c r="M38" s="820"/>
      <c r="N38" s="820"/>
      <c r="O38" s="820"/>
      <c r="P38" s="820"/>
      <c r="Q38" s="820"/>
      <c r="R38" s="820"/>
      <c r="S38" s="820"/>
    </row>
    <row r="39" spans="1:19" ht="15.75" x14ac:dyDescent="0.25">
      <c r="A39" s="215"/>
      <c r="B39" s="218" t="str">
        <f>'Table 2.1b_percent'!A2</f>
        <v>Table 2.1b  Installed Capacity by Prime Mover by Plant by Certified Utilities (Percent Distribution), 2011</v>
      </c>
      <c r="C39" s="218"/>
      <c r="D39" s="217"/>
      <c r="E39" s="217"/>
      <c r="F39" s="217"/>
      <c r="G39" s="217"/>
      <c r="H39" s="217"/>
      <c r="I39" s="217"/>
      <c r="J39" s="217"/>
      <c r="K39" s="215"/>
      <c r="L39" s="820" t="str">
        <f>'Summary Figures'!A246</f>
        <v>Figure 14.   Fuel Used by Fuel Type by Industrial and Military Self Generators (%, Physical Units), 2011</v>
      </c>
      <c r="M39" s="820"/>
      <c r="N39" s="820"/>
      <c r="O39" s="820"/>
      <c r="P39" s="820"/>
      <c r="Q39" s="820"/>
      <c r="R39" s="820"/>
      <c r="S39" s="820"/>
    </row>
    <row r="40" spans="1:19" ht="15.75" x14ac:dyDescent="0.25">
      <c r="A40" s="215"/>
      <c r="B40" s="214"/>
      <c r="C40" s="216" t="s">
        <v>596</v>
      </c>
      <c r="D40" s="217"/>
      <c r="E40" s="217"/>
      <c r="F40" s="217"/>
      <c r="G40" s="217"/>
      <c r="H40" s="217"/>
      <c r="I40" s="217"/>
      <c r="J40" s="217"/>
      <c r="K40" s="215"/>
      <c r="L40" s="820" t="str">
        <f>'Summary Figures'!A266</f>
        <v>Figure 15.   Wind Installed Capacity in Alaska, 1995-2013</v>
      </c>
      <c r="M40" s="820"/>
      <c r="N40" s="820"/>
      <c r="O40" s="820"/>
      <c r="P40" s="820"/>
      <c r="Q40" s="820"/>
      <c r="R40" s="820"/>
      <c r="S40" s="820"/>
    </row>
    <row r="41" spans="1:19" ht="15.75" x14ac:dyDescent="0.25">
      <c r="A41" s="215"/>
      <c r="B41" s="218" t="str">
        <f>'Table 2.2a'!A9</f>
        <v>Table 2.2a  Net Generation and Total Disposition by Certified Utilities (MWh), 2011</v>
      </c>
      <c r="C41" s="218"/>
      <c r="D41" s="217"/>
      <c r="E41" s="217"/>
      <c r="F41" s="217"/>
      <c r="G41" s="217"/>
      <c r="H41" s="217"/>
      <c r="I41" s="217"/>
      <c r="J41" s="217"/>
      <c r="K41" s="215"/>
      <c r="L41" s="820" t="str">
        <f>'Summary Figures'!A284</f>
        <v>Figure 16.   Wind Net Generation in Alaska, 2008-2011</v>
      </c>
      <c r="M41" s="820"/>
      <c r="N41" s="820"/>
      <c r="O41" s="820"/>
      <c r="P41" s="820"/>
      <c r="Q41" s="820"/>
      <c r="R41" s="820"/>
      <c r="S41" s="820"/>
    </row>
    <row r="42" spans="1:19" ht="15.75" x14ac:dyDescent="0.25">
      <c r="A42" s="215"/>
      <c r="B42" s="218" t="str">
        <f>'Table 2.3a'!A6</f>
        <v>Table 2.3a  Net Generation by Prime Mover by Certified Utilities (MWh), 2011</v>
      </c>
      <c r="C42" s="218"/>
      <c r="D42" s="217"/>
      <c r="E42" s="217"/>
      <c r="F42" s="217"/>
      <c r="G42" s="217"/>
      <c r="H42" s="217"/>
      <c r="I42" s="217"/>
      <c r="J42" s="217"/>
      <c r="K42" s="215"/>
      <c r="L42" s="820" t="str">
        <f>'Summary Figures'!_Toc372884197</f>
        <v>Figure 17.   Fuel Displacement by Other Operating Renewable Energy Systems in Alaska, 2011</v>
      </c>
      <c r="M42" s="820"/>
      <c r="N42" s="820"/>
      <c r="O42" s="820"/>
      <c r="P42" s="820"/>
      <c r="Q42" s="820"/>
      <c r="R42" s="820"/>
      <c r="S42" s="820"/>
    </row>
    <row r="43" spans="1:19" ht="15.75" x14ac:dyDescent="0.25">
      <c r="A43" s="215"/>
      <c r="B43" s="738" t="str">
        <f>'Table 2.3b'!D4</f>
        <v>Table 2.3b  Net Generation by Fuel Type by Certified Utilities (MWh), 2011</v>
      </c>
      <c r="C43" s="218"/>
      <c r="D43" s="217"/>
      <c r="E43" s="217"/>
      <c r="F43" s="217"/>
      <c r="G43" s="217"/>
      <c r="H43" s="217"/>
      <c r="I43" s="217"/>
      <c r="J43" s="217"/>
      <c r="K43" s="215"/>
      <c r="L43" s="820" t="str">
        <f>'Summary Figures'!A319</f>
        <v>Figure 18.   Achieving Goal of Statewide Electricity from Renewable Energy Sources</v>
      </c>
      <c r="M43" s="820"/>
      <c r="N43" s="820"/>
      <c r="O43" s="820"/>
      <c r="P43" s="820"/>
      <c r="Q43" s="820"/>
      <c r="R43" s="820"/>
      <c r="S43" s="820"/>
    </row>
    <row r="44" spans="1:19" ht="15.75" x14ac:dyDescent="0.25">
      <c r="A44" s="215"/>
      <c r="B44" s="218" t="str">
        <f>'Table 2.3c'!D8</f>
        <v>Table 2.3c  Net Generation, Fuel Use, Fuel Cost and Efficiency by Certified Utilities,  2011</v>
      </c>
      <c r="C44" s="218"/>
      <c r="D44" s="217"/>
      <c r="E44" s="217"/>
      <c r="F44" s="217"/>
      <c r="G44" s="217"/>
      <c r="H44" s="217"/>
      <c r="I44" s="217"/>
      <c r="J44" s="217"/>
      <c r="K44" s="215"/>
      <c r="L44" s="820" t="str">
        <f>'Summary Figures'!A337</f>
        <v>Figure 19.   Alaska Energy Production Estimates by Fuel Type, 2011</v>
      </c>
      <c r="M44" s="820"/>
      <c r="N44" s="820"/>
      <c r="O44" s="820"/>
      <c r="P44" s="820"/>
      <c r="Q44" s="820"/>
      <c r="R44" s="820"/>
      <c r="S44" s="820"/>
    </row>
    <row r="45" spans="1:19" ht="15.75" x14ac:dyDescent="0.25">
      <c r="A45" s="215"/>
      <c r="B45" s="218" t="str">
        <f>'Table 2.4a'!A7</f>
        <v>Table 2.4a  Net Generation, Fuel Type, Emissions, Efficiency by Certified Utilities, 2011</v>
      </c>
      <c r="C45" s="218"/>
      <c r="D45" s="217"/>
      <c r="E45" s="217"/>
      <c r="F45" s="217"/>
      <c r="G45" s="217"/>
      <c r="H45" s="217"/>
      <c r="I45" s="217"/>
      <c r="J45" s="217"/>
      <c r="K45" s="215"/>
      <c r="L45" s="820" t="str">
        <f>'Summary Figures'!_Toc368489727</f>
        <v>Figure 20.   Alaska Energy Consumption Estimates, 2011</v>
      </c>
      <c r="M45" s="820"/>
      <c r="N45" s="820"/>
      <c r="O45" s="820"/>
      <c r="P45" s="820"/>
      <c r="Q45" s="820"/>
      <c r="R45" s="820"/>
      <c r="S45" s="820"/>
    </row>
    <row r="46" spans="1:19" ht="15.75" x14ac:dyDescent="0.25">
      <c r="A46" s="215"/>
      <c r="B46" s="218"/>
      <c r="C46" s="216" t="s">
        <v>597</v>
      </c>
      <c r="D46" s="217"/>
      <c r="E46" s="217"/>
      <c r="F46" s="217"/>
      <c r="G46" s="217"/>
      <c r="H46" s="217"/>
      <c r="I46" s="217"/>
      <c r="J46" s="217"/>
      <c r="K46" s="215"/>
      <c r="L46" s="820" t="str">
        <f>'Summary Figures'!_Toc372884201</f>
        <v>Figure 21.   Alaska Energy Consumption by End-Use Sector, 2011</v>
      </c>
      <c r="M46" s="820"/>
      <c r="N46" s="820"/>
      <c r="O46" s="820"/>
      <c r="P46" s="820"/>
      <c r="Q46" s="820"/>
      <c r="R46" s="820"/>
      <c r="S46" s="820"/>
    </row>
    <row r="47" spans="1:19" ht="15.75" x14ac:dyDescent="0.25">
      <c r="A47" s="215"/>
      <c r="B47" s="218" t="str">
        <f>'Table 2.5a'!A5</f>
        <v>Table 2.5a   Revenue, Sales and Customers by Customer Type by Certified Utilities ($000, MWh, Accounts), 2011</v>
      </c>
      <c r="C47" s="218"/>
      <c r="D47" s="217"/>
      <c r="E47" s="217"/>
      <c r="F47" s="217"/>
      <c r="G47" s="217"/>
      <c r="H47" s="217"/>
      <c r="I47" s="217"/>
      <c r="J47" s="217"/>
      <c r="K47" s="215"/>
      <c r="L47" s="815" t="str">
        <f>'Summary Figures'!_Toc368489729</f>
        <v>Figure 22.   Energy Consumption per Capita in Alaska, 1960-2011</v>
      </c>
      <c r="M47" s="815"/>
      <c r="N47" s="815"/>
      <c r="O47" s="815"/>
      <c r="P47" s="815"/>
      <c r="Q47" s="815"/>
      <c r="R47" s="815"/>
      <c r="S47" s="815"/>
    </row>
    <row r="48" spans="1:19" ht="15.75" x14ac:dyDescent="0.25">
      <c r="A48" s="215"/>
      <c r="B48" s="218" t="str">
        <f>'Table 2.5b'!A4</f>
        <v>Table 2.5b  Average Annual Energy Use and Rates by Customer Type by Certified Utilities, (kWh/Customer, $/Customer, $/kWh), 2011</v>
      </c>
      <c r="C48" s="218"/>
      <c r="D48" s="217"/>
      <c r="E48" s="217"/>
      <c r="F48" s="217"/>
      <c r="G48" s="217"/>
      <c r="H48" s="217"/>
      <c r="I48" s="217"/>
      <c r="J48" s="217"/>
      <c r="K48" s="215"/>
      <c r="L48" s="815" t="str">
        <f>'Summary Figures'!_Toc368489730</f>
        <v>Figure 23.   Per Capita Consumption of Petroleum Products in Alaska, 1960-2011</v>
      </c>
      <c r="M48" s="815"/>
      <c r="N48" s="815"/>
      <c r="O48" s="815"/>
      <c r="P48" s="815"/>
      <c r="Q48" s="815"/>
      <c r="R48" s="815"/>
      <c r="S48" s="815"/>
    </row>
    <row r="49" spans="1:19" ht="15.75" x14ac:dyDescent="0.25">
      <c r="A49" s="215"/>
      <c r="B49" s="218" t="str">
        <f>'Table 2.5c'!A2</f>
        <v>Table 2.5c  Average Residential Rates and PCE Payments ($/kWh), 2011</v>
      </c>
      <c r="C49" s="218"/>
      <c r="D49" s="217"/>
      <c r="E49" s="217"/>
      <c r="F49" s="217"/>
      <c r="G49" s="217"/>
      <c r="H49" s="217"/>
      <c r="I49" s="217"/>
      <c r="J49" s="217"/>
      <c r="K49" s="215"/>
      <c r="L49" s="815" t="str">
        <f>'Summary Figures'!_Toc368489737</f>
        <v>Figure 24.   Average Price of Natural Gas for All Consumers in Alaska, 1970 – 2011</v>
      </c>
      <c r="M49" s="815"/>
      <c r="N49" s="815"/>
      <c r="O49" s="815"/>
      <c r="P49" s="815"/>
      <c r="Q49" s="815"/>
      <c r="R49" s="815"/>
      <c r="S49" s="815"/>
    </row>
    <row r="50" spans="1:19" s="605" customFormat="1" ht="15.75" x14ac:dyDescent="0.25">
      <c r="A50" s="215"/>
      <c r="B50" s="218"/>
      <c r="C50" s="216" t="s">
        <v>1155</v>
      </c>
      <c r="D50" s="217"/>
      <c r="E50" s="217"/>
      <c r="F50" s="217"/>
      <c r="G50" s="217"/>
      <c r="H50" s="217"/>
      <c r="I50" s="217"/>
      <c r="J50" s="217"/>
      <c r="K50" s="215"/>
      <c r="L50" s="815" t="str">
        <f>'Summary Figures'!_Toc368489738</f>
        <v>Figure 25.   Average Price of Petroleum Products in Alaska, 1970-2011</v>
      </c>
      <c r="M50" s="815"/>
      <c r="N50" s="815"/>
      <c r="O50" s="815"/>
      <c r="P50" s="815"/>
      <c r="Q50" s="815"/>
      <c r="R50" s="815"/>
      <c r="S50" s="815"/>
    </row>
    <row r="51" spans="1:19" s="605" customFormat="1" ht="15.75" x14ac:dyDescent="0.25">
      <c r="A51" s="215"/>
      <c r="B51" s="218" t="str">
        <f>'Table 2.6a'!A2</f>
        <v>Table 2.6a  Installed Capacity, Fuel Used and Net Generation by Industrial and Military Self Generators (kW, Physical Units, MWh), 2011</v>
      </c>
      <c r="C51" s="218"/>
      <c r="D51" s="217"/>
      <c r="E51" s="217"/>
      <c r="F51" s="217"/>
      <c r="G51" s="217"/>
      <c r="H51" s="217"/>
      <c r="I51" s="217"/>
      <c r="J51" s="217"/>
      <c r="K51" s="215"/>
      <c r="L51" s="815" t="str">
        <f>'Summary Figures'!_Toc368489739</f>
        <v>Figure 26.   Price of a Gallon of Gasoline in Selected Alaska Communities, 1996-2011</v>
      </c>
      <c r="M51" s="815"/>
      <c r="N51" s="815"/>
      <c r="O51" s="815"/>
      <c r="P51" s="815"/>
      <c r="Q51" s="815"/>
      <c r="R51" s="815"/>
      <c r="S51" s="815"/>
    </row>
    <row r="52" spans="1:19" ht="15.75" x14ac:dyDescent="0.25">
      <c r="A52" s="215"/>
      <c r="B52" s="219"/>
      <c r="C52" s="216" t="s">
        <v>598</v>
      </c>
      <c r="D52" s="217"/>
      <c r="E52" s="217"/>
      <c r="F52" s="217"/>
      <c r="G52" s="217"/>
      <c r="H52" s="217"/>
      <c r="I52" s="217"/>
      <c r="J52" s="217"/>
      <c r="K52" s="215"/>
      <c r="L52" s="815" t="str">
        <f>'Summary Figures'!_Toc372884207</f>
        <v>Figure 27.   Average Price of Heating Oil in selected Alaska Communities, 1996 – 2011</v>
      </c>
      <c r="M52" s="815"/>
      <c r="N52" s="815"/>
      <c r="O52" s="815"/>
      <c r="P52" s="815"/>
      <c r="Q52" s="815"/>
      <c r="R52" s="815"/>
      <c r="S52" s="815"/>
    </row>
    <row r="53" spans="1:19" ht="15.75" x14ac:dyDescent="0.25">
      <c r="A53" s="215"/>
      <c r="B53" s="739" t="str">
        <f>'Table 3.1'!A8</f>
        <v>Table 3.1   Installed Capacity by Prime Mover by Certified Utilities in Alaska (kW, %), 1960-2011</v>
      </c>
      <c r="C53" s="218"/>
      <c r="D53" s="217"/>
      <c r="E53" s="217"/>
      <c r="F53" s="217"/>
      <c r="G53" s="217"/>
      <c r="H53" s="217"/>
      <c r="I53" s="217"/>
      <c r="J53" s="217"/>
      <c r="K53" s="215"/>
      <c r="L53" s="815" t="str">
        <f>'Summary Figures'!_Toc372884208</f>
        <v>Figure 28.   Average Price of Propane in selected Alaska Communities, 1996 – 2011</v>
      </c>
      <c r="M53" s="815"/>
      <c r="N53" s="815"/>
      <c r="O53" s="815"/>
      <c r="P53" s="815"/>
      <c r="Q53" s="815"/>
      <c r="R53" s="815"/>
      <c r="S53" s="815"/>
    </row>
    <row r="54" spans="1:19" ht="15.75" x14ac:dyDescent="0.25">
      <c r="A54" s="215"/>
      <c r="B54" s="739" t="str">
        <f>'Table 3.2'!A11</f>
        <v>Table 3.2   Installed Capacity by Region by Certified Utilities in Alaska (kW, %), 1962-2011</v>
      </c>
      <c r="C54" s="218"/>
      <c r="D54" s="217"/>
      <c r="E54" s="217"/>
      <c r="F54" s="217"/>
      <c r="G54" s="217"/>
      <c r="H54" s="217"/>
      <c r="I54" s="217"/>
      <c r="J54" s="217"/>
      <c r="K54" s="215"/>
      <c r="L54" s="815"/>
      <c r="M54" s="815"/>
      <c r="N54" s="815"/>
      <c r="O54" s="815"/>
      <c r="P54" s="815"/>
      <c r="Q54" s="815"/>
      <c r="R54" s="815"/>
      <c r="S54" s="815"/>
    </row>
    <row r="55" spans="1:19" ht="15.75" x14ac:dyDescent="0.25">
      <c r="A55" s="215"/>
      <c r="B55" s="739" t="str">
        <f>'Table 3.3'!A11</f>
        <v>Table 3.3   Net Generation by Fuel Type by Certified Utilities in Alaska (GWh), 1962-2011</v>
      </c>
      <c r="C55" s="218"/>
      <c r="D55" s="217"/>
      <c r="E55" s="217"/>
      <c r="F55" s="217"/>
      <c r="G55" s="217"/>
      <c r="H55" s="217"/>
      <c r="I55" s="217"/>
      <c r="J55" s="217"/>
      <c r="K55" s="215"/>
      <c r="L55" s="815"/>
      <c r="M55" s="815"/>
      <c r="N55" s="815"/>
      <c r="O55" s="815"/>
      <c r="P55" s="815"/>
      <c r="Q55" s="815"/>
      <c r="R55" s="815"/>
      <c r="S55" s="815"/>
    </row>
    <row r="56" spans="1:19" ht="15.75" x14ac:dyDescent="0.25">
      <c r="A56" s="215"/>
      <c r="B56" s="739" t="str">
        <f>'Table 3.4'!A8</f>
        <v>Table 3.4   Net Generation by Region by Certified Utilities in Alaska (MWh), 1962-2011</v>
      </c>
      <c r="C56" s="218"/>
      <c r="D56" s="217"/>
      <c r="E56" s="217"/>
      <c r="F56" s="217"/>
      <c r="G56" s="217"/>
      <c r="H56" s="217"/>
      <c r="I56" s="217"/>
      <c r="J56" s="217"/>
      <c r="K56" s="215"/>
      <c r="L56" s="815"/>
      <c r="M56" s="815"/>
      <c r="N56" s="815"/>
      <c r="O56" s="815"/>
      <c r="P56" s="815"/>
      <c r="Q56" s="815"/>
      <c r="R56" s="815"/>
      <c r="S56" s="815"/>
    </row>
    <row r="57" spans="1:19" ht="15.75" x14ac:dyDescent="0.25">
      <c r="A57" s="215"/>
      <c r="B57" s="739" t="str">
        <f>'Table 3.5'!A9</f>
        <v>Table 3.5  Sales, Revenue, and Customers by Customer Type by Certified Utilities in Alaska (MWh, $000, Accounts), 1962-2011</v>
      </c>
      <c r="C57" s="218"/>
      <c r="D57" s="217"/>
      <c r="E57" s="217"/>
      <c r="F57" s="217"/>
      <c r="G57" s="217"/>
      <c r="H57" s="217"/>
      <c r="I57" s="217"/>
      <c r="J57" s="217"/>
      <c r="K57" s="215"/>
      <c r="L57" s="815"/>
      <c r="M57" s="815"/>
      <c r="N57" s="815"/>
      <c r="O57" s="815"/>
      <c r="P57" s="815"/>
      <c r="Q57" s="815"/>
      <c r="R57" s="815"/>
      <c r="S57" s="815"/>
    </row>
    <row r="58" spans="1:19" ht="15.75" x14ac:dyDescent="0.25">
      <c r="A58" s="215"/>
      <c r="B58" s="739" t="str">
        <f>'Table 3.6'!A10</f>
        <v>Table 3.6   Average Annual Energy Use and Rates by Customer Type by Certified Utilities in Alaska (kWh/Customer, $/Customer, $/kWh), 1962-2011</v>
      </c>
      <c r="C58" s="218"/>
      <c r="D58" s="217"/>
      <c r="E58" s="217"/>
      <c r="F58" s="217"/>
      <c r="G58" s="217"/>
      <c r="H58" s="217"/>
      <c r="I58" s="217"/>
      <c r="J58" s="217"/>
      <c r="K58" s="215"/>
      <c r="L58" s="815"/>
      <c r="M58" s="815"/>
      <c r="N58" s="815"/>
      <c r="O58" s="815"/>
      <c r="P58" s="815"/>
      <c r="Q58" s="815"/>
      <c r="R58" s="815"/>
      <c r="S58" s="815"/>
    </row>
    <row r="59" spans="1:19" ht="15.75" x14ac:dyDescent="0.25">
      <c r="A59" s="821"/>
      <c r="B59" s="822" t="str">
        <f>UtilityList!A2</f>
        <v>Table A. Certified Utilities in Alaska</v>
      </c>
      <c r="C59" s="821"/>
      <c r="D59" s="821"/>
      <c r="E59" s="821"/>
      <c r="F59" s="821"/>
      <c r="G59" s="821"/>
      <c r="H59" s="821"/>
      <c r="I59" s="821"/>
      <c r="J59" s="821"/>
      <c r="K59" s="821"/>
      <c r="L59" s="815"/>
      <c r="M59" s="815"/>
      <c r="N59" s="815"/>
      <c r="O59" s="815"/>
      <c r="P59" s="815"/>
      <c r="Q59" s="815"/>
      <c r="R59" s="815"/>
      <c r="S59" s="815"/>
    </row>
    <row r="60" spans="1:19" ht="15.75" x14ac:dyDescent="0.25">
      <c r="A60" s="821"/>
      <c r="B60" s="822" t="str">
        <f>CommunityList!A2</f>
        <v>Table B. Communities Served by Certified Utilities in Alaska</v>
      </c>
      <c r="C60" s="821"/>
      <c r="D60" s="821"/>
      <c r="E60" s="821"/>
      <c r="F60" s="821"/>
      <c r="G60" s="821"/>
      <c r="H60" s="821"/>
      <c r="I60" s="821"/>
      <c r="J60" s="821"/>
      <c r="K60" s="821"/>
      <c r="L60" s="815"/>
      <c r="M60" s="815"/>
      <c r="N60" s="815"/>
      <c r="O60" s="815"/>
      <c r="P60" s="815"/>
      <c r="Q60" s="815"/>
      <c r="R60" s="815"/>
      <c r="S60" s="815"/>
    </row>
  </sheetData>
  <mergeCells count="1">
    <mergeCell ref="B36:C36"/>
  </mergeCells>
  <hyperlinks>
    <hyperlink ref="A21" r:id="rId1"/>
    <hyperlink ref="A17" r:id="rId2"/>
    <hyperlink ref="A16" r:id="rId3"/>
    <hyperlink ref="A18" r:id="rId4"/>
  </hyperlinks>
  <pageMargins left="0.7" right="0.7" top="0.75" bottom="0.75" header="0.3" footer="0.3"/>
  <pageSetup orientation="portrait" horizontalDpi="4294967293" verticalDpi="4294967293"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pageSetUpPr fitToPage="1"/>
  </sheetPr>
  <dimension ref="A1:T294"/>
  <sheetViews>
    <sheetView showGridLines="0" workbookViewId="0">
      <pane xSplit="3" ySplit="5" topLeftCell="D6" activePane="bottomRight" state="frozen"/>
      <selection activeCell="I19" sqref="I19"/>
      <selection pane="topRight" activeCell="I19" sqref="I19"/>
      <selection pane="bottomLeft" activeCell="I19" sqref="I19"/>
      <selection pane="bottomRight" activeCell="M15" sqref="M15"/>
    </sheetView>
  </sheetViews>
  <sheetFormatPr defaultRowHeight="15" x14ac:dyDescent="0.2"/>
  <cols>
    <col min="1" max="1" width="20.7109375" style="114" customWidth="1"/>
    <col min="2" max="2" width="15.7109375" style="114" customWidth="1"/>
    <col min="3" max="3" width="15.7109375" style="327" customWidth="1"/>
    <col min="4" max="4" width="10.7109375" style="18" customWidth="1"/>
    <col min="5" max="6" width="10.7109375" style="17" customWidth="1"/>
    <col min="7" max="7" width="10.7109375" style="18" customWidth="1"/>
    <col min="8" max="11" width="10.7109375" style="17" customWidth="1"/>
    <col min="12" max="12" width="10.7109375" style="109" customWidth="1"/>
    <col min="13" max="13" width="27.140625" style="46" customWidth="1"/>
    <col min="14" max="14" width="27.140625" style="268" customWidth="1"/>
    <col min="15" max="15" width="23.5703125" style="2" bestFit="1" customWidth="1"/>
    <col min="16" max="16" width="14.5703125" style="2" customWidth="1"/>
    <col min="17" max="17" width="21.140625" style="2" customWidth="1"/>
    <col min="18" max="18" width="14.5703125" style="2" customWidth="1"/>
    <col min="19" max="16384" width="9.140625" style="2"/>
  </cols>
  <sheetData>
    <row r="1" spans="1:20" s="46" customFormat="1" x14ac:dyDescent="0.2">
      <c r="A1" s="886" t="s">
        <v>615</v>
      </c>
      <c r="B1" s="886"/>
      <c r="C1" s="886"/>
      <c r="D1" s="886"/>
      <c r="E1" s="886"/>
      <c r="F1" s="886"/>
      <c r="G1" s="886"/>
      <c r="H1" s="886"/>
      <c r="I1" s="886"/>
      <c r="J1" s="886"/>
      <c r="K1" s="886"/>
      <c r="L1" s="886"/>
      <c r="M1" s="886"/>
      <c r="N1" s="886"/>
      <c r="O1" s="886"/>
      <c r="P1" s="886"/>
      <c r="Q1" s="886"/>
      <c r="R1" s="886"/>
    </row>
    <row r="2" spans="1:20" s="64" customFormat="1" ht="28.5" customHeight="1" x14ac:dyDescent="0.2">
      <c r="A2" s="886" t="s">
        <v>1043</v>
      </c>
      <c r="B2" s="886"/>
      <c r="C2" s="886"/>
      <c r="D2" s="886"/>
      <c r="E2" s="886"/>
      <c r="F2" s="886"/>
      <c r="G2" s="886"/>
      <c r="H2" s="886"/>
      <c r="I2" s="886"/>
      <c r="J2" s="886"/>
      <c r="K2" s="886"/>
      <c r="L2" s="886"/>
      <c r="M2" s="886"/>
      <c r="N2" s="886"/>
      <c r="O2" s="886"/>
      <c r="P2" s="886"/>
      <c r="Q2" s="886"/>
      <c r="R2" s="886"/>
    </row>
    <row r="3" spans="1:20" s="64" customFormat="1" ht="13.5" customHeight="1" thickBot="1" x14ac:dyDescent="0.25">
      <c r="A3" s="886" t="s">
        <v>614</v>
      </c>
      <c r="B3" s="886"/>
      <c r="C3" s="886"/>
      <c r="D3" s="886"/>
      <c r="E3" s="886"/>
      <c r="F3" s="886"/>
      <c r="G3" s="886"/>
      <c r="H3" s="886"/>
      <c r="I3" s="886"/>
      <c r="J3" s="886"/>
      <c r="K3" s="886"/>
      <c r="L3" s="886"/>
      <c r="M3" s="886"/>
      <c r="N3" s="886"/>
      <c r="O3" s="886"/>
      <c r="P3" s="886"/>
      <c r="Q3" s="886"/>
      <c r="R3" s="886"/>
    </row>
    <row r="4" spans="1:20" s="4" customFormat="1" ht="30" customHeight="1" thickBot="1" x14ac:dyDescent="0.35">
      <c r="A4" s="145"/>
      <c r="B4" s="146"/>
      <c r="C4" s="189"/>
      <c r="D4" s="887" t="s">
        <v>1142</v>
      </c>
      <c r="E4" s="888"/>
      <c r="F4" s="888"/>
      <c r="G4" s="888"/>
      <c r="H4" s="888"/>
      <c r="I4" s="888"/>
      <c r="J4" s="888"/>
      <c r="K4" s="889"/>
      <c r="L4" s="147"/>
      <c r="M4" s="256"/>
      <c r="N4" s="44"/>
      <c r="O4" s="44"/>
      <c r="P4" s="44"/>
      <c r="Q4" s="43"/>
      <c r="R4" s="43"/>
      <c r="S4" s="43"/>
      <c r="T4" s="43"/>
    </row>
    <row r="5" spans="1:20" customFormat="1" ht="48.75" customHeight="1" thickBot="1" x14ac:dyDescent="0.3">
      <c r="A5" s="128" t="s">
        <v>0</v>
      </c>
      <c r="B5" s="128" t="s">
        <v>1</v>
      </c>
      <c r="C5" s="127" t="s">
        <v>604</v>
      </c>
      <c r="D5" s="129" t="s">
        <v>22</v>
      </c>
      <c r="E5" s="130" t="s">
        <v>23</v>
      </c>
      <c r="F5" s="130" t="s">
        <v>9</v>
      </c>
      <c r="G5" s="331" t="s">
        <v>24</v>
      </c>
      <c r="H5" s="130" t="s">
        <v>10</v>
      </c>
      <c r="I5" s="130" t="s">
        <v>1094</v>
      </c>
      <c r="J5" s="130" t="s">
        <v>25</v>
      </c>
      <c r="K5" s="130" t="s">
        <v>26</v>
      </c>
      <c r="L5" s="124" t="s">
        <v>4</v>
      </c>
      <c r="M5" s="196" t="s">
        <v>20</v>
      </c>
      <c r="N5" s="255" t="s">
        <v>5</v>
      </c>
      <c r="O5" s="255" t="s">
        <v>6</v>
      </c>
      <c r="P5" s="255" t="s">
        <v>552</v>
      </c>
      <c r="Q5" s="137" t="s">
        <v>553</v>
      </c>
    </row>
    <row r="6" spans="1:20" customFormat="1" ht="30" x14ac:dyDescent="0.25">
      <c r="A6" s="82" t="s">
        <v>29</v>
      </c>
      <c r="B6" s="175" t="s">
        <v>30</v>
      </c>
      <c r="C6" s="140" t="s">
        <v>30</v>
      </c>
      <c r="D6" s="298">
        <v>1851.5340000000001</v>
      </c>
      <c r="E6" s="303">
        <v>0</v>
      </c>
      <c r="F6" s="303">
        <v>0</v>
      </c>
      <c r="G6" s="172">
        <v>0</v>
      </c>
      <c r="H6" s="172">
        <v>0</v>
      </c>
      <c r="I6" s="172">
        <v>141170</v>
      </c>
      <c r="J6" s="303">
        <v>0</v>
      </c>
      <c r="K6" s="303">
        <v>0</v>
      </c>
      <c r="L6" s="97" t="s">
        <v>356</v>
      </c>
      <c r="M6" s="389">
        <f t="array" ref="M6">INDEX(UtilityList!Q$4:Q$251,MATCH('Table 2.3b'!$A6&amp;'Table 2.3b'!$B6&amp;'Table 2.3b'!$C6,UtilityList!$A$4:$A$251&amp;UtilityList!$B$4:$B$251&amp;UtilityList!$C$4:$C$251,0))</f>
        <v>0</v>
      </c>
      <c r="N6" s="348" t="str">
        <f t="array" ref="N6">IFERROR(INDEX(UtilityList!J$4:J$251,MATCH('Table 2.3b'!$A6&amp;'Table 2.3b'!$B6&amp;'Table 2.3b'!$C6,UtilityList!$A$4:$A$251&amp;UtilityList!$B$4:$B$251&amp;UtilityList!$C$4:$C$251,0)),INDEX(UtilityList!J$4:J$251,MATCH('Table 2.3b'!$A6&amp;'Table 2.3b'!$C6,UtilityList!$A$4:$A$251&amp;UtilityList!$C$4:$C$251,0)))</f>
        <v>Lower Yukon-Kuskokwim</v>
      </c>
      <c r="O6" s="348" t="str">
        <f t="array" ref="O6">IFERROR(INDEX(UtilityList!K$4:K$251,MATCH('Table 2.3b'!$A6&amp;'Table 2.3b'!$B6&amp;'Table 2.3b'!$C6,UtilityList!$A$4:$A$251&amp;UtilityList!$B$4:$B$251&amp;UtilityList!$C$4:$C$251,0)),INDEX(UtilityList!K$4:K$251,MATCH('Table 2.3b'!$A6&amp;'Table 2.3b'!$C6,UtilityList!$A$4:$A$251&amp;UtilityList!$C$4:$C$251,0)))</f>
        <v>Bethel (CA)</v>
      </c>
      <c r="P6" s="348" t="str">
        <f t="array" ref="P6">IFERROR(INDEX(UtilityList!L$4:L$251,MATCH('Table 2.3b'!$A6&amp;'Table 2.3b'!$B6&amp;'Table 2.3b'!$C6,UtilityList!$A$4:$A$251&amp;UtilityList!$B$4:$B$251&amp;UtilityList!$C$4:$C$251,0)),INDEX(UtilityList!L$4:L$251,MATCH('Table 2.3b'!$A6&amp;'Table 2.3b'!$C6,UtilityList!$A$4:$A$251&amp;UtilityList!$C$4:$C$251,0)))</f>
        <v>Calista</v>
      </c>
      <c r="Q6" s="348" t="str">
        <f t="array" ref="Q6">IFERROR(INDEX(UtilityList!M$4:M$251,MATCH('Table 2.3b'!$A6&amp;'Table 2.3b'!$B6&amp;'Table 2.3b'!$C6,UtilityList!$A$4:$A$251&amp;UtilityList!$B$4:$B$251&amp;UtilityList!$C$4:$C$251,0)),INDEX(UtilityList!M$4:M$251,MATCH('Table 2.3b'!$A6&amp;'Table 2.3b'!$C6,UtilityList!$A$4:$A$251&amp;UtilityList!$C$4:$C$251,0)))</f>
        <v>SW</v>
      </c>
    </row>
    <row r="7" spans="1:20" customFormat="1" x14ac:dyDescent="0.25">
      <c r="A7" s="653" t="s">
        <v>31</v>
      </c>
      <c r="B7" s="452" t="s">
        <v>32</v>
      </c>
      <c r="C7" s="654" t="s">
        <v>32</v>
      </c>
      <c r="D7" s="655">
        <v>1029.5309999999999</v>
      </c>
      <c r="E7" s="656">
        <v>0</v>
      </c>
      <c r="F7" s="656">
        <v>0</v>
      </c>
      <c r="G7" s="657">
        <v>0</v>
      </c>
      <c r="H7" s="657">
        <v>0</v>
      </c>
      <c r="I7" s="657">
        <v>86993</v>
      </c>
      <c r="J7" s="656">
        <v>0</v>
      </c>
      <c r="K7" s="656">
        <v>0</v>
      </c>
      <c r="L7" s="658" t="s">
        <v>356</v>
      </c>
      <c r="M7" s="659">
        <f t="array" ref="M7">INDEX(UtilityList!Q$4:Q$251,MATCH('Table 2.3b'!$A7&amp;'Table 2.3b'!$B7&amp;'Table 2.3b'!$C7,UtilityList!$A$4:$A$251&amp;UtilityList!$B$4:$B$251&amp;UtilityList!$C$4:$C$251,0))</f>
        <v>0</v>
      </c>
      <c r="N7" s="382" t="str">
        <f t="array" ref="N7">IFERROR(INDEX(UtilityList!J$4:J$251,MATCH('Table 2.3b'!$A7&amp;'Table 2.3b'!$B7&amp;'Table 2.3b'!$C7,UtilityList!$A$4:$A$251&amp;UtilityList!$B$4:$B$251&amp;UtilityList!$C$4:$C$251,0)),INDEX(UtilityList!J$4:J$251,MATCH('Table 2.3b'!$A7&amp;'Table 2.3b'!$C7,UtilityList!$A$4:$A$251&amp;UtilityList!$C$4:$C$251,0)))</f>
        <v>Lower Yukon-Kuskokwim</v>
      </c>
      <c r="O7" s="382" t="str">
        <f t="array" ref="O7">IFERROR(INDEX(UtilityList!K$4:K$251,MATCH('Table 2.3b'!$A7&amp;'Table 2.3b'!$B7&amp;'Table 2.3b'!$C7,UtilityList!$A$4:$A$251&amp;UtilityList!$B$4:$B$251&amp;UtilityList!$C$4:$C$251,0)),INDEX(UtilityList!K$4:K$251,MATCH('Table 2.3b'!$A7&amp;'Table 2.3b'!$C7,UtilityList!$A$4:$A$251&amp;UtilityList!$C$4:$C$251,0)))</f>
        <v>Bethel (CA)</v>
      </c>
      <c r="P7" s="382" t="str">
        <f t="array" ref="P7">IFERROR(INDEX(UtilityList!L$4:L$251,MATCH('Table 2.3b'!$A7&amp;'Table 2.3b'!$B7&amp;'Table 2.3b'!$C7,UtilityList!$A$4:$A$251&amp;UtilityList!$B$4:$B$251&amp;UtilityList!$C$4:$C$251,0)),INDEX(UtilityList!L$4:L$251,MATCH('Table 2.3b'!$A7&amp;'Table 2.3b'!$C7,UtilityList!$A$4:$A$251&amp;UtilityList!$C$4:$C$251,0)))</f>
        <v>Calista</v>
      </c>
      <c r="Q7" s="382" t="str">
        <f t="array" ref="Q7">IFERROR(INDEX(UtilityList!M$4:M$251,MATCH('Table 2.3b'!$A7&amp;'Table 2.3b'!$B7&amp;'Table 2.3b'!$C7,UtilityList!$A$4:$A$251&amp;UtilityList!$B$4:$B$251&amp;UtilityList!$C$4:$C$251,0)),INDEX(UtilityList!M$4:M$251,MATCH('Table 2.3b'!$A7&amp;'Table 2.3b'!$C7,UtilityList!$A$4:$A$251&amp;UtilityList!$C$4:$C$251,0)))</f>
        <v>SW</v>
      </c>
    </row>
    <row r="8" spans="1:20" s="169" customFormat="1" x14ac:dyDescent="0.25">
      <c r="A8" s="653" t="s">
        <v>33</v>
      </c>
      <c r="B8" s="452" t="s">
        <v>34</v>
      </c>
      <c r="C8" s="654" t="s">
        <v>34</v>
      </c>
      <c r="D8" s="655">
        <v>489.57059999999996</v>
      </c>
      <c r="E8" s="656">
        <v>0</v>
      </c>
      <c r="F8" s="656">
        <v>0</v>
      </c>
      <c r="G8" s="657">
        <v>42.110999999999997</v>
      </c>
      <c r="H8" s="657">
        <v>0</v>
      </c>
      <c r="I8" s="657">
        <v>45345</v>
      </c>
      <c r="J8" s="656">
        <v>0</v>
      </c>
      <c r="K8" s="656">
        <v>0</v>
      </c>
      <c r="L8" s="658" t="s">
        <v>356</v>
      </c>
      <c r="M8" s="659">
        <f t="array" ref="M8">INDEX(UtilityList!Q$4:Q$251,MATCH('Table 2.3b'!$A8&amp;'Table 2.3b'!$B8&amp;'Table 2.3b'!$C8,UtilityList!$A$4:$A$251&amp;UtilityList!$B$4:$B$251&amp;UtilityList!$C$4:$C$251,0))</f>
        <v>0</v>
      </c>
      <c r="N8" s="382" t="str">
        <f t="array" ref="N8">IFERROR(INDEX(UtilityList!J$4:J$251,MATCH('Table 2.3b'!$A8&amp;'Table 2.3b'!$B8&amp;'Table 2.3b'!$C8,UtilityList!$A$4:$A$251&amp;UtilityList!$B$4:$B$251&amp;UtilityList!$C$4:$C$251,0)),INDEX(UtilityList!J$4:J$251,MATCH('Table 2.3b'!$A8&amp;'Table 2.3b'!$C8,UtilityList!$A$4:$A$251&amp;UtilityList!$C$4:$C$251,0)))</f>
        <v>Aleutians</v>
      </c>
      <c r="O8" s="382" t="str">
        <f t="array" ref="O8">IFERROR(INDEX(UtilityList!K$4:K$251,MATCH('Table 2.3b'!$A8&amp;'Table 2.3b'!$B8&amp;'Table 2.3b'!$C8,UtilityList!$A$4:$A$251&amp;UtilityList!$B$4:$B$251&amp;UtilityList!$C$4:$C$251,0)),INDEX(UtilityList!K$4:K$251,MATCH('Table 2.3b'!$A8&amp;'Table 2.3b'!$C8,UtilityList!$A$4:$A$251&amp;UtilityList!$C$4:$C$251,0)))</f>
        <v>Aleutians East</v>
      </c>
      <c r="P8" s="382" t="str">
        <f t="array" ref="P8">IFERROR(INDEX(UtilityList!L$4:L$251,MATCH('Table 2.3b'!$A8&amp;'Table 2.3b'!$B8&amp;'Table 2.3b'!$C8,UtilityList!$A$4:$A$251&amp;UtilityList!$B$4:$B$251&amp;UtilityList!$C$4:$C$251,0)),INDEX(UtilityList!L$4:L$251,MATCH('Table 2.3b'!$A8&amp;'Table 2.3b'!$C8,UtilityList!$A$4:$A$251&amp;UtilityList!$C$4:$C$251,0)))</f>
        <v>Aleut</v>
      </c>
      <c r="Q8" s="382" t="str">
        <f t="array" ref="Q8">IFERROR(INDEX(UtilityList!M$4:M$251,MATCH('Table 2.3b'!$A8&amp;'Table 2.3b'!$B8&amp;'Table 2.3b'!$C8,UtilityList!$A$4:$A$251&amp;UtilityList!$B$4:$B$251&amp;UtilityList!$C$4:$C$251,0)),INDEX(UtilityList!M$4:M$251,MATCH('Table 2.3b'!$A8&amp;'Table 2.3b'!$C8,UtilityList!$A$4:$A$251&amp;UtilityList!$C$4:$C$251,0)))</f>
        <v>SW</v>
      </c>
    </row>
    <row r="9" spans="1:20" s="169" customFormat="1" ht="30" x14ac:dyDescent="0.25">
      <c r="A9" s="360" t="s">
        <v>523</v>
      </c>
      <c r="B9" s="452" t="s">
        <v>35</v>
      </c>
      <c r="C9" s="361" t="s">
        <v>36</v>
      </c>
      <c r="D9" s="644">
        <v>0</v>
      </c>
      <c r="E9" s="656">
        <v>0</v>
      </c>
      <c r="F9" s="656">
        <v>0</v>
      </c>
      <c r="G9" s="644">
        <v>22270</v>
      </c>
      <c r="H9" s="644">
        <v>0</v>
      </c>
      <c r="I9" s="644">
        <v>0</v>
      </c>
      <c r="J9" s="656">
        <v>0</v>
      </c>
      <c r="K9" s="656">
        <v>0</v>
      </c>
      <c r="L9" s="658" t="s">
        <v>558</v>
      </c>
      <c r="M9" s="659">
        <f t="array" ref="M9">INDEX(UtilityList!Q$4:Q$251,MATCH('Table 2.3b'!$A9&amp;'Table 2.3b'!$B9&amp;'Table 2.3b'!$C9,UtilityList!$A$4:$A$251&amp;UtilityList!$B$4:$B$251&amp;UtilityList!$C$4:$C$251,0))</f>
        <v>0</v>
      </c>
      <c r="N9" s="382" t="str">
        <f t="array" ref="N9">IFERROR(INDEX(UtilityList!J$4:J$251,MATCH('Table 2.3b'!$A9&amp;'Table 2.3b'!$B9&amp;'Table 2.3b'!$C9,UtilityList!$A$4:$A$251&amp;UtilityList!$B$4:$B$251&amp;UtilityList!$C$4:$C$251,0)),INDEX(UtilityList!J$4:J$251,MATCH('Table 2.3b'!$A9&amp;'Table 2.3b'!$C9,UtilityList!$A$4:$A$251&amp;UtilityList!$C$4:$C$251,0)))</f>
        <v>Southeast</v>
      </c>
      <c r="O9" s="382" t="str">
        <f t="array" ref="O9">IFERROR(INDEX(UtilityList!K$4:K$251,MATCH('Table 2.3b'!$A9&amp;'Table 2.3b'!$B9&amp;'Table 2.3b'!$C9,UtilityList!$A$4:$A$251&amp;UtilityList!$B$4:$B$251&amp;UtilityList!$C$4:$C$251,0)),INDEX(UtilityList!K$4:K$251,MATCH('Table 2.3b'!$A9&amp;'Table 2.3b'!$C9,UtilityList!$A$4:$A$251&amp;UtilityList!$C$4:$C$251,0)))</f>
        <v>Juneau</v>
      </c>
      <c r="P9" s="382" t="str">
        <f t="array" ref="P9">IFERROR(INDEX(UtilityList!L$4:L$251,MATCH('Table 2.3b'!$A9&amp;'Table 2.3b'!$B9&amp;'Table 2.3b'!$C9,UtilityList!$A$4:$A$251&amp;UtilityList!$B$4:$B$251&amp;UtilityList!$C$4:$C$251,0)),INDEX(UtilityList!L$4:L$251,MATCH('Table 2.3b'!$A9&amp;'Table 2.3b'!$C9,UtilityList!$A$4:$A$251&amp;UtilityList!$C$4:$C$251,0)))</f>
        <v>Sealaska</v>
      </c>
      <c r="Q9" s="382" t="str">
        <f t="array" ref="Q9">IFERROR(INDEX(UtilityList!M$4:M$251,MATCH('Table 2.3b'!$A9&amp;'Table 2.3b'!$B9&amp;'Table 2.3b'!$C9,UtilityList!$A$4:$A$251&amp;UtilityList!$B$4:$B$251&amp;UtilityList!$C$4:$C$251,0)),INDEX(UtilityList!M$4:M$251,MATCH('Table 2.3b'!$A9&amp;'Table 2.3b'!$C9,UtilityList!$A$4:$A$251&amp;UtilityList!$C$4:$C$251,0)))</f>
        <v>SE</v>
      </c>
    </row>
    <row r="10" spans="1:20" s="169" customFormat="1" ht="30" x14ac:dyDescent="0.25">
      <c r="A10" s="360" t="s">
        <v>523</v>
      </c>
      <c r="B10" s="452" t="s">
        <v>37</v>
      </c>
      <c r="C10" s="361" t="s">
        <v>36</v>
      </c>
      <c r="D10" s="644">
        <v>1119</v>
      </c>
      <c r="E10" s="656">
        <v>0</v>
      </c>
      <c r="F10" s="656">
        <v>0</v>
      </c>
      <c r="G10" s="644">
        <v>0</v>
      </c>
      <c r="H10" s="644">
        <v>0</v>
      </c>
      <c r="I10" s="644">
        <v>140910</v>
      </c>
      <c r="J10" s="656">
        <v>0</v>
      </c>
      <c r="K10" s="656">
        <v>0</v>
      </c>
      <c r="L10" s="658" t="s">
        <v>558</v>
      </c>
      <c r="M10" s="659">
        <f t="array" ref="M10">INDEX(UtilityList!Q$4:Q$251,MATCH('Table 2.3b'!$A10&amp;'Table 2.3b'!$B10&amp;'Table 2.3b'!$C10,UtilityList!$A$4:$A$251&amp;UtilityList!$B$4:$B$251&amp;UtilityList!$C$4:$C$251,0))</f>
        <v>0</v>
      </c>
      <c r="N10" s="382" t="str">
        <f t="array" ref="N10">IFERROR(INDEX(UtilityList!J$4:J$251,MATCH('Table 2.3b'!$A10&amp;'Table 2.3b'!$B10&amp;'Table 2.3b'!$C10,UtilityList!$A$4:$A$251&amp;UtilityList!$B$4:$B$251&amp;UtilityList!$C$4:$C$251,0)),INDEX(UtilityList!J$4:J$251,MATCH('Table 2.3b'!$A10&amp;'Table 2.3b'!$C10,UtilityList!$A$4:$A$251&amp;UtilityList!$C$4:$C$251,0)))</f>
        <v>Southeast</v>
      </c>
      <c r="O10" s="382" t="str">
        <f t="array" ref="O10">IFERROR(INDEX(UtilityList!K$4:K$251,MATCH('Table 2.3b'!$A10&amp;'Table 2.3b'!$B10&amp;'Table 2.3b'!$C10,UtilityList!$A$4:$A$251&amp;UtilityList!$B$4:$B$251&amp;UtilityList!$C$4:$C$251,0)),INDEX(UtilityList!K$4:K$251,MATCH('Table 2.3b'!$A10&amp;'Table 2.3b'!$C10,UtilityList!$A$4:$A$251&amp;UtilityList!$C$4:$C$251,0)))</f>
        <v>Juneau</v>
      </c>
      <c r="P10" s="382" t="str">
        <f t="array" ref="P10">IFERROR(INDEX(UtilityList!L$4:L$251,MATCH('Table 2.3b'!$A10&amp;'Table 2.3b'!$B10&amp;'Table 2.3b'!$C10,UtilityList!$A$4:$A$251&amp;UtilityList!$B$4:$B$251&amp;UtilityList!$C$4:$C$251,0)),INDEX(UtilityList!L$4:L$251,MATCH('Table 2.3b'!$A10&amp;'Table 2.3b'!$C10,UtilityList!$A$4:$A$251&amp;UtilityList!$C$4:$C$251,0)))</f>
        <v>Sealaska</v>
      </c>
      <c r="Q10" s="382" t="str">
        <f t="array" ref="Q10">IFERROR(INDEX(UtilityList!M$4:M$251,MATCH('Table 2.3b'!$A10&amp;'Table 2.3b'!$B10&amp;'Table 2.3b'!$C10,UtilityList!$A$4:$A$251&amp;UtilityList!$B$4:$B$251&amp;UtilityList!$C$4:$C$251,0)),INDEX(UtilityList!M$4:M$251,MATCH('Table 2.3b'!$A10&amp;'Table 2.3b'!$C10,UtilityList!$A$4:$A$251&amp;UtilityList!$C$4:$C$251,0)))</f>
        <v>SE</v>
      </c>
    </row>
    <row r="11" spans="1:20" s="169" customFormat="1" ht="30" x14ac:dyDescent="0.25">
      <c r="A11" s="360" t="s">
        <v>523</v>
      </c>
      <c r="B11" s="460" t="s">
        <v>38</v>
      </c>
      <c r="C11" s="361" t="s">
        <v>36</v>
      </c>
      <c r="D11" s="660">
        <v>23</v>
      </c>
      <c r="E11" s="656">
        <v>0</v>
      </c>
      <c r="F11" s="656">
        <v>0</v>
      </c>
      <c r="G11" s="660">
        <v>4838</v>
      </c>
      <c r="H11" s="642">
        <v>0</v>
      </c>
      <c r="I11" s="660">
        <v>1218</v>
      </c>
      <c r="J11" s="656">
        <v>0</v>
      </c>
      <c r="K11" s="656">
        <v>0</v>
      </c>
      <c r="L11" s="658" t="s">
        <v>558</v>
      </c>
      <c r="M11" s="659">
        <f t="array" ref="M11">INDEX(UtilityList!Q$4:Q$251,MATCH('Table 2.3b'!$A11&amp;'Table 2.3b'!$B11&amp;'Table 2.3b'!$C11,UtilityList!$A$4:$A$251&amp;UtilityList!$B$4:$B$251&amp;UtilityList!$C$4:$C$251,0))</f>
        <v>0</v>
      </c>
      <c r="N11" s="382" t="str">
        <f t="array" ref="N11">IFERROR(INDEX(UtilityList!J$4:J$251,MATCH('Table 2.3b'!$A11&amp;'Table 2.3b'!$B11&amp;'Table 2.3b'!$C11,UtilityList!$A$4:$A$251&amp;UtilityList!$B$4:$B$251&amp;UtilityList!$C$4:$C$251,0)),INDEX(UtilityList!J$4:J$251,MATCH('Table 2.3b'!$A11&amp;'Table 2.3b'!$C11,UtilityList!$A$4:$A$251&amp;UtilityList!$C$4:$C$251,0)))</f>
        <v>Southeast</v>
      </c>
      <c r="O11" s="382" t="str">
        <f t="array" ref="O11">IFERROR(INDEX(UtilityList!K$4:K$251,MATCH('Table 2.3b'!$A11&amp;'Table 2.3b'!$B11&amp;'Table 2.3b'!$C11,UtilityList!$A$4:$A$251&amp;UtilityList!$B$4:$B$251&amp;UtilityList!$C$4:$C$251,0)),INDEX(UtilityList!K$4:K$251,MATCH('Table 2.3b'!$A11&amp;'Table 2.3b'!$C11,UtilityList!$A$4:$A$251&amp;UtilityList!$C$4:$C$251,0)))</f>
        <v>Juneau</v>
      </c>
      <c r="P11" s="382" t="str">
        <f t="array" ref="P11">IFERROR(INDEX(UtilityList!L$4:L$251,MATCH('Table 2.3b'!$A11&amp;'Table 2.3b'!$B11&amp;'Table 2.3b'!$C11,UtilityList!$A$4:$A$251&amp;UtilityList!$B$4:$B$251&amp;UtilityList!$C$4:$C$251,0)),INDEX(UtilityList!L$4:L$251,MATCH('Table 2.3b'!$A11&amp;'Table 2.3b'!$C11,UtilityList!$A$4:$A$251&amp;UtilityList!$C$4:$C$251,0)))</f>
        <v>Sealaska</v>
      </c>
      <c r="Q11" s="382" t="str">
        <f t="array" ref="Q11">IFERROR(INDEX(UtilityList!M$4:M$251,MATCH('Table 2.3b'!$A11&amp;'Table 2.3b'!$B11&amp;'Table 2.3b'!$C11,UtilityList!$A$4:$A$251&amp;UtilityList!$B$4:$B$251&amp;UtilityList!$C$4:$C$251,0)),INDEX(UtilityList!M$4:M$251,MATCH('Table 2.3b'!$A11&amp;'Table 2.3b'!$C11,UtilityList!$A$4:$A$251&amp;UtilityList!$C$4:$C$251,0)))</f>
        <v>SE</v>
      </c>
    </row>
    <row r="12" spans="1:20" s="169" customFormat="1" ht="30" x14ac:dyDescent="0.25">
      <c r="A12" s="360" t="s">
        <v>523</v>
      </c>
      <c r="B12" s="388" t="s">
        <v>39</v>
      </c>
      <c r="C12" s="361" t="s">
        <v>36</v>
      </c>
      <c r="D12" s="644">
        <v>0</v>
      </c>
      <c r="E12" s="656">
        <v>0</v>
      </c>
      <c r="F12" s="656">
        <v>0</v>
      </c>
      <c r="G12" s="644">
        <v>70602</v>
      </c>
      <c r="H12" s="644">
        <v>0</v>
      </c>
      <c r="I12" s="644">
        <v>0</v>
      </c>
      <c r="J12" s="656">
        <v>0</v>
      </c>
      <c r="K12" s="656">
        <v>0</v>
      </c>
      <c r="L12" s="658" t="s">
        <v>558</v>
      </c>
      <c r="M12" s="659">
        <f t="array" ref="M12">INDEX(UtilityList!Q$4:Q$251,MATCH('Table 2.3b'!$A12&amp;'Table 2.3b'!$B12&amp;'Table 2.3b'!$C12,UtilityList!$A$4:$A$251&amp;UtilityList!$B$4:$B$251&amp;UtilityList!$C$4:$C$251,0))</f>
        <v>0</v>
      </c>
      <c r="N12" s="382" t="str">
        <f t="array" ref="N12">IFERROR(INDEX(UtilityList!J$4:J$251,MATCH('Table 2.3b'!$A12&amp;'Table 2.3b'!$B12&amp;'Table 2.3b'!$C12,UtilityList!$A$4:$A$251&amp;UtilityList!$B$4:$B$251&amp;UtilityList!$C$4:$C$251,0)),INDEX(UtilityList!J$4:J$251,MATCH('Table 2.3b'!$A12&amp;'Table 2.3b'!$C12,UtilityList!$A$4:$A$251&amp;UtilityList!$C$4:$C$251,0)))</f>
        <v>Southeast</v>
      </c>
      <c r="O12" s="382" t="str">
        <f t="array" ref="O12">IFERROR(INDEX(UtilityList!K$4:K$251,MATCH('Table 2.3b'!$A12&amp;'Table 2.3b'!$B12&amp;'Table 2.3b'!$C12,UtilityList!$A$4:$A$251&amp;UtilityList!$B$4:$B$251&amp;UtilityList!$C$4:$C$251,0)),INDEX(UtilityList!K$4:K$251,MATCH('Table 2.3b'!$A12&amp;'Table 2.3b'!$C12,UtilityList!$A$4:$A$251&amp;UtilityList!$C$4:$C$251,0)))</f>
        <v>Juneau</v>
      </c>
      <c r="P12" s="382" t="str">
        <f t="array" ref="P12">IFERROR(INDEX(UtilityList!L$4:L$251,MATCH('Table 2.3b'!$A12&amp;'Table 2.3b'!$B12&amp;'Table 2.3b'!$C12,UtilityList!$A$4:$A$251&amp;UtilityList!$B$4:$B$251&amp;UtilityList!$C$4:$C$251,0)),INDEX(UtilityList!L$4:L$251,MATCH('Table 2.3b'!$A12&amp;'Table 2.3b'!$C12,UtilityList!$A$4:$A$251&amp;UtilityList!$C$4:$C$251,0)))</f>
        <v>Sealaska</v>
      </c>
      <c r="Q12" s="382" t="str">
        <f t="array" ref="Q12">IFERROR(INDEX(UtilityList!M$4:M$251,MATCH('Table 2.3b'!$A12&amp;'Table 2.3b'!$B12&amp;'Table 2.3b'!$C12,UtilityList!$A$4:$A$251&amp;UtilityList!$B$4:$B$251&amp;UtilityList!$C$4:$C$251,0)),INDEX(UtilityList!M$4:M$251,MATCH('Table 2.3b'!$A12&amp;'Table 2.3b'!$C12,UtilityList!$A$4:$A$251&amp;UtilityList!$C$4:$C$251,0)))</f>
        <v>SE</v>
      </c>
    </row>
    <row r="13" spans="1:20" s="169" customFormat="1" ht="30" x14ac:dyDescent="0.25">
      <c r="A13" s="360" t="s">
        <v>523</v>
      </c>
      <c r="B13" s="452" t="s">
        <v>40</v>
      </c>
      <c r="C13" s="361" t="s">
        <v>36</v>
      </c>
      <c r="D13" s="644">
        <v>2283</v>
      </c>
      <c r="E13" s="656">
        <v>0</v>
      </c>
      <c r="F13" s="656">
        <v>0</v>
      </c>
      <c r="G13" s="644">
        <v>0</v>
      </c>
      <c r="H13" s="644">
        <v>0</v>
      </c>
      <c r="I13" s="644">
        <v>252504</v>
      </c>
      <c r="J13" s="656">
        <v>0</v>
      </c>
      <c r="K13" s="656">
        <v>0</v>
      </c>
      <c r="L13" s="658" t="s">
        <v>558</v>
      </c>
      <c r="M13" s="659">
        <f t="array" ref="M13">INDEX(UtilityList!Q$4:Q$251,MATCH('Table 2.3b'!$A13&amp;'Table 2.3b'!$B13&amp;'Table 2.3b'!$C13,UtilityList!$A$4:$A$251&amp;UtilityList!$B$4:$B$251&amp;UtilityList!$C$4:$C$251,0))</f>
        <v>0</v>
      </c>
      <c r="N13" s="382" t="str">
        <f t="array" ref="N13">IFERROR(INDEX(UtilityList!J$4:J$251,MATCH('Table 2.3b'!$A13&amp;'Table 2.3b'!$B13&amp;'Table 2.3b'!$C13,UtilityList!$A$4:$A$251&amp;UtilityList!$B$4:$B$251&amp;UtilityList!$C$4:$C$251,0)),INDEX(UtilityList!J$4:J$251,MATCH('Table 2.3b'!$A13&amp;'Table 2.3b'!$C13,UtilityList!$A$4:$A$251&amp;UtilityList!$C$4:$C$251,0)))</f>
        <v>Southeast</v>
      </c>
      <c r="O13" s="382" t="str">
        <f t="array" ref="O13">IFERROR(INDEX(UtilityList!K$4:K$251,MATCH('Table 2.3b'!$A13&amp;'Table 2.3b'!$B13&amp;'Table 2.3b'!$C13,UtilityList!$A$4:$A$251&amp;UtilityList!$B$4:$B$251&amp;UtilityList!$C$4:$C$251,0)),INDEX(UtilityList!K$4:K$251,MATCH('Table 2.3b'!$A13&amp;'Table 2.3b'!$C13,UtilityList!$A$4:$A$251&amp;UtilityList!$C$4:$C$251,0)))</f>
        <v>Juneau</v>
      </c>
      <c r="P13" s="382" t="str">
        <f t="array" ref="P13">IFERROR(INDEX(UtilityList!L$4:L$251,MATCH('Table 2.3b'!$A13&amp;'Table 2.3b'!$B13&amp;'Table 2.3b'!$C13,UtilityList!$A$4:$A$251&amp;UtilityList!$B$4:$B$251&amp;UtilityList!$C$4:$C$251,0)),INDEX(UtilityList!L$4:L$251,MATCH('Table 2.3b'!$A13&amp;'Table 2.3b'!$C13,UtilityList!$A$4:$A$251&amp;UtilityList!$C$4:$C$251,0)))</f>
        <v>Sealaska</v>
      </c>
      <c r="Q13" s="382" t="str">
        <f t="array" ref="Q13">IFERROR(INDEX(UtilityList!M$4:M$251,MATCH('Table 2.3b'!$A13&amp;'Table 2.3b'!$B13&amp;'Table 2.3b'!$C13,UtilityList!$A$4:$A$251&amp;UtilityList!$B$4:$B$251&amp;UtilityList!$C$4:$C$251,0)),INDEX(UtilityList!M$4:M$251,MATCH('Table 2.3b'!$A13&amp;'Table 2.3b'!$C13,UtilityList!$A$4:$A$251&amp;UtilityList!$C$4:$C$251,0)))</f>
        <v>SE</v>
      </c>
    </row>
    <row r="14" spans="1:20" s="169" customFormat="1" ht="30" x14ac:dyDescent="0.25">
      <c r="A14" s="360" t="s">
        <v>523</v>
      </c>
      <c r="B14" s="452" t="s">
        <v>41</v>
      </c>
      <c r="C14" s="361" t="s">
        <v>36</v>
      </c>
      <c r="D14" s="644">
        <v>0</v>
      </c>
      <c r="E14" s="656">
        <v>0</v>
      </c>
      <c r="F14" s="656">
        <v>0</v>
      </c>
      <c r="G14" s="644">
        <v>24337</v>
      </c>
      <c r="H14" s="644">
        <v>0</v>
      </c>
      <c r="I14" s="644">
        <v>0</v>
      </c>
      <c r="J14" s="656">
        <v>0</v>
      </c>
      <c r="K14" s="656">
        <v>0</v>
      </c>
      <c r="L14" s="658" t="s">
        <v>558</v>
      </c>
      <c r="M14" s="659">
        <f t="array" ref="M14">INDEX(UtilityList!Q$4:Q$251,MATCH('Table 2.3b'!$A14&amp;'Table 2.3b'!$B14&amp;'Table 2.3b'!$C14,UtilityList!$A$4:$A$251&amp;UtilityList!$B$4:$B$251&amp;UtilityList!$C$4:$C$251,0))</f>
        <v>0</v>
      </c>
      <c r="N14" s="382" t="str">
        <f t="array" ref="N14">IFERROR(INDEX(UtilityList!J$4:J$251,MATCH('Table 2.3b'!$A14&amp;'Table 2.3b'!$B14&amp;'Table 2.3b'!$C14,UtilityList!$A$4:$A$251&amp;UtilityList!$B$4:$B$251&amp;UtilityList!$C$4:$C$251,0)),INDEX(UtilityList!J$4:J$251,MATCH('Table 2.3b'!$A14&amp;'Table 2.3b'!$C14,UtilityList!$A$4:$A$251&amp;UtilityList!$C$4:$C$251,0)))</f>
        <v>Southeast</v>
      </c>
      <c r="O14" s="382" t="str">
        <f t="array" ref="O14">IFERROR(INDEX(UtilityList!K$4:K$251,MATCH('Table 2.3b'!$A14&amp;'Table 2.3b'!$B14&amp;'Table 2.3b'!$C14,UtilityList!$A$4:$A$251&amp;UtilityList!$B$4:$B$251&amp;UtilityList!$C$4:$C$251,0)),INDEX(UtilityList!K$4:K$251,MATCH('Table 2.3b'!$A14&amp;'Table 2.3b'!$C14,UtilityList!$A$4:$A$251&amp;UtilityList!$C$4:$C$251,0)))</f>
        <v>Juneau</v>
      </c>
      <c r="P14" s="382" t="str">
        <f t="array" ref="P14">IFERROR(INDEX(UtilityList!L$4:L$251,MATCH('Table 2.3b'!$A14&amp;'Table 2.3b'!$B14&amp;'Table 2.3b'!$C14,UtilityList!$A$4:$A$251&amp;UtilityList!$B$4:$B$251&amp;UtilityList!$C$4:$C$251,0)),INDEX(UtilityList!L$4:L$251,MATCH('Table 2.3b'!$A14&amp;'Table 2.3b'!$C14,UtilityList!$A$4:$A$251&amp;UtilityList!$C$4:$C$251,0)))</f>
        <v>Sealaska</v>
      </c>
      <c r="Q14" s="382" t="str">
        <f t="array" ref="Q14">IFERROR(INDEX(UtilityList!M$4:M$251,MATCH('Table 2.3b'!$A14&amp;'Table 2.3b'!$B14&amp;'Table 2.3b'!$C14,UtilityList!$A$4:$A$251&amp;UtilityList!$B$4:$B$251&amp;UtilityList!$C$4:$C$251,0)),INDEX(UtilityList!M$4:M$251,MATCH('Table 2.3b'!$A14&amp;'Table 2.3b'!$C14,UtilityList!$A$4:$A$251&amp;UtilityList!$C$4:$C$251,0)))</f>
        <v>SE</v>
      </c>
    </row>
    <row r="15" spans="1:20" customFormat="1" ht="30" x14ac:dyDescent="0.25">
      <c r="A15" s="360" t="s">
        <v>523</v>
      </c>
      <c r="B15" s="452" t="s">
        <v>42</v>
      </c>
      <c r="C15" s="361" t="s">
        <v>36</v>
      </c>
      <c r="D15" s="644">
        <v>0</v>
      </c>
      <c r="E15" s="656">
        <v>0</v>
      </c>
      <c r="F15" s="656">
        <v>0</v>
      </c>
      <c r="G15" s="644">
        <v>263749</v>
      </c>
      <c r="H15" s="644">
        <v>0</v>
      </c>
      <c r="I15" s="644">
        <v>0</v>
      </c>
      <c r="J15" s="656">
        <v>0</v>
      </c>
      <c r="K15" s="656">
        <v>0</v>
      </c>
      <c r="L15" s="658" t="s">
        <v>558</v>
      </c>
      <c r="M15" s="659">
        <f t="array" ref="M15">INDEX(UtilityList!Q$4:Q$251,MATCH('Table 2.3b'!$A15&amp;'Table 2.3b'!$B15&amp;'Table 2.3b'!$C15,UtilityList!$A$4:$A$251&amp;UtilityList!$B$4:$B$251&amp;UtilityList!$C$4:$C$251,0))</f>
        <v>0</v>
      </c>
      <c r="N15" s="382" t="str">
        <f t="array" ref="N15">IFERROR(INDEX(UtilityList!J$4:J$251,MATCH('Table 2.3b'!$A15&amp;'Table 2.3b'!$B15&amp;'Table 2.3b'!$C15,UtilityList!$A$4:$A$251&amp;UtilityList!$B$4:$B$251&amp;UtilityList!$C$4:$C$251,0)),INDEX(UtilityList!J$4:J$251,MATCH('Table 2.3b'!$A15&amp;'Table 2.3b'!$C15,UtilityList!$A$4:$A$251&amp;UtilityList!$C$4:$C$251,0)))</f>
        <v>Southeast</v>
      </c>
      <c r="O15" s="382" t="str">
        <f t="array" ref="O15">IFERROR(INDEX(UtilityList!K$4:K$251,MATCH('Table 2.3b'!$A15&amp;'Table 2.3b'!$B15&amp;'Table 2.3b'!$C15,UtilityList!$A$4:$A$251&amp;UtilityList!$B$4:$B$251&amp;UtilityList!$C$4:$C$251,0)),INDEX(UtilityList!K$4:K$251,MATCH('Table 2.3b'!$A15&amp;'Table 2.3b'!$C15,UtilityList!$A$4:$A$251&amp;UtilityList!$C$4:$C$251,0)))</f>
        <v>Juneau</v>
      </c>
      <c r="P15" s="382" t="str">
        <f t="array" ref="P15">IFERROR(INDEX(UtilityList!L$4:L$251,MATCH('Table 2.3b'!$A15&amp;'Table 2.3b'!$B15&amp;'Table 2.3b'!$C15,UtilityList!$A$4:$A$251&amp;UtilityList!$B$4:$B$251&amp;UtilityList!$C$4:$C$251,0)),INDEX(UtilityList!L$4:L$251,MATCH('Table 2.3b'!$A15&amp;'Table 2.3b'!$C15,UtilityList!$A$4:$A$251&amp;UtilityList!$C$4:$C$251,0)))</f>
        <v>Sealaska</v>
      </c>
      <c r="Q15" s="382" t="str">
        <f t="array" ref="Q15">IFERROR(INDEX(UtilityList!M$4:M$251,MATCH('Table 2.3b'!$A15&amp;'Table 2.3b'!$B15&amp;'Table 2.3b'!$C15,UtilityList!$A$4:$A$251&amp;UtilityList!$B$4:$B$251&amp;UtilityList!$C$4:$C$251,0)),INDEX(UtilityList!M$4:M$251,MATCH('Table 2.3b'!$A15&amp;'Table 2.3b'!$C15,UtilityList!$A$4:$A$251&amp;UtilityList!$C$4:$C$251,0)))</f>
        <v>SE</v>
      </c>
    </row>
    <row r="16" spans="1:20" customFormat="1" ht="75" x14ac:dyDescent="0.25">
      <c r="A16" s="452" t="s">
        <v>642</v>
      </c>
      <c r="B16" s="452" t="s">
        <v>666</v>
      </c>
      <c r="C16" s="654"/>
      <c r="D16" s="655">
        <v>0</v>
      </c>
      <c r="E16" s="656">
        <v>0</v>
      </c>
      <c r="F16" s="656">
        <v>0</v>
      </c>
      <c r="G16" s="657">
        <v>0</v>
      </c>
      <c r="H16" s="648">
        <v>1394</v>
      </c>
      <c r="I16" s="425">
        <v>0</v>
      </c>
      <c r="J16" s="656">
        <v>0</v>
      </c>
      <c r="K16" s="656">
        <v>0</v>
      </c>
      <c r="L16" s="658" t="s">
        <v>558</v>
      </c>
      <c r="M16" s="659" t="str">
        <f t="array" ref="M16">INDEX(UtilityList!Q$4:Q$251,MATCH('Table 2.3b'!$A16&amp;'Table 2.3b'!$B16&amp;'Table 2.3b'!$C16,UtilityList!$A$4:$A$251&amp;UtilityList!$B$4:$B$251&amp;UtilityList!$C$4:$C$251,0))</f>
        <v>Plant is also know as Delta Wind. Alaska Environmental LLC is an independent power producer that sells all its power to GVEA.</v>
      </c>
      <c r="N16" s="382" t="str">
        <f t="array" ref="N16">IFERROR(INDEX(UtilityList!J$4:J$251,MATCH('Table 2.3b'!$A16&amp;'Table 2.3b'!$B16&amp;'Table 2.3b'!$C16,UtilityList!$A$4:$A$251&amp;UtilityList!$B$4:$B$251&amp;UtilityList!$C$4:$C$251,0)),INDEX(UtilityList!J$4:J$251,MATCH('Table 2.3b'!$A16&amp;'Table 2.3b'!$C16,UtilityList!$A$4:$A$251&amp;UtilityList!$C$4:$C$251,0)))</f>
        <v>Railbelt</v>
      </c>
      <c r="O16" s="382" t="str">
        <f t="array" ref="O16">IFERROR(INDEX(UtilityList!K$4:K$251,MATCH('Table 2.3b'!$A16&amp;'Table 2.3b'!$B16&amp;'Table 2.3b'!$C16,UtilityList!$A$4:$A$251&amp;UtilityList!$B$4:$B$251&amp;UtilityList!$C$4:$C$251,0)),INDEX(UtilityList!K$4:K$251,MATCH('Table 2.3b'!$A16&amp;'Table 2.3b'!$C16,UtilityList!$A$4:$A$251&amp;UtilityList!$C$4:$C$251,0)))</f>
        <v>Southeast Fairbanks (CA)</v>
      </c>
      <c r="P16" s="382" t="str">
        <f t="array" ref="P16">IFERROR(INDEX(UtilityList!L$4:L$251,MATCH('Table 2.3b'!$A16&amp;'Table 2.3b'!$B16&amp;'Table 2.3b'!$C16,UtilityList!$A$4:$A$251&amp;UtilityList!$B$4:$B$251&amp;UtilityList!$C$4:$C$251,0)),INDEX(UtilityList!L$4:L$251,MATCH('Table 2.3b'!$A16&amp;'Table 2.3b'!$C16,UtilityList!$A$4:$A$251&amp;UtilityList!$C$4:$C$251,0)))</f>
        <v>Doyon</v>
      </c>
      <c r="Q16" s="382" t="str">
        <f t="array" ref="Q16">IFERROR(INDEX(UtilityList!M$4:M$251,MATCH('Table 2.3b'!$A16&amp;'Table 2.3b'!$B16&amp;'Table 2.3b'!$C16,UtilityList!$A$4:$A$251&amp;UtilityList!$B$4:$B$251&amp;UtilityList!$C$4:$C$251,0)),INDEX(UtilityList!M$4:M$251,MATCH('Table 2.3b'!$A16&amp;'Table 2.3b'!$C16,UtilityList!$A$4:$A$251&amp;UtilityList!$C$4:$C$251,0)))</f>
        <v>YU</v>
      </c>
    </row>
    <row r="17" spans="1:17" customFormat="1" ht="45" x14ac:dyDescent="0.25">
      <c r="A17" s="653" t="s">
        <v>43</v>
      </c>
      <c r="B17" s="452" t="s">
        <v>44</v>
      </c>
      <c r="C17" s="654" t="s">
        <v>678</v>
      </c>
      <c r="D17" s="655">
        <v>655.36800000000005</v>
      </c>
      <c r="E17" s="656">
        <v>0</v>
      </c>
      <c r="F17" s="656">
        <v>0</v>
      </c>
      <c r="G17" s="657">
        <v>0</v>
      </c>
      <c r="H17" s="657">
        <v>0</v>
      </c>
      <c r="I17" s="657">
        <v>57040</v>
      </c>
      <c r="J17" s="656">
        <v>0</v>
      </c>
      <c r="K17" s="656">
        <v>0</v>
      </c>
      <c r="L17" s="658" t="s">
        <v>356</v>
      </c>
      <c r="M17" s="659" t="str">
        <f t="array" ref="M17">INDEX(UtilityList!Q$4:Q$251,MATCH('Table 2.3b'!$A17&amp;'Table 2.3b'!$B17&amp;'Table 2.3b'!$C17,UtilityList!$A$4:$A$251&amp;UtilityList!$B$4:$B$251&amp;UtilityList!$C$4:$C$251,0))</f>
        <v>Provides power to Alatna via intertie. Data includes Alatna's information.</v>
      </c>
      <c r="N17" s="382" t="str">
        <f t="array" ref="N17">IFERROR(INDEX(UtilityList!J$4:J$251,MATCH('Table 2.3b'!$A17&amp;'Table 2.3b'!$B17&amp;'Table 2.3b'!$C17,UtilityList!$A$4:$A$251&amp;UtilityList!$B$4:$B$251&amp;UtilityList!$C$4:$C$251,0)),INDEX(UtilityList!J$4:J$251,MATCH('Table 2.3b'!$A17&amp;'Table 2.3b'!$C17,UtilityList!$A$4:$A$251&amp;UtilityList!$C$4:$C$251,0)))</f>
        <v>Yukon-Koyukuk/Upper Tanana</v>
      </c>
      <c r="O17" s="382" t="str">
        <f t="array" ref="O17">IFERROR(INDEX(UtilityList!K$4:K$251,MATCH('Table 2.3b'!$A17&amp;'Table 2.3b'!$B17&amp;'Table 2.3b'!$C17,UtilityList!$A$4:$A$251&amp;UtilityList!$B$4:$B$251&amp;UtilityList!$C$4:$C$251,0)),INDEX(UtilityList!K$4:K$251,MATCH('Table 2.3b'!$A17&amp;'Table 2.3b'!$C17,UtilityList!$A$4:$A$251&amp;UtilityList!$C$4:$C$251,0)))</f>
        <v>Yukon-Koyukuk (CA)</v>
      </c>
      <c r="P17" s="382" t="str">
        <f t="array" ref="P17">IFERROR(INDEX(UtilityList!L$4:L$251,MATCH('Table 2.3b'!$A17&amp;'Table 2.3b'!$B17&amp;'Table 2.3b'!$C17,UtilityList!$A$4:$A$251&amp;UtilityList!$B$4:$B$251&amp;UtilityList!$C$4:$C$251,0)),INDEX(UtilityList!L$4:L$251,MATCH('Table 2.3b'!$A17&amp;'Table 2.3b'!$C17,UtilityList!$A$4:$A$251&amp;UtilityList!$C$4:$C$251,0)))</f>
        <v>Doyon</v>
      </c>
      <c r="Q17" s="382" t="str">
        <f t="array" ref="Q17">IFERROR(INDEX(UtilityList!M$4:M$251,MATCH('Table 2.3b'!$A17&amp;'Table 2.3b'!$B17&amp;'Table 2.3b'!$C17,UtilityList!$A$4:$A$251&amp;UtilityList!$B$4:$B$251&amp;UtilityList!$C$4:$C$251,0)),INDEX(UtilityList!M$4:M$251,MATCH('Table 2.3b'!$A17&amp;'Table 2.3b'!$C17,UtilityList!$A$4:$A$251&amp;UtilityList!$C$4:$C$251,0)))</f>
        <v>YU</v>
      </c>
    </row>
    <row r="18" spans="1:17" s="126" customFormat="1" ht="45" x14ac:dyDescent="0.25">
      <c r="A18" s="653" t="s">
        <v>43</v>
      </c>
      <c r="B18" s="452" t="s">
        <v>45</v>
      </c>
      <c r="C18" s="654" t="s">
        <v>680</v>
      </c>
      <c r="D18" s="655">
        <v>573.84500000000003</v>
      </c>
      <c r="E18" s="656">
        <v>0</v>
      </c>
      <c r="F18" s="656">
        <v>0</v>
      </c>
      <c r="G18" s="657">
        <v>0</v>
      </c>
      <c r="H18" s="657">
        <v>0</v>
      </c>
      <c r="I18" s="657">
        <v>49487</v>
      </c>
      <c r="J18" s="656">
        <v>0</v>
      </c>
      <c r="K18" s="656">
        <v>0</v>
      </c>
      <c r="L18" s="658" t="s">
        <v>356</v>
      </c>
      <c r="M18" s="659" t="str">
        <f t="array" ref="M18">INDEX(UtilityList!Q$4:Q$251,MATCH('Table 2.3b'!$A18&amp;'Table 2.3b'!$B18&amp;'Table 2.3b'!$C18,UtilityList!$A$4:$A$251&amp;UtilityList!$B$4:$B$251&amp;UtilityList!$C$4:$C$251,0))</f>
        <v>Provides power to Evansville via intertie. Data includes Evansville's information.</v>
      </c>
      <c r="N18" s="382" t="str">
        <f t="array" ref="N18">IFERROR(INDEX(UtilityList!J$4:J$251,MATCH('Table 2.3b'!$A18&amp;'Table 2.3b'!$B18&amp;'Table 2.3b'!$C18,UtilityList!$A$4:$A$251&amp;UtilityList!$B$4:$B$251&amp;UtilityList!$C$4:$C$251,0)),INDEX(UtilityList!J$4:J$251,MATCH('Table 2.3b'!$A18&amp;'Table 2.3b'!$C18,UtilityList!$A$4:$A$251&amp;UtilityList!$C$4:$C$251,0)))</f>
        <v>Yukon-Koyukuk/Upper Tanana</v>
      </c>
      <c r="O18" s="382" t="str">
        <f t="array" ref="O18">IFERROR(INDEX(UtilityList!K$4:K$251,MATCH('Table 2.3b'!$A18&amp;'Table 2.3b'!$B18&amp;'Table 2.3b'!$C18,UtilityList!$A$4:$A$251&amp;UtilityList!$B$4:$B$251&amp;UtilityList!$C$4:$C$251,0)),INDEX(UtilityList!K$4:K$251,MATCH('Table 2.3b'!$A18&amp;'Table 2.3b'!$C18,UtilityList!$A$4:$A$251&amp;UtilityList!$C$4:$C$251,0)))</f>
        <v>Yukon-Koyukuk (CA)</v>
      </c>
      <c r="P18" s="382" t="str">
        <f t="array" ref="P18">IFERROR(INDEX(UtilityList!L$4:L$251,MATCH('Table 2.3b'!$A18&amp;'Table 2.3b'!$B18&amp;'Table 2.3b'!$C18,UtilityList!$A$4:$A$251&amp;UtilityList!$B$4:$B$251&amp;UtilityList!$C$4:$C$251,0)),INDEX(UtilityList!L$4:L$251,MATCH('Table 2.3b'!$A18&amp;'Table 2.3b'!$C18,UtilityList!$A$4:$A$251&amp;UtilityList!$C$4:$C$251,0)))</f>
        <v>Doyon</v>
      </c>
      <c r="Q18" s="382" t="str">
        <f t="array" ref="Q18">IFERROR(INDEX(UtilityList!M$4:M$251,MATCH('Table 2.3b'!$A18&amp;'Table 2.3b'!$B18&amp;'Table 2.3b'!$C18,UtilityList!$A$4:$A$251&amp;UtilityList!$B$4:$B$251&amp;UtilityList!$C$4:$C$251,0)),INDEX(UtilityList!M$4:M$251,MATCH('Table 2.3b'!$A18&amp;'Table 2.3b'!$C18,UtilityList!$A$4:$A$251&amp;UtilityList!$C$4:$C$251,0)))</f>
        <v>YU</v>
      </c>
    </row>
    <row r="19" spans="1:17" s="126" customFormat="1" ht="30" x14ac:dyDescent="0.25">
      <c r="A19" s="653" t="s">
        <v>43</v>
      </c>
      <c r="B19" s="452" t="s">
        <v>46</v>
      </c>
      <c r="C19" s="654" t="s">
        <v>46</v>
      </c>
      <c r="D19" s="655">
        <v>-2.1480000000000001</v>
      </c>
      <c r="E19" s="656">
        <v>0</v>
      </c>
      <c r="F19" s="656">
        <v>0</v>
      </c>
      <c r="G19" s="657">
        <v>0</v>
      </c>
      <c r="H19" s="657">
        <v>0</v>
      </c>
      <c r="I19" s="657">
        <v>50.999999999999993</v>
      </c>
      <c r="J19" s="656">
        <v>0</v>
      </c>
      <c r="K19" s="656">
        <v>0</v>
      </c>
      <c r="L19" s="658" t="s">
        <v>356</v>
      </c>
      <c r="M19" s="659" t="str">
        <f t="array" ref="M19">INDEX(UtilityList!Q$4:Q$251,MATCH('Table 2.3b'!$A19&amp;'Table 2.3b'!$B19&amp;'Table 2.3b'!$C19,UtilityList!$A$4:$A$251&amp;UtilityList!$B$4:$B$251&amp;UtilityList!$C$4:$C$251,0))</f>
        <v>Receives power from Slana via intertie.</v>
      </c>
      <c r="N19" s="382" t="str">
        <f t="array" ref="N19">IFERROR(INDEX(UtilityList!J$4:J$251,MATCH('Table 2.3b'!$A19&amp;'Table 2.3b'!$B19&amp;'Table 2.3b'!$C19,UtilityList!$A$4:$A$251&amp;UtilityList!$B$4:$B$251&amp;UtilityList!$C$4:$C$251,0)),INDEX(UtilityList!J$4:J$251,MATCH('Table 2.3b'!$A19&amp;'Table 2.3b'!$C19,UtilityList!$A$4:$A$251&amp;UtilityList!$C$4:$C$251,0)))</f>
        <v>Copper River/Chugach</v>
      </c>
      <c r="O19" s="382" t="str">
        <f t="array" ref="O19">IFERROR(INDEX(UtilityList!K$4:K$251,MATCH('Table 2.3b'!$A19&amp;'Table 2.3b'!$B19&amp;'Table 2.3b'!$C19,UtilityList!$A$4:$A$251&amp;UtilityList!$B$4:$B$251&amp;UtilityList!$C$4:$C$251,0)),INDEX(UtilityList!K$4:K$251,MATCH('Table 2.3b'!$A19&amp;'Table 2.3b'!$C19,UtilityList!$A$4:$A$251&amp;UtilityList!$C$4:$C$251,0)))</f>
        <v>Valdez-Cordova (CA)</v>
      </c>
      <c r="P19" s="382" t="str">
        <f t="array" ref="P19">IFERROR(INDEX(UtilityList!L$4:L$251,MATCH('Table 2.3b'!$A19&amp;'Table 2.3b'!$B19&amp;'Table 2.3b'!$C19,UtilityList!$A$4:$A$251&amp;UtilityList!$B$4:$B$251&amp;UtilityList!$C$4:$C$251,0)),INDEX(UtilityList!L$4:L$251,MATCH('Table 2.3b'!$A19&amp;'Table 2.3b'!$C19,UtilityList!$A$4:$A$251&amp;UtilityList!$C$4:$C$251,0)))</f>
        <v>Ahtna</v>
      </c>
      <c r="Q19" s="382" t="str">
        <f t="array" ref="Q19">IFERROR(INDEX(UtilityList!M$4:M$251,MATCH('Table 2.3b'!$A19&amp;'Table 2.3b'!$B19&amp;'Table 2.3b'!$C19,UtilityList!$A$4:$A$251&amp;UtilityList!$B$4:$B$251&amp;UtilityList!$C$4:$C$251,0)),INDEX(UtilityList!M$4:M$251,MATCH('Table 2.3b'!$A19&amp;'Table 2.3b'!$C19,UtilityList!$A$4:$A$251&amp;UtilityList!$C$4:$C$251,0)))</f>
        <v>YU</v>
      </c>
    </row>
    <row r="20" spans="1:17" s="126" customFormat="1" ht="45" x14ac:dyDescent="0.25">
      <c r="A20" s="653" t="s">
        <v>43</v>
      </c>
      <c r="B20" s="452" t="s">
        <v>47</v>
      </c>
      <c r="C20" s="654" t="s">
        <v>47</v>
      </c>
      <c r="D20" s="655">
        <v>632.58299999999997</v>
      </c>
      <c r="E20" s="656">
        <v>0</v>
      </c>
      <c r="F20" s="656">
        <v>0</v>
      </c>
      <c r="G20" s="657">
        <v>0</v>
      </c>
      <c r="H20" s="657">
        <v>0</v>
      </c>
      <c r="I20" s="657">
        <v>48370</v>
      </c>
      <c r="J20" s="656">
        <v>0</v>
      </c>
      <c r="K20" s="656">
        <v>0</v>
      </c>
      <c r="L20" s="658" t="s">
        <v>356</v>
      </c>
      <c r="M20" s="659" t="str">
        <f t="array" ref="M20">INDEX(UtilityList!Q$4:Q$251,MATCH('Table 2.3b'!$A20&amp;'Table 2.3b'!$B20&amp;'Table 2.3b'!$C20,UtilityList!$A$4:$A$251&amp;UtilityList!$B$4:$B$251&amp;UtilityList!$C$4:$C$251,0))</f>
        <v>Part of the Alaska Power Company's grid on Prince of Wales Island.</v>
      </c>
      <c r="N20" s="382" t="str">
        <f t="array" ref="N20">IFERROR(INDEX(UtilityList!J$4:J$251,MATCH('Table 2.3b'!$A20&amp;'Table 2.3b'!$B20&amp;'Table 2.3b'!$C20,UtilityList!$A$4:$A$251&amp;UtilityList!$B$4:$B$251&amp;UtilityList!$C$4:$C$251,0)),INDEX(UtilityList!J$4:J$251,MATCH('Table 2.3b'!$A20&amp;'Table 2.3b'!$C20,UtilityList!$A$4:$A$251&amp;UtilityList!$C$4:$C$251,0)))</f>
        <v>Southeast</v>
      </c>
      <c r="O20" s="382" t="str">
        <f t="array" ref="O20">IFERROR(INDEX(UtilityList!K$4:K$251,MATCH('Table 2.3b'!$A20&amp;'Table 2.3b'!$B20&amp;'Table 2.3b'!$C20,UtilityList!$A$4:$A$251&amp;UtilityList!$B$4:$B$251&amp;UtilityList!$C$4:$C$251,0)),INDEX(UtilityList!K$4:K$251,MATCH('Table 2.3b'!$A20&amp;'Table 2.3b'!$C20,UtilityList!$A$4:$A$251&amp;UtilityList!$C$4:$C$251,0)))</f>
        <v>Prince of Wales-Hyder (CA)</v>
      </c>
      <c r="P20" s="382" t="str">
        <f t="array" ref="P20">IFERROR(INDEX(UtilityList!L$4:L$251,MATCH('Table 2.3b'!$A20&amp;'Table 2.3b'!$B20&amp;'Table 2.3b'!$C20,UtilityList!$A$4:$A$251&amp;UtilityList!$B$4:$B$251&amp;UtilityList!$C$4:$C$251,0)),INDEX(UtilityList!L$4:L$251,MATCH('Table 2.3b'!$A20&amp;'Table 2.3b'!$C20,UtilityList!$A$4:$A$251&amp;UtilityList!$C$4:$C$251,0)))</f>
        <v>Sealaska</v>
      </c>
      <c r="Q20" s="382" t="str">
        <f t="array" ref="Q20">IFERROR(INDEX(UtilityList!M$4:M$251,MATCH('Table 2.3b'!$A20&amp;'Table 2.3b'!$B20&amp;'Table 2.3b'!$C20,UtilityList!$A$4:$A$251&amp;UtilityList!$B$4:$B$251&amp;UtilityList!$C$4:$C$251,0)),INDEX(UtilityList!M$4:M$251,MATCH('Table 2.3b'!$A20&amp;'Table 2.3b'!$C20,UtilityList!$A$4:$A$251&amp;UtilityList!$C$4:$C$251,0)))</f>
        <v>SE</v>
      </c>
    </row>
    <row r="21" spans="1:17" customFormat="1" ht="75" x14ac:dyDescent="0.25">
      <c r="A21" s="385" t="s">
        <v>43</v>
      </c>
      <c r="B21" s="455" t="s">
        <v>48</v>
      </c>
      <c r="C21" s="352" t="s">
        <v>991</v>
      </c>
      <c r="D21" s="661">
        <v>2779</v>
      </c>
      <c r="E21" s="661">
        <v>0</v>
      </c>
      <c r="F21" s="661">
        <v>0</v>
      </c>
      <c r="G21" s="661">
        <v>0</v>
      </c>
      <c r="H21" s="661">
        <v>0</v>
      </c>
      <c r="I21" s="661">
        <v>206178</v>
      </c>
      <c r="J21" s="661">
        <v>0</v>
      </c>
      <c r="K21" s="661">
        <v>0</v>
      </c>
      <c r="L21" s="662" t="s">
        <v>558</v>
      </c>
      <c r="M21" s="659" t="str">
        <f t="array" ref="M21">INDEX(UtilityList!Q$4:Q$251,MATCH('Table 2.3b'!$A21&amp;'Table 2.3b'!$B21&amp;'Table 2.3b'!$C21,UtilityList!$A$4:$A$251&amp;UtilityList!$B$4:$B$251&amp;UtilityList!$C$4:$C$251,0))</f>
        <v>Part of the Alaska Power Company's grid on Prince of Wales Island. Provides to Hollis, Hydaburg, Klawock, Thorne Bay and Kaasan.</v>
      </c>
      <c r="N21" s="382" t="str">
        <f t="array" ref="N21">IFERROR(INDEX(UtilityList!J$4:J$251,MATCH('Table 2.3b'!$A21&amp;'Table 2.3b'!$B21&amp;'Table 2.3b'!$C21,UtilityList!$A$4:$A$251&amp;UtilityList!$B$4:$B$251&amp;UtilityList!$C$4:$C$251,0)),INDEX(UtilityList!J$4:J$251,MATCH('Table 2.3b'!$A21&amp;'Table 2.3b'!$C21,UtilityList!$A$4:$A$251&amp;UtilityList!$C$4:$C$251,0)))</f>
        <v>Southeast</v>
      </c>
      <c r="O21" s="382" t="str">
        <f t="array" ref="O21">IFERROR(INDEX(UtilityList!K$4:K$251,MATCH('Table 2.3b'!$A21&amp;'Table 2.3b'!$B21&amp;'Table 2.3b'!$C21,UtilityList!$A$4:$A$251&amp;UtilityList!$B$4:$B$251&amp;UtilityList!$C$4:$C$251,0)),INDEX(UtilityList!K$4:K$251,MATCH('Table 2.3b'!$A21&amp;'Table 2.3b'!$C21,UtilityList!$A$4:$A$251&amp;UtilityList!$C$4:$C$251,0)))</f>
        <v>Prince of Wales-Hyder (CA)</v>
      </c>
      <c r="P21" s="382" t="str">
        <f t="array" ref="P21">IFERROR(INDEX(UtilityList!L$4:L$251,MATCH('Table 2.3b'!$A21&amp;'Table 2.3b'!$B21&amp;'Table 2.3b'!$C21,UtilityList!$A$4:$A$251&amp;UtilityList!$B$4:$B$251&amp;UtilityList!$C$4:$C$251,0)),INDEX(UtilityList!L$4:L$251,MATCH('Table 2.3b'!$A21&amp;'Table 2.3b'!$C21,UtilityList!$A$4:$A$251&amp;UtilityList!$C$4:$C$251,0)))</f>
        <v>Sealaska</v>
      </c>
      <c r="Q21" s="382" t="str">
        <f t="array" ref="Q21">IFERROR(INDEX(UtilityList!M$4:M$251,MATCH('Table 2.3b'!$A21&amp;'Table 2.3b'!$B21&amp;'Table 2.3b'!$C21,UtilityList!$A$4:$A$251&amp;UtilityList!$B$4:$B$251&amp;UtilityList!$C$4:$C$251,0)),INDEX(UtilityList!M$4:M$251,MATCH('Table 2.3b'!$A21&amp;'Table 2.3b'!$C21,UtilityList!$A$4:$A$251&amp;UtilityList!$C$4:$C$251,0)))</f>
        <v>SE</v>
      </c>
    </row>
    <row r="22" spans="1:17" customFormat="1" ht="45" x14ac:dyDescent="0.25">
      <c r="A22" s="385" t="s">
        <v>43</v>
      </c>
      <c r="B22" s="455" t="s">
        <v>49</v>
      </c>
      <c r="C22" s="352" t="s">
        <v>48</v>
      </c>
      <c r="D22" s="661">
        <v>65</v>
      </c>
      <c r="E22" s="656">
        <v>0</v>
      </c>
      <c r="F22" s="656">
        <v>0</v>
      </c>
      <c r="G22" s="661">
        <v>0</v>
      </c>
      <c r="H22" s="661">
        <v>0</v>
      </c>
      <c r="I22" s="661">
        <v>7434</v>
      </c>
      <c r="J22" s="656">
        <v>0</v>
      </c>
      <c r="K22" s="656">
        <v>0</v>
      </c>
      <c r="L22" s="662" t="s">
        <v>558</v>
      </c>
      <c r="M22" s="659" t="str">
        <f t="array" ref="M22">INDEX(UtilityList!Q$4:Q$251,MATCH('Table 2.3b'!$A22&amp;'Table 2.3b'!$B22&amp;'Table 2.3b'!$C22,UtilityList!$A$4:$A$251&amp;UtilityList!$B$4:$B$251&amp;UtilityList!$C$4:$C$251,0))</f>
        <v>Provides power to Hollis, Klawock, Thorne Bay/Kasaan and Hydaburg via intertie.</v>
      </c>
      <c r="N22" s="382" t="str">
        <f t="array" ref="N22">IFERROR(INDEX(UtilityList!J$4:J$251,MATCH('Table 2.3b'!$A22&amp;'Table 2.3b'!$B22&amp;'Table 2.3b'!$C22,UtilityList!$A$4:$A$251&amp;UtilityList!$B$4:$B$251&amp;UtilityList!$C$4:$C$251,0)),INDEX(UtilityList!J$4:J$251,MATCH('Table 2.3b'!$A22&amp;'Table 2.3b'!$C22,UtilityList!$A$4:$A$251&amp;UtilityList!$C$4:$C$251,0)))</f>
        <v>Southeast</v>
      </c>
      <c r="O22" s="382" t="str">
        <f t="array" ref="O22">IFERROR(INDEX(UtilityList!K$4:K$251,MATCH('Table 2.3b'!$A22&amp;'Table 2.3b'!$B22&amp;'Table 2.3b'!$C22,UtilityList!$A$4:$A$251&amp;UtilityList!$B$4:$B$251&amp;UtilityList!$C$4:$C$251,0)),INDEX(UtilityList!K$4:K$251,MATCH('Table 2.3b'!$A22&amp;'Table 2.3b'!$C22,UtilityList!$A$4:$A$251&amp;UtilityList!$C$4:$C$251,0)))</f>
        <v>Prince of Wales-Hyder (CA)</v>
      </c>
      <c r="P22" s="382" t="str">
        <f t="array" ref="P22">IFERROR(INDEX(UtilityList!L$4:L$251,MATCH('Table 2.3b'!$A22&amp;'Table 2.3b'!$B22&amp;'Table 2.3b'!$C22,UtilityList!$A$4:$A$251&amp;UtilityList!$B$4:$B$251&amp;UtilityList!$C$4:$C$251,0)),INDEX(UtilityList!L$4:L$251,MATCH('Table 2.3b'!$A22&amp;'Table 2.3b'!$C22,UtilityList!$A$4:$A$251&amp;UtilityList!$C$4:$C$251,0)))</f>
        <v>Sealaska</v>
      </c>
      <c r="Q22" s="382" t="str">
        <f t="array" ref="Q22">IFERROR(INDEX(UtilityList!M$4:M$251,MATCH('Table 2.3b'!$A22&amp;'Table 2.3b'!$B22&amp;'Table 2.3b'!$C22,UtilityList!$A$4:$A$251&amp;UtilityList!$B$4:$B$251&amp;UtilityList!$C$4:$C$251,0)),INDEX(UtilityList!M$4:M$251,MATCH('Table 2.3b'!$A22&amp;'Table 2.3b'!$C22,UtilityList!$A$4:$A$251&amp;UtilityList!$C$4:$C$251,0)))</f>
        <v>SE</v>
      </c>
    </row>
    <row r="23" spans="1:17" s="200" customFormat="1" ht="90" x14ac:dyDescent="0.25">
      <c r="A23" s="385" t="s">
        <v>43</v>
      </c>
      <c r="B23" s="455" t="s">
        <v>58</v>
      </c>
      <c r="C23" s="352" t="s">
        <v>649</v>
      </c>
      <c r="D23" s="644">
        <v>0</v>
      </c>
      <c r="E23" s="656">
        <v>0</v>
      </c>
      <c r="F23" s="656">
        <v>0</v>
      </c>
      <c r="G23" s="661">
        <v>17791</v>
      </c>
      <c r="H23" s="661">
        <v>0</v>
      </c>
      <c r="I23" s="644">
        <v>0</v>
      </c>
      <c r="J23" s="656">
        <v>0</v>
      </c>
      <c r="K23" s="656">
        <v>0</v>
      </c>
      <c r="L23" s="662" t="s">
        <v>558</v>
      </c>
      <c r="M23" s="659" t="str">
        <f t="array" ref="M23">INDEX(UtilityList!Q$4:Q$251,MATCH('Table 2.3b'!$A23&amp;'Table 2.3b'!$B23&amp;'Table 2.3b'!$C23,UtilityList!$A$4:$A$251&amp;UtilityList!$B$4:$B$251&amp;UtilityList!$C$4:$C$251,0))</f>
        <v>Provides power to Hollis, Klawock, Thorne Bay/Kasaan and Hydaburg via intertie.</v>
      </c>
      <c r="N23" s="382" t="str">
        <f t="array" ref="N23">IFERROR(INDEX(UtilityList!J$4:J$251,MATCH('Table 2.3b'!$A23&amp;'Table 2.3b'!$B23&amp;'Table 2.3b'!$C23,UtilityList!$A$4:$A$251&amp;UtilityList!$B$4:$B$251&amp;UtilityList!$C$4:$C$251,0)),INDEX(UtilityList!J$4:J$251,MATCH('Table 2.3b'!$A23&amp;'Table 2.3b'!$C23,UtilityList!$A$4:$A$251&amp;UtilityList!$C$4:$C$251,0)))</f>
        <v>Southeast</v>
      </c>
      <c r="O23" s="382" t="str">
        <f t="array" ref="O23">IFERROR(INDEX(UtilityList!K$4:K$251,MATCH('Table 2.3b'!$A23&amp;'Table 2.3b'!$B23&amp;'Table 2.3b'!$C23,UtilityList!$A$4:$A$251&amp;UtilityList!$B$4:$B$251&amp;UtilityList!$C$4:$C$251,0)),INDEX(UtilityList!K$4:K$251,MATCH('Table 2.3b'!$A23&amp;'Table 2.3b'!$C23,UtilityList!$A$4:$A$251&amp;UtilityList!$C$4:$C$251,0)))</f>
        <v>Prince of Wales-Hyder (CA)</v>
      </c>
      <c r="P23" s="382" t="str">
        <f t="array" ref="P23">IFERROR(INDEX(UtilityList!L$4:L$251,MATCH('Table 2.3b'!$A23&amp;'Table 2.3b'!$B23&amp;'Table 2.3b'!$C23,UtilityList!$A$4:$A$251&amp;UtilityList!$B$4:$B$251&amp;UtilityList!$C$4:$C$251,0)),INDEX(UtilityList!L$4:L$251,MATCH('Table 2.3b'!$A23&amp;'Table 2.3b'!$C23,UtilityList!$A$4:$A$251&amp;UtilityList!$C$4:$C$251,0)))</f>
        <v>Sealaska</v>
      </c>
      <c r="Q23" s="382" t="str">
        <f t="array" ref="Q23">IFERROR(INDEX(UtilityList!M$4:M$251,MATCH('Table 2.3b'!$A23&amp;'Table 2.3b'!$B23&amp;'Table 2.3b'!$C23,UtilityList!$A$4:$A$251&amp;UtilityList!$B$4:$B$251&amp;UtilityList!$C$4:$C$251,0)),INDEX(UtilityList!M$4:M$251,MATCH('Table 2.3b'!$A23&amp;'Table 2.3b'!$C23,UtilityList!$A$4:$A$251&amp;UtilityList!$C$4:$C$251,0)))</f>
        <v>SE</v>
      </c>
    </row>
    <row r="24" spans="1:17" customFormat="1" ht="90" x14ac:dyDescent="0.25">
      <c r="A24" s="385" t="s">
        <v>43</v>
      </c>
      <c r="B24" s="455" t="s">
        <v>59</v>
      </c>
      <c r="C24" s="352" t="s">
        <v>649</v>
      </c>
      <c r="D24" s="644">
        <v>0</v>
      </c>
      <c r="E24" s="656">
        <v>0</v>
      </c>
      <c r="F24" s="656">
        <v>0</v>
      </c>
      <c r="G24" s="661">
        <v>6115</v>
      </c>
      <c r="H24" s="661">
        <v>0</v>
      </c>
      <c r="I24" s="644">
        <v>0</v>
      </c>
      <c r="J24" s="656">
        <v>0</v>
      </c>
      <c r="K24" s="656">
        <v>0</v>
      </c>
      <c r="L24" s="662" t="s">
        <v>558</v>
      </c>
      <c r="M24" s="659" t="str">
        <f t="array" ref="M24">INDEX(UtilityList!Q$4:Q$251,MATCH('Table 2.3b'!$A24&amp;'Table 2.3b'!$B24&amp;'Table 2.3b'!$C24,UtilityList!$A$4:$A$251&amp;UtilityList!$B$4:$B$251&amp;UtilityList!$C$4:$C$251,0))</f>
        <v>Receives power from Craig via intertie.</v>
      </c>
      <c r="N24" s="382" t="str">
        <f t="array" ref="N24">IFERROR(INDEX(UtilityList!J$4:J$251,MATCH('Table 2.3b'!$A24&amp;'Table 2.3b'!$B24&amp;'Table 2.3b'!$C24,UtilityList!$A$4:$A$251&amp;UtilityList!$B$4:$B$251&amp;UtilityList!$C$4:$C$251,0)),INDEX(UtilityList!J$4:J$251,MATCH('Table 2.3b'!$A24&amp;'Table 2.3b'!$C24,UtilityList!$A$4:$A$251&amp;UtilityList!$C$4:$C$251,0)))</f>
        <v>Southeast</v>
      </c>
      <c r="O24" s="382" t="str">
        <f t="array" ref="O24">IFERROR(INDEX(UtilityList!K$4:K$251,MATCH('Table 2.3b'!$A24&amp;'Table 2.3b'!$B24&amp;'Table 2.3b'!$C24,UtilityList!$A$4:$A$251&amp;UtilityList!$B$4:$B$251&amp;UtilityList!$C$4:$C$251,0)),INDEX(UtilityList!K$4:K$251,MATCH('Table 2.3b'!$A24&amp;'Table 2.3b'!$C24,UtilityList!$A$4:$A$251&amp;UtilityList!$C$4:$C$251,0)))</f>
        <v>Prince of Wales-Hyder (CA)</v>
      </c>
      <c r="P24" s="382" t="str">
        <f t="array" ref="P24">IFERROR(INDEX(UtilityList!L$4:L$251,MATCH('Table 2.3b'!$A24&amp;'Table 2.3b'!$B24&amp;'Table 2.3b'!$C24,UtilityList!$A$4:$A$251&amp;UtilityList!$B$4:$B$251&amp;UtilityList!$C$4:$C$251,0)),INDEX(UtilityList!L$4:L$251,MATCH('Table 2.3b'!$A24&amp;'Table 2.3b'!$C24,UtilityList!$A$4:$A$251&amp;UtilityList!$C$4:$C$251,0)))</f>
        <v>Sealaska</v>
      </c>
      <c r="Q24" s="382" t="str">
        <f t="array" ref="Q24">IFERROR(INDEX(UtilityList!M$4:M$251,MATCH('Table 2.3b'!$A24&amp;'Table 2.3b'!$B24&amp;'Table 2.3b'!$C24,UtilityList!$A$4:$A$251&amp;UtilityList!$B$4:$B$251&amp;UtilityList!$C$4:$C$251,0)),INDEX(UtilityList!M$4:M$251,MATCH('Table 2.3b'!$A24&amp;'Table 2.3b'!$C24,UtilityList!$A$4:$A$251&amp;UtilityList!$C$4:$C$251,0)))</f>
        <v>SE</v>
      </c>
    </row>
    <row r="25" spans="1:17" s="126" customFormat="1" ht="90" x14ac:dyDescent="0.25">
      <c r="A25" s="653" t="s">
        <v>43</v>
      </c>
      <c r="B25" s="452" t="s">
        <v>64</v>
      </c>
      <c r="C25" s="654" t="s">
        <v>684</v>
      </c>
      <c r="D25" s="655">
        <v>-0.6</v>
      </c>
      <c r="E25" s="656">
        <v>0</v>
      </c>
      <c r="F25" s="656">
        <v>0</v>
      </c>
      <c r="G25" s="657">
        <v>0</v>
      </c>
      <c r="H25" s="657">
        <v>0</v>
      </c>
      <c r="I25" s="657">
        <v>0</v>
      </c>
      <c r="J25" s="656">
        <v>0</v>
      </c>
      <c r="K25" s="656">
        <v>0</v>
      </c>
      <c r="L25" s="658" t="s">
        <v>356</v>
      </c>
      <c r="M25" s="659" t="str">
        <f t="array" ref="M25">INDEX(UtilityList!Q$4:Q$251,MATCH('Table 2.3b'!$A25&amp;'Table 2.3b'!$B25&amp;'Table 2.3b'!$C25,UtilityList!$A$4:$A$251&amp;UtilityList!$B$4:$B$251&amp;UtilityList!$C$4:$C$251,0))</f>
        <v>Receives power form Tok via intertie. Dot Lake's data includes Dot Lake Village's information. For fuel use and cost information, please refer to Tok.</v>
      </c>
      <c r="N25" s="382" t="str">
        <f t="array" ref="N25">IFERROR(INDEX(UtilityList!J$4:J$251,MATCH('Table 2.3b'!$A25&amp;'Table 2.3b'!$B25&amp;'Table 2.3b'!$C25,UtilityList!$A$4:$A$251&amp;UtilityList!$B$4:$B$251&amp;UtilityList!$C$4:$C$251,0)),INDEX(UtilityList!J$4:J$251,MATCH('Table 2.3b'!$A25&amp;'Table 2.3b'!$C25,UtilityList!$A$4:$A$251&amp;UtilityList!$C$4:$C$251,0)))</f>
        <v>Yukon-Koyukuk/Upper Tanana</v>
      </c>
      <c r="O25" s="382" t="str">
        <f t="array" ref="O25">IFERROR(INDEX(UtilityList!K$4:K$251,MATCH('Table 2.3b'!$A25&amp;'Table 2.3b'!$B25&amp;'Table 2.3b'!$C25,UtilityList!$A$4:$A$251&amp;UtilityList!$B$4:$B$251&amp;UtilityList!$C$4:$C$251,0)),INDEX(UtilityList!K$4:K$251,MATCH('Table 2.3b'!$A25&amp;'Table 2.3b'!$C25,UtilityList!$A$4:$A$251&amp;UtilityList!$C$4:$C$251,0)))</f>
        <v>Southeast Fairbanks (CA)</v>
      </c>
      <c r="P25" s="382" t="str">
        <f t="array" ref="P25">IFERROR(INDEX(UtilityList!L$4:L$251,MATCH('Table 2.3b'!$A25&amp;'Table 2.3b'!$B25&amp;'Table 2.3b'!$C25,UtilityList!$A$4:$A$251&amp;UtilityList!$B$4:$B$251&amp;UtilityList!$C$4:$C$251,0)),INDEX(UtilityList!L$4:L$251,MATCH('Table 2.3b'!$A25&amp;'Table 2.3b'!$C25,UtilityList!$A$4:$A$251&amp;UtilityList!$C$4:$C$251,0)))</f>
        <v>Doyon</v>
      </c>
      <c r="Q25" s="382" t="str">
        <f t="array" ref="Q25">IFERROR(INDEX(UtilityList!M$4:M$251,MATCH('Table 2.3b'!$A25&amp;'Table 2.3b'!$B25&amp;'Table 2.3b'!$C25,UtilityList!$A$4:$A$251&amp;UtilityList!$B$4:$B$251&amp;UtilityList!$C$4:$C$251,0)),INDEX(UtilityList!M$4:M$251,MATCH('Table 2.3b'!$A25&amp;'Table 2.3b'!$C25,UtilityList!$A$4:$A$251&amp;UtilityList!$C$4:$C$251,0)))</f>
        <v>YU</v>
      </c>
    </row>
    <row r="26" spans="1:17" s="126" customFormat="1" ht="60" x14ac:dyDescent="0.25">
      <c r="A26" s="653" t="s">
        <v>43</v>
      </c>
      <c r="B26" s="452" t="s">
        <v>493</v>
      </c>
      <c r="C26" s="654" t="s">
        <v>686</v>
      </c>
      <c r="D26" s="655">
        <v>749.74199999999996</v>
      </c>
      <c r="E26" s="656">
        <v>0</v>
      </c>
      <c r="F26" s="656">
        <v>0</v>
      </c>
      <c r="G26" s="657">
        <v>0</v>
      </c>
      <c r="H26" s="657">
        <v>0</v>
      </c>
      <c r="I26" s="657">
        <v>54362</v>
      </c>
      <c r="J26" s="656">
        <v>0</v>
      </c>
      <c r="K26" s="656">
        <v>0</v>
      </c>
      <c r="L26" s="658" t="s">
        <v>356</v>
      </c>
      <c r="M26" s="659" t="str">
        <f t="array" ref="M26">INDEX(UtilityList!Q$4:Q$251,MATCH('Table 2.3b'!$A26&amp;'Table 2.3b'!$B26&amp;'Table 2.3b'!$C26,UtilityList!$A$4:$A$251&amp;UtilityList!$B$4:$B$251&amp;UtilityList!$C$4:$C$251,0))</f>
        <v>Provides power to Eagle Village via intertie. Data includes Eagle Village's information.</v>
      </c>
      <c r="N26" s="382" t="str">
        <f t="array" ref="N26">IFERROR(INDEX(UtilityList!J$4:J$251,MATCH('Table 2.3b'!$A26&amp;'Table 2.3b'!$B26&amp;'Table 2.3b'!$C26,UtilityList!$A$4:$A$251&amp;UtilityList!$B$4:$B$251&amp;UtilityList!$C$4:$C$251,0)),INDEX(UtilityList!J$4:J$251,MATCH('Table 2.3b'!$A26&amp;'Table 2.3b'!$C26,UtilityList!$A$4:$A$251&amp;UtilityList!$C$4:$C$251,0)))</f>
        <v>Yukon-Koyukuk/Upper Tanana</v>
      </c>
      <c r="O26" s="382" t="str">
        <f t="array" ref="O26">IFERROR(INDEX(UtilityList!K$4:K$251,MATCH('Table 2.3b'!$A26&amp;'Table 2.3b'!$B26&amp;'Table 2.3b'!$C26,UtilityList!$A$4:$A$251&amp;UtilityList!$B$4:$B$251&amp;UtilityList!$C$4:$C$251,0)),INDEX(UtilityList!K$4:K$251,MATCH('Table 2.3b'!$A26&amp;'Table 2.3b'!$C26,UtilityList!$A$4:$A$251&amp;UtilityList!$C$4:$C$251,0)))</f>
        <v>Southeast Fairbanks (CA)</v>
      </c>
      <c r="P26" s="382" t="str">
        <f t="array" ref="P26">IFERROR(INDEX(UtilityList!L$4:L$251,MATCH('Table 2.3b'!$A26&amp;'Table 2.3b'!$B26&amp;'Table 2.3b'!$C26,UtilityList!$A$4:$A$251&amp;UtilityList!$B$4:$B$251&amp;UtilityList!$C$4:$C$251,0)),INDEX(UtilityList!L$4:L$251,MATCH('Table 2.3b'!$A26&amp;'Table 2.3b'!$C26,UtilityList!$A$4:$A$251&amp;UtilityList!$C$4:$C$251,0)))</f>
        <v>Doyon</v>
      </c>
      <c r="Q26" s="382" t="str">
        <f t="array" ref="Q26">IFERROR(INDEX(UtilityList!M$4:M$251,MATCH('Table 2.3b'!$A26&amp;'Table 2.3b'!$B26&amp;'Table 2.3b'!$C26,UtilityList!$A$4:$A$251&amp;UtilityList!$B$4:$B$251&amp;UtilityList!$C$4:$C$251,0)),INDEX(UtilityList!M$4:M$251,MATCH('Table 2.3b'!$A26&amp;'Table 2.3b'!$C26,UtilityList!$A$4:$A$251&amp;UtilityList!$C$4:$C$251,0)))</f>
        <v>YU</v>
      </c>
    </row>
    <row r="27" spans="1:17" customFormat="1" ht="45" x14ac:dyDescent="0.25">
      <c r="A27" s="385" t="s">
        <v>43</v>
      </c>
      <c r="B27" s="455" t="s">
        <v>518</v>
      </c>
      <c r="C27" s="352" t="s">
        <v>650</v>
      </c>
      <c r="D27" s="644">
        <v>0</v>
      </c>
      <c r="E27" s="656">
        <v>0</v>
      </c>
      <c r="F27" s="656">
        <v>0</v>
      </c>
      <c r="G27" s="661">
        <v>15831</v>
      </c>
      <c r="H27" s="661">
        <v>0</v>
      </c>
      <c r="I27" s="644">
        <v>0</v>
      </c>
      <c r="J27" s="656">
        <v>0</v>
      </c>
      <c r="K27" s="656">
        <v>0</v>
      </c>
      <c r="L27" s="662" t="s">
        <v>558</v>
      </c>
      <c r="M27" s="659" t="str">
        <f t="array" ref="M27">INDEX(UtilityList!Q$4:Q$251,MATCH('Table 2.3b'!$A27&amp;'Table 2.3b'!$B27&amp;'Table 2.3b'!$C27,UtilityList!$A$4:$A$251&amp;UtilityList!$B$4:$B$251&amp;UtilityList!$C$4:$C$251,0))</f>
        <v>Part of the Alaska Power Company's grid in the Upper Lynn Canal service area.</v>
      </c>
      <c r="N27" s="382" t="str">
        <f t="array" ref="N27">IFERROR(INDEX(UtilityList!J$4:J$251,MATCH('Table 2.3b'!$A27&amp;'Table 2.3b'!$B27&amp;'Table 2.3b'!$C27,UtilityList!$A$4:$A$251&amp;UtilityList!$B$4:$B$251&amp;UtilityList!$C$4:$C$251,0)),INDEX(UtilityList!J$4:J$251,MATCH('Table 2.3b'!$A27&amp;'Table 2.3b'!$C27,UtilityList!$A$4:$A$251&amp;UtilityList!$C$4:$C$251,0)))</f>
        <v>Southeast</v>
      </c>
      <c r="O27" s="382" t="str">
        <f t="array" ref="O27">IFERROR(INDEX(UtilityList!K$4:K$251,MATCH('Table 2.3b'!$A27&amp;'Table 2.3b'!$B27&amp;'Table 2.3b'!$C27,UtilityList!$A$4:$A$251&amp;UtilityList!$B$4:$B$251&amp;UtilityList!$C$4:$C$251,0)),INDEX(UtilityList!K$4:K$251,MATCH('Table 2.3b'!$A27&amp;'Table 2.3b'!$C27,UtilityList!$A$4:$A$251&amp;UtilityList!$C$4:$C$251,0)))</f>
        <v>Skagway</v>
      </c>
      <c r="P27" s="382" t="str">
        <f t="array" ref="P27">IFERROR(INDEX(UtilityList!L$4:L$251,MATCH('Table 2.3b'!$A27&amp;'Table 2.3b'!$B27&amp;'Table 2.3b'!$C27,UtilityList!$A$4:$A$251&amp;UtilityList!$B$4:$B$251&amp;UtilityList!$C$4:$C$251,0)),INDEX(UtilityList!L$4:L$251,MATCH('Table 2.3b'!$A27&amp;'Table 2.3b'!$C27,UtilityList!$A$4:$A$251&amp;UtilityList!$C$4:$C$251,0)))</f>
        <v>Sealaska</v>
      </c>
      <c r="Q27" s="382" t="str">
        <f t="array" ref="Q27">IFERROR(INDEX(UtilityList!M$4:M$251,MATCH('Table 2.3b'!$A27&amp;'Table 2.3b'!$B27&amp;'Table 2.3b'!$C27,UtilityList!$A$4:$A$251&amp;UtilityList!$B$4:$B$251&amp;UtilityList!$C$4:$C$251,0)),INDEX(UtilityList!M$4:M$251,MATCH('Table 2.3b'!$A27&amp;'Table 2.3b'!$C27,UtilityList!$A$4:$A$251&amp;UtilityList!$C$4:$C$251,0)))</f>
        <v>SE</v>
      </c>
    </row>
    <row r="28" spans="1:17" customFormat="1" ht="75" x14ac:dyDescent="0.25">
      <c r="A28" s="663" t="s">
        <v>43</v>
      </c>
      <c r="B28" s="455" t="s">
        <v>50</v>
      </c>
      <c r="C28" s="664" t="s">
        <v>50</v>
      </c>
      <c r="D28" s="655">
        <v>185</v>
      </c>
      <c r="E28" s="656">
        <v>0</v>
      </c>
      <c r="F28" s="656">
        <v>0</v>
      </c>
      <c r="G28" s="657">
        <v>0</v>
      </c>
      <c r="H28" s="657">
        <v>0</v>
      </c>
      <c r="I28" s="657">
        <v>36885</v>
      </c>
      <c r="J28" s="656">
        <v>0</v>
      </c>
      <c r="K28" s="656">
        <v>0</v>
      </c>
      <c r="L28" s="662" t="s">
        <v>722</v>
      </c>
      <c r="M28" s="659" t="str">
        <f t="array" ref="M28">INDEX(UtilityList!Q$4:Q$251,MATCH('Table 2.3b'!$A28&amp;'Table 2.3b'!$B28&amp;'Table 2.3b'!$C28,UtilityList!$A$4:$A$251&amp;UtilityList!$B$4:$B$251&amp;UtilityList!$C$4:$C$251,0))</f>
        <v>Plant is also referred to as Lutak. Part of the Alaska Power Company's grid in the Upper Lynn Canal service area.</v>
      </c>
      <c r="N28" s="382" t="str">
        <f t="array" ref="N28">IFERROR(INDEX(UtilityList!J$4:J$251,MATCH('Table 2.3b'!$A28&amp;'Table 2.3b'!$B28&amp;'Table 2.3b'!$C28,UtilityList!$A$4:$A$251&amp;UtilityList!$B$4:$B$251&amp;UtilityList!$C$4:$C$251,0)),INDEX(UtilityList!J$4:J$251,MATCH('Table 2.3b'!$A28&amp;'Table 2.3b'!$C28,UtilityList!$A$4:$A$251&amp;UtilityList!$C$4:$C$251,0)))</f>
        <v>Southeast</v>
      </c>
      <c r="O28" s="382" t="str">
        <f t="array" ref="O28">IFERROR(INDEX(UtilityList!K$4:K$251,MATCH('Table 2.3b'!$A28&amp;'Table 2.3b'!$B28&amp;'Table 2.3b'!$C28,UtilityList!$A$4:$A$251&amp;UtilityList!$B$4:$B$251&amp;UtilityList!$C$4:$C$251,0)),INDEX(UtilityList!K$4:K$251,MATCH('Table 2.3b'!$A28&amp;'Table 2.3b'!$C28,UtilityList!$A$4:$A$251&amp;UtilityList!$C$4:$C$251,0)))</f>
        <v>Haines</v>
      </c>
      <c r="P28" s="382" t="str">
        <f t="array" ref="P28">IFERROR(INDEX(UtilityList!L$4:L$251,MATCH('Table 2.3b'!$A28&amp;'Table 2.3b'!$B28&amp;'Table 2.3b'!$C28,UtilityList!$A$4:$A$251&amp;UtilityList!$B$4:$B$251&amp;UtilityList!$C$4:$C$251,0)),INDEX(UtilityList!L$4:L$251,MATCH('Table 2.3b'!$A28&amp;'Table 2.3b'!$C28,UtilityList!$A$4:$A$251&amp;UtilityList!$C$4:$C$251,0)))</f>
        <v>Sealaska</v>
      </c>
      <c r="Q28" s="382" t="str">
        <f t="array" ref="Q28">IFERROR(INDEX(UtilityList!M$4:M$251,MATCH('Table 2.3b'!$A28&amp;'Table 2.3b'!$B28&amp;'Table 2.3b'!$C28,UtilityList!$A$4:$A$251&amp;UtilityList!$B$4:$B$251&amp;UtilityList!$C$4:$C$251,0)),INDEX(UtilityList!M$4:M$251,MATCH('Table 2.3b'!$A28&amp;'Table 2.3b'!$C28,UtilityList!$A$4:$A$251&amp;UtilityList!$C$4:$C$251,0)))</f>
        <v>SE</v>
      </c>
    </row>
    <row r="29" spans="1:17" s="126" customFormat="1" ht="75" x14ac:dyDescent="0.25">
      <c r="A29" s="385" t="s">
        <v>43</v>
      </c>
      <c r="B29" s="455" t="s">
        <v>60</v>
      </c>
      <c r="C29" s="633" t="s">
        <v>60</v>
      </c>
      <c r="D29" s="655">
        <v>95</v>
      </c>
      <c r="E29" s="656">
        <v>0</v>
      </c>
      <c r="F29" s="656">
        <v>0</v>
      </c>
      <c r="G29" s="657">
        <v>3000.12</v>
      </c>
      <c r="H29" s="657">
        <v>0</v>
      </c>
      <c r="I29" s="657">
        <v>14928</v>
      </c>
      <c r="J29" s="656">
        <v>0</v>
      </c>
      <c r="K29" s="656">
        <v>0</v>
      </c>
      <c r="L29" s="662" t="s">
        <v>722</v>
      </c>
      <c r="M29" s="659" t="str">
        <f t="array" ref="M29">INDEX(UtilityList!Q$4:Q$251,MATCH('Table 2.3b'!$A29&amp;'Table 2.3b'!$B29&amp;'Table 2.3b'!$C29,UtilityList!$A$4:$A$251&amp;UtilityList!$B$4:$B$251&amp;UtilityList!$C$4:$C$251,0))</f>
        <v>Plant is also referred to as Dewey Lake. Part of the Alaska Power Company's grid in the Upper Lynn Canal service area.</v>
      </c>
      <c r="N29" s="382" t="str">
        <f t="array" ref="N29">IFERROR(INDEX(UtilityList!J$4:J$251,MATCH('Table 2.3b'!$A29&amp;'Table 2.3b'!$B29&amp;'Table 2.3b'!$C29,UtilityList!$A$4:$A$251&amp;UtilityList!$B$4:$B$251&amp;UtilityList!$C$4:$C$251,0)),INDEX(UtilityList!J$4:J$251,MATCH('Table 2.3b'!$A29&amp;'Table 2.3b'!$C29,UtilityList!$A$4:$A$251&amp;UtilityList!$C$4:$C$251,0)))</f>
        <v>Southeast</v>
      </c>
      <c r="O29" s="382" t="str">
        <f t="array" ref="O29">IFERROR(INDEX(UtilityList!K$4:K$251,MATCH('Table 2.3b'!$A29&amp;'Table 2.3b'!$B29&amp;'Table 2.3b'!$C29,UtilityList!$A$4:$A$251&amp;UtilityList!$B$4:$B$251&amp;UtilityList!$C$4:$C$251,0)),INDEX(UtilityList!K$4:K$251,MATCH('Table 2.3b'!$A29&amp;'Table 2.3b'!$C29,UtilityList!$A$4:$A$251&amp;UtilityList!$C$4:$C$251,0)))</f>
        <v>Skagway</v>
      </c>
      <c r="P29" s="382" t="str">
        <f t="array" ref="P29">IFERROR(INDEX(UtilityList!L$4:L$251,MATCH('Table 2.3b'!$A29&amp;'Table 2.3b'!$B29&amp;'Table 2.3b'!$C29,UtilityList!$A$4:$A$251&amp;UtilityList!$B$4:$B$251&amp;UtilityList!$C$4:$C$251,0)),INDEX(UtilityList!L$4:L$251,MATCH('Table 2.3b'!$A29&amp;'Table 2.3b'!$C29,UtilityList!$A$4:$A$251&amp;UtilityList!$C$4:$C$251,0)))</f>
        <v>Sealaska</v>
      </c>
      <c r="Q29" s="382" t="str">
        <f t="array" ref="Q29">IFERROR(INDEX(UtilityList!M$4:M$251,MATCH('Table 2.3b'!$A29&amp;'Table 2.3b'!$B29&amp;'Table 2.3b'!$C29,UtilityList!$A$4:$A$251&amp;UtilityList!$B$4:$B$251&amp;UtilityList!$C$4:$C$251,0)),INDEX(UtilityList!M$4:M$251,MATCH('Table 2.3b'!$A29&amp;'Table 2.3b'!$C29,UtilityList!$A$4:$A$251&amp;UtilityList!$C$4:$C$251,0)))</f>
        <v>SE</v>
      </c>
    </row>
    <row r="30" spans="1:17" s="126" customFormat="1" ht="30" x14ac:dyDescent="0.25">
      <c r="A30" s="653" t="s">
        <v>43</v>
      </c>
      <c r="B30" s="452" t="s">
        <v>51</v>
      </c>
      <c r="C30" s="654" t="s">
        <v>51</v>
      </c>
      <c r="D30" s="655">
        <v>83.3</v>
      </c>
      <c r="E30" s="656">
        <v>0</v>
      </c>
      <c r="F30" s="656">
        <v>0</v>
      </c>
      <c r="G30" s="657">
        <v>0</v>
      </c>
      <c r="H30" s="657">
        <v>0</v>
      </c>
      <c r="I30" s="657">
        <v>9100</v>
      </c>
      <c r="J30" s="656">
        <v>0</v>
      </c>
      <c r="K30" s="656">
        <v>0</v>
      </c>
      <c r="L30" s="658" t="s">
        <v>356</v>
      </c>
      <c r="M30" s="659">
        <f t="array" ref="M30">INDEX(UtilityList!Q$4:Q$251,MATCH('Table 2.3b'!$A30&amp;'Table 2.3b'!$B30&amp;'Table 2.3b'!$C30,UtilityList!$A$4:$A$251&amp;UtilityList!$B$4:$B$251&amp;UtilityList!$C$4:$C$251,0))</f>
        <v>0</v>
      </c>
      <c r="N30" s="382" t="str">
        <f t="array" ref="N30">IFERROR(INDEX(UtilityList!J$4:J$251,MATCH('Table 2.3b'!$A30&amp;'Table 2.3b'!$B30&amp;'Table 2.3b'!$C30,UtilityList!$A$4:$A$251&amp;UtilityList!$B$4:$B$251&amp;UtilityList!$C$4:$C$251,0)),INDEX(UtilityList!J$4:J$251,MATCH('Table 2.3b'!$A30&amp;'Table 2.3b'!$C30,UtilityList!$A$4:$A$251&amp;UtilityList!$C$4:$C$251,0)))</f>
        <v>Yukon-Koyukuk/Upper Tanana</v>
      </c>
      <c r="O30" s="382" t="str">
        <f t="array" ref="O30">IFERROR(INDEX(UtilityList!K$4:K$251,MATCH('Table 2.3b'!$A30&amp;'Table 2.3b'!$B30&amp;'Table 2.3b'!$C30,UtilityList!$A$4:$A$251&amp;UtilityList!$B$4:$B$251&amp;UtilityList!$C$4:$C$251,0)),INDEX(UtilityList!K$4:K$251,MATCH('Table 2.3b'!$A30&amp;'Table 2.3b'!$C30,UtilityList!$A$4:$A$251&amp;UtilityList!$C$4:$C$251,0)))</f>
        <v>Southeast Fairbanks (CA)</v>
      </c>
      <c r="P30" s="382" t="str">
        <f t="array" ref="P30">IFERROR(INDEX(UtilityList!L$4:L$251,MATCH('Table 2.3b'!$A30&amp;'Table 2.3b'!$B30&amp;'Table 2.3b'!$C30,UtilityList!$A$4:$A$251&amp;UtilityList!$B$4:$B$251&amp;UtilityList!$C$4:$C$251,0)),INDEX(UtilityList!L$4:L$251,MATCH('Table 2.3b'!$A30&amp;'Table 2.3b'!$C30,UtilityList!$A$4:$A$251&amp;UtilityList!$C$4:$C$251,0)))</f>
        <v>Doyon</v>
      </c>
      <c r="Q30" s="382" t="str">
        <f t="array" ref="Q30">IFERROR(INDEX(UtilityList!M$4:M$251,MATCH('Table 2.3b'!$A30&amp;'Table 2.3b'!$B30&amp;'Table 2.3b'!$C30,UtilityList!$A$4:$A$251&amp;UtilityList!$B$4:$B$251&amp;UtilityList!$C$4:$C$251,0)),INDEX(UtilityList!M$4:M$251,MATCH('Table 2.3b'!$A30&amp;'Table 2.3b'!$C30,UtilityList!$A$4:$A$251&amp;UtilityList!$C$4:$C$251,0)))</f>
        <v>YU</v>
      </c>
    </row>
    <row r="31" spans="1:17" s="126" customFormat="1" ht="75" x14ac:dyDescent="0.25">
      <c r="A31" s="653" t="s">
        <v>43</v>
      </c>
      <c r="B31" s="452" t="s">
        <v>52</v>
      </c>
      <c r="C31" s="654" t="s">
        <v>52</v>
      </c>
      <c r="D31" s="655">
        <v>-12.348000000000001</v>
      </c>
      <c r="E31" s="656">
        <v>0</v>
      </c>
      <c r="F31" s="656">
        <v>0</v>
      </c>
      <c r="G31" s="657">
        <v>0</v>
      </c>
      <c r="H31" s="657">
        <v>0</v>
      </c>
      <c r="I31" s="657">
        <v>0</v>
      </c>
      <c r="J31" s="656">
        <v>0</v>
      </c>
      <c r="K31" s="656">
        <v>0</v>
      </c>
      <c r="L31" s="658" t="s">
        <v>356</v>
      </c>
      <c r="M31" s="659" t="str">
        <f t="array" ref="M31">INDEX(UtilityList!Q$4:Q$251,MATCH('Table 2.3b'!$A31&amp;'Table 2.3b'!$B31&amp;'Table 2.3b'!$C31,UtilityList!$A$4:$A$251&amp;UtilityList!$B$4:$B$251&amp;UtilityList!$C$4:$C$251,0))</f>
        <v>Part of the Alaska Power Company's grid on Prince of Wales Island. Receives power from Craig. Refer to Craig for fuel use and cost.</v>
      </c>
      <c r="N31" s="382" t="str">
        <f t="array" ref="N31">IFERROR(INDEX(UtilityList!J$4:J$251,MATCH('Table 2.3b'!$A31&amp;'Table 2.3b'!$B31&amp;'Table 2.3b'!$C31,UtilityList!$A$4:$A$251&amp;UtilityList!$B$4:$B$251&amp;UtilityList!$C$4:$C$251,0)),INDEX(UtilityList!J$4:J$251,MATCH('Table 2.3b'!$A31&amp;'Table 2.3b'!$C31,UtilityList!$A$4:$A$251&amp;UtilityList!$C$4:$C$251,0)))</f>
        <v>Southeast</v>
      </c>
      <c r="O31" s="382" t="str">
        <f t="array" ref="O31">IFERROR(INDEX(UtilityList!K$4:K$251,MATCH('Table 2.3b'!$A31&amp;'Table 2.3b'!$B31&amp;'Table 2.3b'!$C31,UtilityList!$A$4:$A$251&amp;UtilityList!$B$4:$B$251&amp;UtilityList!$C$4:$C$251,0)),INDEX(UtilityList!K$4:K$251,MATCH('Table 2.3b'!$A31&amp;'Table 2.3b'!$C31,UtilityList!$A$4:$A$251&amp;UtilityList!$C$4:$C$251,0)))</f>
        <v>Prince of Wales-Hyder (CA)</v>
      </c>
      <c r="P31" s="382" t="str">
        <f t="array" ref="P31">IFERROR(INDEX(UtilityList!L$4:L$251,MATCH('Table 2.3b'!$A31&amp;'Table 2.3b'!$B31&amp;'Table 2.3b'!$C31,UtilityList!$A$4:$A$251&amp;UtilityList!$B$4:$B$251&amp;UtilityList!$C$4:$C$251,0)),INDEX(UtilityList!L$4:L$251,MATCH('Table 2.3b'!$A31&amp;'Table 2.3b'!$C31,UtilityList!$A$4:$A$251&amp;UtilityList!$C$4:$C$251,0)))</f>
        <v>Sealaska</v>
      </c>
      <c r="Q31" s="382" t="str">
        <f t="array" ref="Q31">IFERROR(INDEX(UtilityList!M$4:M$251,MATCH('Table 2.3b'!$A31&amp;'Table 2.3b'!$B31&amp;'Table 2.3b'!$C31,UtilityList!$A$4:$A$251&amp;UtilityList!$B$4:$B$251&amp;UtilityList!$C$4:$C$251,0)),INDEX(UtilityList!M$4:M$251,MATCH('Table 2.3b'!$A31&amp;'Table 2.3b'!$C31,UtilityList!$A$4:$A$251&amp;UtilityList!$C$4:$C$251,0)))</f>
        <v>SE</v>
      </c>
    </row>
    <row r="32" spans="1:17" customFormat="1" ht="75" x14ac:dyDescent="0.25">
      <c r="A32" s="385" t="s">
        <v>43</v>
      </c>
      <c r="B32" s="455" t="s">
        <v>53</v>
      </c>
      <c r="C32" s="352" t="s">
        <v>53</v>
      </c>
      <c r="D32" s="661">
        <v>23</v>
      </c>
      <c r="E32" s="656">
        <v>0</v>
      </c>
      <c r="F32" s="656">
        <v>0</v>
      </c>
      <c r="G32" s="661">
        <v>0</v>
      </c>
      <c r="H32" s="661">
        <v>0</v>
      </c>
      <c r="I32" s="661">
        <v>3864</v>
      </c>
      <c r="J32" s="656">
        <v>0</v>
      </c>
      <c r="K32" s="656">
        <v>0</v>
      </c>
      <c r="L32" s="662" t="s">
        <v>558</v>
      </c>
      <c r="M32" s="659" t="str">
        <f t="array" ref="M32">INDEX(UtilityList!Q$4:Q$251,MATCH('Table 2.3b'!$A32&amp;'Table 2.3b'!$B32&amp;'Table 2.3b'!$C32,UtilityList!$A$4:$A$251&amp;UtilityList!$B$4:$B$251&amp;UtilityList!$C$4:$C$251,0))</f>
        <v>Part of the Alaska Power Company's grid on Prince of Wales Island. Receives power from Craig. Refer to Craig for fuel use and cost.</v>
      </c>
      <c r="N32" s="382" t="str">
        <f t="array" ref="N32">IFERROR(INDEX(UtilityList!J$4:J$251,MATCH('Table 2.3b'!$A32&amp;'Table 2.3b'!$B32&amp;'Table 2.3b'!$C32,UtilityList!$A$4:$A$251&amp;UtilityList!$B$4:$B$251&amp;UtilityList!$C$4:$C$251,0)),INDEX(UtilityList!J$4:J$251,MATCH('Table 2.3b'!$A32&amp;'Table 2.3b'!$C32,UtilityList!$A$4:$A$251&amp;UtilityList!$C$4:$C$251,0)))</f>
        <v>Southeast</v>
      </c>
      <c r="O32" s="382" t="str">
        <f t="array" ref="O32">IFERROR(INDEX(UtilityList!K$4:K$251,MATCH('Table 2.3b'!$A32&amp;'Table 2.3b'!$B32&amp;'Table 2.3b'!$C32,UtilityList!$A$4:$A$251&amp;UtilityList!$B$4:$B$251&amp;UtilityList!$C$4:$C$251,0)),INDEX(UtilityList!K$4:K$251,MATCH('Table 2.3b'!$A32&amp;'Table 2.3b'!$C32,UtilityList!$A$4:$A$251&amp;UtilityList!$C$4:$C$251,0)))</f>
        <v>Prince of Wales-Hyder (CA)</v>
      </c>
      <c r="P32" s="382" t="str">
        <f t="array" ref="P32">IFERROR(INDEX(UtilityList!L$4:L$251,MATCH('Table 2.3b'!$A32&amp;'Table 2.3b'!$B32&amp;'Table 2.3b'!$C32,UtilityList!$A$4:$A$251&amp;UtilityList!$B$4:$B$251&amp;UtilityList!$C$4:$C$251,0)),INDEX(UtilityList!L$4:L$251,MATCH('Table 2.3b'!$A32&amp;'Table 2.3b'!$C32,UtilityList!$A$4:$A$251&amp;UtilityList!$C$4:$C$251,0)))</f>
        <v>Sealaska</v>
      </c>
      <c r="Q32" s="382" t="str">
        <f t="array" ref="Q32">IFERROR(INDEX(UtilityList!M$4:M$251,MATCH('Table 2.3b'!$A32&amp;'Table 2.3b'!$B32&amp;'Table 2.3b'!$C32,UtilityList!$A$4:$A$251&amp;UtilityList!$B$4:$B$251&amp;UtilityList!$C$4:$C$251,0)),INDEX(UtilityList!M$4:M$251,MATCH('Table 2.3b'!$A32&amp;'Table 2.3b'!$C32,UtilityList!$A$4:$A$251&amp;UtilityList!$C$4:$C$251,0)))</f>
        <v>SE</v>
      </c>
    </row>
    <row r="33" spans="1:17" s="126" customFormat="1" ht="30" x14ac:dyDescent="0.25">
      <c r="A33" s="653" t="s">
        <v>43</v>
      </c>
      <c r="B33" s="452" t="s">
        <v>55</v>
      </c>
      <c r="C33" s="654" t="s">
        <v>55</v>
      </c>
      <c r="D33" s="655">
        <v>237.108</v>
      </c>
      <c r="E33" s="656">
        <v>0</v>
      </c>
      <c r="F33" s="656">
        <v>0</v>
      </c>
      <c r="G33" s="657">
        <v>0</v>
      </c>
      <c r="H33" s="657">
        <v>0</v>
      </c>
      <c r="I33" s="657">
        <v>19779</v>
      </c>
      <c r="J33" s="656">
        <v>0</v>
      </c>
      <c r="K33" s="656">
        <v>0</v>
      </c>
      <c r="L33" s="658" t="s">
        <v>356</v>
      </c>
      <c r="M33" s="659">
        <f t="array" ref="M33">INDEX(UtilityList!Q$4:Q$251,MATCH('Table 2.3b'!$A33&amp;'Table 2.3b'!$B33&amp;'Table 2.3b'!$C33,UtilityList!$A$4:$A$251&amp;UtilityList!$B$4:$B$251&amp;UtilityList!$C$4:$C$251,0))</f>
        <v>0</v>
      </c>
      <c r="N33" s="382" t="str">
        <f t="array" ref="N33">IFERROR(INDEX(UtilityList!J$4:J$251,MATCH('Table 2.3b'!$A33&amp;'Table 2.3b'!$B33&amp;'Table 2.3b'!$C33,UtilityList!$A$4:$A$251&amp;UtilityList!$B$4:$B$251&amp;UtilityList!$C$4:$C$251,0)),INDEX(UtilityList!J$4:J$251,MATCH('Table 2.3b'!$A33&amp;'Table 2.3b'!$C33,UtilityList!$A$4:$A$251&amp;UtilityList!$C$4:$C$251,0)))</f>
        <v>Copper River/Chugach</v>
      </c>
      <c r="O33" s="382" t="str">
        <f t="array" ref="O33">IFERROR(INDEX(UtilityList!K$4:K$251,MATCH('Table 2.3b'!$A33&amp;'Table 2.3b'!$B33&amp;'Table 2.3b'!$C33,UtilityList!$A$4:$A$251&amp;UtilityList!$B$4:$B$251&amp;UtilityList!$C$4:$C$251,0)),INDEX(UtilityList!K$4:K$251,MATCH('Table 2.3b'!$A33&amp;'Table 2.3b'!$C33,UtilityList!$A$4:$A$251&amp;UtilityList!$C$4:$C$251,0)))</f>
        <v>Valdez-Cordova (CA)</v>
      </c>
      <c r="P33" s="382" t="str">
        <f t="array" ref="P33">IFERROR(INDEX(UtilityList!L$4:L$251,MATCH('Table 2.3b'!$A33&amp;'Table 2.3b'!$B33&amp;'Table 2.3b'!$C33,UtilityList!$A$4:$A$251&amp;UtilityList!$B$4:$B$251&amp;UtilityList!$C$4:$C$251,0)),INDEX(UtilityList!L$4:L$251,MATCH('Table 2.3b'!$A33&amp;'Table 2.3b'!$C33,UtilityList!$A$4:$A$251&amp;UtilityList!$C$4:$C$251,0)))</f>
        <v>Ahtna</v>
      </c>
      <c r="Q33" s="382" t="str">
        <f t="array" ref="Q33">IFERROR(INDEX(UtilityList!M$4:M$251,MATCH('Table 2.3b'!$A33&amp;'Table 2.3b'!$B33&amp;'Table 2.3b'!$C33,UtilityList!$A$4:$A$251&amp;UtilityList!$B$4:$B$251&amp;UtilityList!$C$4:$C$251,0)),INDEX(UtilityList!M$4:M$251,MATCH('Table 2.3b'!$A33&amp;'Table 2.3b'!$C33,UtilityList!$A$4:$A$251&amp;UtilityList!$C$4:$C$251,0)))</f>
        <v>YU</v>
      </c>
    </row>
    <row r="34" spans="1:17" s="126" customFormat="1" ht="30" x14ac:dyDescent="0.25">
      <c r="A34" s="653" t="s">
        <v>43</v>
      </c>
      <c r="B34" s="452" t="s">
        <v>56</v>
      </c>
      <c r="C34" s="654" t="s">
        <v>56</v>
      </c>
      <c r="D34" s="655">
        <v>449.90800000000002</v>
      </c>
      <c r="E34" s="656">
        <v>0</v>
      </c>
      <c r="F34" s="656">
        <v>0</v>
      </c>
      <c r="G34" s="657">
        <v>0</v>
      </c>
      <c r="H34" s="657">
        <v>0</v>
      </c>
      <c r="I34" s="657">
        <v>37322</v>
      </c>
      <c r="J34" s="656">
        <v>0</v>
      </c>
      <c r="K34" s="656">
        <v>0</v>
      </c>
      <c r="L34" s="658" t="s">
        <v>356</v>
      </c>
      <c r="M34" s="659">
        <f t="array" ref="M34">INDEX(UtilityList!Q$4:Q$251,MATCH('Table 2.3b'!$A34&amp;'Table 2.3b'!$B34&amp;'Table 2.3b'!$C34,UtilityList!$A$4:$A$251&amp;UtilityList!$B$4:$B$251&amp;UtilityList!$C$4:$C$251,0))</f>
        <v>0</v>
      </c>
      <c r="N34" s="382" t="str">
        <f t="array" ref="N34">IFERROR(INDEX(UtilityList!J$4:J$251,MATCH('Table 2.3b'!$A34&amp;'Table 2.3b'!$B34&amp;'Table 2.3b'!$C34,UtilityList!$A$4:$A$251&amp;UtilityList!$B$4:$B$251&amp;UtilityList!$C$4:$C$251,0)),INDEX(UtilityList!J$4:J$251,MATCH('Table 2.3b'!$A34&amp;'Table 2.3b'!$C34,UtilityList!$A$4:$A$251&amp;UtilityList!$C$4:$C$251,0)))</f>
        <v>Southeast</v>
      </c>
      <c r="O34" s="382" t="str">
        <f t="array" ref="O34">IFERROR(INDEX(UtilityList!K$4:K$251,MATCH('Table 2.3b'!$A34&amp;'Table 2.3b'!$B34&amp;'Table 2.3b'!$C34,UtilityList!$A$4:$A$251&amp;UtilityList!$B$4:$B$251&amp;UtilityList!$C$4:$C$251,0)),INDEX(UtilityList!K$4:K$251,MATCH('Table 2.3b'!$A34&amp;'Table 2.3b'!$C34,UtilityList!$A$4:$A$251&amp;UtilityList!$C$4:$C$251,0)))</f>
        <v>Prince of Wales-Hyder (CA)</v>
      </c>
      <c r="P34" s="382" t="str">
        <f t="array" ref="P34">IFERROR(INDEX(UtilityList!L$4:L$251,MATCH('Table 2.3b'!$A34&amp;'Table 2.3b'!$B34&amp;'Table 2.3b'!$C34,UtilityList!$A$4:$A$251&amp;UtilityList!$B$4:$B$251&amp;UtilityList!$C$4:$C$251,0)),INDEX(UtilityList!L$4:L$251,MATCH('Table 2.3b'!$A34&amp;'Table 2.3b'!$C34,UtilityList!$A$4:$A$251&amp;UtilityList!$C$4:$C$251,0)))</f>
        <v>Sealaska</v>
      </c>
      <c r="Q34" s="382" t="str">
        <f t="array" ref="Q34">IFERROR(INDEX(UtilityList!M$4:M$251,MATCH('Table 2.3b'!$A34&amp;'Table 2.3b'!$B34&amp;'Table 2.3b'!$C34,UtilityList!$A$4:$A$251&amp;UtilityList!$B$4:$B$251&amp;UtilityList!$C$4:$C$251,0)),INDEX(UtilityList!M$4:M$251,MATCH('Table 2.3b'!$A34&amp;'Table 2.3b'!$C34,UtilityList!$A$4:$A$251&amp;UtilityList!$C$4:$C$251,0)))</f>
        <v>SE</v>
      </c>
    </row>
    <row r="35" spans="1:17" s="126" customFormat="1" ht="60" x14ac:dyDescent="0.25">
      <c r="A35" s="385" t="s">
        <v>43</v>
      </c>
      <c r="B35" s="455" t="s">
        <v>57</v>
      </c>
      <c r="C35" s="352" t="s">
        <v>683</v>
      </c>
      <c r="D35" s="661">
        <v>1286</v>
      </c>
      <c r="E35" s="656">
        <v>0</v>
      </c>
      <c r="F35" s="656">
        <v>0</v>
      </c>
      <c r="G35" s="661">
        <v>0</v>
      </c>
      <c r="H35" s="661">
        <v>0</v>
      </c>
      <c r="I35" s="661">
        <v>98616</v>
      </c>
      <c r="J35" s="656">
        <v>0</v>
      </c>
      <c r="K35" s="656">
        <v>0</v>
      </c>
      <c r="L35" s="662" t="s">
        <v>558</v>
      </c>
      <c r="M35" s="659" t="str">
        <f t="array" ref="M35">INDEX(UtilityList!Q$4:Q$251,MATCH('Table 2.3b'!$A35&amp;'Table 2.3b'!$B35&amp;'Table 2.3b'!$C35,UtilityList!$A$4:$A$251&amp;UtilityList!$B$4:$B$251&amp;UtilityList!$C$4:$C$251,0))</f>
        <v>Provides power to Northway Village via intertie. Data includes Northway Village's information.</v>
      </c>
      <c r="N35" s="382" t="str">
        <f t="array" ref="N35">IFERROR(INDEX(UtilityList!J$4:J$251,MATCH('Table 2.3b'!$A35&amp;'Table 2.3b'!$B35&amp;'Table 2.3b'!$C35,UtilityList!$A$4:$A$251&amp;UtilityList!$B$4:$B$251&amp;UtilityList!$C$4:$C$251,0)),INDEX(UtilityList!J$4:J$251,MATCH('Table 2.3b'!$A35&amp;'Table 2.3b'!$C35,UtilityList!$A$4:$A$251&amp;UtilityList!$C$4:$C$251,0)))</f>
        <v>Yukon-Koyukuk/Upper Tanana</v>
      </c>
      <c r="O35" s="382" t="str">
        <f t="array" ref="O35">IFERROR(INDEX(UtilityList!K$4:K$251,MATCH('Table 2.3b'!$A35&amp;'Table 2.3b'!$B35&amp;'Table 2.3b'!$C35,UtilityList!$A$4:$A$251&amp;UtilityList!$B$4:$B$251&amp;UtilityList!$C$4:$C$251,0)),INDEX(UtilityList!K$4:K$251,MATCH('Table 2.3b'!$A35&amp;'Table 2.3b'!$C35,UtilityList!$A$4:$A$251&amp;UtilityList!$C$4:$C$251,0)))</f>
        <v>Southeast Fairbanks (CA)</v>
      </c>
      <c r="P35" s="382" t="str">
        <f t="array" ref="P35">IFERROR(INDEX(UtilityList!L$4:L$251,MATCH('Table 2.3b'!$A35&amp;'Table 2.3b'!$B35&amp;'Table 2.3b'!$C35,UtilityList!$A$4:$A$251&amp;UtilityList!$B$4:$B$251&amp;UtilityList!$C$4:$C$251,0)),INDEX(UtilityList!L$4:L$251,MATCH('Table 2.3b'!$A35&amp;'Table 2.3b'!$C35,UtilityList!$A$4:$A$251&amp;UtilityList!$C$4:$C$251,0)))</f>
        <v>Doyon</v>
      </c>
      <c r="Q35" s="382" t="str">
        <f t="array" ref="Q35">IFERROR(INDEX(UtilityList!M$4:M$251,MATCH('Table 2.3b'!$A35&amp;'Table 2.3b'!$B35&amp;'Table 2.3b'!$C35,UtilityList!$A$4:$A$251&amp;UtilityList!$B$4:$B$251&amp;UtilityList!$C$4:$C$251,0)),INDEX(UtilityList!M$4:M$251,MATCH('Table 2.3b'!$A35&amp;'Table 2.3b'!$C35,UtilityList!$A$4:$A$251&amp;UtilityList!$C$4:$C$251,0)))</f>
        <v>YU</v>
      </c>
    </row>
    <row r="36" spans="1:17" customFormat="1" ht="45" x14ac:dyDescent="0.25">
      <c r="A36" s="385" t="s">
        <v>43</v>
      </c>
      <c r="B36" s="455" t="s">
        <v>519</v>
      </c>
      <c r="C36" s="352" t="s">
        <v>60</v>
      </c>
      <c r="D36" s="644">
        <v>0</v>
      </c>
      <c r="E36" s="656">
        <v>0</v>
      </c>
      <c r="F36" s="656">
        <v>0</v>
      </c>
      <c r="G36" s="661">
        <v>7965</v>
      </c>
      <c r="H36" s="661">
        <v>0</v>
      </c>
      <c r="I36" s="644">
        <v>0</v>
      </c>
      <c r="J36" s="656">
        <v>0</v>
      </c>
      <c r="K36" s="656">
        <v>0</v>
      </c>
      <c r="L36" s="662" t="s">
        <v>558</v>
      </c>
      <c r="M36" s="659" t="str">
        <f t="array" ref="M36">INDEX(UtilityList!Q$4:Q$251,MATCH('Table 2.3b'!$A36&amp;'Table 2.3b'!$B36&amp;'Table 2.3b'!$C36,UtilityList!$A$4:$A$251&amp;UtilityList!$B$4:$B$251&amp;UtilityList!$C$4:$C$251,0))</f>
        <v>Part of the Alaska Power Company's grid in the Upper Lynn Canal service area.</v>
      </c>
      <c r="N36" s="382" t="str">
        <f t="array" ref="N36">IFERROR(INDEX(UtilityList!J$4:J$251,MATCH('Table 2.3b'!$A36&amp;'Table 2.3b'!$B36&amp;'Table 2.3b'!$C36,UtilityList!$A$4:$A$251&amp;UtilityList!$B$4:$B$251&amp;UtilityList!$C$4:$C$251,0)),INDEX(UtilityList!J$4:J$251,MATCH('Table 2.3b'!$A36&amp;'Table 2.3b'!$C36,UtilityList!$A$4:$A$251&amp;UtilityList!$C$4:$C$251,0)))</f>
        <v>Southeast</v>
      </c>
      <c r="O36" s="382" t="str">
        <f t="array" ref="O36">IFERROR(INDEX(UtilityList!K$4:K$251,MATCH('Table 2.3b'!$A36&amp;'Table 2.3b'!$B36&amp;'Table 2.3b'!$C36,UtilityList!$A$4:$A$251&amp;UtilityList!$B$4:$B$251&amp;UtilityList!$C$4:$C$251,0)),INDEX(UtilityList!K$4:K$251,MATCH('Table 2.3b'!$A36&amp;'Table 2.3b'!$C36,UtilityList!$A$4:$A$251&amp;UtilityList!$C$4:$C$251,0)))</f>
        <v>Skagway</v>
      </c>
      <c r="P36" s="382" t="str">
        <f t="array" ref="P36">IFERROR(INDEX(UtilityList!L$4:L$251,MATCH('Table 2.3b'!$A36&amp;'Table 2.3b'!$B36&amp;'Table 2.3b'!$C36,UtilityList!$A$4:$A$251&amp;UtilityList!$B$4:$B$251&amp;UtilityList!$C$4:$C$251,0)),INDEX(UtilityList!L$4:L$251,MATCH('Table 2.3b'!$A36&amp;'Table 2.3b'!$C36,UtilityList!$A$4:$A$251&amp;UtilityList!$C$4:$C$251,0)))</f>
        <v>Sealaska</v>
      </c>
      <c r="Q36" s="382" t="str">
        <f t="array" ref="Q36">IFERROR(INDEX(UtilityList!M$4:M$251,MATCH('Table 2.3b'!$A36&amp;'Table 2.3b'!$B36&amp;'Table 2.3b'!$C36,UtilityList!$A$4:$A$251&amp;UtilityList!$B$4:$B$251&amp;UtilityList!$C$4:$C$251,0)),INDEX(UtilityList!M$4:M$251,MATCH('Table 2.3b'!$A36&amp;'Table 2.3b'!$C36,UtilityList!$A$4:$A$251&amp;UtilityList!$C$4:$C$251,0)))</f>
        <v>SE</v>
      </c>
    </row>
    <row r="37" spans="1:17" customFormat="1" ht="60" x14ac:dyDescent="0.25">
      <c r="A37" s="653" t="s">
        <v>43</v>
      </c>
      <c r="B37" s="452" t="s">
        <v>61</v>
      </c>
      <c r="C37" s="654" t="s">
        <v>995</v>
      </c>
      <c r="D37" s="655">
        <v>1150.4580000000001</v>
      </c>
      <c r="E37" s="656">
        <v>0</v>
      </c>
      <c r="F37" s="656">
        <v>0</v>
      </c>
      <c r="G37" s="657">
        <v>0</v>
      </c>
      <c r="H37" s="657">
        <v>0</v>
      </c>
      <c r="I37" s="657">
        <v>94630</v>
      </c>
      <c r="J37" s="656">
        <v>0</v>
      </c>
      <c r="K37" s="656">
        <v>0</v>
      </c>
      <c r="L37" s="658" t="s">
        <v>356</v>
      </c>
      <c r="M37" s="659" t="str">
        <f t="array" ref="M37">INDEX(UtilityList!Q$4:Q$251,MATCH('Table 2.3b'!$A37&amp;'Table 2.3b'!$B37&amp;'Table 2.3b'!$C37,UtilityList!$A$4:$A$251&amp;UtilityList!$B$4:$B$251&amp;UtilityList!$C$4:$C$251,0))</f>
        <v>Provides power to Chistochina via intertie. Includes Chistochina's fuel use and fuel cost.</v>
      </c>
      <c r="N37" s="382" t="str">
        <f t="array" ref="N37">IFERROR(INDEX(UtilityList!J$4:J$251,MATCH('Table 2.3b'!$A37&amp;'Table 2.3b'!$B37&amp;'Table 2.3b'!$C37,UtilityList!$A$4:$A$251&amp;UtilityList!$B$4:$B$251&amp;UtilityList!$C$4:$C$251,0)),INDEX(UtilityList!J$4:J$251,MATCH('Table 2.3b'!$A37&amp;'Table 2.3b'!$C37,UtilityList!$A$4:$A$251&amp;UtilityList!$C$4:$C$251,0)))</f>
        <v>Copper River/Chugach</v>
      </c>
      <c r="O37" s="382" t="str">
        <f t="array" ref="O37">IFERROR(INDEX(UtilityList!K$4:K$251,MATCH('Table 2.3b'!$A37&amp;'Table 2.3b'!$B37&amp;'Table 2.3b'!$C37,UtilityList!$A$4:$A$251&amp;UtilityList!$B$4:$B$251&amp;UtilityList!$C$4:$C$251,0)),INDEX(UtilityList!K$4:K$251,MATCH('Table 2.3b'!$A37&amp;'Table 2.3b'!$C37,UtilityList!$A$4:$A$251&amp;UtilityList!$C$4:$C$251,0)))</f>
        <v>Valdez-Cordova (CA)</v>
      </c>
      <c r="P37" s="382" t="str">
        <f t="array" ref="P37">IFERROR(INDEX(UtilityList!L$4:L$251,MATCH('Table 2.3b'!$A37&amp;'Table 2.3b'!$B37&amp;'Table 2.3b'!$C37,UtilityList!$A$4:$A$251&amp;UtilityList!$B$4:$B$251&amp;UtilityList!$C$4:$C$251,0)),INDEX(UtilityList!L$4:L$251,MATCH('Table 2.3b'!$A37&amp;'Table 2.3b'!$C37,UtilityList!$A$4:$A$251&amp;UtilityList!$C$4:$C$251,0)))</f>
        <v>Ahtna</v>
      </c>
      <c r="Q37" s="382" t="str">
        <f t="array" ref="Q37">IFERROR(INDEX(UtilityList!M$4:M$251,MATCH('Table 2.3b'!$A37&amp;'Table 2.3b'!$B37&amp;'Table 2.3b'!$C37,UtilityList!$A$4:$A$251&amp;UtilityList!$B$4:$B$251&amp;UtilityList!$C$4:$C$251,0)),INDEX(UtilityList!M$4:M$251,MATCH('Table 2.3b'!$A37&amp;'Table 2.3b'!$C37,UtilityList!$A$4:$A$251&amp;UtilityList!$C$4:$C$251,0)))</f>
        <v>YU</v>
      </c>
    </row>
    <row r="38" spans="1:17" customFormat="1" ht="60" x14ac:dyDescent="0.25">
      <c r="A38" s="653" t="s">
        <v>43</v>
      </c>
      <c r="B38" s="452" t="s">
        <v>64</v>
      </c>
      <c r="C38" s="654" t="s">
        <v>62</v>
      </c>
      <c r="D38" s="655">
        <v>0</v>
      </c>
      <c r="E38" s="656">
        <v>0</v>
      </c>
      <c r="F38" s="656">
        <v>0</v>
      </c>
      <c r="G38" s="657">
        <v>0</v>
      </c>
      <c r="H38" s="657">
        <v>0</v>
      </c>
      <c r="I38" s="657">
        <v>0</v>
      </c>
      <c r="J38" s="656">
        <v>0</v>
      </c>
      <c r="K38" s="656">
        <v>0</v>
      </c>
      <c r="L38" s="658" t="s">
        <v>356</v>
      </c>
      <c r="M38" s="659" t="str">
        <f t="array" ref="M38">INDEX(UtilityList!Q$4:Q$251,MATCH('Table 2.3b'!$A38&amp;'Table 2.3b'!$B38&amp;'Table 2.3b'!$C38,UtilityList!$A$4:$A$251&amp;UtilityList!$B$4:$B$251&amp;UtilityList!$C$4:$C$251,0))</f>
        <v>Receives power from Tok via intertie. For fuel use and cost information please refer to Tok.</v>
      </c>
      <c r="N38" s="382" t="str">
        <f t="array" ref="N38">IFERROR(INDEX(UtilityList!J$4:J$251,MATCH('Table 2.3b'!$A38&amp;'Table 2.3b'!$B38&amp;'Table 2.3b'!$C38,UtilityList!$A$4:$A$251&amp;UtilityList!$B$4:$B$251&amp;UtilityList!$C$4:$C$251,0)),INDEX(UtilityList!J$4:J$251,MATCH('Table 2.3b'!$A38&amp;'Table 2.3b'!$C38,UtilityList!$A$4:$A$251&amp;UtilityList!$C$4:$C$251,0)))</f>
        <v>Yukon-Koyukuk/Upper Tanana</v>
      </c>
      <c r="O38" s="382" t="str">
        <f t="array" ref="O38">IFERROR(INDEX(UtilityList!K$4:K$251,MATCH('Table 2.3b'!$A38&amp;'Table 2.3b'!$B38&amp;'Table 2.3b'!$C38,UtilityList!$A$4:$A$251&amp;UtilityList!$B$4:$B$251&amp;UtilityList!$C$4:$C$251,0)),INDEX(UtilityList!K$4:K$251,MATCH('Table 2.3b'!$A38&amp;'Table 2.3b'!$C38,UtilityList!$A$4:$A$251&amp;UtilityList!$C$4:$C$251,0)))</f>
        <v>Southeast Fairbanks (CA)</v>
      </c>
      <c r="P38" s="382" t="str">
        <f t="array" ref="P38">IFERROR(INDEX(UtilityList!L$4:L$251,MATCH('Table 2.3b'!$A38&amp;'Table 2.3b'!$B38&amp;'Table 2.3b'!$C38,UtilityList!$A$4:$A$251&amp;UtilityList!$B$4:$B$251&amp;UtilityList!$C$4:$C$251,0)),INDEX(UtilityList!L$4:L$251,MATCH('Table 2.3b'!$A38&amp;'Table 2.3b'!$C38,UtilityList!$A$4:$A$251&amp;UtilityList!$C$4:$C$251,0)))</f>
        <v>Dyon</v>
      </c>
      <c r="Q38" s="382" t="str">
        <f t="array" ref="Q38">IFERROR(INDEX(UtilityList!M$4:M$251,MATCH('Table 2.3b'!$A38&amp;'Table 2.3b'!$B38&amp;'Table 2.3b'!$C38,UtilityList!$A$4:$A$251&amp;UtilityList!$B$4:$B$251&amp;UtilityList!$C$4:$C$251,0)),INDEX(UtilityList!M$4:M$251,MATCH('Table 2.3b'!$A38&amp;'Table 2.3b'!$C38,UtilityList!$A$4:$A$251&amp;UtilityList!$C$4:$C$251,0)))</f>
        <v>YU</v>
      </c>
    </row>
    <row r="39" spans="1:17" customFormat="1" ht="90" x14ac:dyDescent="0.25">
      <c r="A39" s="385" t="s">
        <v>43</v>
      </c>
      <c r="B39" s="455" t="s">
        <v>63</v>
      </c>
      <c r="C39" s="352" t="s">
        <v>681</v>
      </c>
      <c r="D39" s="661">
        <v>929</v>
      </c>
      <c r="E39" s="656">
        <v>0</v>
      </c>
      <c r="F39" s="656">
        <v>0</v>
      </c>
      <c r="G39" s="661">
        <v>0</v>
      </c>
      <c r="H39" s="661">
        <v>0</v>
      </c>
      <c r="I39" s="661">
        <v>67956</v>
      </c>
      <c r="J39" s="656">
        <v>0</v>
      </c>
      <c r="K39" s="656">
        <v>0</v>
      </c>
      <c r="L39" s="662" t="s">
        <v>558</v>
      </c>
      <c r="M39" s="659" t="str">
        <f t="array" ref="M39">INDEX(UtilityList!Q$4:Q$251,MATCH('Table 2.3b'!$A39&amp;'Table 2.3b'!$B39&amp;'Table 2.3b'!$C39,UtilityList!$A$4:$A$251&amp;UtilityList!$B$4:$B$251&amp;UtilityList!$C$4:$C$251,0))</f>
        <v>Part of the Alaska Power Company's grid on Prince of Wales Island. Receives power from Craig. Refer to Craig for fuel use and cost. Includes data for Kaasan.</v>
      </c>
      <c r="N39" s="382" t="str">
        <f t="array" ref="N39">IFERROR(INDEX(UtilityList!J$4:J$251,MATCH('Table 2.3b'!$A39&amp;'Table 2.3b'!$B39&amp;'Table 2.3b'!$C39,UtilityList!$A$4:$A$251&amp;UtilityList!$B$4:$B$251&amp;UtilityList!$C$4:$C$251,0)),INDEX(UtilityList!J$4:J$251,MATCH('Table 2.3b'!$A39&amp;'Table 2.3b'!$C39,UtilityList!$A$4:$A$251&amp;UtilityList!$C$4:$C$251,0)))</f>
        <v>Southeast</v>
      </c>
      <c r="O39" s="382" t="str">
        <f t="array" ref="O39">IFERROR(INDEX(UtilityList!K$4:K$251,MATCH('Table 2.3b'!$A39&amp;'Table 2.3b'!$B39&amp;'Table 2.3b'!$C39,UtilityList!$A$4:$A$251&amp;UtilityList!$B$4:$B$251&amp;UtilityList!$C$4:$C$251,0)),INDEX(UtilityList!K$4:K$251,MATCH('Table 2.3b'!$A39&amp;'Table 2.3b'!$C39,UtilityList!$A$4:$A$251&amp;UtilityList!$C$4:$C$251,0)))</f>
        <v>Prince of Wales-Hyder (CA)</v>
      </c>
      <c r="P39" s="382" t="str">
        <f t="array" ref="P39">IFERROR(INDEX(UtilityList!L$4:L$251,MATCH('Table 2.3b'!$A39&amp;'Table 2.3b'!$B39&amp;'Table 2.3b'!$C39,UtilityList!$A$4:$A$251&amp;UtilityList!$B$4:$B$251&amp;UtilityList!$C$4:$C$251,0)),INDEX(UtilityList!L$4:L$251,MATCH('Table 2.3b'!$A39&amp;'Table 2.3b'!$C39,UtilityList!$A$4:$A$251&amp;UtilityList!$C$4:$C$251,0)))</f>
        <v>Sealaska</v>
      </c>
      <c r="Q39" s="382" t="str">
        <f t="array" ref="Q39">IFERROR(INDEX(UtilityList!M$4:M$251,MATCH('Table 2.3b'!$A39&amp;'Table 2.3b'!$B39&amp;'Table 2.3b'!$C39,UtilityList!$A$4:$A$251&amp;UtilityList!$B$4:$B$251&amp;UtilityList!$C$4:$C$251,0)),INDEX(UtilityList!M$4:M$251,MATCH('Table 2.3b'!$A39&amp;'Table 2.3b'!$C39,UtilityList!$A$4:$A$251&amp;UtilityList!$C$4:$C$251,0)))</f>
        <v>SE</v>
      </c>
    </row>
    <row r="40" spans="1:17" customFormat="1" ht="94.5" customHeight="1" x14ac:dyDescent="0.25">
      <c r="A40" s="385" t="s">
        <v>43</v>
      </c>
      <c r="B40" s="455" t="s">
        <v>559</v>
      </c>
      <c r="C40" s="352" t="s">
        <v>681</v>
      </c>
      <c r="D40" s="661">
        <v>119</v>
      </c>
      <c r="E40" s="656">
        <v>0</v>
      </c>
      <c r="F40" s="656">
        <v>0</v>
      </c>
      <c r="G40" s="661">
        <v>0</v>
      </c>
      <c r="H40" s="661">
        <v>0</v>
      </c>
      <c r="I40" s="661">
        <v>13692</v>
      </c>
      <c r="J40" s="656">
        <v>0</v>
      </c>
      <c r="K40" s="656">
        <v>0</v>
      </c>
      <c r="L40" s="662" t="s">
        <v>558</v>
      </c>
      <c r="M40" s="659" t="str">
        <f t="array" ref="M40">INDEX(UtilityList!Q$4:Q$251,MATCH('Table 2.3b'!$A40&amp;'Table 2.3b'!$B40&amp;'Table 2.3b'!$C40,UtilityList!$A$4:$A$251&amp;UtilityList!$B$4:$B$251&amp;UtilityList!$C$4:$C$251,0))</f>
        <v>Part of the Alaska Power Company's grid on Prince of Wales Island. Receives power from Craig. Refer to Craig for fuel use and cost. Includes data for Kaasan.</v>
      </c>
      <c r="N40" s="382" t="str">
        <f t="array" ref="N40">IFERROR(INDEX(UtilityList!J$4:J$251,MATCH('Table 2.3b'!$A40&amp;'Table 2.3b'!$B40&amp;'Table 2.3b'!$C40,UtilityList!$A$4:$A$251&amp;UtilityList!$B$4:$B$251&amp;UtilityList!$C$4:$C$251,0)),INDEX(UtilityList!J$4:J$251,MATCH('Table 2.3b'!$A40&amp;'Table 2.3b'!$C40,UtilityList!$A$4:$A$251&amp;UtilityList!$C$4:$C$251,0)))</f>
        <v>Southeast</v>
      </c>
      <c r="O40" s="382" t="str">
        <f t="array" ref="O40">IFERROR(INDEX(UtilityList!K$4:K$251,MATCH('Table 2.3b'!$A40&amp;'Table 2.3b'!$B40&amp;'Table 2.3b'!$C40,UtilityList!$A$4:$A$251&amp;UtilityList!$B$4:$B$251&amp;UtilityList!$C$4:$C$251,0)),INDEX(UtilityList!K$4:K$251,MATCH('Table 2.3b'!$A40&amp;'Table 2.3b'!$C40,UtilityList!$A$4:$A$251&amp;UtilityList!$C$4:$C$251,0)))</f>
        <v>Prince of Wales-Hyder (CA)</v>
      </c>
      <c r="P40" s="382" t="str">
        <f t="array" ref="P40">IFERROR(INDEX(UtilityList!L$4:L$251,MATCH('Table 2.3b'!$A40&amp;'Table 2.3b'!$B40&amp;'Table 2.3b'!$C40,UtilityList!$A$4:$A$251&amp;UtilityList!$B$4:$B$251&amp;UtilityList!$C$4:$C$251,0)),INDEX(UtilityList!L$4:L$251,MATCH('Table 2.3b'!$A40&amp;'Table 2.3b'!$C40,UtilityList!$A$4:$A$251&amp;UtilityList!$C$4:$C$251,0)))</f>
        <v>Sealaska</v>
      </c>
      <c r="Q40" s="382" t="str">
        <f t="array" ref="Q40">IFERROR(INDEX(UtilityList!M$4:M$251,MATCH('Table 2.3b'!$A40&amp;'Table 2.3b'!$B40&amp;'Table 2.3b'!$C40,UtilityList!$A$4:$A$251&amp;UtilityList!$B$4:$B$251&amp;UtilityList!$C$4:$C$251,0)),INDEX(UtilityList!M$4:M$251,MATCH('Table 2.3b'!$A40&amp;'Table 2.3b'!$C40,UtilityList!$A$4:$A$251&amp;UtilityList!$C$4:$C$251,0)))</f>
        <v>SE</v>
      </c>
    </row>
    <row r="41" spans="1:17" customFormat="1" ht="105" x14ac:dyDescent="0.25">
      <c r="A41" s="385" t="s">
        <v>43</v>
      </c>
      <c r="B41" s="455" t="s">
        <v>64</v>
      </c>
      <c r="C41" s="352" t="s">
        <v>685</v>
      </c>
      <c r="D41" s="655">
        <v>10400</v>
      </c>
      <c r="E41" s="656">
        <v>0</v>
      </c>
      <c r="F41" s="656">
        <v>0</v>
      </c>
      <c r="G41" s="657">
        <v>0</v>
      </c>
      <c r="H41" s="657">
        <v>0</v>
      </c>
      <c r="I41" s="657">
        <v>751919</v>
      </c>
      <c r="J41" s="656">
        <v>0</v>
      </c>
      <c r="K41" s="656">
        <v>0</v>
      </c>
      <c r="L41" s="662" t="s">
        <v>356</v>
      </c>
      <c r="M41" s="659" t="str">
        <f t="array" ref="M41">INDEX(UtilityList!Q$4:Q$251,MATCH('Table 2.3b'!$A41&amp;'Table 2.3b'!$B41&amp;'Table 2.3b'!$C41,UtilityList!$A$4:$A$251&amp;UtilityList!$B$4:$B$251&amp;UtilityList!$C$4:$C$251,0))</f>
        <v>Provides power to Tanacross, Tetlin and Dot Lake via intertie. Includes Tanacross' information. Fuel use and cost also includes Tetlin's and Dot Lake's information.</v>
      </c>
      <c r="N41" s="382" t="str">
        <f t="array" ref="N41">IFERROR(INDEX(UtilityList!J$4:J$251,MATCH('Table 2.3b'!$A41&amp;'Table 2.3b'!$B41&amp;'Table 2.3b'!$C41,UtilityList!$A$4:$A$251&amp;UtilityList!$B$4:$B$251&amp;UtilityList!$C$4:$C$251,0)),INDEX(UtilityList!J$4:J$251,MATCH('Table 2.3b'!$A41&amp;'Table 2.3b'!$C41,UtilityList!$A$4:$A$251&amp;UtilityList!$C$4:$C$251,0)))</f>
        <v>Yukon-Koyukuk/Upper Tanana</v>
      </c>
      <c r="O41" s="382" t="str">
        <f t="array" ref="O41">IFERROR(INDEX(UtilityList!K$4:K$251,MATCH('Table 2.3b'!$A41&amp;'Table 2.3b'!$B41&amp;'Table 2.3b'!$C41,UtilityList!$A$4:$A$251&amp;UtilityList!$B$4:$B$251&amp;UtilityList!$C$4:$C$251,0)),INDEX(UtilityList!K$4:K$251,MATCH('Table 2.3b'!$A41&amp;'Table 2.3b'!$C41,UtilityList!$A$4:$A$251&amp;UtilityList!$C$4:$C$251,0)))</f>
        <v>Southeast Fairbanks (CA)</v>
      </c>
      <c r="P41" s="382" t="str">
        <f t="array" ref="P41">IFERROR(INDEX(UtilityList!L$4:L$251,MATCH('Table 2.3b'!$A41&amp;'Table 2.3b'!$B41&amp;'Table 2.3b'!$C41,UtilityList!$A$4:$A$251&amp;UtilityList!$B$4:$B$251&amp;UtilityList!$C$4:$C$251,0)),INDEX(UtilityList!L$4:L$251,MATCH('Table 2.3b'!$A41&amp;'Table 2.3b'!$C41,UtilityList!$A$4:$A$251&amp;UtilityList!$C$4:$C$251,0)))</f>
        <v>Doyon</v>
      </c>
      <c r="Q41" s="382" t="str">
        <f t="array" ref="Q41">IFERROR(INDEX(UtilityList!M$4:M$251,MATCH('Table 2.3b'!$A41&amp;'Table 2.3b'!$B41&amp;'Table 2.3b'!$C41,UtilityList!$A$4:$A$251&amp;UtilityList!$B$4:$B$251&amp;UtilityList!$C$4:$C$251,0)),INDEX(UtilityList!M$4:M$251,MATCH('Table 2.3b'!$A41&amp;'Table 2.3b'!$C41,UtilityList!$A$4:$A$251&amp;UtilityList!$C$4:$C$251,0)))</f>
        <v>YU</v>
      </c>
    </row>
    <row r="42" spans="1:17" customFormat="1" ht="30" x14ac:dyDescent="0.25">
      <c r="A42" s="653" t="s">
        <v>43</v>
      </c>
      <c r="B42" s="452" t="s">
        <v>65</v>
      </c>
      <c r="C42" s="654" t="s">
        <v>65</v>
      </c>
      <c r="D42" s="655">
        <v>267.04199999999997</v>
      </c>
      <c r="E42" s="656">
        <v>0</v>
      </c>
      <c r="F42" s="656">
        <v>0</v>
      </c>
      <c r="G42" s="657">
        <v>0</v>
      </c>
      <c r="H42" s="657">
        <v>0</v>
      </c>
      <c r="I42" s="657">
        <v>23384.000000000004</v>
      </c>
      <c r="J42" s="656">
        <v>0</v>
      </c>
      <c r="K42" s="656">
        <v>0</v>
      </c>
      <c r="L42" s="658" t="s">
        <v>356</v>
      </c>
      <c r="M42" s="659">
        <f t="array" ref="M42">INDEX(UtilityList!Q$4:Q$251,MATCH('Table 2.3b'!$A42&amp;'Table 2.3b'!$B42&amp;'Table 2.3b'!$C42,UtilityList!$A$4:$A$251&amp;UtilityList!$B$4:$B$251&amp;UtilityList!$C$4:$C$251,0))</f>
        <v>0</v>
      </c>
      <c r="N42" s="382" t="str">
        <f t="array" ref="N42">IFERROR(INDEX(UtilityList!J$4:J$251,MATCH('Table 2.3b'!$A42&amp;'Table 2.3b'!$B42&amp;'Table 2.3b'!$C42,UtilityList!$A$4:$A$251&amp;UtilityList!$B$4:$B$251&amp;UtilityList!$C$4:$C$251,0)),INDEX(UtilityList!J$4:J$251,MATCH('Table 2.3b'!$A42&amp;'Table 2.3b'!$C42,UtilityList!$A$4:$A$251&amp;UtilityList!$C$4:$C$251,0)))</f>
        <v>Southeast</v>
      </c>
      <c r="O42" s="382" t="str">
        <f t="array" ref="O42">IFERROR(INDEX(UtilityList!K$4:K$251,MATCH('Table 2.3b'!$A42&amp;'Table 2.3b'!$B42&amp;'Table 2.3b'!$C42,UtilityList!$A$4:$A$251&amp;UtilityList!$B$4:$B$251&amp;UtilityList!$C$4:$C$251,0)),INDEX(UtilityList!K$4:K$251,MATCH('Table 2.3b'!$A42&amp;'Table 2.3b'!$C42,UtilityList!$A$4:$A$251&amp;UtilityList!$C$4:$C$251,0)))</f>
        <v>Prince of Wales-Hyder (CA)</v>
      </c>
      <c r="P42" s="382" t="str">
        <f t="array" ref="P42">IFERROR(INDEX(UtilityList!L$4:L$251,MATCH('Table 2.3b'!$A42&amp;'Table 2.3b'!$B42&amp;'Table 2.3b'!$C42,UtilityList!$A$4:$A$251&amp;UtilityList!$B$4:$B$251&amp;UtilityList!$C$4:$C$251,0)),INDEX(UtilityList!L$4:L$251,MATCH('Table 2.3b'!$A42&amp;'Table 2.3b'!$C42,UtilityList!$A$4:$A$251&amp;UtilityList!$C$4:$C$251,0)))</f>
        <v>Sealaska</v>
      </c>
      <c r="Q42" s="382" t="str">
        <f t="array" ref="Q42">IFERROR(INDEX(UtilityList!M$4:M$251,MATCH('Table 2.3b'!$A42&amp;'Table 2.3b'!$B42&amp;'Table 2.3b'!$C42,UtilityList!$A$4:$A$251&amp;UtilityList!$B$4:$B$251&amp;UtilityList!$C$4:$C$251,0)),INDEX(UtilityList!M$4:M$251,MATCH('Table 2.3b'!$A42&amp;'Table 2.3b'!$C42,UtilityList!$A$4:$A$251&amp;UtilityList!$C$4:$C$251,0)))</f>
        <v>SE</v>
      </c>
    </row>
    <row r="43" spans="1:17" s="8" customFormat="1" ht="30" x14ac:dyDescent="0.25">
      <c r="A43" s="653" t="s">
        <v>524</v>
      </c>
      <c r="B43" s="452" t="s">
        <v>66</v>
      </c>
      <c r="C43" s="654" t="s">
        <v>66</v>
      </c>
      <c r="D43" s="655">
        <v>1946.2080000000001</v>
      </c>
      <c r="E43" s="656">
        <v>0</v>
      </c>
      <c r="F43" s="656">
        <v>0</v>
      </c>
      <c r="G43" s="657">
        <v>0</v>
      </c>
      <c r="H43" s="657">
        <v>0</v>
      </c>
      <c r="I43" s="657">
        <v>152732</v>
      </c>
      <c r="J43" s="656">
        <v>0</v>
      </c>
      <c r="K43" s="656">
        <v>0</v>
      </c>
      <c r="L43" s="658" t="s">
        <v>356</v>
      </c>
      <c r="M43" s="659">
        <f t="array" ref="M43">INDEX(UtilityList!Q$4:Q$251,MATCH('Table 2.3b'!$A43&amp;'Table 2.3b'!$B43&amp;'Table 2.3b'!$C43,UtilityList!$A$4:$A$251&amp;UtilityList!$B$4:$B$251&amp;UtilityList!$C$4:$C$251,0))</f>
        <v>0</v>
      </c>
      <c r="N43" s="382" t="str">
        <f t="array" ref="N43">IFERROR(INDEX(UtilityList!J$4:J$251,MATCH('Table 2.3b'!$A43&amp;'Table 2.3b'!$B43&amp;'Table 2.3b'!$C43,UtilityList!$A$4:$A$251&amp;UtilityList!$B$4:$B$251&amp;UtilityList!$C$4:$C$251,0)),INDEX(UtilityList!J$4:J$251,MATCH('Table 2.3b'!$A43&amp;'Table 2.3b'!$C43,UtilityList!$A$4:$A$251&amp;UtilityList!$C$4:$C$251,0)))</f>
        <v>Lower Yukon-Kuskokwim</v>
      </c>
      <c r="O43" s="382" t="str">
        <f t="array" ref="O43">IFERROR(INDEX(UtilityList!K$4:K$251,MATCH('Table 2.3b'!$A43&amp;'Table 2.3b'!$B43&amp;'Table 2.3b'!$C43,UtilityList!$A$4:$A$251&amp;UtilityList!$B$4:$B$251&amp;UtilityList!$C$4:$C$251,0)),INDEX(UtilityList!K$4:K$251,MATCH('Table 2.3b'!$A43&amp;'Table 2.3b'!$C43,UtilityList!$A$4:$A$251&amp;UtilityList!$C$4:$C$251,0)))</f>
        <v>Wade Hampton (CA)</v>
      </c>
      <c r="P43" s="382" t="str">
        <f t="array" ref="P43">IFERROR(INDEX(UtilityList!L$4:L$251,MATCH('Table 2.3b'!$A43&amp;'Table 2.3b'!$B43&amp;'Table 2.3b'!$C43,UtilityList!$A$4:$A$251&amp;UtilityList!$B$4:$B$251&amp;UtilityList!$C$4:$C$251,0)),INDEX(UtilityList!L$4:L$251,MATCH('Table 2.3b'!$A43&amp;'Table 2.3b'!$C43,UtilityList!$A$4:$A$251&amp;UtilityList!$C$4:$C$251,0)))</f>
        <v>Calista</v>
      </c>
      <c r="Q43" s="382" t="str">
        <f t="array" ref="Q43">IFERROR(INDEX(UtilityList!M$4:M$251,MATCH('Table 2.3b'!$A43&amp;'Table 2.3b'!$B43&amp;'Table 2.3b'!$C43,UtilityList!$A$4:$A$251&amp;UtilityList!$B$4:$B$251&amp;UtilityList!$C$4:$C$251,0)),INDEX(UtilityList!M$4:M$251,MATCH('Table 2.3b'!$A43&amp;'Table 2.3b'!$C43,UtilityList!$A$4:$A$251&amp;UtilityList!$C$4:$C$251,0)))</f>
        <v>YU</v>
      </c>
    </row>
    <row r="44" spans="1:17" customFormat="1" ht="30" x14ac:dyDescent="0.25">
      <c r="A44" s="653" t="s">
        <v>524</v>
      </c>
      <c r="B44" s="452" t="s">
        <v>67</v>
      </c>
      <c r="C44" s="654" t="s">
        <v>67</v>
      </c>
      <c r="D44" s="655">
        <v>1277.7739999999999</v>
      </c>
      <c r="E44" s="656">
        <v>0</v>
      </c>
      <c r="F44" s="656">
        <v>0</v>
      </c>
      <c r="G44" s="657">
        <v>0</v>
      </c>
      <c r="H44" s="657">
        <v>0</v>
      </c>
      <c r="I44" s="657">
        <v>95531.000000000015</v>
      </c>
      <c r="J44" s="656">
        <v>0</v>
      </c>
      <c r="K44" s="656">
        <v>0</v>
      </c>
      <c r="L44" s="658" t="s">
        <v>356</v>
      </c>
      <c r="M44" s="659">
        <f t="array" ref="M44">INDEX(UtilityList!Q$4:Q$251,MATCH('Table 2.3b'!$A44&amp;'Table 2.3b'!$B44&amp;'Table 2.3b'!$C44,UtilityList!$A$4:$A$251&amp;UtilityList!$B$4:$B$251&amp;UtilityList!$C$4:$C$251,0))</f>
        <v>0</v>
      </c>
      <c r="N44" s="382" t="str">
        <f t="array" ref="N44">IFERROR(INDEX(UtilityList!J$4:J$251,MATCH('Table 2.3b'!$A44&amp;'Table 2.3b'!$B44&amp;'Table 2.3b'!$C44,UtilityList!$A$4:$A$251&amp;UtilityList!$B$4:$B$251&amp;UtilityList!$C$4:$C$251,0)),INDEX(UtilityList!J$4:J$251,MATCH('Table 2.3b'!$A44&amp;'Table 2.3b'!$C44,UtilityList!$A$4:$A$251&amp;UtilityList!$C$4:$C$251,0)))</f>
        <v>Northwest Arctic</v>
      </c>
      <c r="O44" s="382" t="str">
        <f t="array" ref="O44">IFERROR(INDEX(UtilityList!K$4:K$251,MATCH('Table 2.3b'!$A44&amp;'Table 2.3b'!$B44&amp;'Table 2.3b'!$C44,UtilityList!$A$4:$A$251&amp;UtilityList!$B$4:$B$251&amp;UtilityList!$C$4:$C$251,0)),INDEX(UtilityList!K$4:K$251,MATCH('Table 2.3b'!$A44&amp;'Table 2.3b'!$C44,UtilityList!$A$4:$A$251&amp;UtilityList!$C$4:$C$251,0)))</f>
        <v>Northwest Arctic</v>
      </c>
      <c r="P44" s="382" t="str">
        <f t="array" ref="P44">IFERROR(INDEX(UtilityList!L$4:L$251,MATCH('Table 2.3b'!$A44&amp;'Table 2.3b'!$B44&amp;'Table 2.3b'!$C44,UtilityList!$A$4:$A$251&amp;UtilityList!$B$4:$B$251&amp;UtilityList!$C$4:$C$251,0)),INDEX(UtilityList!L$4:L$251,MATCH('Table 2.3b'!$A44&amp;'Table 2.3b'!$C44,UtilityList!$A$4:$A$251&amp;UtilityList!$C$4:$C$251,0)))</f>
        <v>NANA</v>
      </c>
      <c r="Q44" s="382" t="str">
        <f t="array" ref="Q44">IFERROR(INDEX(UtilityList!M$4:M$251,MATCH('Table 2.3b'!$A44&amp;'Table 2.3b'!$B44&amp;'Table 2.3b'!$C44,UtilityList!$A$4:$A$251&amp;UtilityList!$B$4:$B$251&amp;UtilityList!$C$4:$C$251,0)),INDEX(UtilityList!M$4:M$251,MATCH('Table 2.3b'!$A44&amp;'Table 2.3b'!$C44,UtilityList!$A$4:$A$251&amp;UtilityList!$C$4:$C$251,0)))</f>
        <v>AN</v>
      </c>
    </row>
    <row r="45" spans="1:17" customFormat="1" ht="30" x14ac:dyDescent="0.25">
      <c r="A45" s="653" t="s">
        <v>524</v>
      </c>
      <c r="B45" s="452" t="s">
        <v>68</v>
      </c>
      <c r="C45" s="654" t="s">
        <v>68</v>
      </c>
      <c r="D45" s="655">
        <v>405.42</v>
      </c>
      <c r="E45" s="656">
        <v>0</v>
      </c>
      <c r="F45" s="656">
        <v>0</v>
      </c>
      <c r="G45" s="657">
        <v>0</v>
      </c>
      <c r="H45" s="657">
        <v>0</v>
      </c>
      <c r="I45" s="657">
        <v>33807</v>
      </c>
      <c r="J45" s="656">
        <v>0</v>
      </c>
      <c r="K45" s="656">
        <v>0</v>
      </c>
      <c r="L45" s="658" t="s">
        <v>356</v>
      </c>
      <c r="M45" s="659">
        <f t="array" ref="M45">INDEX(UtilityList!Q$4:Q$251,MATCH('Table 2.3b'!$A45&amp;'Table 2.3b'!$B45&amp;'Table 2.3b'!$C45,UtilityList!$A$4:$A$251&amp;UtilityList!$B$4:$B$251&amp;UtilityList!$C$4:$C$251,0))</f>
        <v>0</v>
      </c>
      <c r="N45" s="382" t="str">
        <f t="array" ref="N45">IFERROR(INDEX(UtilityList!J$4:J$251,MATCH('Table 2.3b'!$A45&amp;'Table 2.3b'!$B45&amp;'Table 2.3b'!$C45,UtilityList!$A$4:$A$251&amp;UtilityList!$B$4:$B$251&amp;UtilityList!$C$4:$C$251,0)),INDEX(UtilityList!J$4:J$251,MATCH('Table 2.3b'!$A45&amp;'Table 2.3b'!$C45,UtilityList!$A$4:$A$251&amp;UtilityList!$C$4:$C$251,0)))</f>
        <v>Yukon-Koyukuk/Upper Tanana</v>
      </c>
      <c r="O45" s="382" t="str">
        <f t="array" ref="O45">IFERROR(INDEX(UtilityList!K$4:K$251,MATCH('Table 2.3b'!$A45&amp;'Table 2.3b'!$B45&amp;'Table 2.3b'!$C45,UtilityList!$A$4:$A$251&amp;UtilityList!$B$4:$B$251&amp;UtilityList!$C$4:$C$251,0)),INDEX(UtilityList!K$4:K$251,MATCH('Table 2.3b'!$A45&amp;'Table 2.3b'!$C45,UtilityList!$A$4:$A$251&amp;UtilityList!$C$4:$C$251,0)))</f>
        <v>Yukon-Koyukuk (CA)</v>
      </c>
      <c r="P45" s="382" t="str">
        <f t="array" ref="P45">IFERROR(INDEX(UtilityList!L$4:L$251,MATCH('Table 2.3b'!$A45&amp;'Table 2.3b'!$B45&amp;'Table 2.3b'!$C45,UtilityList!$A$4:$A$251&amp;UtilityList!$B$4:$B$251&amp;UtilityList!$C$4:$C$251,0)),INDEX(UtilityList!L$4:L$251,MATCH('Table 2.3b'!$A45&amp;'Table 2.3b'!$C45,UtilityList!$A$4:$A$251&amp;UtilityList!$C$4:$C$251,0)))</f>
        <v>Doyon</v>
      </c>
      <c r="Q45" s="382" t="str">
        <f t="array" ref="Q45">IFERROR(INDEX(UtilityList!M$4:M$251,MATCH('Table 2.3b'!$A45&amp;'Table 2.3b'!$B45&amp;'Table 2.3b'!$C45,UtilityList!$A$4:$A$251&amp;UtilityList!$B$4:$B$251&amp;UtilityList!$C$4:$C$251,0)),INDEX(UtilityList!M$4:M$251,MATCH('Table 2.3b'!$A45&amp;'Table 2.3b'!$C45,UtilityList!$A$4:$A$251&amp;UtilityList!$C$4:$C$251,0)))</f>
        <v>YU</v>
      </c>
    </row>
    <row r="46" spans="1:17" s="8" customFormat="1" ht="30" x14ac:dyDescent="0.25">
      <c r="A46" s="653" t="s">
        <v>524</v>
      </c>
      <c r="B46" s="452" t="s">
        <v>69</v>
      </c>
      <c r="C46" s="654" t="s">
        <v>69</v>
      </c>
      <c r="D46" s="655">
        <v>1176.3320000000001</v>
      </c>
      <c r="E46" s="656">
        <v>0</v>
      </c>
      <c r="F46" s="656">
        <v>0</v>
      </c>
      <c r="G46" s="657">
        <v>0</v>
      </c>
      <c r="H46" s="657">
        <v>0</v>
      </c>
      <c r="I46" s="657">
        <v>89023</v>
      </c>
      <c r="J46" s="656">
        <v>0</v>
      </c>
      <c r="K46" s="656">
        <v>0</v>
      </c>
      <c r="L46" s="658" t="s">
        <v>356</v>
      </c>
      <c r="M46" s="659">
        <f t="array" ref="M46">INDEX(UtilityList!Q$4:Q$251,MATCH('Table 2.3b'!$A46&amp;'Table 2.3b'!$B46&amp;'Table 2.3b'!$C46,UtilityList!$A$4:$A$251&amp;UtilityList!$B$4:$B$251&amp;UtilityList!$C$4:$C$251,0))</f>
        <v>0</v>
      </c>
      <c r="N46" s="382" t="str">
        <f t="array" ref="N46">IFERROR(INDEX(UtilityList!J$4:J$251,MATCH('Table 2.3b'!$A46&amp;'Table 2.3b'!$B46&amp;'Table 2.3b'!$C46,UtilityList!$A$4:$A$251&amp;UtilityList!$B$4:$B$251&amp;UtilityList!$C$4:$C$251,0)),INDEX(UtilityList!J$4:J$251,MATCH('Table 2.3b'!$A46&amp;'Table 2.3b'!$C46,UtilityList!$A$4:$A$251&amp;UtilityList!$C$4:$C$251,0)))</f>
        <v>Bering Straits</v>
      </c>
      <c r="O46" s="382" t="str">
        <f t="array" ref="O46">IFERROR(INDEX(UtilityList!K$4:K$251,MATCH('Table 2.3b'!$A46&amp;'Table 2.3b'!$B46&amp;'Table 2.3b'!$C46,UtilityList!$A$4:$A$251&amp;UtilityList!$B$4:$B$251&amp;UtilityList!$C$4:$C$251,0)),INDEX(UtilityList!K$4:K$251,MATCH('Table 2.3b'!$A46&amp;'Table 2.3b'!$C46,UtilityList!$A$4:$A$251&amp;UtilityList!$C$4:$C$251,0)))</f>
        <v>Nome (CA)</v>
      </c>
      <c r="P46" s="382" t="str">
        <f t="array" ref="P46">IFERROR(INDEX(UtilityList!L$4:L$251,MATCH('Table 2.3b'!$A46&amp;'Table 2.3b'!$B46&amp;'Table 2.3b'!$C46,UtilityList!$A$4:$A$251&amp;UtilityList!$B$4:$B$251&amp;UtilityList!$C$4:$C$251,0)),INDEX(UtilityList!L$4:L$251,MATCH('Table 2.3b'!$A46&amp;'Table 2.3b'!$C46,UtilityList!$A$4:$A$251&amp;UtilityList!$C$4:$C$251,0)))</f>
        <v>Bering Straits</v>
      </c>
      <c r="Q46" s="382" t="str">
        <f t="array" ref="Q46">IFERROR(INDEX(UtilityList!M$4:M$251,MATCH('Table 2.3b'!$A46&amp;'Table 2.3b'!$B46&amp;'Table 2.3b'!$C46,UtilityList!$A$4:$A$251&amp;UtilityList!$B$4:$B$251&amp;UtilityList!$C$4:$C$251,0)),INDEX(UtilityList!M$4:M$251,MATCH('Table 2.3b'!$A46&amp;'Table 2.3b'!$C46,UtilityList!$A$4:$A$251&amp;UtilityList!$C$4:$C$251,0)))</f>
        <v>AN</v>
      </c>
    </row>
    <row r="47" spans="1:17" customFormat="1" ht="30" x14ac:dyDescent="0.25">
      <c r="A47" s="653" t="s">
        <v>524</v>
      </c>
      <c r="B47" s="452" t="s">
        <v>70</v>
      </c>
      <c r="C47" s="654" t="s">
        <v>70</v>
      </c>
      <c r="D47" s="655">
        <v>1657.2670000000001</v>
      </c>
      <c r="E47" s="656">
        <v>0</v>
      </c>
      <c r="F47" s="656">
        <v>0</v>
      </c>
      <c r="G47" s="657">
        <v>0</v>
      </c>
      <c r="H47" s="657">
        <v>741.62900000000002</v>
      </c>
      <c r="I47" s="657">
        <v>132277</v>
      </c>
      <c r="J47" s="656">
        <v>0</v>
      </c>
      <c r="K47" s="656">
        <v>0</v>
      </c>
      <c r="L47" s="658" t="s">
        <v>356</v>
      </c>
      <c r="M47" s="659">
        <f t="array" ref="M47">INDEX(UtilityList!Q$4:Q$251,MATCH('Table 2.3b'!$A47&amp;'Table 2.3b'!$B47&amp;'Table 2.3b'!$C47,UtilityList!$A$4:$A$251&amp;UtilityList!$B$4:$B$251&amp;UtilityList!$C$4:$C$251,0))</f>
        <v>0</v>
      </c>
      <c r="N47" s="382" t="str">
        <f t="array" ref="N47">IFERROR(INDEX(UtilityList!J$4:J$251,MATCH('Table 2.3b'!$A47&amp;'Table 2.3b'!$B47&amp;'Table 2.3b'!$C47,UtilityList!$A$4:$A$251&amp;UtilityList!$B$4:$B$251&amp;UtilityList!$C$4:$C$251,0)),INDEX(UtilityList!J$4:J$251,MATCH('Table 2.3b'!$A47&amp;'Table 2.3b'!$C47,UtilityList!$A$4:$A$251&amp;UtilityList!$C$4:$C$251,0)))</f>
        <v>Lower Yukon-Kuskokwim</v>
      </c>
      <c r="O47" s="382" t="str">
        <f t="array" ref="O47">IFERROR(INDEX(UtilityList!K$4:K$251,MATCH('Table 2.3b'!$A47&amp;'Table 2.3b'!$B47&amp;'Table 2.3b'!$C47,UtilityList!$A$4:$A$251&amp;UtilityList!$B$4:$B$251&amp;UtilityList!$C$4:$C$251,0)),INDEX(UtilityList!K$4:K$251,MATCH('Table 2.3b'!$A47&amp;'Table 2.3b'!$C47,UtilityList!$A$4:$A$251&amp;UtilityList!$C$4:$C$251,0)))</f>
        <v>Wade Hampton (CA)</v>
      </c>
      <c r="P47" s="382" t="str">
        <f t="array" ref="P47">IFERROR(INDEX(UtilityList!L$4:L$251,MATCH('Table 2.3b'!$A47&amp;'Table 2.3b'!$B47&amp;'Table 2.3b'!$C47,UtilityList!$A$4:$A$251&amp;UtilityList!$B$4:$B$251&amp;UtilityList!$C$4:$C$251,0)),INDEX(UtilityList!L$4:L$251,MATCH('Table 2.3b'!$A47&amp;'Table 2.3b'!$C47,UtilityList!$A$4:$A$251&amp;UtilityList!$C$4:$C$251,0)))</f>
        <v>Calista</v>
      </c>
      <c r="Q47" s="382" t="str">
        <f t="array" ref="Q47">IFERROR(INDEX(UtilityList!M$4:M$251,MATCH('Table 2.3b'!$A47&amp;'Table 2.3b'!$B47&amp;'Table 2.3b'!$C47,UtilityList!$A$4:$A$251&amp;UtilityList!$B$4:$B$251&amp;UtilityList!$C$4:$C$251,0)),INDEX(UtilityList!M$4:M$251,MATCH('Table 2.3b'!$A47&amp;'Table 2.3b'!$C47,UtilityList!$A$4:$A$251&amp;UtilityList!$C$4:$C$251,0)))</f>
        <v>YU</v>
      </c>
    </row>
    <row r="48" spans="1:17" customFormat="1" ht="30" x14ac:dyDescent="0.25">
      <c r="A48" s="653" t="s">
        <v>524</v>
      </c>
      <c r="B48" s="452" t="s">
        <v>71</v>
      </c>
      <c r="C48" s="654" t="s">
        <v>71</v>
      </c>
      <c r="D48" s="655">
        <v>800.57799999999997</v>
      </c>
      <c r="E48" s="656">
        <v>0</v>
      </c>
      <c r="F48" s="656">
        <v>0</v>
      </c>
      <c r="G48" s="657">
        <v>0</v>
      </c>
      <c r="H48" s="657">
        <v>0</v>
      </c>
      <c r="I48" s="657">
        <v>58323</v>
      </c>
      <c r="J48" s="656">
        <v>0</v>
      </c>
      <c r="K48" s="656">
        <v>0</v>
      </c>
      <c r="L48" s="658" t="s">
        <v>356</v>
      </c>
      <c r="M48" s="659">
        <f t="array" ref="M48">INDEX(UtilityList!Q$4:Q$251,MATCH('Table 2.3b'!$A48&amp;'Table 2.3b'!$B48&amp;'Table 2.3b'!$C48,UtilityList!$A$4:$A$251&amp;UtilityList!$B$4:$B$251&amp;UtilityList!$C$4:$C$251,0))</f>
        <v>0</v>
      </c>
      <c r="N48" s="382" t="str">
        <f t="array" ref="N48">IFERROR(INDEX(UtilityList!J$4:J$251,MATCH('Table 2.3b'!$A48&amp;'Table 2.3b'!$B48&amp;'Table 2.3b'!$C48,UtilityList!$A$4:$A$251&amp;UtilityList!$B$4:$B$251&amp;UtilityList!$C$4:$C$251,0)),INDEX(UtilityList!J$4:J$251,MATCH('Table 2.3b'!$A48&amp;'Table 2.3b'!$C48,UtilityList!$A$4:$A$251&amp;UtilityList!$C$4:$C$251,0)))</f>
        <v>Lower Yukon-Kuskokwim</v>
      </c>
      <c r="O48" s="382" t="str">
        <f t="array" ref="O48">IFERROR(INDEX(UtilityList!K$4:K$251,MATCH('Table 2.3b'!$A48&amp;'Table 2.3b'!$B48&amp;'Table 2.3b'!$C48,UtilityList!$A$4:$A$251&amp;UtilityList!$B$4:$B$251&amp;UtilityList!$C$4:$C$251,0)),INDEX(UtilityList!K$4:K$251,MATCH('Table 2.3b'!$A48&amp;'Table 2.3b'!$C48,UtilityList!$A$4:$A$251&amp;UtilityList!$C$4:$C$251,0)))</f>
        <v>Bethel (CA)</v>
      </c>
      <c r="P48" s="382" t="str">
        <f t="array" ref="P48">IFERROR(INDEX(UtilityList!L$4:L$251,MATCH('Table 2.3b'!$A48&amp;'Table 2.3b'!$B48&amp;'Table 2.3b'!$C48,UtilityList!$A$4:$A$251&amp;UtilityList!$B$4:$B$251&amp;UtilityList!$C$4:$C$251,0)),INDEX(UtilityList!L$4:L$251,MATCH('Table 2.3b'!$A48&amp;'Table 2.3b'!$C48,UtilityList!$A$4:$A$251&amp;UtilityList!$C$4:$C$251,0)))</f>
        <v>Calista</v>
      </c>
      <c r="Q48" s="382" t="str">
        <f t="array" ref="Q48">IFERROR(INDEX(UtilityList!M$4:M$251,MATCH('Table 2.3b'!$A48&amp;'Table 2.3b'!$B48&amp;'Table 2.3b'!$C48,UtilityList!$A$4:$A$251&amp;UtilityList!$B$4:$B$251&amp;UtilityList!$C$4:$C$251,0)),INDEX(UtilityList!M$4:M$251,MATCH('Table 2.3b'!$A48&amp;'Table 2.3b'!$C48,UtilityList!$A$4:$A$251&amp;UtilityList!$C$4:$C$251,0)))</f>
        <v>SW</v>
      </c>
    </row>
    <row r="49" spans="1:17" customFormat="1" ht="30" x14ac:dyDescent="0.25">
      <c r="A49" s="653" t="s">
        <v>524</v>
      </c>
      <c r="B49" s="452" t="s">
        <v>173</v>
      </c>
      <c r="C49" s="654" t="s">
        <v>173</v>
      </c>
      <c r="D49" s="655">
        <v>261.51549999999997</v>
      </c>
      <c r="E49" s="656">
        <v>0</v>
      </c>
      <c r="F49" s="656">
        <v>0</v>
      </c>
      <c r="G49" s="657">
        <v>0</v>
      </c>
      <c r="H49" s="657">
        <v>0</v>
      </c>
      <c r="I49" s="657">
        <v>23205.817999999999</v>
      </c>
      <c r="J49" s="656">
        <v>0</v>
      </c>
      <c r="K49" s="656">
        <v>0</v>
      </c>
      <c r="L49" s="658" t="s">
        <v>356</v>
      </c>
      <c r="M49" s="659">
        <f t="array" ref="M49">INDEX(UtilityList!Q$4:Q$251,MATCH('Table 2.3b'!$A49&amp;'Table 2.3b'!$B49&amp;'Table 2.3b'!$C49,UtilityList!$A$4:$A$251&amp;UtilityList!$B$4:$B$251&amp;UtilityList!$C$4:$C$251,0))</f>
        <v>0</v>
      </c>
      <c r="N49" s="382" t="str">
        <f t="array" ref="N49">IFERROR(INDEX(UtilityList!J$4:J$251,MATCH('Table 2.3b'!$A49&amp;'Table 2.3b'!$B49&amp;'Table 2.3b'!$C49,UtilityList!$A$4:$A$251&amp;UtilityList!$B$4:$B$251&amp;UtilityList!$C$4:$C$251,0)),INDEX(UtilityList!J$4:J$251,MATCH('Table 2.3b'!$A49&amp;'Table 2.3b'!$C49,UtilityList!$A$4:$A$251&amp;UtilityList!$C$4:$C$251,0)))</f>
        <v>Bristol Bay</v>
      </c>
      <c r="O49" s="382" t="str">
        <f t="array" ref="O49">IFERROR(INDEX(UtilityList!K$4:K$251,MATCH('Table 2.3b'!$A49&amp;'Table 2.3b'!$B49&amp;'Table 2.3b'!$C49,UtilityList!$A$4:$A$251&amp;UtilityList!$B$4:$B$251&amp;UtilityList!$C$4:$C$251,0)),INDEX(UtilityList!K$4:K$251,MATCH('Table 2.3b'!$A49&amp;'Table 2.3b'!$C49,UtilityList!$A$4:$A$251&amp;UtilityList!$C$4:$C$251,0)))</f>
        <v>Dillingham (CA)</v>
      </c>
      <c r="P49" s="382" t="str">
        <f t="array" ref="P49">IFERROR(INDEX(UtilityList!L$4:L$251,MATCH('Table 2.3b'!$A49&amp;'Table 2.3b'!$B49&amp;'Table 2.3b'!$C49,UtilityList!$A$4:$A$251&amp;UtilityList!$B$4:$B$251&amp;UtilityList!$C$4:$C$251,0)),INDEX(UtilityList!L$4:L$251,MATCH('Table 2.3b'!$A49&amp;'Table 2.3b'!$C49,UtilityList!$A$4:$A$251&amp;UtilityList!$C$4:$C$251,0)))</f>
        <v>Bristol Bay</v>
      </c>
      <c r="Q49" s="382" t="str">
        <f t="array" ref="Q49">IFERROR(INDEX(UtilityList!M$4:M$251,MATCH('Table 2.3b'!$A49&amp;'Table 2.3b'!$B49&amp;'Table 2.3b'!$C49,UtilityList!$A$4:$A$251&amp;UtilityList!$B$4:$B$251&amp;UtilityList!$C$4:$C$251,0)),INDEX(UtilityList!M$4:M$251,MATCH('Table 2.3b'!$A49&amp;'Table 2.3b'!$C49,UtilityList!$A$4:$A$251&amp;UtilityList!$C$4:$C$251,0)))</f>
        <v>SW</v>
      </c>
    </row>
    <row r="50" spans="1:17" customFormat="1" ht="30" x14ac:dyDescent="0.25">
      <c r="A50" s="653" t="s">
        <v>524</v>
      </c>
      <c r="B50" s="452" t="s">
        <v>72</v>
      </c>
      <c r="C50" s="654" t="s">
        <v>72</v>
      </c>
      <c r="D50" s="655">
        <v>1159.4449999999999</v>
      </c>
      <c r="E50" s="656">
        <v>0</v>
      </c>
      <c r="F50" s="656">
        <v>0</v>
      </c>
      <c r="G50" s="657">
        <v>0</v>
      </c>
      <c r="H50" s="657">
        <v>0</v>
      </c>
      <c r="I50" s="657">
        <v>81625</v>
      </c>
      <c r="J50" s="656">
        <v>0</v>
      </c>
      <c r="K50" s="656">
        <v>0</v>
      </c>
      <c r="L50" s="658" t="s">
        <v>356</v>
      </c>
      <c r="M50" s="659">
        <f t="array" ref="M50">INDEX(UtilityList!Q$4:Q$251,MATCH('Table 2.3b'!$A50&amp;'Table 2.3b'!$B50&amp;'Table 2.3b'!$C50,UtilityList!$A$4:$A$251&amp;UtilityList!$B$4:$B$251&amp;UtilityList!$C$4:$C$251,0))</f>
        <v>0</v>
      </c>
      <c r="N50" s="382" t="str">
        <f t="array" ref="N50">IFERROR(INDEX(UtilityList!J$4:J$251,MATCH('Table 2.3b'!$A50&amp;'Table 2.3b'!$B50&amp;'Table 2.3b'!$C50,UtilityList!$A$4:$A$251&amp;UtilityList!$B$4:$B$251&amp;UtilityList!$C$4:$C$251,0)),INDEX(UtilityList!J$4:J$251,MATCH('Table 2.3b'!$A50&amp;'Table 2.3b'!$C50,UtilityList!$A$4:$A$251&amp;UtilityList!$C$4:$C$251,0)))</f>
        <v>Bering Straits</v>
      </c>
      <c r="O50" s="382" t="str">
        <f t="array" ref="O50">IFERROR(INDEX(UtilityList!K$4:K$251,MATCH('Table 2.3b'!$A50&amp;'Table 2.3b'!$B50&amp;'Table 2.3b'!$C50,UtilityList!$A$4:$A$251&amp;UtilityList!$B$4:$B$251&amp;UtilityList!$C$4:$C$251,0)),INDEX(UtilityList!K$4:K$251,MATCH('Table 2.3b'!$A50&amp;'Table 2.3b'!$C50,UtilityList!$A$4:$A$251&amp;UtilityList!$C$4:$C$251,0)))</f>
        <v>Nome (CA)</v>
      </c>
      <c r="P50" s="382" t="str">
        <f t="array" ref="P50">IFERROR(INDEX(UtilityList!L$4:L$251,MATCH('Table 2.3b'!$A50&amp;'Table 2.3b'!$B50&amp;'Table 2.3b'!$C50,UtilityList!$A$4:$A$251&amp;UtilityList!$B$4:$B$251&amp;UtilityList!$C$4:$C$251,0)),INDEX(UtilityList!L$4:L$251,MATCH('Table 2.3b'!$A50&amp;'Table 2.3b'!$C50,UtilityList!$A$4:$A$251&amp;UtilityList!$C$4:$C$251,0)))</f>
        <v>Bering Straits</v>
      </c>
      <c r="Q50" s="382" t="str">
        <f t="array" ref="Q50">IFERROR(INDEX(UtilityList!M$4:M$251,MATCH('Table 2.3b'!$A50&amp;'Table 2.3b'!$B50&amp;'Table 2.3b'!$C50,UtilityList!$A$4:$A$251&amp;UtilityList!$B$4:$B$251&amp;UtilityList!$C$4:$C$251,0)),INDEX(UtilityList!M$4:M$251,MATCH('Table 2.3b'!$A50&amp;'Table 2.3b'!$C50,UtilityList!$A$4:$A$251&amp;UtilityList!$C$4:$C$251,0)))</f>
        <v>AN</v>
      </c>
    </row>
    <row r="51" spans="1:17" customFormat="1" ht="30" x14ac:dyDescent="0.25">
      <c r="A51" s="653" t="s">
        <v>524</v>
      </c>
      <c r="B51" s="452" t="s">
        <v>73</v>
      </c>
      <c r="C51" s="654" t="s">
        <v>73</v>
      </c>
      <c r="D51" s="655">
        <v>3089.884</v>
      </c>
      <c r="E51" s="656">
        <v>0</v>
      </c>
      <c r="F51" s="656">
        <v>0</v>
      </c>
      <c r="G51" s="657">
        <v>0</v>
      </c>
      <c r="H51" s="657">
        <v>80.325000000000003</v>
      </c>
      <c r="I51" s="657">
        <v>226911</v>
      </c>
      <c r="J51" s="656">
        <v>0</v>
      </c>
      <c r="K51" s="656">
        <v>0</v>
      </c>
      <c r="L51" s="658" t="s">
        <v>356</v>
      </c>
      <c r="M51" s="659">
        <f t="array" ref="M51">INDEX(UtilityList!Q$4:Q$251,MATCH('Table 2.3b'!$A51&amp;'Table 2.3b'!$B51&amp;'Table 2.3b'!$C51,UtilityList!$A$4:$A$251&amp;UtilityList!$B$4:$B$251&amp;UtilityList!$C$4:$C$251,0))</f>
        <v>0</v>
      </c>
      <c r="N51" s="382" t="str">
        <f t="array" ref="N51">IFERROR(INDEX(UtilityList!J$4:J$251,MATCH('Table 2.3b'!$A51&amp;'Table 2.3b'!$B51&amp;'Table 2.3b'!$C51,UtilityList!$A$4:$A$251&amp;UtilityList!$B$4:$B$251&amp;UtilityList!$C$4:$C$251,0)),INDEX(UtilityList!J$4:J$251,MATCH('Table 2.3b'!$A51&amp;'Table 2.3b'!$C51,UtilityList!$A$4:$A$251&amp;UtilityList!$C$4:$C$251,0)))</f>
        <v>Lower Yukon-Kuskokwim</v>
      </c>
      <c r="O51" s="382" t="str">
        <f t="array" ref="O51">IFERROR(INDEX(UtilityList!K$4:K$251,MATCH('Table 2.3b'!$A51&amp;'Table 2.3b'!$B51&amp;'Table 2.3b'!$C51,UtilityList!$A$4:$A$251&amp;UtilityList!$B$4:$B$251&amp;UtilityList!$C$4:$C$251,0)),INDEX(UtilityList!K$4:K$251,MATCH('Table 2.3b'!$A51&amp;'Table 2.3b'!$C51,UtilityList!$A$4:$A$251&amp;UtilityList!$C$4:$C$251,0)))</f>
        <v>Wade Hampton (CA)</v>
      </c>
      <c r="P51" s="382" t="str">
        <f t="array" ref="P51">IFERROR(INDEX(UtilityList!L$4:L$251,MATCH('Table 2.3b'!$A51&amp;'Table 2.3b'!$B51&amp;'Table 2.3b'!$C51,UtilityList!$A$4:$A$251&amp;UtilityList!$B$4:$B$251&amp;UtilityList!$C$4:$C$251,0)),INDEX(UtilityList!L$4:L$251,MATCH('Table 2.3b'!$A51&amp;'Table 2.3b'!$C51,UtilityList!$A$4:$A$251&amp;UtilityList!$C$4:$C$251,0)))</f>
        <v>Calista</v>
      </c>
      <c r="Q51" s="382" t="str">
        <f t="array" ref="Q51">IFERROR(INDEX(UtilityList!M$4:M$251,MATCH('Table 2.3b'!$A51&amp;'Table 2.3b'!$B51&amp;'Table 2.3b'!$C51,UtilityList!$A$4:$A$251&amp;UtilityList!$B$4:$B$251&amp;UtilityList!$C$4:$C$251,0)),INDEX(UtilityList!M$4:M$251,MATCH('Table 2.3b'!$A51&amp;'Table 2.3b'!$C51,UtilityList!$A$4:$A$251&amp;UtilityList!$C$4:$C$251,0)))</f>
        <v>YU</v>
      </c>
    </row>
    <row r="52" spans="1:17" customFormat="1" ht="30" x14ac:dyDescent="0.25">
      <c r="A52" s="653" t="s">
        <v>524</v>
      </c>
      <c r="B52" s="452" t="s">
        <v>74</v>
      </c>
      <c r="C52" s="654" t="s">
        <v>74</v>
      </c>
      <c r="D52" s="655">
        <v>1495.8810000000001</v>
      </c>
      <c r="E52" s="656">
        <v>0</v>
      </c>
      <c r="F52" s="656">
        <v>0</v>
      </c>
      <c r="G52" s="657">
        <v>0</v>
      </c>
      <c r="H52" s="657">
        <v>387.20400000000001</v>
      </c>
      <c r="I52" s="657">
        <v>125869</v>
      </c>
      <c r="J52" s="656">
        <v>0</v>
      </c>
      <c r="K52" s="656">
        <v>0</v>
      </c>
      <c r="L52" s="658" t="s">
        <v>356</v>
      </c>
      <c r="M52" s="659">
        <f t="array" ref="M52">INDEX(UtilityList!Q$4:Q$251,MATCH('Table 2.3b'!$A52&amp;'Table 2.3b'!$B52&amp;'Table 2.3b'!$C52,UtilityList!$A$4:$A$251&amp;UtilityList!$B$4:$B$251&amp;UtilityList!$C$4:$C$251,0))</f>
        <v>0</v>
      </c>
      <c r="N52" s="382" t="str">
        <f t="array" ref="N52">IFERROR(INDEX(UtilityList!J$4:J$251,MATCH('Table 2.3b'!$A52&amp;'Table 2.3b'!$B52&amp;'Table 2.3b'!$C52,UtilityList!$A$4:$A$251&amp;UtilityList!$B$4:$B$251&amp;UtilityList!$C$4:$C$251,0)),INDEX(UtilityList!J$4:J$251,MATCH('Table 2.3b'!$A52&amp;'Table 2.3b'!$C52,UtilityList!$A$4:$A$251&amp;UtilityList!$C$4:$C$251,0)))</f>
        <v>Bering Straits</v>
      </c>
      <c r="O52" s="382" t="str">
        <f t="array" ref="O52">IFERROR(INDEX(UtilityList!K$4:K$251,MATCH('Table 2.3b'!$A52&amp;'Table 2.3b'!$B52&amp;'Table 2.3b'!$C52,UtilityList!$A$4:$A$251&amp;UtilityList!$B$4:$B$251&amp;UtilityList!$C$4:$C$251,0)),INDEX(UtilityList!K$4:K$251,MATCH('Table 2.3b'!$A52&amp;'Table 2.3b'!$C52,UtilityList!$A$4:$A$251&amp;UtilityList!$C$4:$C$251,0)))</f>
        <v>Nome (CA)</v>
      </c>
      <c r="P52" s="382" t="str">
        <f t="array" ref="P52">IFERROR(INDEX(UtilityList!L$4:L$251,MATCH('Table 2.3b'!$A52&amp;'Table 2.3b'!$B52&amp;'Table 2.3b'!$C52,UtilityList!$A$4:$A$251&amp;UtilityList!$B$4:$B$251&amp;UtilityList!$C$4:$C$251,0)),INDEX(UtilityList!L$4:L$251,MATCH('Table 2.3b'!$A52&amp;'Table 2.3b'!$C52,UtilityList!$A$4:$A$251&amp;UtilityList!$C$4:$C$251,0)))</f>
        <v>Bering Straits</v>
      </c>
      <c r="Q52" s="382" t="str">
        <f t="array" ref="Q52">IFERROR(INDEX(UtilityList!M$4:M$251,MATCH('Table 2.3b'!$A52&amp;'Table 2.3b'!$B52&amp;'Table 2.3b'!$C52,UtilityList!$A$4:$A$251&amp;UtilityList!$B$4:$B$251&amp;UtilityList!$C$4:$C$251,0)),INDEX(UtilityList!M$4:M$251,MATCH('Table 2.3b'!$A52&amp;'Table 2.3b'!$C52,UtilityList!$A$4:$A$251&amp;UtilityList!$C$4:$C$251,0)))</f>
        <v>AN</v>
      </c>
    </row>
    <row r="53" spans="1:17" customFormat="1" ht="30" x14ac:dyDescent="0.25">
      <c r="A53" s="653" t="s">
        <v>524</v>
      </c>
      <c r="B53" s="452" t="s">
        <v>75</v>
      </c>
      <c r="C53" s="654" t="s">
        <v>75</v>
      </c>
      <c r="D53" s="655">
        <v>773.07299999999998</v>
      </c>
      <c r="E53" s="656">
        <v>0</v>
      </c>
      <c r="F53" s="656">
        <v>0</v>
      </c>
      <c r="G53" s="657">
        <v>0</v>
      </c>
      <c r="H53" s="657">
        <v>0</v>
      </c>
      <c r="I53" s="657">
        <v>58888</v>
      </c>
      <c r="J53" s="656">
        <v>0</v>
      </c>
      <c r="K53" s="656">
        <v>0</v>
      </c>
      <c r="L53" s="658" t="s">
        <v>356</v>
      </c>
      <c r="M53" s="659">
        <f t="array" ref="M53">INDEX(UtilityList!Q$4:Q$251,MATCH('Table 2.3b'!$A53&amp;'Table 2.3b'!$B53&amp;'Table 2.3b'!$C53,UtilityList!$A$4:$A$251&amp;UtilityList!$B$4:$B$251&amp;UtilityList!$C$4:$C$251,0))</f>
        <v>0</v>
      </c>
      <c r="N53" s="382" t="str">
        <f t="array" ref="N53">IFERROR(INDEX(UtilityList!J$4:J$251,MATCH('Table 2.3b'!$A53&amp;'Table 2.3b'!$B53&amp;'Table 2.3b'!$C53,UtilityList!$A$4:$A$251&amp;UtilityList!$B$4:$B$251&amp;UtilityList!$C$4:$C$251,0)),INDEX(UtilityList!J$4:J$251,MATCH('Table 2.3b'!$A53&amp;'Table 2.3b'!$C53,UtilityList!$A$4:$A$251&amp;UtilityList!$C$4:$C$251,0)))</f>
        <v>Lower Yukon-Kuskokwim</v>
      </c>
      <c r="O53" s="382" t="str">
        <f t="array" ref="O53">IFERROR(INDEX(UtilityList!K$4:K$251,MATCH('Table 2.3b'!$A53&amp;'Table 2.3b'!$B53&amp;'Table 2.3b'!$C53,UtilityList!$A$4:$A$251&amp;UtilityList!$B$4:$B$251&amp;UtilityList!$C$4:$C$251,0)),INDEX(UtilityList!K$4:K$251,MATCH('Table 2.3b'!$A53&amp;'Table 2.3b'!$C53,UtilityList!$A$4:$A$251&amp;UtilityList!$C$4:$C$251,0)))</f>
        <v>Bethel (CA)</v>
      </c>
      <c r="P53" s="382" t="str">
        <f t="array" ref="P53">IFERROR(INDEX(UtilityList!L$4:L$251,MATCH('Table 2.3b'!$A53&amp;'Table 2.3b'!$B53&amp;'Table 2.3b'!$C53,UtilityList!$A$4:$A$251&amp;UtilityList!$B$4:$B$251&amp;UtilityList!$C$4:$C$251,0)),INDEX(UtilityList!L$4:L$251,MATCH('Table 2.3b'!$A53&amp;'Table 2.3b'!$C53,UtilityList!$A$4:$A$251&amp;UtilityList!$C$4:$C$251,0)))</f>
        <v>Calista</v>
      </c>
      <c r="Q53" s="382" t="str">
        <f t="array" ref="Q53">IFERROR(INDEX(UtilityList!M$4:M$251,MATCH('Table 2.3b'!$A53&amp;'Table 2.3b'!$B53&amp;'Table 2.3b'!$C53,UtilityList!$A$4:$A$251&amp;UtilityList!$B$4:$B$251&amp;UtilityList!$C$4:$C$251,0)),INDEX(UtilityList!M$4:M$251,MATCH('Table 2.3b'!$A53&amp;'Table 2.3b'!$C53,UtilityList!$A$4:$A$251&amp;UtilityList!$C$4:$C$251,0)))</f>
        <v>SW</v>
      </c>
    </row>
    <row r="54" spans="1:17" customFormat="1" ht="30" x14ac:dyDescent="0.25">
      <c r="A54" s="653" t="s">
        <v>524</v>
      </c>
      <c r="B54" s="452" t="s">
        <v>76</v>
      </c>
      <c r="C54" s="654" t="s">
        <v>76</v>
      </c>
      <c r="D54" s="655">
        <v>569.04700000000003</v>
      </c>
      <c r="E54" s="656">
        <v>0</v>
      </c>
      <c r="F54" s="656">
        <v>0</v>
      </c>
      <c r="G54" s="657">
        <v>0</v>
      </c>
      <c r="H54" s="657">
        <v>0</v>
      </c>
      <c r="I54" s="657">
        <v>48789</v>
      </c>
      <c r="J54" s="656">
        <v>0</v>
      </c>
      <c r="K54" s="656">
        <v>0</v>
      </c>
      <c r="L54" s="658" t="s">
        <v>356</v>
      </c>
      <c r="M54" s="659">
        <f t="array" ref="M54">INDEX(UtilityList!Q$4:Q$251,MATCH('Table 2.3b'!$A54&amp;'Table 2.3b'!$B54&amp;'Table 2.3b'!$C54,UtilityList!$A$4:$A$251&amp;UtilityList!$B$4:$B$251&amp;UtilityList!$C$4:$C$251,0))</f>
        <v>0</v>
      </c>
      <c r="N54" s="382" t="str">
        <f t="array" ref="N54">IFERROR(INDEX(UtilityList!J$4:J$251,MATCH('Table 2.3b'!$A54&amp;'Table 2.3b'!$B54&amp;'Table 2.3b'!$C54,UtilityList!$A$4:$A$251&amp;UtilityList!$B$4:$B$251&amp;UtilityList!$C$4:$C$251,0)),INDEX(UtilityList!J$4:J$251,MATCH('Table 2.3b'!$A54&amp;'Table 2.3b'!$C54,UtilityList!$A$4:$A$251&amp;UtilityList!$C$4:$C$251,0)))</f>
        <v>Yukon-Koyukuk/Upper Tanana</v>
      </c>
      <c r="O54" s="382" t="str">
        <f t="array" ref="O54">IFERROR(INDEX(UtilityList!K$4:K$251,MATCH('Table 2.3b'!$A54&amp;'Table 2.3b'!$B54&amp;'Table 2.3b'!$C54,UtilityList!$A$4:$A$251&amp;UtilityList!$B$4:$B$251&amp;UtilityList!$C$4:$C$251,0)),INDEX(UtilityList!K$4:K$251,MATCH('Table 2.3b'!$A54&amp;'Table 2.3b'!$C54,UtilityList!$A$4:$A$251&amp;UtilityList!$C$4:$C$251,0)))</f>
        <v>Yukon-Koyukuk (CA)</v>
      </c>
      <c r="P54" s="382" t="str">
        <f t="array" ref="P54">IFERROR(INDEX(UtilityList!L$4:L$251,MATCH('Table 2.3b'!$A54&amp;'Table 2.3b'!$B54&amp;'Table 2.3b'!$C54,UtilityList!$A$4:$A$251&amp;UtilityList!$B$4:$B$251&amp;UtilityList!$C$4:$C$251,0)),INDEX(UtilityList!L$4:L$251,MATCH('Table 2.3b'!$A54&amp;'Table 2.3b'!$C54,UtilityList!$A$4:$A$251&amp;UtilityList!$C$4:$C$251,0)))</f>
        <v>Doyon</v>
      </c>
      <c r="Q54" s="382" t="str">
        <f t="array" ref="Q54">IFERROR(INDEX(UtilityList!M$4:M$251,MATCH('Table 2.3b'!$A54&amp;'Table 2.3b'!$B54&amp;'Table 2.3b'!$C54,UtilityList!$A$4:$A$251&amp;UtilityList!$B$4:$B$251&amp;UtilityList!$C$4:$C$251,0)),INDEX(UtilityList!M$4:M$251,MATCH('Table 2.3b'!$A54&amp;'Table 2.3b'!$C54,UtilityList!$A$4:$A$251&amp;UtilityList!$C$4:$C$251,0)))</f>
        <v>YU</v>
      </c>
    </row>
    <row r="55" spans="1:17" customFormat="1" ht="30" x14ac:dyDescent="0.25">
      <c r="A55" s="653" t="s">
        <v>524</v>
      </c>
      <c r="B55" s="452" t="s">
        <v>77</v>
      </c>
      <c r="C55" s="654" t="s">
        <v>77</v>
      </c>
      <c r="D55" s="655">
        <v>594.37199999999996</v>
      </c>
      <c r="E55" s="656">
        <v>0</v>
      </c>
      <c r="F55" s="656">
        <v>0</v>
      </c>
      <c r="G55" s="657">
        <v>0</v>
      </c>
      <c r="H55" s="657">
        <v>0</v>
      </c>
      <c r="I55" s="657">
        <v>47496</v>
      </c>
      <c r="J55" s="656">
        <v>0</v>
      </c>
      <c r="K55" s="656">
        <v>0</v>
      </c>
      <c r="L55" s="658" t="s">
        <v>356</v>
      </c>
      <c r="M55" s="659">
        <f t="array" ref="M55">INDEX(UtilityList!Q$4:Q$251,MATCH('Table 2.3b'!$A55&amp;'Table 2.3b'!$B55&amp;'Table 2.3b'!$C55,UtilityList!$A$4:$A$251&amp;UtilityList!$B$4:$B$251&amp;UtilityList!$C$4:$C$251,0))</f>
        <v>0</v>
      </c>
      <c r="N55" s="382" t="str">
        <f t="array" ref="N55">IFERROR(INDEX(UtilityList!J$4:J$251,MATCH('Table 2.3b'!$A55&amp;'Table 2.3b'!$B55&amp;'Table 2.3b'!$C55,UtilityList!$A$4:$A$251&amp;UtilityList!$B$4:$B$251&amp;UtilityList!$C$4:$C$251,0)),INDEX(UtilityList!J$4:J$251,MATCH('Table 2.3b'!$A55&amp;'Table 2.3b'!$C55,UtilityList!$A$4:$A$251&amp;UtilityList!$C$4:$C$251,0)))</f>
        <v>Yukon-Koyukuk/Upper Tanana</v>
      </c>
      <c r="O55" s="382" t="str">
        <f t="array" ref="O55">IFERROR(INDEX(UtilityList!K$4:K$251,MATCH('Table 2.3b'!$A55&amp;'Table 2.3b'!$B55&amp;'Table 2.3b'!$C55,UtilityList!$A$4:$A$251&amp;UtilityList!$B$4:$B$251&amp;UtilityList!$C$4:$C$251,0)),INDEX(UtilityList!K$4:K$251,MATCH('Table 2.3b'!$A55&amp;'Table 2.3b'!$C55,UtilityList!$A$4:$A$251&amp;UtilityList!$C$4:$C$251,0)))</f>
        <v>Yukon-Koyukuk (CA)</v>
      </c>
      <c r="P55" s="382" t="str">
        <f t="array" ref="P55">IFERROR(INDEX(UtilityList!L$4:L$251,MATCH('Table 2.3b'!$A55&amp;'Table 2.3b'!$B55&amp;'Table 2.3b'!$C55,UtilityList!$A$4:$A$251&amp;UtilityList!$B$4:$B$251&amp;UtilityList!$C$4:$C$251,0)),INDEX(UtilityList!L$4:L$251,MATCH('Table 2.3b'!$A55&amp;'Table 2.3b'!$C55,UtilityList!$A$4:$A$251&amp;UtilityList!$C$4:$C$251,0)))</f>
        <v>Doyon</v>
      </c>
      <c r="Q55" s="382" t="str">
        <f t="array" ref="Q55">IFERROR(INDEX(UtilityList!M$4:M$251,MATCH('Table 2.3b'!$A55&amp;'Table 2.3b'!$B55&amp;'Table 2.3b'!$C55,UtilityList!$A$4:$A$251&amp;UtilityList!$B$4:$B$251&amp;UtilityList!$C$4:$C$251,0)),INDEX(UtilityList!M$4:M$251,MATCH('Table 2.3b'!$A55&amp;'Table 2.3b'!$C55,UtilityList!$A$4:$A$251&amp;UtilityList!$C$4:$C$251,0)))</f>
        <v>YU</v>
      </c>
    </row>
    <row r="56" spans="1:17" customFormat="1" ht="30" x14ac:dyDescent="0.25">
      <c r="A56" s="653" t="s">
        <v>524</v>
      </c>
      <c r="B56" s="452" t="s">
        <v>78</v>
      </c>
      <c r="C56" s="654" t="s">
        <v>78</v>
      </c>
      <c r="D56" s="655">
        <v>2711.4679999999998</v>
      </c>
      <c r="E56" s="656">
        <v>0</v>
      </c>
      <c r="F56" s="656">
        <v>0</v>
      </c>
      <c r="G56" s="657">
        <v>0</v>
      </c>
      <c r="H56" s="657">
        <v>543.096</v>
      </c>
      <c r="I56" s="657">
        <v>205933</v>
      </c>
      <c r="J56" s="656">
        <v>0</v>
      </c>
      <c r="K56" s="656">
        <v>0</v>
      </c>
      <c r="L56" s="658" t="s">
        <v>356</v>
      </c>
      <c r="M56" s="659">
        <f t="array" ref="M56">INDEX(UtilityList!Q$4:Q$251,MATCH('Table 2.3b'!$A56&amp;'Table 2.3b'!$B56&amp;'Table 2.3b'!$C56,UtilityList!$A$4:$A$251&amp;UtilityList!$B$4:$B$251&amp;UtilityList!$C$4:$C$251,0))</f>
        <v>0</v>
      </c>
      <c r="N56" s="382" t="str">
        <f t="array" ref="N56">IFERROR(INDEX(UtilityList!J$4:J$251,MATCH('Table 2.3b'!$A56&amp;'Table 2.3b'!$B56&amp;'Table 2.3b'!$C56,UtilityList!$A$4:$A$251&amp;UtilityList!$B$4:$B$251&amp;UtilityList!$C$4:$C$251,0)),INDEX(UtilityList!J$4:J$251,MATCH('Table 2.3b'!$A56&amp;'Table 2.3b'!$C56,UtilityList!$A$4:$A$251&amp;UtilityList!$C$4:$C$251,0)))</f>
        <v>Lower Yukon-Kuskokwim</v>
      </c>
      <c r="O56" s="382" t="str">
        <f t="array" ref="O56">IFERROR(INDEX(UtilityList!K$4:K$251,MATCH('Table 2.3b'!$A56&amp;'Table 2.3b'!$B56&amp;'Table 2.3b'!$C56,UtilityList!$A$4:$A$251&amp;UtilityList!$B$4:$B$251&amp;UtilityList!$C$4:$C$251,0)),INDEX(UtilityList!K$4:K$251,MATCH('Table 2.3b'!$A56&amp;'Table 2.3b'!$C56,UtilityList!$A$4:$A$251&amp;UtilityList!$C$4:$C$251,0)))</f>
        <v>Wade Hampton (CA)</v>
      </c>
      <c r="P56" s="382" t="str">
        <f t="array" ref="P56">IFERROR(INDEX(UtilityList!L$4:L$251,MATCH('Table 2.3b'!$A56&amp;'Table 2.3b'!$B56&amp;'Table 2.3b'!$C56,UtilityList!$A$4:$A$251&amp;UtilityList!$B$4:$B$251&amp;UtilityList!$C$4:$C$251,0)),INDEX(UtilityList!L$4:L$251,MATCH('Table 2.3b'!$A56&amp;'Table 2.3b'!$C56,UtilityList!$A$4:$A$251&amp;UtilityList!$C$4:$C$251,0)))</f>
        <v>Calista</v>
      </c>
      <c r="Q56" s="382" t="str">
        <f t="array" ref="Q56">IFERROR(INDEX(UtilityList!M$4:M$251,MATCH('Table 2.3b'!$A56&amp;'Table 2.3b'!$B56&amp;'Table 2.3b'!$C56,UtilityList!$A$4:$A$251&amp;UtilityList!$B$4:$B$251&amp;UtilityList!$C$4:$C$251,0)),INDEX(UtilityList!M$4:M$251,MATCH('Table 2.3b'!$A56&amp;'Table 2.3b'!$C56,UtilityList!$A$4:$A$251&amp;UtilityList!$C$4:$C$251,0)))</f>
        <v>YU</v>
      </c>
    </row>
    <row r="57" spans="1:17" customFormat="1" ht="30" x14ac:dyDescent="0.25">
      <c r="A57" s="653" t="s">
        <v>524</v>
      </c>
      <c r="B57" s="452" t="s">
        <v>79</v>
      </c>
      <c r="C57" s="654" t="s">
        <v>79</v>
      </c>
      <c r="D57" s="655">
        <v>1005.8</v>
      </c>
      <c r="E57" s="656">
        <v>0</v>
      </c>
      <c r="F57" s="656">
        <v>0</v>
      </c>
      <c r="G57" s="657">
        <v>0</v>
      </c>
      <c r="H57" s="657">
        <v>0</v>
      </c>
      <c r="I57" s="657">
        <v>75045</v>
      </c>
      <c r="J57" s="656">
        <v>0</v>
      </c>
      <c r="K57" s="656">
        <v>0</v>
      </c>
      <c r="L57" s="658" t="s">
        <v>356</v>
      </c>
      <c r="M57" s="659">
        <f t="array" ref="M57">INDEX(UtilityList!Q$4:Q$251,MATCH('Table 2.3b'!$A57&amp;'Table 2.3b'!$B57&amp;'Table 2.3b'!$C57,UtilityList!$A$4:$A$251&amp;UtilityList!$B$4:$B$251&amp;UtilityList!$C$4:$C$251,0))</f>
        <v>0</v>
      </c>
      <c r="N57" s="382" t="str">
        <f t="array" ref="N57">IFERROR(INDEX(UtilityList!J$4:J$251,MATCH('Table 2.3b'!$A57&amp;'Table 2.3b'!$B57&amp;'Table 2.3b'!$C57,UtilityList!$A$4:$A$251&amp;UtilityList!$B$4:$B$251&amp;UtilityList!$C$4:$C$251,0)),INDEX(UtilityList!J$4:J$251,MATCH('Table 2.3b'!$A57&amp;'Table 2.3b'!$C57,UtilityList!$A$4:$A$251&amp;UtilityList!$C$4:$C$251,0)))</f>
        <v>Yukon-Koyukuk/Upper Tanana</v>
      </c>
      <c r="O57" s="382" t="str">
        <f t="array" ref="O57">IFERROR(INDEX(UtilityList!K$4:K$251,MATCH('Table 2.3b'!$A57&amp;'Table 2.3b'!$B57&amp;'Table 2.3b'!$C57,UtilityList!$A$4:$A$251&amp;UtilityList!$B$4:$B$251&amp;UtilityList!$C$4:$C$251,0)),INDEX(UtilityList!K$4:K$251,MATCH('Table 2.3b'!$A57&amp;'Table 2.3b'!$C57,UtilityList!$A$4:$A$251&amp;UtilityList!$C$4:$C$251,0)))</f>
        <v>Yukon-Koyukuk (CA)</v>
      </c>
      <c r="P57" s="382" t="str">
        <f t="array" ref="P57">IFERROR(INDEX(UtilityList!L$4:L$251,MATCH('Table 2.3b'!$A57&amp;'Table 2.3b'!$B57&amp;'Table 2.3b'!$C57,UtilityList!$A$4:$A$251&amp;UtilityList!$B$4:$B$251&amp;UtilityList!$C$4:$C$251,0)),INDEX(UtilityList!L$4:L$251,MATCH('Table 2.3b'!$A57&amp;'Table 2.3b'!$C57,UtilityList!$A$4:$A$251&amp;UtilityList!$C$4:$C$251,0)))</f>
        <v>Doyon</v>
      </c>
      <c r="Q57" s="382" t="str">
        <f t="array" ref="Q57">IFERROR(INDEX(UtilityList!M$4:M$251,MATCH('Table 2.3b'!$A57&amp;'Table 2.3b'!$B57&amp;'Table 2.3b'!$C57,UtilityList!$A$4:$A$251&amp;UtilityList!$B$4:$B$251&amp;UtilityList!$C$4:$C$251,0)),INDEX(UtilityList!M$4:M$251,MATCH('Table 2.3b'!$A57&amp;'Table 2.3b'!$C57,UtilityList!$A$4:$A$251&amp;UtilityList!$C$4:$C$251,0)))</f>
        <v>YU</v>
      </c>
    </row>
    <row r="58" spans="1:17" customFormat="1" ht="75" x14ac:dyDescent="0.25">
      <c r="A58" s="653" t="s">
        <v>524</v>
      </c>
      <c r="B58" s="452" t="s">
        <v>115</v>
      </c>
      <c r="C58" s="654" t="s">
        <v>997</v>
      </c>
      <c r="D58" s="655">
        <v>1472.2059999999999</v>
      </c>
      <c r="E58" s="656">
        <v>0</v>
      </c>
      <c r="F58" s="656">
        <v>0</v>
      </c>
      <c r="G58" s="657">
        <v>0</v>
      </c>
      <c r="H58" s="657">
        <v>0</v>
      </c>
      <c r="I58" s="657">
        <v>107113</v>
      </c>
      <c r="J58" s="656">
        <v>0</v>
      </c>
      <c r="K58" s="656">
        <v>0</v>
      </c>
      <c r="L58" s="658" t="s">
        <v>356</v>
      </c>
      <c r="M58" s="659" t="str">
        <f t="array" ref="M58">INDEX(UtilityList!Q$4:Q$251,MATCH('Table 2.3b'!$A58&amp;'Table 2.3b'!$B58&amp;'Table 2.3b'!$C58,UtilityList!$A$4:$A$251&amp;UtilityList!$B$4:$B$251&amp;UtilityList!$C$4:$C$251,0))</f>
        <v>Provides power to Lower Kalskag via intertie. Fuel use and cost data includes information for Lower Kalskag.</v>
      </c>
      <c r="N58" s="382" t="str">
        <f t="array" ref="N58">IFERROR(INDEX(UtilityList!J$4:J$251,MATCH('Table 2.3b'!$A58&amp;'Table 2.3b'!$B58&amp;'Table 2.3b'!$C58,UtilityList!$A$4:$A$251&amp;UtilityList!$B$4:$B$251&amp;UtilityList!$C$4:$C$251,0)),INDEX(UtilityList!J$4:J$251,MATCH('Table 2.3b'!$A58&amp;'Table 2.3b'!$C58,UtilityList!$A$4:$A$251&amp;UtilityList!$C$4:$C$251,0)))</f>
        <v>Lower Yukon-Kuskokwim</v>
      </c>
      <c r="O58" s="382" t="str">
        <f t="array" ref="O58">IFERROR(INDEX(UtilityList!K$4:K$251,MATCH('Table 2.3b'!$A58&amp;'Table 2.3b'!$B58&amp;'Table 2.3b'!$C58,UtilityList!$A$4:$A$251&amp;UtilityList!$B$4:$B$251&amp;UtilityList!$C$4:$C$251,0)),INDEX(UtilityList!K$4:K$251,MATCH('Table 2.3b'!$A58&amp;'Table 2.3b'!$C58,UtilityList!$A$4:$A$251&amp;UtilityList!$C$4:$C$251,0)))</f>
        <v>Bethel (CA)</v>
      </c>
      <c r="P58" s="382" t="str">
        <f t="array" ref="P58">IFERROR(INDEX(UtilityList!L$4:L$251,MATCH('Table 2.3b'!$A58&amp;'Table 2.3b'!$B58&amp;'Table 2.3b'!$C58,UtilityList!$A$4:$A$251&amp;UtilityList!$B$4:$B$251&amp;UtilityList!$C$4:$C$251,0)),INDEX(UtilityList!L$4:L$251,MATCH('Table 2.3b'!$A58&amp;'Table 2.3b'!$C58,UtilityList!$A$4:$A$251&amp;UtilityList!$C$4:$C$251,0)))</f>
        <v>Calista</v>
      </c>
      <c r="Q58" s="382" t="str">
        <f t="array" ref="Q58">IFERROR(INDEX(UtilityList!M$4:M$251,MATCH('Table 2.3b'!$A58&amp;'Table 2.3b'!$B58&amp;'Table 2.3b'!$C58,UtilityList!$A$4:$A$251&amp;UtilityList!$B$4:$B$251&amp;UtilityList!$C$4:$C$251,0)),INDEX(UtilityList!M$4:M$251,MATCH('Table 2.3b'!$A58&amp;'Table 2.3b'!$C58,UtilityList!$A$4:$A$251&amp;UtilityList!$C$4:$C$251,0)))</f>
        <v>SW</v>
      </c>
    </row>
    <row r="59" spans="1:17" customFormat="1" ht="30" x14ac:dyDescent="0.25">
      <c r="A59" s="653" t="s">
        <v>524</v>
      </c>
      <c r="B59" s="452" t="s">
        <v>80</v>
      </c>
      <c r="C59" s="654" t="s">
        <v>80</v>
      </c>
      <c r="D59" s="655">
        <v>727.03800000000001</v>
      </c>
      <c r="E59" s="656">
        <v>0</v>
      </c>
      <c r="F59" s="656">
        <v>0</v>
      </c>
      <c r="G59" s="657">
        <v>0</v>
      </c>
      <c r="H59" s="657">
        <v>0</v>
      </c>
      <c r="I59" s="657">
        <v>53499</v>
      </c>
      <c r="J59" s="656">
        <v>0</v>
      </c>
      <c r="K59" s="656">
        <v>0</v>
      </c>
      <c r="L59" s="658" t="s">
        <v>356</v>
      </c>
      <c r="M59" s="659">
        <f t="array" ref="M59">INDEX(UtilityList!Q$4:Q$251,MATCH('Table 2.3b'!$A59&amp;'Table 2.3b'!$B59&amp;'Table 2.3b'!$C59,UtilityList!$A$4:$A$251&amp;UtilityList!$B$4:$B$251&amp;UtilityList!$C$4:$C$251,0))</f>
        <v>0</v>
      </c>
      <c r="N59" s="382" t="str">
        <f t="array" ref="N59">IFERROR(INDEX(UtilityList!J$4:J$251,MATCH('Table 2.3b'!$A59&amp;'Table 2.3b'!$B59&amp;'Table 2.3b'!$C59,UtilityList!$A$4:$A$251&amp;UtilityList!$B$4:$B$251&amp;UtilityList!$C$4:$C$251,0)),INDEX(UtilityList!J$4:J$251,MATCH('Table 2.3b'!$A59&amp;'Table 2.3b'!$C59,UtilityList!$A$4:$A$251&amp;UtilityList!$C$4:$C$251,0)))</f>
        <v>Yukon-Koyukuk/Upper Tanana</v>
      </c>
      <c r="O59" s="382" t="str">
        <f t="array" ref="O59">IFERROR(INDEX(UtilityList!K$4:K$251,MATCH('Table 2.3b'!$A59&amp;'Table 2.3b'!$B59&amp;'Table 2.3b'!$C59,UtilityList!$A$4:$A$251&amp;UtilityList!$B$4:$B$251&amp;UtilityList!$C$4:$C$251,0)),INDEX(UtilityList!K$4:K$251,MATCH('Table 2.3b'!$A59&amp;'Table 2.3b'!$C59,UtilityList!$A$4:$A$251&amp;UtilityList!$C$4:$C$251,0)))</f>
        <v>Yukon-Koyukuk (CA)</v>
      </c>
      <c r="P59" s="382" t="str">
        <f t="array" ref="P59">IFERROR(INDEX(UtilityList!L$4:L$251,MATCH('Table 2.3b'!$A59&amp;'Table 2.3b'!$B59&amp;'Table 2.3b'!$C59,UtilityList!$A$4:$A$251&amp;UtilityList!$B$4:$B$251&amp;UtilityList!$C$4:$C$251,0)),INDEX(UtilityList!L$4:L$251,MATCH('Table 2.3b'!$A59&amp;'Table 2.3b'!$C59,UtilityList!$A$4:$A$251&amp;UtilityList!$C$4:$C$251,0)))</f>
        <v>Doyon</v>
      </c>
      <c r="Q59" s="382" t="str">
        <f t="array" ref="Q59">IFERROR(INDEX(UtilityList!M$4:M$251,MATCH('Table 2.3b'!$A59&amp;'Table 2.3b'!$B59&amp;'Table 2.3b'!$C59,UtilityList!$A$4:$A$251&amp;UtilityList!$B$4:$B$251&amp;UtilityList!$C$4:$C$251,0)),INDEX(UtilityList!M$4:M$251,MATCH('Table 2.3b'!$A59&amp;'Table 2.3b'!$C59,UtilityList!$A$4:$A$251&amp;UtilityList!$C$4:$C$251,0)))</f>
        <v>YU</v>
      </c>
    </row>
    <row r="60" spans="1:17" customFormat="1" ht="60" x14ac:dyDescent="0.25">
      <c r="A60" s="653" t="s">
        <v>524</v>
      </c>
      <c r="B60" s="452" t="s">
        <v>81</v>
      </c>
      <c r="C60" s="654" t="s">
        <v>992</v>
      </c>
      <c r="D60" s="655">
        <v>2286.42</v>
      </c>
      <c r="E60" s="656">
        <v>0</v>
      </c>
      <c r="F60" s="656">
        <v>0</v>
      </c>
      <c r="G60" s="657">
        <v>0</v>
      </c>
      <c r="H60" s="657">
        <v>496.85</v>
      </c>
      <c r="I60" s="657">
        <v>168858</v>
      </c>
      <c r="J60" s="656">
        <v>0</v>
      </c>
      <c r="K60" s="656">
        <v>0</v>
      </c>
      <c r="L60" s="658" t="s">
        <v>356</v>
      </c>
      <c r="M60" s="659" t="str">
        <f t="array" ref="M60">INDEX(UtilityList!Q$4:Q$251,MATCH('Table 2.3b'!$A60&amp;'Table 2.3b'!$B60&amp;'Table 2.3b'!$C60,UtilityList!$A$4:$A$251&amp;UtilityList!$B$4:$B$251&amp;UtilityList!$C$4:$C$251,0))</f>
        <v>Provides power to Nunapitchuk via intertie.  Fuel use and cost includes Nunapitchuk's information.</v>
      </c>
      <c r="N60" s="382" t="str">
        <f t="array" ref="N60">IFERROR(INDEX(UtilityList!J$4:J$251,MATCH('Table 2.3b'!$A60&amp;'Table 2.3b'!$B60&amp;'Table 2.3b'!$C60,UtilityList!$A$4:$A$251&amp;UtilityList!$B$4:$B$251&amp;UtilityList!$C$4:$C$251,0)),INDEX(UtilityList!J$4:J$251,MATCH('Table 2.3b'!$A60&amp;'Table 2.3b'!$C60,UtilityList!$A$4:$A$251&amp;UtilityList!$C$4:$C$251,0)))</f>
        <v>Lower Yukon-Kuskokwim</v>
      </c>
      <c r="O60" s="382" t="str">
        <f t="array" ref="O60">IFERROR(INDEX(UtilityList!K$4:K$251,MATCH('Table 2.3b'!$A60&amp;'Table 2.3b'!$B60&amp;'Table 2.3b'!$C60,UtilityList!$A$4:$A$251&amp;UtilityList!$B$4:$B$251&amp;UtilityList!$C$4:$C$251,0)),INDEX(UtilityList!K$4:K$251,MATCH('Table 2.3b'!$A60&amp;'Table 2.3b'!$C60,UtilityList!$A$4:$A$251&amp;UtilityList!$C$4:$C$251,0)))</f>
        <v>Bethel (CA)</v>
      </c>
      <c r="P60" s="382" t="str">
        <f t="array" ref="P60">IFERROR(INDEX(UtilityList!L$4:L$251,MATCH('Table 2.3b'!$A60&amp;'Table 2.3b'!$B60&amp;'Table 2.3b'!$C60,UtilityList!$A$4:$A$251&amp;UtilityList!$B$4:$B$251&amp;UtilityList!$C$4:$C$251,0)),INDEX(UtilityList!L$4:L$251,MATCH('Table 2.3b'!$A60&amp;'Table 2.3b'!$C60,UtilityList!$A$4:$A$251&amp;UtilityList!$C$4:$C$251,0)))</f>
        <v>Calista</v>
      </c>
      <c r="Q60" s="382" t="str">
        <f t="array" ref="Q60">IFERROR(INDEX(UtilityList!M$4:M$251,MATCH('Table 2.3b'!$A60&amp;'Table 2.3b'!$B60&amp;'Table 2.3b'!$C60,UtilityList!$A$4:$A$251&amp;UtilityList!$B$4:$B$251&amp;UtilityList!$C$4:$C$251,0)),INDEX(UtilityList!M$4:M$251,MATCH('Table 2.3b'!$A60&amp;'Table 2.3b'!$C60,UtilityList!$A$4:$A$251&amp;UtilityList!$C$4:$C$251,0)))</f>
        <v>SW</v>
      </c>
    </row>
    <row r="61" spans="1:17" customFormat="1" ht="30" x14ac:dyDescent="0.25">
      <c r="A61" s="653" t="s">
        <v>524</v>
      </c>
      <c r="B61" s="452" t="s">
        <v>82</v>
      </c>
      <c r="C61" s="654" t="s">
        <v>82</v>
      </c>
      <c r="D61" s="655">
        <v>1511.732</v>
      </c>
      <c r="E61" s="656">
        <v>0</v>
      </c>
      <c r="F61" s="656">
        <v>0</v>
      </c>
      <c r="G61" s="657">
        <v>0</v>
      </c>
      <c r="H61" s="657">
        <v>0</v>
      </c>
      <c r="I61" s="657">
        <v>120902.09</v>
      </c>
      <c r="J61" s="656">
        <v>0</v>
      </c>
      <c r="K61" s="656">
        <v>0</v>
      </c>
      <c r="L61" s="658" t="s">
        <v>356</v>
      </c>
      <c r="M61" s="659">
        <f t="array" ref="M61">INDEX(UtilityList!Q$4:Q$251,MATCH('Table 2.3b'!$A61&amp;'Table 2.3b'!$B61&amp;'Table 2.3b'!$C61,UtilityList!$A$4:$A$251&amp;UtilityList!$B$4:$B$251&amp;UtilityList!$C$4:$C$251,0))</f>
        <v>0</v>
      </c>
      <c r="N61" s="382" t="str">
        <f t="array" ref="N61">IFERROR(INDEX(UtilityList!J$4:J$251,MATCH('Table 2.3b'!$A61&amp;'Table 2.3b'!$B61&amp;'Table 2.3b'!$C61,UtilityList!$A$4:$A$251&amp;UtilityList!$B$4:$B$251&amp;UtilityList!$C$4:$C$251,0)),INDEX(UtilityList!J$4:J$251,MATCH('Table 2.3b'!$A61&amp;'Table 2.3b'!$C61,UtilityList!$A$4:$A$251&amp;UtilityList!$C$4:$C$251,0)))</f>
        <v>Northwest Arctic</v>
      </c>
      <c r="O61" s="382" t="str">
        <f t="array" ref="O61">IFERROR(INDEX(UtilityList!K$4:K$251,MATCH('Table 2.3b'!$A61&amp;'Table 2.3b'!$B61&amp;'Table 2.3b'!$C61,UtilityList!$A$4:$A$251&amp;UtilityList!$B$4:$B$251&amp;UtilityList!$C$4:$C$251,0)),INDEX(UtilityList!K$4:K$251,MATCH('Table 2.3b'!$A61&amp;'Table 2.3b'!$C61,UtilityList!$A$4:$A$251&amp;UtilityList!$C$4:$C$251,0)))</f>
        <v>Northwest Arctic</v>
      </c>
      <c r="P61" s="382" t="str">
        <f t="array" ref="P61">IFERROR(INDEX(UtilityList!L$4:L$251,MATCH('Table 2.3b'!$A61&amp;'Table 2.3b'!$B61&amp;'Table 2.3b'!$C61,UtilityList!$A$4:$A$251&amp;UtilityList!$B$4:$B$251&amp;UtilityList!$C$4:$C$251,0)),INDEX(UtilityList!L$4:L$251,MATCH('Table 2.3b'!$A61&amp;'Table 2.3b'!$C61,UtilityList!$A$4:$A$251&amp;UtilityList!$C$4:$C$251,0)))</f>
        <v>NANA</v>
      </c>
      <c r="Q61" s="382" t="str">
        <f t="array" ref="Q61">IFERROR(INDEX(UtilityList!M$4:M$251,MATCH('Table 2.3b'!$A61&amp;'Table 2.3b'!$B61&amp;'Table 2.3b'!$C61,UtilityList!$A$4:$A$251&amp;UtilityList!$B$4:$B$251&amp;UtilityList!$C$4:$C$251,0)),INDEX(UtilityList!M$4:M$251,MATCH('Table 2.3b'!$A61&amp;'Table 2.3b'!$C61,UtilityList!$A$4:$A$251&amp;UtilityList!$C$4:$C$251,0)))</f>
        <v>AN</v>
      </c>
    </row>
    <row r="62" spans="1:17" customFormat="1" ht="30" x14ac:dyDescent="0.25">
      <c r="A62" s="653" t="s">
        <v>524</v>
      </c>
      <c r="B62" s="452" t="s">
        <v>83</v>
      </c>
      <c r="C62" s="654" t="s">
        <v>83</v>
      </c>
      <c r="D62" s="655">
        <v>1212.085</v>
      </c>
      <c r="E62" s="656">
        <v>0</v>
      </c>
      <c r="F62" s="656">
        <v>0</v>
      </c>
      <c r="G62" s="657">
        <v>0</v>
      </c>
      <c r="H62" s="657">
        <v>0</v>
      </c>
      <c r="I62" s="657">
        <v>94027</v>
      </c>
      <c r="J62" s="656">
        <v>0</v>
      </c>
      <c r="K62" s="656">
        <v>0</v>
      </c>
      <c r="L62" s="658" t="s">
        <v>356</v>
      </c>
      <c r="M62" s="659">
        <f t="array" ref="M62">INDEX(UtilityList!Q$4:Q$251,MATCH('Table 2.3b'!$A62&amp;'Table 2.3b'!$B62&amp;'Table 2.3b'!$C62,UtilityList!$A$4:$A$251&amp;UtilityList!$B$4:$B$251&amp;UtilityList!$C$4:$C$251,0))</f>
        <v>0</v>
      </c>
      <c r="N62" s="382" t="str">
        <f t="array" ref="N62">IFERROR(INDEX(UtilityList!J$4:J$251,MATCH('Table 2.3b'!$A62&amp;'Table 2.3b'!$B62&amp;'Table 2.3b'!$C62,UtilityList!$A$4:$A$251&amp;UtilityList!$B$4:$B$251&amp;UtilityList!$C$4:$C$251,0)),INDEX(UtilityList!J$4:J$251,MATCH('Table 2.3b'!$A62&amp;'Table 2.3b'!$C62,UtilityList!$A$4:$A$251&amp;UtilityList!$C$4:$C$251,0)))</f>
        <v>Northwest Arctic</v>
      </c>
      <c r="O62" s="382" t="str">
        <f t="array" ref="O62">IFERROR(INDEX(UtilityList!K$4:K$251,MATCH('Table 2.3b'!$A62&amp;'Table 2.3b'!$B62&amp;'Table 2.3b'!$C62,UtilityList!$A$4:$A$251&amp;UtilityList!$B$4:$B$251&amp;UtilityList!$C$4:$C$251,0)),INDEX(UtilityList!K$4:K$251,MATCH('Table 2.3b'!$A62&amp;'Table 2.3b'!$C62,UtilityList!$A$4:$A$251&amp;UtilityList!$C$4:$C$251,0)))</f>
        <v>Northwest Arctic</v>
      </c>
      <c r="P62" s="382" t="str">
        <f t="array" ref="P62">IFERROR(INDEX(UtilityList!L$4:L$251,MATCH('Table 2.3b'!$A62&amp;'Table 2.3b'!$B62&amp;'Table 2.3b'!$C62,UtilityList!$A$4:$A$251&amp;UtilityList!$B$4:$B$251&amp;UtilityList!$C$4:$C$251,0)),INDEX(UtilityList!L$4:L$251,MATCH('Table 2.3b'!$A62&amp;'Table 2.3b'!$C62,UtilityList!$A$4:$A$251&amp;UtilityList!$C$4:$C$251,0)))</f>
        <v>NANA</v>
      </c>
      <c r="Q62" s="382" t="str">
        <f t="array" ref="Q62">IFERROR(INDEX(UtilityList!M$4:M$251,MATCH('Table 2.3b'!$A62&amp;'Table 2.3b'!$B62&amp;'Table 2.3b'!$C62,UtilityList!$A$4:$A$251&amp;UtilityList!$B$4:$B$251&amp;UtilityList!$C$4:$C$251,0)),INDEX(UtilityList!M$4:M$251,MATCH('Table 2.3b'!$A62&amp;'Table 2.3b'!$C62,UtilityList!$A$4:$A$251&amp;UtilityList!$C$4:$C$251,0)))</f>
        <v>AN</v>
      </c>
    </row>
    <row r="63" spans="1:17" customFormat="1" ht="30" x14ac:dyDescent="0.25">
      <c r="A63" s="653" t="s">
        <v>524</v>
      </c>
      <c r="B63" s="452" t="s">
        <v>84</v>
      </c>
      <c r="C63" s="654" t="s">
        <v>84</v>
      </c>
      <c r="D63" s="655">
        <v>1966.4570000000001</v>
      </c>
      <c r="E63" s="656">
        <v>0</v>
      </c>
      <c r="F63" s="656">
        <v>0</v>
      </c>
      <c r="G63" s="657">
        <v>0</v>
      </c>
      <c r="H63" s="657">
        <v>0</v>
      </c>
      <c r="I63" s="657">
        <v>151421</v>
      </c>
      <c r="J63" s="656">
        <v>0</v>
      </c>
      <c r="K63" s="656">
        <v>0</v>
      </c>
      <c r="L63" s="658" t="s">
        <v>356</v>
      </c>
      <c r="M63" s="659">
        <f t="array" ref="M63">INDEX(UtilityList!Q$4:Q$251,MATCH('Table 2.3b'!$A63&amp;'Table 2.3b'!$B63&amp;'Table 2.3b'!$C63,UtilityList!$A$4:$A$251&amp;UtilityList!$B$4:$B$251&amp;UtilityList!$C$4:$C$251,0))</f>
        <v>0</v>
      </c>
      <c r="N63" s="382" t="str">
        <f t="array" ref="N63">IFERROR(INDEX(UtilityList!J$4:J$251,MATCH('Table 2.3b'!$A63&amp;'Table 2.3b'!$B63&amp;'Table 2.3b'!$C63,UtilityList!$A$4:$A$251&amp;UtilityList!$B$4:$B$251&amp;UtilityList!$C$4:$C$251,0)),INDEX(UtilityList!J$4:J$251,MATCH('Table 2.3b'!$A63&amp;'Table 2.3b'!$C63,UtilityList!$A$4:$A$251&amp;UtilityList!$C$4:$C$251,0)))</f>
        <v>Lower Yukon-Kuskokwim</v>
      </c>
      <c r="O63" s="382" t="str">
        <f t="array" ref="O63">IFERROR(INDEX(UtilityList!K$4:K$251,MATCH('Table 2.3b'!$A63&amp;'Table 2.3b'!$B63&amp;'Table 2.3b'!$C63,UtilityList!$A$4:$A$251&amp;UtilityList!$B$4:$B$251&amp;UtilityList!$C$4:$C$251,0)),INDEX(UtilityList!K$4:K$251,MATCH('Table 2.3b'!$A63&amp;'Table 2.3b'!$C63,UtilityList!$A$4:$A$251&amp;UtilityList!$C$4:$C$251,0)))</f>
        <v>Wade Hampton (CA)</v>
      </c>
      <c r="P63" s="382" t="str">
        <f t="array" ref="P63">IFERROR(INDEX(UtilityList!L$4:L$251,MATCH('Table 2.3b'!$A63&amp;'Table 2.3b'!$B63&amp;'Table 2.3b'!$C63,UtilityList!$A$4:$A$251&amp;UtilityList!$B$4:$B$251&amp;UtilityList!$C$4:$C$251,0)),INDEX(UtilityList!L$4:L$251,MATCH('Table 2.3b'!$A63&amp;'Table 2.3b'!$C63,UtilityList!$A$4:$A$251&amp;UtilityList!$C$4:$C$251,0)))</f>
        <v>Calista</v>
      </c>
      <c r="Q63" s="382" t="str">
        <f t="array" ref="Q63">IFERROR(INDEX(UtilityList!M$4:M$251,MATCH('Table 2.3b'!$A63&amp;'Table 2.3b'!$B63&amp;'Table 2.3b'!$C63,UtilityList!$A$4:$A$251&amp;UtilityList!$B$4:$B$251&amp;UtilityList!$C$4:$C$251,0)),INDEX(UtilityList!M$4:M$251,MATCH('Table 2.3b'!$A63&amp;'Table 2.3b'!$C63,UtilityList!$A$4:$A$251&amp;UtilityList!$C$4:$C$251,0)))</f>
        <v>YU</v>
      </c>
    </row>
    <row r="64" spans="1:17" s="8" customFormat="1" ht="30" x14ac:dyDescent="0.25">
      <c r="A64" s="653" t="s">
        <v>524</v>
      </c>
      <c r="B64" s="452" t="s">
        <v>85</v>
      </c>
      <c r="C64" s="654" t="s">
        <v>85</v>
      </c>
      <c r="D64" s="655">
        <v>1315.9179999999999</v>
      </c>
      <c r="E64" s="656">
        <v>0</v>
      </c>
      <c r="F64" s="656">
        <v>0</v>
      </c>
      <c r="G64" s="657">
        <v>0</v>
      </c>
      <c r="H64" s="657">
        <v>0</v>
      </c>
      <c r="I64" s="657">
        <v>96030.999999999985</v>
      </c>
      <c r="J64" s="656">
        <v>0</v>
      </c>
      <c r="K64" s="656">
        <v>0</v>
      </c>
      <c r="L64" s="658" t="s">
        <v>356</v>
      </c>
      <c r="M64" s="659">
        <f t="array" ref="M64">INDEX(UtilityList!Q$4:Q$251,MATCH('Table 2.3b'!$A64&amp;'Table 2.3b'!$B64&amp;'Table 2.3b'!$C64,UtilityList!$A$4:$A$251&amp;UtilityList!$B$4:$B$251&amp;UtilityList!$C$4:$C$251,0))</f>
        <v>0</v>
      </c>
      <c r="N64" s="382" t="str">
        <f t="array" ref="N64">IFERROR(INDEX(UtilityList!J$4:J$251,MATCH('Table 2.3b'!$A64&amp;'Table 2.3b'!$B64&amp;'Table 2.3b'!$C64,UtilityList!$A$4:$A$251&amp;UtilityList!$B$4:$B$251&amp;UtilityList!$C$4:$C$251,0)),INDEX(UtilityList!J$4:J$251,MATCH('Table 2.3b'!$A64&amp;'Table 2.3b'!$C64,UtilityList!$A$4:$A$251&amp;UtilityList!$C$4:$C$251,0)))</f>
        <v>Bering Straits</v>
      </c>
      <c r="O64" s="382" t="str">
        <f t="array" ref="O64">IFERROR(INDEX(UtilityList!K$4:K$251,MATCH('Table 2.3b'!$A64&amp;'Table 2.3b'!$B64&amp;'Table 2.3b'!$C64,UtilityList!$A$4:$A$251&amp;UtilityList!$B$4:$B$251&amp;UtilityList!$C$4:$C$251,0)),INDEX(UtilityList!K$4:K$251,MATCH('Table 2.3b'!$A64&amp;'Table 2.3b'!$C64,UtilityList!$A$4:$A$251&amp;UtilityList!$C$4:$C$251,0)))</f>
        <v>Nome (CA)</v>
      </c>
      <c r="P64" s="382" t="str">
        <f t="array" ref="P64">IFERROR(INDEX(UtilityList!L$4:L$251,MATCH('Table 2.3b'!$A64&amp;'Table 2.3b'!$B64&amp;'Table 2.3b'!$C64,UtilityList!$A$4:$A$251&amp;UtilityList!$B$4:$B$251&amp;UtilityList!$C$4:$C$251,0)),INDEX(UtilityList!L$4:L$251,MATCH('Table 2.3b'!$A64&amp;'Table 2.3b'!$C64,UtilityList!$A$4:$A$251&amp;UtilityList!$C$4:$C$251,0)))</f>
        <v>Bering Straits</v>
      </c>
      <c r="Q64" s="382" t="str">
        <f t="array" ref="Q64">IFERROR(INDEX(UtilityList!M$4:M$251,MATCH('Table 2.3b'!$A64&amp;'Table 2.3b'!$B64&amp;'Table 2.3b'!$C64,UtilityList!$A$4:$A$251&amp;UtilityList!$B$4:$B$251&amp;UtilityList!$C$4:$C$251,0)),INDEX(UtilityList!M$4:M$251,MATCH('Table 2.3b'!$A64&amp;'Table 2.3b'!$C64,UtilityList!$A$4:$A$251&amp;UtilityList!$C$4:$C$251,0)))</f>
        <v>AN</v>
      </c>
    </row>
    <row r="65" spans="1:17" customFormat="1" ht="60" x14ac:dyDescent="0.25">
      <c r="A65" s="653" t="s">
        <v>524</v>
      </c>
      <c r="B65" s="452" t="s">
        <v>115</v>
      </c>
      <c r="C65" s="654" t="s">
        <v>86</v>
      </c>
      <c r="D65" s="655">
        <v>0</v>
      </c>
      <c r="E65" s="656">
        <v>0</v>
      </c>
      <c r="F65" s="656">
        <v>0</v>
      </c>
      <c r="G65" s="657">
        <v>0</v>
      </c>
      <c r="H65" s="657">
        <v>0</v>
      </c>
      <c r="I65" s="657">
        <v>0</v>
      </c>
      <c r="J65" s="656">
        <v>0</v>
      </c>
      <c r="K65" s="656">
        <v>0</v>
      </c>
      <c r="L65" s="658" t="s">
        <v>356</v>
      </c>
      <c r="M65" s="659" t="str">
        <f t="array" ref="M65">INDEX(UtilityList!Q$4:Q$251,MATCH('Table 2.3b'!$A65&amp;'Table 2.3b'!$B65&amp;'Table 2.3b'!$C65,UtilityList!$A$4:$A$251&amp;UtilityList!$B$4:$B$251&amp;UtilityList!$C$4:$C$251,0))</f>
        <v>Receives power from (Upper) Kalskag via intertie. For fuel use and cost, please refer to (Upper) Kalskag.</v>
      </c>
      <c r="N65" s="382" t="str">
        <f t="array" ref="N65">IFERROR(INDEX(UtilityList!J$4:J$251,MATCH('Table 2.3b'!$A65&amp;'Table 2.3b'!$B65&amp;'Table 2.3b'!$C65,UtilityList!$A$4:$A$251&amp;UtilityList!$B$4:$B$251&amp;UtilityList!$C$4:$C$251,0)),INDEX(UtilityList!J$4:J$251,MATCH('Table 2.3b'!$A65&amp;'Table 2.3b'!$C65,UtilityList!$A$4:$A$251&amp;UtilityList!$C$4:$C$251,0)))</f>
        <v>Lower Yukon-Kuskokwim</v>
      </c>
      <c r="O65" s="382" t="str">
        <f t="array" ref="O65">IFERROR(INDEX(UtilityList!K$4:K$251,MATCH('Table 2.3b'!$A65&amp;'Table 2.3b'!$B65&amp;'Table 2.3b'!$C65,UtilityList!$A$4:$A$251&amp;UtilityList!$B$4:$B$251&amp;UtilityList!$C$4:$C$251,0)),INDEX(UtilityList!K$4:K$251,MATCH('Table 2.3b'!$A65&amp;'Table 2.3b'!$C65,UtilityList!$A$4:$A$251&amp;UtilityList!$C$4:$C$251,0)))</f>
        <v>Bethel (CA)</v>
      </c>
      <c r="P65" s="382" t="str">
        <f t="array" ref="P65">IFERROR(INDEX(UtilityList!L$4:L$251,MATCH('Table 2.3b'!$A65&amp;'Table 2.3b'!$B65&amp;'Table 2.3b'!$C65,UtilityList!$A$4:$A$251&amp;UtilityList!$B$4:$B$251&amp;UtilityList!$C$4:$C$251,0)),INDEX(UtilityList!L$4:L$251,MATCH('Table 2.3b'!$A65&amp;'Table 2.3b'!$C65,UtilityList!$A$4:$A$251&amp;UtilityList!$C$4:$C$251,0)))</f>
        <v>Calista</v>
      </c>
      <c r="Q65" s="382" t="str">
        <f t="array" ref="Q65">IFERROR(INDEX(UtilityList!M$4:M$251,MATCH('Table 2.3b'!$A65&amp;'Table 2.3b'!$B65&amp;'Table 2.3b'!$C65,UtilityList!$A$4:$A$251&amp;UtilityList!$B$4:$B$251&amp;UtilityList!$C$4:$C$251,0)),INDEX(UtilityList!M$4:M$251,MATCH('Table 2.3b'!$A65&amp;'Table 2.3b'!$C65,UtilityList!$A$4:$A$251&amp;UtilityList!$C$4:$C$251,0)))</f>
        <v>SW</v>
      </c>
    </row>
    <row r="66" spans="1:17" customFormat="1" ht="30" x14ac:dyDescent="0.25">
      <c r="A66" s="653" t="s">
        <v>524</v>
      </c>
      <c r="B66" s="452" t="s">
        <v>87</v>
      </c>
      <c r="C66" s="654" t="s">
        <v>87</v>
      </c>
      <c r="D66" s="655">
        <v>1644.1759999999999</v>
      </c>
      <c r="E66" s="656">
        <v>0</v>
      </c>
      <c r="F66" s="656">
        <v>0</v>
      </c>
      <c r="G66" s="657">
        <v>0</v>
      </c>
      <c r="H66" s="657">
        <v>0</v>
      </c>
      <c r="I66" s="657">
        <v>123515</v>
      </c>
      <c r="J66" s="656">
        <v>0</v>
      </c>
      <c r="K66" s="656">
        <v>0</v>
      </c>
      <c r="L66" s="658" t="s">
        <v>356</v>
      </c>
      <c r="M66" s="659">
        <f t="array" ref="M66">INDEX(UtilityList!Q$4:Q$251,MATCH('Table 2.3b'!$A66&amp;'Table 2.3b'!$B66&amp;'Table 2.3b'!$C66,UtilityList!$A$4:$A$251&amp;UtilityList!$B$4:$B$251&amp;UtilityList!$C$4:$C$251,0))</f>
        <v>0</v>
      </c>
      <c r="N66" s="382" t="str">
        <f t="array" ref="N66">IFERROR(INDEX(UtilityList!J$4:J$251,MATCH('Table 2.3b'!$A66&amp;'Table 2.3b'!$B66&amp;'Table 2.3b'!$C66,UtilityList!$A$4:$A$251&amp;UtilityList!$B$4:$B$251&amp;UtilityList!$C$4:$C$251,0)),INDEX(UtilityList!J$4:J$251,MATCH('Table 2.3b'!$A66&amp;'Table 2.3b'!$C66,UtilityList!$A$4:$A$251&amp;UtilityList!$C$4:$C$251,0)))</f>
        <v>Lower Yukon-Kuskokwim</v>
      </c>
      <c r="O66" s="382" t="str">
        <f t="array" ref="O66">IFERROR(INDEX(UtilityList!K$4:K$251,MATCH('Table 2.3b'!$A66&amp;'Table 2.3b'!$B66&amp;'Table 2.3b'!$C66,UtilityList!$A$4:$A$251&amp;UtilityList!$B$4:$B$251&amp;UtilityList!$C$4:$C$251,0)),INDEX(UtilityList!K$4:K$251,MATCH('Table 2.3b'!$A66&amp;'Table 2.3b'!$C66,UtilityList!$A$4:$A$251&amp;UtilityList!$C$4:$C$251,0)))</f>
        <v>Wade Hampton (CA)</v>
      </c>
      <c r="P66" s="382" t="str">
        <f t="array" ref="P66">IFERROR(INDEX(UtilityList!L$4:L$251,MATCH('Table 2.3b'!$A66&amp;'Table 2.3b'!$B66&amp;'Table 2.3b'!$C66,UtilityList!$A$4:$A$251&amp;UtilityList!$B$4:$B$251&amp;UtilityList!$C$4:$C$251,0)),INDEX(UtilityList!L$4:L$251,MATCH('Table 2.3b'!$A66&amp;'Table 2.3b'!$C66,UtilityList!$A$4:$A$251&amp;UtilityList!$C$4:$C$251,0)))</f>
        <v>Calista</v>
      </c>
      <c r="Q66" s="382" t="str">
        <f t="array" ref="Q66">IFERROR(INDEX(UtilityList!M$4:M$251,MATCH('Table 2.3b'!$A66&amp;'Table 2.3b'!$B66&amp;'Table 2.3b'!$C66,UtilityList!$A$4:$A$251&amp;UtilityList!$B$4:$B$251&amp;UtilityList!$C$4:$C$251,0)),INDEX(UtilityList!M$4:M$251,MATCH('Table 2.3b'!$A66&amp;'Table 2.3b'!$C66,UtilityList!$A$4:$A$251&amp;UtilityList!$C$4:$C$251,0)))</f>
        <v>YU</v>
      </c>
    </row>
    <row r="67" spans="1:17" customFormat="1" ht="30" x14ac:dyDescent="0.25">
      <c r="A67" s="653" t="s">
        <v>524</v>
      </c>
      <c r="B67" s="452" t="s">
        <v>88</v>
      </c>
      <c r="C67" s="654" t="s">
        <v>88</v>
      </c>
      <c r="D67" s="655">
        <v>708.83100000000002</v>
      </c>
      <c r="E67" s="656">
        <v>0</v>
      </c>
      <c r="F67" s="656">
        <v>0</v>
      </c>
      <c r="G67" s="657">
        <v>0</v>
      </c>
      <c r="H67" s="657">
        <v>238.70599999999999</v>
      </c>
      <c r="I67" s="657">
        <v>58222</v>
      </c>
      <c r="J67" s="656">
        <v>0</v>
      </c>
      <c r="K67" s="656">
        <v>0</v>
      </c>
      <c r="L67" s="658" t="s">
        <v>356</v>
      </c>
      <c r="M67" s="659">
        <f t="array" ref="M67">INDEX(UtilityList!Q$4:Q$251,MATCH('Table 2.3b'!$A67&amp;'Table 2.3b'!$B67&amp;'Table 2.3b'!$C67,UtilityList!$A$4:$A$251&amp;UtilityList!$B$4:$B$251&amp;UtilityList!$C$4:$C$251,0))</f>
        <v>0</v>
      </c>
      <c r="N67" s="382" t="str">
        <f t="array" ref="N67">IFERROR(INDEX(UtilityList!J$4:J$251,MATCH('Table 2.3b'!$A67&amp;'Table 2.3b'!$B67&amp;'Table 2.3b'!$C67,UtilityList!$A$4:$A$251&amp;UtilityList!$B$4:$B$251&amp;UtilityList!$C$4:$C$251,0)),INDEX(UtilityList!J$4:J$251,MATCH('Table 2.3b'!$A67&amp;'Table 2.3b'!$C67,UtilityList!$A$4:$A$251&amp;UtilityList!$C$4:$C$251,0)))</f>
        <v>Lower Yukon-Kuskokwim</v>
      </c>
      <c r="O67" s="382" t="str">
        <f t="array" ref="O67">IFERROR(INDEX(UtilityList!K$4:K$251,MATCH('Table 2.3b'!$A67&amp;'Table 2.3b'!$B67&amp;'Table 2.3b'!$C67,UtilityList!$A$4:$A$251&amp;UtilityList!$B$4:$B$251&amp;UtilityList!$C$4:$C$251,0)),INDEX(UtilityList!K$4:K$251,MATCH('Table 2.3b'!$A67&amp;'Table 2.3b'!$C67,UtilityList!$A$4:$A$251&amp;UtilityList!$C$4:$C$251,0)))</f>
        <v>Bethel (CA)</v>
      </c>
      <c r="P67" s="382" t="str">
        <f t="array" ref="P67">IFERROR(INDEX(UtilityList!L$4:L$251,MATCH('Table 2.3b'!$A67&amp;'Table 2.3b'!$B67&amp;'Table 2.3b'!$C67,UtilityList!$A$4:$A$251&amp;UtilityList!$B$4:$B$251&amp;UtilityList!$C$4:$C$251,0)),INDEX(UtilityList!L$4:L$251,MATCH('Table 2.3b'!$A67&amp;'Table 2.3b'!$C67,UtilityList!$A$4:$A$251&amp;UtilityList!$C$4:$C$251,0)))</f>
        <v>Calista</v>
      </c>
      <c r="Q67" s="382" t="str">
        <f t="array" ref="Q67">IFERROR(INDEX(UtilityList!M$4:M$251,MATCH('Table 2.3b'!$A67&amp;'Table 2.3b'!$B67&amp;'Table 2.3b'!$C67,UtilityList!$A$4:$A$251&amp;UtilityList!$B$4:$B$251&amp;UtilityList!$C$4:$C$251,0)),INDEX(UtilityList!M$4:M$251,MATCH('Table 2.3b'!$A67&amp;'Table 2.3b'!$C67,UtilityList!$A$4:$A$251&amp;UtilityList!$C$4:$C$251,0)))</f>
        <v>SW</v>
      </c>
    </row>
    <row r="68" spans="1:17" customFormat="1" ht="30" x14ac:dyDescent="0.25">
      <c r="A68" s="653" t="s">
        <v>524</v>
      </c>
      <c r="B68" s="452" t="s">
        <v>89</v>
      </c>
      <c r="C68" s="654" t="s">
        <v>89</v>
      </c>
      <c r="D68" s="655">
        <v>652.66300000000001</v>
      </c>
      <c r="E68" s="656">
        <v>0</v>
      </c>
      <c r="F68" s="656">
        <v>0</v>
      </c>
      <c r="G68" s="657">
        <v>0</v>
      </c>
      <c r="H68" s="657">
        <v>0</v>
      </c>
      <c r="I68" s="657">
        <v>48155</v>
      </c>
      <c r="J68" s="656">
        <v>0</v>
      </c>
      <c r="K68" s="656">
        <v>0</v>
      </c>
      <c r="L68" s="658" t="s">
        <v>356</v>
      </c>
      <c r="M68" s="659">
        <f t="array" ref="M68">INDEX(UtilityList!Q$4:Q$251,MATCH('Table 2.3b'!$A68&amp;'Table 2.3b'!$B68&amp;'Table 2.3b'!$C68,UtilityList!$A$4:$A$251&amp;UtilityList!$B$4:$B$251&amp;UtilityList!$C$4:$C$251,0))</f>
        <v>0</v>
      </c>
      <c r="N68" s="382" t="str">
        <f t="array" ref="N68">IFERROR(INDEX(UtilityList!J$4:J$251,MATCH('Table 2.3b'!$A68&amp;'Table 2.3b'!$B68&amp;'Table 2.3b'!$C68,UtilityList!$A$4:$A$251&amp;UtilityList!$B$4:$B$251&amp;UtilityList!$C$4:$C$251,0)),INDEX(UtilityList!J$4:J$251,MATCH('Table 2.3b'!$A68&amp;'Table 2.3b'!$C68,UtilityList!$A$4:$A$251&amp;UtilityList!$C$4:$C$251,0)))</f>
        <v>Yukon-Koyukuk/Upper Tanana</v>
      </c>
      <c r="O68" s="382" t="str">
        <f t="array" ref="O68">IFERROR(INDEX(UtilityList!K$4:K$251,MATCH('Table 2.3b'!$A68&amp;'Table 2.3b'!$B68&amp;'Table 2.3b'!$C68,UtilityList!$A$4:$A$251&amp;UtilityList!$B$4:$B$251&amp;UtilityList!$C$4:$C$251,0)),INDEX(UtilityList!K$4:K$251,MATCH('Table 2.3b'!$A68&amp;'Table 2.3b'!$C68,UtilityList!$A$4:$A$251&amp;UtilityList!$C$4:$C$251,0)))</f>
        <v>Yukon-Koyukuk (CA)</v>
      </c>
      <c r="P68" s="382" t="str">
        <f t="array" ref="P68">IFERROR(INDEX(UtilityList!L$4:L$251,MATCH('Table 2.3b'!$A68&amp;'Table 2.3b'!$B68&amp;'Table 2.3b'!$C68,UtilityList!$A$4:$A$251&amp;UtilityList!$B$4:$B$251&amp;UtilityList!$C$4:$C$251,0)),INDEX(UtilityList!L$4:L$251,MATCH('Table 2.3b'!$A68&amp;'Table 2.3b'!$C68,UtilityList!$A$4:$A$251&amp;UtilityList!$C$4:$C$251,0)))</f>
        <v>Doyon</v>
      </c>
      <c r="Q68" s="382" t="str">
        <f t="array" ref="Q68">IFERROR(INDEX(UtilityList!M$4:M$251,MATCH('Table 2.3b'!$A68&amp;'Table 2.3b'!$B68&amp;'Table 2.3b'!$C68,UtilityList!$A$4:$A$251&amp;UtilityList!$B$4:$B$251&amp;UtilityList!$C$4:$C$251,0)),INDEX(UtilityList!M$4:M$251,MATCH('Table 2.3b'!$A68&amp;'Table 2.3b'!$C68,UtilityList!$A$4:$A$251&amp;UtilityList!$C$4:$C$251,0)))</f>
        <v>YU</v>
      </c>
    </row>
    <row r="69" spans="1:17" customFormat="1" ht="30" x14ac:dyDescent="0.25">
      <c r="A69" s="653" t="s">
        <v>524</v>
      </c>
      <c r="B69" s="452" t="s">
        <v>90</v>
      </c>
      <c r="C69" s="654" t="s">
        <v>90</v>
      </c>
      <c r="D69" s="655">
        <v>2796.866</v>
      </c>
      <c r="E69" s="656">
        <v>0</v>
      </c>
      <c r="F69" s="656">
        <v>0</v>
      </c>
      <c r="G69" s="657">
        <v>0</v>
      </c>
      <c r="H69" s="657">
        <v>0</v>
      </c>
      <c r="I69" s="657">
        <v>205079</v>
      </c>
      <c r="J69" s="656">
        <v>0</v>
      </c>
      <c r="K69" s="656">
        <v>0</v>
      </c>
      <c r="L69" s="658" t="s">
        <v>356</v>
      </c>
      <c r="M69" s="659">
        <f t="array" ref="M69">INDEX(UtilityList!Q$4:Q$251,MATCH('Table 2.3b'!$A69&amp;'Table 2.3b'!$B69&amp;'Table 2.3b'!$C69,UtilityList!$A$4:$A$251&amp;UtilityList!$B$4:$B$251&amp;UtilityList!$C$4:$C$251,0))</f>
        <v>0</v>
      </c>
      <c r="N69" s="382" t="str">
        <f t="array" ref="N69">IFERROR(INDEX(UtilityList!J$4:J$251,MATCH('Table 2.3b'!$A69&amp;'Table 2.3b'!$B69&amp;'Table 2.3b'!$C69,UtilityList!$A$4:$A$251&amp;UtilityList!$B$4:$B$251&amp;UtilityList!$C$4:$C$251,0)),INDEX(UtilityList!J$4:J$251,MATCH('Table 2.3b'!$A69&amp;'Table 2.3b'!$C69,UtilityList!$A$4:$A$251&amp;UtilityList!$C$4:$C$251,0)))</f>
        <v>Lower Yukon-Kuskokwim</v>
      </c>
      <c r="O69" s="382" t="str">
        <f t="array" ref="O69">IFERROR(INDEX(UtilityList!K$4:K$251,MATCH('Table 2.3b'!$A69&amp;'Table 2.3b'!$B69&amp;'Table 2.3b'!$C69,UtilityList!$A$4:$A$251&amp;UtilityList!$B$4:$B$251&amp;UtilityList!$C$4:$C$251,0)),INDEX(UtilityList!K$4:K$251,MATCH('Table 2.3b'!$A69&amp;'Table 2.3b'!$C69,UtilityList!$A$4:$A$251&amp;UtilityList!$C$4:$C$251,0)))</f>
        <v>Wade Hampton (CA)</v>
      </c>
      <c r="P69" s="382" t="str">
        <f t="array" ref="P69">IFERROR(INDEX(UtilityList!L$4:L$251,MATCH('Table 2.3b'!$A69&amp;'Table 2.3b'!$B69&amp;'Table 2.3b'!$C69,UtilityList!$A$4:$A$251&amp;UtilityList!$B$4:$B$251&amp;UtilityList!$C$4:$C$251,0)),INDEX(UtilityList!L$4:L$251,MATCH('Table 2.3b'!$A69&amp;'Table 2.3b'!$C69,UtilityList!$A$4:$A$251&amp;UtilityList!$C$4:$C$251,0)))</f>
        <v>Calista</v>
      </c>
      <c r="Q69" s="382" t="str">
        <f t="array" ref="Q69">IFERROR(INDEX(UtilityList!M$4:M$251,MATCH('Table 2.3b'!$A69&amp;'Table 2.3b'!$B69&amp;'Table 2.3b'!$C69,UtilityList!$A$4:$A$251&amp;UtilityList!$B$4:$B$251&amp;UtilityList!$C$4:$C$251,0)),INDEX(UtilityList!M$4:M$251,MATCH('Table 2.3b'!$A69&amp;'Table 2.3b'!$C69,UtilityList!$A$4:$A$251&amp;UtilityList!$C$4:$C$251,0)))</f>
        <v>YU</v>
      </c>
    </row>
    <row r="70" spans="1:17" customFormat="1" ht="30" x14ac:dyDescent="0.25">
      <c r="A70" s="653" t="s">
        <v>524</v>
      </c>
      <c r="B70" s="452" t="s">
        <v>91</v>
      </c>
      <c r="C70" s="654" t="s">
        <v>91</v>
      </c>
      <c r="D70" s="655">
        <v>1466.3779999999999</v>
      </c>
      <c r="E70" s="656">
        <v>0</v>
      </c>
      <c r="F70" s="656">
        <v>0</v>
      </c>
      <c r="G70" s="657">
        <v>0</v>
      </c>
      <c r="H70" s="657">
        <v>0</v>
      </c>
      <c r="I70" s="657">
        <v>114321</v>
      </c>
      <c r="J70" s="656">
        <v>0</v>
      </c>
      <c r="K70" s="656">
        <v>0</v>
      </c>
      <c r="L70" s="658" t="s">
        <v>356</v>
      </c>
      <c r="M70" s="659">
        <f t="array" ref="M70">INDEX(UtilityList!Q$4:Q$251,MATCH('Table 2.3b'!$A70&amp;'Table 2.3b'!$B70&amp;'Table 2.3b'!$C70,UtilityList!$A$4:$A$251&amp;UtilityList!$B$4:$B$251&amp;UtilityList!$C$4:$C$251,0))</f>
        <v>0</v>
      </c>
      <c r="N70" s="382" t="str">
        <f t="array" ref="N70">IFERROR(INDEX(UtilityList!J$4:J$251,MATCH('Table 2.3b'!$A70&amp;'Table 2.3b'!$B70&amp;'Table 2.3b'!$C70,UtilityList!$A$4:$A$251&amp;UtilityList!$B$4:$B$251&amp;UtilityList!$C$4:$C$251,0)),INDEX(UtilityList!J$4:J$251,MATCH('Table 2.3b'!$A70&amp;'Table 2.3b'!$C70,UtilityList!$A$4:$A$251&amp;UtilityList!$C$4:$C$251,0)))</f>
        <v>Bristol Bay</v>
      </c>
      <c r="O70" s="382" t="str">
        <f t="array" ref="O70">IFERROR(INDEX(UtilityList!K$4:K$251,MATCH('Table 2.3b'!$A70&amp;'Table 2.3b'!$B70&amp;'Table 2.3b'!$C70,UtilityList!$A$4:$A$251&amp;UtilityList!$B$4:$B$251&amp;UtilityList!$C$4:$C$251,0)),INDEX(UtilityList!K$4:K$251,MATCH('Table 2.3b'!$A70&amp;'Table 2.3b'!$C70,UtilityList!$A$4:$A$251&amp;UtilityList!$C$4:$C$251,0)))</f>
        <v>Dillingham (CA)</v>
      </c>
      <c r="P70" s="382" t="str">
        <f t="array" ref="P70">IFERROR(INDEX(UtilityList!L$4:L$251,MATCH('Table 2.3b'!$A70&amp;'Table 2.3b'!$B70&amp;'Table 2.3b'!$C70,UtilityList!$A$4:$A$251&amp;UtilityList!$B$4:$B$251&amp;UtilityList!$C$4:$C$251,0)),INDEX(UtilityList!L$4:L$251,MATCH('Table 2.3b'!$A70&amp;'Table 2.3b'!$C70,UtilityList!$A$4:$A$251&amp;UtilityList!$C$4:$C$251,0)))</f>
        <v>Bristol Bay</v>
      </c>
      <c r="Q70" s="382" t="str">
        <f t="array" ref="Q70">IFERROR(INDEX(UtilityList!M$4:M$251,MATCH('Table 2.3b'!$A70&amp;'Table 2.3b'!$B70&amp;'Table 2.3b'!$C70,UtilityList!$A$4:$A$251&amp;UtilityList!$B$4:$B$251&amp;UtilityList!$C$4:$C$251,0)),INDEX(UtilityList!M$4:M$251,MATCH('Table 2.3b'!$A70&amp;'Table 2.3b'!$C70,UtilityList!$A$4:$A$251&amp;UtilityList!$C$4:$C$251,0)))</f>
        <v>SW</v>
      </c>
    </row>
    <row r="71" spans="1:17" customFormat="1" ht="60" x14ac:dyDescent="0.25">
      <c r="A71" s="653" t="s">
        <v>524</v>
      </c>
      <c r="B71" s="452" t="s">
        <v>92</v>
      </c>
      <c r="C71" s="654" t="s">
        <v>92</v>
      </c>
      <c r="D71" s="655">
        <v>0</v>
      </c>
      <c r="E71" s="656">
        <v>0</v>
      </c>
      <c r="F71" s="656">
        <v>0</v>
      </c>
      <c r="G71" s="657">
        <v>0</v>
      </c>
      <c r="H71" s="657">
        <v>0</v>
      </c>
      <c r="I71" s="657">
        <v>0</v>
      </c>
      <c r="J71" s="656">
        <v>0</v>
      </c>
      <c r="K71" s="656">
        <v>0</v>
      </c>
      <c r="L71" s="658" t="s">
        <v>356</v>
      </c>
      <c r="M71" s="659" t="str">
        <f t="array" ref="M71">INDEX(UtilityList!Q$4:Q$251,MATCH('Table 2.3b'!$A71&amp;'Table 2.3b'!$B71&amp;'Table 2.3b'!$C71,UtilityList!$A$4:$A$251&amp;UtilityList!$B$4:$B$251&amp;UtilityList!$C$4:$C$251,0))</f>
        <v>Receives power from Toksook Bay via intertie. For fuel use and cost, please refer to Toksook Bay.</v>
      </c>
      <c r="N71" s="382" t="str">
        <f t="array" ref="N71">IFERROR(INDEX(UtilityList!J$4:J$251,MATCH('Table 2.3b'!$A71&amp;'Table 2.3b'!$B71&amp;'Table 2.3b'!$C71,UtilityList!$A$4:$A$251&amp;UtilityList!$B$4:$B$251&amp;UtilityList!$C$4:$C$251,0)),INDEX(UtilityList!J$4:J$251,MATCH('Table 2.3b'!$A71&amp;'Table 2.3b'!$C71,UtilityList!$A$4:$A$251&amp;UtilityList!$C$4:$C$251,0)))</f>
        <v>Lower Yukon-Kuskokwim</v>
      </c>
      <c r="O71" s="382" t="str">
        <f t="array" ref="O71">IFERROR(INDEX(UtilityList!K$4:K$251,MATCH('Table 2.3b'!$A71&amp;'Table 2.3b'!$B71&amp;'Table 2.3b'!$C71,UtilityList!$A$4:$A$251&amp;UtilityList!$B$4:$B$251&amp;UtilityList!$C$4:$C$251,0)),INDEX(UtilityList!K$4:K$251,MATCH('Table 2.3b'!$A71&amp;'Table 2.3b'!$C71,UtilityList!$A$4:$A$251&amp;UtilityList!$C$4:$C$251,0)))</f>
        <v>Bethel (CA)</v>
      </c>
      <c r="P71" s="382" t="str">
        <f t="array" ref="P71">IFERROR(INDEX(UtilityList!L$4:L$251,MATCH('Table 2.3b'!$A71&amp;'Table 2.3b'!$B71&amp;'Table 2.3b'!$C71,UtilityList!$A$4:$A$251&amp;UtilityList!$B$4:$B$251&amp;UtilityList!$C$4:$C$251,0)),INDEX(UtilityList!L$4:L$251,MATCH('Table 2.3b'!$A71&amp;'Table 2.3b'!$C71,UtilityList!$A$4:$A$251&amp;UtilityList!$C$4:$C$251,0)))</f>
        <v>Calista</v>
      </c>
      <c r="Q71" s="382" t="str">
        <f t="array" ref="Q71">IFERROR(INDEX(UtilityList!M$4:M$251,MATCH('Table 2.3b'!$A71&amp;'Table 2.3b'!$B71&amp;'Table 2.3b'!$C71,UtilityList!$A$4:$A$251&amp;UtilityList!$B$4:$B$251&amp;UtilityList!$C$4:$C$251,0)),INDEX(UtilityList!M$4:M$251,MATCH('Table 2.3b'!$A71&amp;'Table 2.3b'!$C71,UtilityList!$A$4:$A$251&amp;UtilityList!$C$4:$C$251,0)))</f>
        <v>SW</v>
      </c>
    </row>
    <row r="72" spans="1:17" customFormat="1" ht="30" x14ac:dyDescent="0.25">
      <c r="A72" s="653" t="s">
        <v>524</v>
      </c>
      <c r="B72" s="452" t="s">
        <v>93</v>
      </c>
      <c r="C72" s="654" t="s">
        <v>93</v>
      </c>
      <c r="D72" s="655">
        <v>1800.64</v>
      </c>
      <c r="E72" s="656">
        <v>0</v>
      </c>
      <c r="F72" s="656">
        <v>0</v>
      </c>
      <c r="G72" s="657">
        <v>0</v>
      </c>
      <c r="H72" s="657">
        <v>0</v>
      </c>
      <c r="I72" s="657">
        <v>127333</v>
      </c>
      <c r="J72" s="656">
        <v>0</v>
      </c>
      <c r="K72" s="656">
        <v>0</v>
      </c>
      <c r="L72" s="658" t="s">
        <v>356</v>
      </c>
      <c r="M72" s="659">
        <f t="array" ref="M72">INDEX(UtilityList!Q$4:Q$251,MATCH('Table 2.3b'!$A72&amp;'Table 2.3b'!$B72&amp;'Table 2.3b'!$C72,UtilityList!$A$4:$A$251&amp;UtilityList!$B$4:$B$251&amp;UtilityList!$C$4:$C$251,0))</f>
        <v>0</v>
      </c>
      <c r="N72" s="382" t="str">
        <f t="array" ref="N72">IFERROR(INDEX(UtilityList!J$4:J$251,MATCH('Table 2.3b'!$A72&amp;'Table 2.3b'!$B72&amp;'Table 2.3b'!$C72,UtilityList!$A$4:$A$251&amp;UtilityList!$B$4:$B$251&amp;UtilityList!$C$4:$C$251,0)),INDEX(UtilityList!J$4:J$251,MATCH('Table 2.3b'!$A72&amp;'Table 2.3b'!$C72,UtilityList!$A$4:$A$251&amp;UtilityList!$C$4:$C$251,0)))</f>
        <v>Northwest Arctic</v>
      </c>
      <c r="O72" s="382" t="str">
        <f t="array" ref="O72">IFERROR(INDEX(UtilityList!K$4:K$251,MATCH('Table 2.3b'!$A72&amp;'Table 2.3b'!$B72&amp;'Table 2.3b'!$C72,UtilityList!$A$4:$A$251&amp;UtilityList!$B$4:$B$251&amp;UtilityList!$C$4:$C$251,0)),INDEX(UtilityList!K$4:K$251,MATCH('Table 2.3b'!$A72&amp;'Table 2.3b'!$C72,UtilityList!$A$4:$A$251&amp;UtilityList!$C$4:$C$251,0)))</f>
        <v>Northwest Arctic</v>
      </c>
      <c r="P72" s="382" t="str">
        <f t="array" ref="P72">IFERROR(INDEX(UtilityList!L$4:L$251,MATCH('Table 2.3b'!$A72&amp;'Table 2.3b'!$B72&amp;'Table 2.3b'!$C72,UtilityList!$A$4:$A$251&amp;UtilityList!$B$4:$B$251&amp;UtilityList!$C$4:$C$251,0)),INDEX(UtilityList!L$4:L$251,MATCH('Table 2.3b'!$A72&amp;'Table 2.3b'!$C72,UtilityList!$A$4:$A$251&amp;UtilityList!$C$4:$C$251,0)))</f>
        <v>NANA</v>
      </c>
      <c r="Q72" s="382" t="str">
        <f t="array" ref="Q72">IFERROR(INDEX(UtilityList!M$4:M$251,MATCH('Table 2.3b'!$A72&amp;'Table 2.3b'!$B72&amp;'Table 2.3b'!$C72,UtilityList!$A$4:$A$251&amp;UtilityList!$B$4:$B$251&amp;UtilityList!$C$4:$C$251,0)),INDEX(UtilityList!M$4:M$251,MATCH('Table 2.3b'!$A72&amp;'Table 2.3b'!$C72,UtilityList!$A$4:$A$251&amp;UtilityList!$C$4:$C$251,0)))</f>
        <v>AN</v>
      </c>
    </row>
    <row r="73" spans="1:17" customFormat="1" ht="30" x14ac:dyDescent="0.25">
      <c r="A73" s="653" t="s">
        <v>524</v>
      </c>
      <c r="B73" s="452" t="s">
        <v>94</v>
      </c>
      <c r="C73" s="654" t="s">
        <v>94</v>
      </c>
      <c r="D73" s="655">
        <v>2001.4739999999999</v>
      </c>
      <c r="E73" s="656">
        <v>0</v>
      </c>
      <c r="F73" s="656">
        <v>0</v>
      </c>
      <c r="G73" s="657">
        <v>0</v>
      </c>
      <c r="H73" s="657">
        <v>0</v>
      </c>
      <c r="I73" s="657">
        <v>153358</v>
      </c>
      <c r="J73" s="656">
        <v>0</v>
      </c>
      <c r="K73" s="656">
        <v>0</v>
      </c>
      <c r="L73" s="658" t="s">
        <v>356</v>
      </c>
      <c r="M73" s="659">
        <f t="array" ref="M73">INDEX(UtilityList!Q$4:Q$251,MATCH('Table 2.3b'!$A73&amp;'Table 2.3b'!$B73&amp;'Table 2.3b'!$C73,UtilityList!$A$4:$A$251&amp;UtilityList!$B$4:$B$251&amp;UtilityList!$C$4:$C$251,0))</f>
        <v>0</v>
      </c>
      <c r="N73" s="382" t="str">
        <f t="array" ref="N73">IFERROR(INDEX(UtilityList!J$4:J$251,MATCH('Table 2.3b'!$A73&amp;'Table 2.3b'!$B73&amp;'Table 2.3b'!$C73,UtilityList!$A$4:$A$251&amp;UtilityList!$B$4:$B$251&amp;UtilityList!$C$4:$C$251,0)),INDEX(UtilityList!J$4:J$251,MATCH('Table 2.3b'!$A73&amp;'Table 2.3b'!$C73,UtilityList!$A$4:$A$251&amp;UtilityList!$C$4:$C$251,0)))</f>
        <v>Northwest Arctic</v>
      </c>
      <c r="O73" s="382" t="str">
        <f t="array" ref="O73">IFERROR(INDEX(UtilityList!K$4:K$251,MATCH('Table 2.3b'!$A73&amp;'Table 2.3b'!$B73&amp;'Table 2.3b'!$C73,UtilityList!$A$4:$A$251&amp;UtilityList!$B$4:$B$251&amp;UtilityList!$C$4:$C$251,0)),INDEX(UtilityList!K$4:K$251,MATCH('Table 2.3b'!$A73&amp;'Table 2.3b'!$C73,UtilityList!$A$4:$A$251&amp;UtilityList!$C$4:$C$251,0)))</f>
        <v>Northwest Arctic</v>
      </c>
      <c r="P73" s="382" t="str">
        <f t="array" ref="P73">IFERROR(INDEX(UtilityList!L$4:L$251,MATCH('Table 2.3b'!$A73&amp;'Table 2.3b'!$B73&amp;'Table 2.3b'!$C73,UtilityList!$A$4:$A$251&amp;UtilityList!$B$4:$B$251&amp;UtilityList!$C$4:$C$251,0)),INDEX(UtilityList!L$4:L$251,MATCH('Table 2.3b'!$A73&amp;'Table 2.3b'!$C73,UtilityList!$A$4:$A$251&amp;UtilityList!$C$4:$C$251,0)))</f>
        <v>NANA</v>
      </c>
      <c r="Q73" s="382" t="str">
        <f t="array" ref="Q73">IFERROR(INDEX(UtilityList!M$4:M$251,MATCH('Table 2.3b'!$A73&amp;'Table 2.3b'!$B73&amp;'Table 2.3b'!$C73,UtilityList!$A$4:$A$251&amp;UtilityList!$B$4:$B$251&amp;UtilityList!$C$4:$C$251,0)),INDEX(UtilityList!M$4:M$251,MATCH('Table 2.3b'!$A73&amp;'Table 2.3b'!$C73,UtilityList!$A$4:$A$251&amp;UtilityList!$C$4:$C$251,0)))</f>
        <v>AN</v>
      </c>
    </row>
    <row r="74" spans="1:17" customFormat="1" ht="30" x14ac:dyDescent="0.25">
      <c r="A74" s="653" t="s">
        <v>524</v>
      </c>
      <c r="B74" s="452" t="s">
        <v>95</v>
      </c>
      <c r="C74" s="654" t="s">
        <v>95</v>
      </c>
      <c r="D74" s="655">
        <v>1110.2139999999999</v>
      </c>
      <c r="E74" s="656">
        <v>0</v>
      </c>
      <c r="F74" s="656">
        <v>0</v>
      </c>
      <c r="G74" s="657">
        <v>0</v>
      </c>
      <c r="H74" s="657">
        <v>0</v>
      </c>
      <c r="I74" s="657">
        <v>83771</v>
      </c>
      <c r="J74" s="656">
        <v>0</v>
      </c>
      <c r="K74" s="656">
        <v>0</v>
      </c>
      <c r="L74" s="658" t="s">
        <v>356</v>
      </c>
      <c r="M74" s="659">
        <f t="array" ref="M74">INDEX(UtilityList!Q$4:Q$251,MATCH('Table 2.3b'!$A74&amp;'Table 2.3b'!$B74&amp;'Table 2.3b'!$C74,UtilityList!$A$4:$A$251&amp;UtilityList!$B$4:$B$251&amp;UtilityList!$C$4:$C$251,0))</f>
        <v>0</v>
      </c>
      <c r="N74" s="382" t="str">
        <f t="array" ref="N74">IFERROR(INDEX(UtilityList!J$4:J$251,MATCH('Table 2.3b'!$A74&amp;'Table 2.3b'!$B74&amp;'Table 2.3b'!$C74,UtilityList!$A$4:$A$251&amp;UtilityList!$B$4:$B$251&amp;UtilityList!$C$4:$C$251,0)),INDEX(UtilityList!J$4:J$251,MATCH('Table 2.3b'!$A74&amp;'Table 2.3b'!$C74,UtilityList!$A$4:$A$251&amp;UtilityList!$C$4:$C$251,0)))</f>
        <v>Yukon-Koyukuk/Upper Tanana</v>
      </c>
      <c r="O74" s="382" t="str">
        <f t="array" ref="O74">IFERROR(INDEX(UtilityList!K$4:K$251,MATCH('Table 2.3b'!$A74&amp;'Table 2.3b'!$B74&amp;'Table 2.3b'!$C74,UtilityList!$A$4:$A$251&amp;UtilityList!$B$4:$B$251&amp;UtilityList!$C$4:$C$251,0)),INDEX(UtilityList!K$4:K$251,MATCH('Table 2.3b'!$A74&amp;'Table 2.3b'!$C74,UtilityList!$A$4:$A$251&amp;UtilityList!$C$4:$C$251,0)))</f>
        <v>Yukon-Koyukuk (CA)</v>
      </c>
      <c r="P74" s="382" t="str">
        <f t="array" ref="P74">IFERROR(INDEX(UtilityList!L$4:L$251,MATCH('Table 2.3b'!$A74&amp;'Table 2.3b'!$B74&amp;'Table 2.3b'!$C74,UtilityList!$A$4:$A$251&amp;UtilityList!$B$4:$B$251&amp;UtilityList!$C$4:$C$251,0)),INDEX(UtilityList!L$4:L$251,MATCH('Table 2.3b'!$A74&amp;'Table 2.3b'!$C74,UtilityList!$A$4:$A$251&amp;UtilityList!$C$4:$C$251,0)))</f>
        <v>Doyon</v>
      </c>
      <c r="Q74" s="382" t="str">
        <f t="array" ref="Q74">IFERROR(INDEX(UtilityList!M$4:M$251,MATCH('Table 2.3b'!$A74&amp;'Table 2.3b'!$B74&amp;'Table 2.3b'!$C74,UtilityList!$A$4:$A$251&amp;UtilityList!$B$4:$B$251&amp;UtilityList!$C$4:$C$251,0)),INDEX(UtilityList!M$4:M$251,MATCH('Table 2.3b'!$A74&amp;'Table 2.3b'!$C74,UtilityList!$A$4:$A$251&amp;UtilityList!$C$4:$C$251,0)))</f>
        <v>YU</v>
      </c>
    </row>
    <row r="75" spans="1:17" customFormat="1" ht="60" x14ac:dyDescent="0.25">
      <c r="A75" s="653" t="s">
        <v>524</v>
      </c>
      <c r="B75" s="452" t="s">
        <v>96</v>
      </c>
      <c r="C75" s="654" t="s">
        <v>96</v>
      </c>
      <c r="D75" s="655">
        <v>0</v>
      </c>
      <c r="E75" s="656">
        <v>0</v>
      </c>
      <c r="F75" s="656">
        <v>0</v>
      </c>
      <c r="G75" s="657">
        <v>0</v>
      </c>
      <c r="H75" s="657">
        <v>0</v>
      </c>
      <c r="I75" s="657">
        <v>0</v>
      </c>
      <c r="J75" s="656">
        <v>0</v>
      </c>
      <c r="K75" s="656">
        <v>0</v>
      </c>
      <c r="L75" s="658" t="s">
        <v>356</v>
      </c>
      <c r="M75" s="659" t="str">
        <f t="array" ref="M75">INDEX(UtilityList!Q$4:Q$251,MATCH('Table 2.3b'!$A75&amp;'Table 2.3b'!$B75&amp;'Table 2.3b'!$C75,UtilityList!$A$4:$A$251&amp;UtilityList!$B$4:$B$251&amp;UtilityList!$C$4:$C$251,0))</f>
        <v>Receives power from Kasigluk. Please refer to Kasigluk for fuel use and cost.</v>
      </c>
      <c r="N75" s="382" t="str">
        <f t="array" ref="N75">IFERROR(INDEX(UtilityList!J$4:J$251,MATCH('Table 2.3b'!$A75&amp;'Table 2.3b'!$B75&amp;'Table 2.3b'!$C75,UtilityList!$A$4:$A$251&amp;UtilityList!$B$4:$B$251&amp;UtilityList!$C$4:$C$251,0)),INDEX(UtilityList!J$4:J$251,MATCH('Table 2.3b'!$A75&amp;'Table 2.3b'!$C75,UtilityList!$A$4:$A$251&amp;UtilityList!$C$4:$C$251,0)))</f>
        <v>Lower Yukon-Kuskokwim</v>
      </c>
      <c r="O75" s="382" t="str">
        <f t="array" ref="O75">IFERROR(INDEX(UtilityList!K$4:K$251,MATCH('Table 2.3b'!$A75&amp;'Table 2.3b'!$B75&amp;'Table 2.3b'!$C75,UtilityList!$A$4:$A$251&amp;UtilityList!$B$4:$B$251&amp;UtilityList!$C$4:$C$251,0)),INDEX(UtilityList!K$4:K$251,MATCH('Table 2.3b'!$A75&amp;'Table 2.3b'!$C75,UtilityList!$A$4:$A$251&amp;UtilityList!$C$4:$C$251,0)))</f>
        <v>Bethel (CA)</v>
      </c>
      <c r="P75" s="382" t="str">
        <f t="array" ref="P75">IFERROR(INDEX(UtilityList!L$4:L$251,MATCH('Table 2.3b'!$A75&amp;'Table 2.3b'!$B75&amp;'Table 2.3b'!$C75,UtilityList!$A$4:$A$251&amp;UtilityList!$B$4:$B$251&amp;UtilityList!$C$4:$C$251,0)),INDEX(UtilityList!L$4:L$251,MATCH('Table 2.3b'!$A75&amp;'Table 2.3b'!$C75,UtilityList!$A$4:$A$251&amp;UtilityList!$C$4:$C$251,0)))</f>
        <v>Calista</v>
      </c>
      <c r="Q75" s="382" t="str">
        <f t="array" ref="Q75">IFERROR(INDEX(UtilityList!M$4:M$251,MATCH('Table 2.3b'!$A75&amp;'Table 2.3b'!$B75&amp;'Table 2.3b'!$C75,UtilityList!$A$4:$A$251&amp;UtilityList!$B$4:$B$251&amp;UtilityList!$C$4:$C$251,0)),INDEX(UtilityList!M$4:M$251,MATCH('Table 2.3b'!$A75&amp;'Table 2.3b'!$C75,UtilityList!$A$4:$A$251&amp;UtilityList!$C$4:$C$251,0)))</f>
        <v>SW</v>
      </c>
    </row>
    <row r="76" spans="1:17" customFormat="1" ht="30" x14ac:dyDescent="0.25">
      <c r="A76" s="653" t="s">
        <v>524</v>
      </c>
      <c r="B76" s="452" t="s">
        <v>97</v>
      </c>
      <c r="C76" s="654" t="s">
        <v>97</v>
      </c>
      <c r="D76" s="655">
        <v>788.01900000000001</v>
      </c>
      <c r="E76" s="656">
        <v>0</v>
      </c>
      <c r="F76" s="656">
        <v>0</v>
      </c>
      <c r="G76" s="657">
        <v>0</v>
      </c>
      <c r="H76" s="657">
        <v>0</v>
      </c>
      <c r="I76" s="657">
        <v>56390</v>
      </c>
      <c r="J76" s="656">
        <v>0</v>
      </c>
      <c r="K76" s="656">
        <v>0</v>
      </c>
      <c r="L76" s="658" t="s">
        <v>356</v>
      </c>
      <c r="M76" s="659">
        <f t="array" ref="M76">INDEX(UtilityList!Q$4:Q$251,MATCH('Table 2.3b'!$A76&amp;'Table 2.3b'!$B76&amp;'Table 2.3b'!$C76,UtilityList!$A$4:$A$251&amp;UtilityList!$B$4:$B$251&amp;UtilityList!$C$4:$C$251,0))</f>
        <v>0</v>
      </c>
      <c r="N76" s="382" t="str">
        <f t="array" ref="N76">IFERROR(INDEX(UtilityList!J$4:J$251,MATCH('Table 2.3b'!$A76&amp;'Table 2.3b'!$B76&amp;'Table 2.3b'!$C76,UtilityList!$A$4:$A$251&amp;UtilityList!$B$4:$B$251&amp;UtilityList!$C$4:$C$251,0)),INDEX(UtilityList!J$4:J$251,MATCH('Table 2.3b'!$A76&amp;'Table 2.3b'!$C76,UtilityList!$A$4:$A$251&amp;UtilityList!$C$4:$C$251,0)))</f>
        <v>Kodiak</v>
      </c>
      <c r="O76" s="382" t="str">
        <f t="array" ref="O76">IFERROR(INDEX(UtilityList!K$4:K$251,MATCH('Table 2.3b'!$A76&amp;'Table 2.3b'!$B76&amp;'Table 2.3b'!$C76,UtilityList!$A$4:$A$251&amp;UtilityList!$B$4:$B$251&amp;UtilityList!$C$4:$C$251,0)),INDEX(UtilityList!K$4:K$251,MATCH('Table 2.3b'!$A76&amp;'Table 2.3b'!$C76,UtilityList!$A$4:$A$251&amp;UtilityList!$C$4:$C$251,0)))</f>
        <v>Kodiak Island</v>
      </c>
      <c r="P76" s="382" t="str">
        <f t="array" ref="P76">IFERROR(INDEX(UtilityList!L$4:L$251,MATCH('Table 2.3b'!$A76&amp;'Table 2.3b'!$B76&amp;'Table 2.3b'!$C76,UtilityList!$A$4:$A$251&amp;UtilityList!$B$4:$B$251&amp;UtilityList!$C$4:$C$251,0)),INDEX(UtilityList!L$4:L$251,MATCH('Table 2.3b'!$A76&amp;'Table 2.3b'!$C76,UtilityList!$A$4:$A$251&amp;UtilityList!$C$4:$C$251,0)))</f>
        <v>Koniag</v>
      </c>
      <c r="Q76" s="382" t="str">
        <f t="array" ref="Q76">IFERROR(INDEX(UtilityList!M$4:M$251,MATCH('Table 2.3b'!$A76&amp;'Table 2.3b'!$B76&amp;'Table 2.3b'!$C76,UtilityList!$A$4:$A$251&amp;UtilityList!$B$4:$B$251&amp;UtilityList!$C$4:$C$251,0)),INDEX(UtilityList!M$4:M$251,MATCH('Table 2.3b'!$A76&amp;'Table 2.3b'!$C76,UtilityList!$A$4:$A$251&amp;UtilityList!$C$4:$C$251,0)))</f>
        <v>SC</v>
      </c>
    </row>
    <row r="77" spans="1:17" customFormat="1" ht="30" x14ac:dyDescent="0.25">
      <c r="A77" s="653" t="s">
        <v>524</v>
      </c>
      <c r="B77" s="452" t="s">
        <v>98</v>
      </c>
      <c r="C77" s="654" t="s">
        <v>98</v>
      </c>
      <c r="D77" s="655">
        <v>1750.671</v>
      </c>
      <c r="E77" s="656">
        <v>0</v>
      </c>
      <c r="F77" s="656">
        <v>0</v>
      </c>
      <c r="G77" s="657">
        <v>0</v>
      </c>
      <c r="H77" s="657">
        <v>0</v>
      </c>
      <c r="I77" s="657">
        <v>133531</v>
      </c>
      <c r="J77" s="656">
        <v>0</v>
      </c>
      <c r="K77" s="656">
        <v>0</v>
      </c>
      <c r="L77" s="658" t="s">
        <v>356</v>
      </c>
      <c r="M77" s="659">
        <f t="array" ref="M77">INDEX(UtilityList!Q$4:Q$251,MATCH('Table 2.3b'!$A77&amp;'Table 2.3b'!$B77&amp;'Table 2.3b'!$C77,UtilityList!$A$4:$A$251&amp;UtilityList!$B$4:$B$251&amp;UtilityList!$C$4:$C$251,0))</f>
        <v>0</v>
      </c>
      <c r="N77" s="382" t="str">
        <f t="array" ref="N77">IFERROR(INDEX(UtilityList!J$4:J$251,MATCH('Table 2.3b'!$A77&amp;'Table 2.3b'!$B77&amp;'Table 2.3b'!$C77,UtilityList!$A$4:$A$251&amp;UtilityList!$B$4:$B$251&amp;UtilityList!$C$4:$C$251,0)),INDEX(UtilityList!J$4:J$251,MATCH('Table 2.3b'!$A77&amp;'Table 2.3b'!$C77,UtilityList!$A$4:$A$251&amp;UtilityList!$C$4:$C$251,0)))</f>
        <v>Lower Yukon-Kuskokwim</v>
      </c>
      <c r="O77" s="382" t="str">
        <f t="array" ref="O77">IFERROR(INDEX(UtilityList!K$4:K$251,MATCH('Table 2.3b'!$A77&amp;'Table 2.3b'!$B77&amp;'Table 2.3b'!$C77,UtilityList!$A$4:$A$251&amp;UtilityList!$B$4:$B$251&amp;UtilityList!$C$4:$C$251,0)),INDEX(UtilityList!K$4:K$251,MATCH('Table 2.3b'!$A77&amp;'Table 2.3b'!$C77,UtilityList!$A$4:$A$251&amp;UtilityList!$C$4:$C$251,0)))</f>
        <v>Wade Hampton (CA)</v>
      </c>
      <c r="P77" s="382" t="str">
        <f t="array" ref="P77">IFERROR(INDEX(UtilityList!L$4:L$251,MATCH('Table 2.3b'!$A77&amp;'Table 2.3b'!$B77&amp;'Table 2.3b'!$C77,UtilityList!$A$4:$A$251&amp;UtilityList!$B$4:$B$251&amp;UtilityList!$C$4:$C$251,0)),INDEX(UtilityList!L$4:L$251,MATCH('Table 2.3b'!$A77&amp;'Table 2.3b'!$C77,UtilityList!$A$4:$A$251&amp;UtilityList!$C$4:$C$251,0)))</f>
        <v>Calista</v>
      </c>
      <c r="Q77" s="382" t="str">
        <f t="array" ref="Q77">IFERROR(INDEX(UtilityList!M$4:M$251,MATCH('Table 2.3b'!$A77&amp;'Table 2.3b'!$B77&amp;'Table 2.3b'!$C77,UtilityList!$A$4:$A$251&amp;UtilityList!$B$4:$B$251&amp;UtilityList!$C$4:$C$251,0)),INDEX(UtilityList!M$4:M$251,MATCH('Table 2.3b'!$A77&amp;'Table 2.3b'!$C77,UtilityList!$A$4:$A$251&amp;UtilityList!$C$4:$C$251,0)))</f>
        <v>YU</v>
      </c>
    </row>
    <row r="78" spans="1:17" customFormat="1" ht="60" x14ac:dyDescent="0.25">
      <c r="A78" s="653" t="s">
        <v>524</v>
      </c>
      <c r="B78" s="452" t="s">
        <v>538</v>
      </c>
      <c r="C78" s="654" t="s">
        <v>99</v>
      </c>
      <c r="D78" s="655">
        <v>0</v>
      </c>
      <c r="E78" s="656">
        <v>0</v>
      </c>
      <c r="F78" s="656">
        <v>0</v>
      </c>
      <c r="G78" s="657">
        <v>0</v>
      </c>
      <c r="H78" s="657">
        <v>0</v>
      </c>
      <c r="I78" s="657">
        <v>0</v>
      </c>
      <c r="J78" s="656">
        <v>0</v>
      </c>
      <c r="K78" s="656">
        <v>0</v>
      </c>
      <c r="L78" s="658" t="s">
        <v>356</v>
      </c>
      <c r="M78" s="659" t="str">
        <f t="array" ref="M78">INDEX(UtilityList!Q$4:Q$251,MATCH('Table 2.3b'!$A78&amp;'Table 2.3b'!$B78&amp;'Table 2.3b'!$C78,UtilityList!$A$4:$A$251&amp;UtilityList!$B$4:$B$251&amp;UtilityList!$C$4:$C$251,0))</f>
        <v>Receives power from Saint Mary's via intertie. For fuel use and cost, please refer to Saint Mary's.</v>
      </c>
      <c r="N78" s="382" t="str">
        <f t="array" ref="N78">IFERROR(INDEX(UtilityList!J$4:J$251,MATCH('Table 2.3b'!$A78&amp;'Table 2.3b'!$B78&amp;'Table 2.3b'!$C78,UtilityList!$A$4:$A$251&amp;UtilityList!$B$4:$B$251&amp;UtilityList!$C$4:$C$251,0)),INDEX(UtilityList!J$4:J$251,MATCH('Table 2.3b'!$A78&amp;'Table 2.3b'!$C78,UtilityList!$A$4:$A$251&amp;UtilityList!$C$4:$C$251,0)))</f>
        <v>Lower Yukon-Kuskokwim</v>
      </c>
      <c r="O78" s="382" t="str">
        <f t="array" ref="O78">IFERROR(INDEX(UtilityList!K$4:K$251,MATCH('Table 2.3b'!$A78&amp;'Table 2.3b'!$B78&amp;'Table 2.3b'!$C78,UtilityList!$A$4:$A$251&amp;UtilityList!$B$4:$B$251&amp;UtilityList!$C$4:$C$251,0)),INDEX(UtilityList!K$4:K$251,MATCH('Table 2.3b'!$A78&amp;'Table 2.3b'!$C78,UtilityList!$A$4:$A$251&amp;UtilityList!$C$4:$C$251,0)))</f>
        <v>Wade Hampton (CA)</v>
      </c>
      <c r="P78" s="382" t="str">
        <f t="array" ref="P78">IFERROR(INDEX(UtilityList!L$4:L$251,MATCH('Table 2.3b'!$A78&amp;'Table 2.3b'!$B78&amp;'Table 2.3b'!$C78,UtilityList!$A$4:$A$251&amp;UtilityList!$B$4:$B$251&amp;UtilityList!$C$4:$C$251,0)),INDEX(UtilityList!L$4:L$251,MATCH('Table 2.3b'!$A78&amp;'Table 2.3b'!$C78,UtilityList!$A$4:$A$251&amp;UtilityList!$C$4:$C$251,0)))</f>
        <v>Calista</v>
      </c>
      <c r="Q78" s="382" t="str">
        <f t="array" ref="Q78">IFERROR(INDEX(UtilityList!M$4:M$251,MATCH('Table 2.3b'!$A78&amp;'Table 2.3b'!$B78&amp;'Table 2.3b'!$C78,UtilityList!$A$4:$A$251&amp;UtilityList!$B$4:$B$251&amp;UtilityList!$C$4:$C$251,0)),INDEX(UtilityList!M$4:M$251,MATCH('Table 2.3b'!$A78&amp;'Table 2.3b'!$C78,UtilityList!$A$4:$A$251&amp;UtilityList!$C$4:$C$251,0)))</f>
        <v>YU</v>
      </c>
    </row>
    <row r="79" spans="1:17" s="8" customFormat="1" ht="30" x14ac:dyDescent="0.25">
      <c r="A79" s="653" t="s">
        <v>524</v>
      </c>
      <c r="B79" s="452" t="s">
        <v>100</v>
      </c>
      <c r="C79" s="654" t="s">
        <v>100</v>
      </c>
      <c r="D79" s="655">
        <v>1415.165</v>
      </c>
      <c r="E79" s="656">
        <v>0</v>
      </c>
      <c r="F79" s="656">
        <v>0</v>
      </c>
      <c r="G79" s="657">
        <v>0</v>
      </c>
      <c r="H79" s="657">
        <v>409.24</v>
      </c>
      <c r="I79" s="657">
        <v>113432</v>
      </c>
      <c r="J79" s="656">
        <v>0</v>
      </c>
      <c r="K79" s="656">
        <v>0</v>
      </c>
      <c r="L79" s="658" t="s">
        <v>356</v>
      </c>
      <c r="M79" s="659">
        <f t="array" ref="M79">INDEX(UtilityList!Q$4:Q$251,MATCH('Table 2.3b'!$A79&amp;'Table 2.3b'!$B79&amp;'Table 2.3b'!$C79,UtilityList!$A$4:$A$251&amp;UtilityList!$B$4:$B$251&amp;UtilityList!$C$4:$C$251,0))</f>
        <v>0</v>
      </c>
      <c r="N79" s="382" t="str">
        <f t="array" ref="N79">IFERROR(INDEX(UtilityList!J$4:J$251,MATCH('Table 2.3b'!$A79&amp;'Table 2.3b'!$B79&amp;'Table 2.3b'!$C79,UtilityList!$A$4:$A$251&amp;UtilityList!$B$4:$B$251&amp;UtilityList!$C$4:$C$251,0)),INDEX(UtilityList!J$4:J$251,MATCH('Table 2.3b'!$A79&amp;'Table 2.3b'!$C79,UtilityList!$A$4:$A$251&amp;UtilityList!$C$4:$C$251,0)))</f>
        <v>Lower Yukon-Kuskokwim</v>
      </c>
      <c r="O79" s="382" t="str">
        <f t="array" ref="O79">IFERROR(INDEX(UtilityList!K$4:K$251,MATCH('Table 2.3b'!$A79&amp;'Table 2.3b'!$B79&amp;'Table 2.3b'!$C79,UtilityList!$A$4:$A$251&amp;UtilityList!$B$4:$B$251&amp;UtilityList!$C$4:$C$251,0)),INDEX(UtilityList!K$4:K$251,MATCH('Table 2.3b'!$A79&amp;'Table 2.3b'!$C79,UtilityList!$A$4:$A$251&amp;UtilityList!$C$4:$C$251,0)))</f>
        <v>Bethel (CA)</v>
      </c>
      <c r="P79" s="382" t="str">
        <f t="array" ref="P79">IFERROR(INDEX(UtilityList!L$4:L$251,MATCH('Table 2.3b'!$A79&amp;'Table 2.3b'!$B79&amp;'Table 2.3b'!$C79,UtilityList!$A$4:$A$251&amp;UtilityList!$B$4:$B$251&amp;UtilityList!$C$4:$C$251,0)),INDEX(UtilityList!L$4:L$251,MATCH('Table 2.3b'!$A79&amp;'Table 2.3b'!$C79,UtilityList!$A$4:$A$251&amp;UtilityList!$C$4:$C$251,0)))</f>
        <v>Calista</v>
      </c>
      <c r="Q79" s="382" t="str">
        <f t="array" ref="Q79">IFERROR(INDEX(UtilityList!M$4:M$251,MATCH('Table 2.3b'!$A79&amp;'Table 2.3b'!$B79&amp;'Table 2.3b'!$C79,UtilityList!$A$4:$A$251&amp;UtilityList!$B$4:$B$251&amp;UtilityList!$C$4:$C$251,0)),INDEX(UtilityList!M$4:M$251,MATCH('Table 2.3b'!$A79&amp;'Table 2.3b'!$C79,UtilityList!$A$4:$A$251&amp;UtilityList!$C$4:$C$251,0)))</f>
        <v>SW</v>
      </c>
    </row>
    <row r="80" spans="1:17" s="8" customFormat="1" ht="30" x14ac:dyDescent="0.25">
      <c r="A80" s="653" t="s">
        <v>524</v>
      </c>
      <c r="B80" s="452" t="s">
        <v>101</v>
      </c>
      <c r="C80" s="654" t="s">
        <v>101</v>
      </c>
      <c r="D80" s="655">
        <v>1123.7860000000001</v>
      </c>
      <c r="E80" s="656">
        <v>0</v>
      </c>
      <c r="F80" s="656">
        <v>0</v>
      </c>
      <c r="G80" s="657">
        <v>0</v>
      </c>
      <c r="H80" s="657">
        <v>0</v>
      </c>
      <c r="I80" s="657">
        <v>80202</v>
      </c>
      <c r="J80" s="656">
        <v>0</v>
      </c>
      <c r="K80" s="656">
        <v>0</v>
      </c>
      <c r="L80" s="658" t="s">
        <v>356</v>
      </c>
      <c r="M80" s="659">
        <f t="array" ref="M80">INDEX(UtilityList!Q$4:Q$251,MATCH('Table 2.3b'!$A80&amp;'Table 2.3b'!$B80&amp;'Table 2.3b'!$C80,UtilityList!$A$4:$A$251&amp;UtilityList!$B$4:$B$251&amp;UtilityList!$C$4:$C$251,0))</f>
        <v>0</v>
      </c>
      <c r="N80" s="382" t="str">
        <f t="array" ref="N80">IFERROR(INDEX(UtilityList!J$4:J$251,MATCH('Table 2.3b'!$A80&amp;'Table 2.3b'!$B80&amp;'Table 2.3b'!$C80,UtilityList!$A$4:$A$251&amp;UtilityList!$B$4:$B$251&amp;UtilityList!$C$4:$C$251,0)),INDEX(UtilityList!J$4:J$251,MATCH('Table 2.3b'!$A80&amp;'Table 2.3b'!$C80,UtilityList!$A$4:$A$251&amp;UtilityList!$C$4:$C$251,0)))</f>
        <v>Lower Yukon-Kuskokwim</v>
      </c>
      <c r="O80" s="382" t="str">
        <f t="array" ref="O80">IFERROR(INDEX(UtilityList!K$4:K$251,MATCH('Table 2.3b'!$A80&amp;'Table 2.3b'!$B80&amp;'Table 2.3b'!$C80,UtilityList!$A$4:$A$251&amp;UtilityList!$B$4:$B$251&amp;UtilityList!$C$4:$C$251,0)),INDEX(UtilityList!K$4:K$251,MATCH('Table 2.3b'!$A80&amp;'Table 2.3b'!$C80,UtilityList!$A$4:$A$251&amp;UtilityList!$C$4:$C$251,0)))</f>
        <v>Wade Hampton (CA)</v>
      </c>
      <c r="P80" s="382" t="str">
        <f t="array" ref="P80">IFERROR(INDEX(UtilityList!L$4:L$251,MATCH('Table 2.3b'!$A80&amp;'Table 2.3b'!$B80&amp;'Table 2.3b'!$C80,UtilityList!$A$4:$A$251&amp;UtilityList!$B$4:$B$251&amp;UtilityList!$C$4:$C$251,0)),INDEX(UtilityList!L$4:L$251,MATCH('Table 2.3b'!$A80&amp;'Table 2.3b'!$C80,UtilityList!$A$4:$A$251&amp;UtilityList!$C$4:$C$251,0)))</f>
        <v>Calista</v>
      </c>
      <c r="Q80" s="382" t="str">
        <f t="array" ref="Q80">IFERROR(INDEX(UtilityList!M$4:M$251,MATCH('Table 2.3b'!$A80&amp;'Table 2.3b'!$B80&amp;'Table 2.3b'!$C80,UtilityList!$A$4:$A$251&amp;UtilityList!$B$4:$B$251&amp;UtilityList!$C$4:$C$251,0)),INDEX(UtilityList!M$4:M$251,MATCH('Table 2.3b'!$A80&amp;'Table 2.3b'!$C80,UtilityList!$A$4:$A$251&amp;UtilityList!$C$4:$C$251,0)))</f>
        <v>YU</v>
      </c>
    </row>
    <row r="81" spans="1:17" customFormat="1" ht="90" x14ac:dyDescent="0.25">
      <c r="A81" s="653" t="s">
        <v>524</v>
      </c>
      <c r="B81" s="452" t="s">
        <v>538</v>
      </c>
      <c r="C81" s="654" t="s">
        <v>993</v>
      </c>
      <c r="D81" s="655">
        <v>3172.4340000000002</v>
      </c>
      <c r="E81" s="656">
        <v>0</v>
      </c>
      <c r="F81" s="656">
        <v>0</v>
      </c>
      <c r="G81" s="657">
        <v>0</v>
      </c>
      <c r="H81" s="657">
        <v>0</v>
      </c>
      <c r="I81" s="657">
        <v>241899</v>
      </c>
      <c r="J81" s="656">
        <v>0</v>
      </c>
      <c r="K81" s="656">
        <v>0</v>
      </c>
      <c r="L81" s="658" t="s">
        <v>356</v>
      </c>
      <c r="M81" s="659" t="str">
        <f t="array" ref="M81">INDEX(UtilityList!Q$4:Q$251,MATCH('Table 2.3b'!$A81&amp;'Table 2.3b'!$B81&amp;'Table 2.3b'!$C81,UtilityList!$A$4:$A$251&amp;UtilityList!$B$4:$B$251&amp;UtilityList!$C$4:$C$251,0))</f>
        <v>Provides power to Andreafsky and Pitkas Point via intertie. Includes Andreafsky's information. Fuel use and cost also includes Pitkas Point.</v>
      </c>
      <c r="N81" s="382" t="str">
        <f t="array" ref="N81">IFERROR(INDEX(UtilityList!J$4:J$251,MATCH('Table 2.3b'!$A81&amp;'Table 2.3b'!$B81&amp;'Table 2.3b'!$C81,UtilityList!$A$4:$A$251&amp;UtilityList!$B$4:$B$251&amp;UtilityList!$C$4:$C$251,0)),INDEX(UtilityList!J$4:J$251,MATCH('Table 2.3b'!$A81&amp;'Table 2.3b'!$C81,UtilityList!$A$4:$A$251&amp;UtilityList!$C$4:$C$251,0)))</f>
        <v>Lower Yukon-Kuskokwim</v>
      </c>
      <c r="O81" s="382" t="str">
        <f t="array" ref="O81">IFERROR(INDEX(UtilityList!K$4:K$251,MATCH('Table 2.3b'!$A81&amp;'Table 2.3b'!$B81&amp;'Table 2.3b'!$C81,UtilityList!$A$4:$A$251&amp;UtilityList!$B$4:$B$251&amp;UtilityList!$C$4:$C$251,0)),INDEX(UtilityList!K$4:K$251,MATCH('Table 2.3b'!$A81&amp;'Table 2.3b'!$C81,UtilityList!$A$4:$A$251&amp;UtilityList!$C$4:$C$251,0)))</f>
        <v>Wade Hampton (CA)</v>
      </c>
      <c r="P81" s="382" t="str">
        <f t="array" ref="P81">IFERROR(INDEX(UtilityList!L$4:L$251,MATCH('Table 2.3b'!$A81&amp;'Table 2.3b'!$B81&amp;'Table 2.3b'!$C81,UtilityList!$A$4:$A$251&amp;UtilityList!$B$4:$B$251&amp;UtilityList!$C$4:$C$251,0)),INDEX(UtilityList!L$4:L$251,MATCH('Table 2.3b'!$A81&amp;'Table 2.3b'!$C81,UtilityList!$A$4:$A$251&amp;UtilityList!$C$4:$C$251,0)))</f>
        <v>Calista</v>
      </c>
      <c r="Q81" s="382" t="str">
        <f t="array" ref="Q81">IFERROR(INDEX(UtilityList!M$4:M$251,MATCH('Table 2.3b'!$A81&amp;'Table 2.3b'!$B81&amp;'Table 2.3b'!$C81,UtilityList!$A$4:$A$251&amp;UtilityList!$B$4:$B$251&amp;UtilityList!$C$4:$C$251,0)),INDEX(UtilityList!M$4:M$251,MATCH('Table 2.3b'!$A81&amp;'Table 2.3b'!$C81,UtilityList!$A$4:$A$251&amp;UtilityList!$C$4:$C$251,0)))</f>
        <v>YU</v>
      </c>
    </row>
    <row r="82" spans="1:17" customFormat="1" ht="30" x14ac:dyDescent="0.25">
      <c r="A82" s="653" t="s">
        <v>524</v>
      </c>
      <c r="B82" s="452" t="s">
        <v>102</v>
      </c>
      <c r="C82" s="654" t="s">
        <v>102</v>
      </c>
      <c r="D82" s="655">
        <v>1734.962</v>
      </c>
      <c r="E82" s="656">
        <v>0</v>
      </c>
      <c r="F82" s="656">
        <v>0</v>
      </c>
      <c r="G82" s="657">
        <v>0</v>
      </c>
      <c r="H82" s="657">
        <v>0</v>
      </c>
      <c r="I82" s="657">
        <v>126431</v>
      </c>
      <c r="J82" s="656">
        <v>0</v>
      </c>
      <c r="K82" s="656">
        <v>0</v>
      </c>
      <c r="L82" s="658" t="s">
        <v>356</v>
      </c>
      <c r="M82" s="659">
        <f t="array" ref="M82">INDEX(UtilityList!Q$4:Q$251,MATCH('Table 2.3b'!$A82&amp;'Table 2.3b'!$B82&amp;'Table 2.3b'!$C82,UtilityList!$A$4:$A$251&amp;UtilityList!$B$4:$B$251&amp;UtilityList!$C$4:$C$251,0))</f>
        <v>0</v>
      </c>
      <c r="N82" s="382" t="str">
        <f t="array" ref="N82">IFERROR(INDEX(UtilityList!J$4:J$251,MATCH('Table 2.3b'!$A82&amp;'Table 2.3b'!$B82&amp;'Table 2.3b'!$C82,UtilityList!$A$4:$A$251&amp;UtilityList!$B$4:$B$251&amp;UtilityList!$C$4:$C$251,0)),INDEX(UtilityList!J$4:J$251,MATCH('Table 2.3b'!$A82&amp;'Table 2.3b'!$C82,UtilityList!$A$4:$A$251&amp;UtilityList!$C$4:$C$251,0)))</f>
        <v>Bering Straits</v>
      </c>
      <c r="O82" s="382" t="str">
        <f t="array" ref="O82">IFERROR(INDEX(UtilityList!K$4:K$251,MATCH('Table 2.3b'!$A82&amp;'Table 2.3b'!$B82&amp;'Table 2.3b'!$C82,UtilityList!$A$4:$A$251&amp;UtilityList!$B$4:$B$251&amp;UtilityList!$C$4:$C$251,0)),INDEX(UtilityList!K$4:K$251,MATCH('Table 2.3b'!$A82&amp;'Table 2.3b'!$C82,UtilityList!$A$4:$A$251&amp;UtilityList!$C$4:$C$251,0)))</f>
        <v>Nome (CA)</v>
      </c>
      <c r="P82" s="382" t="str">
        <f t="array" ref="P82">IFERROR(INDEX(UtilityList!L$4:L$251,MATCH('Table 2.3b'!$A82&amp;'Table 2.3b'!$B82&amp;'Table 2.3b'!$C82,UtilityList!$A$4:$A$251&amp;UtilityList!$B$4:$B$251&amp;UtilityList!$C$4:$C$251,0)),INDEX(UtilityList!L$4:L$251,MATCH('Table 2.3b'!$A82&amp;'Table 2.3b'!$C82,UtilityList!$A$4:$A$251&amp;UtilityList!$C$4:$C$251,0)))</f>
        <v>Bering Straits</v>
      </c>
      <c r="Q82" s="382" t="str">
        <f t="array" ref="Q82">IFERROR(INDEX(UtilityList!M$4:M$251,MATCH('Table 2.3b'!$A82&amp;'Table 2.3b'!$B82&amp;'Table 2.3b'!$C82,UtilityList!$A$4:$A$251&amp;UtilityList!$B$4:$B$251&amp;UtilityList!$C$4:$C$251,0)),INDEX(UtilityList!M$4:M$251,MATCH('Table 2.3b'!$A82&amp;'Table 2.3b'!$C82,UtilityList!$A$4:$A$251&amp;UtilityList!$C$4:$C$251,0)))</f>
        <v>AN</v>
      </c>
    </row>
    <row r="83" spans="1:17" customFormat="1" ht="30" x14ac:dyDescent="0.25">
      <c r="A83" s="653" t="s">
        <v>524</v>
      </c>
      <c r="B83" s="452" t="s">
        <v>103</v>
      </c>
      <c r="C83" s="654" t="s">
        <v>103</v>
      </c>
      <c r="D83" s="655">
        <v>1753.6369999999999</v>
      </c>
      <c r="E83" s="656">
        <v>0</v>
      </c>
      <c r="F83" s="656">
        <v>0</v>
      </c>
      <c r="G83" s="657">
        <v>0</v>
      </c>
      <c r="H83" s="657">
        <v>359.92399999999998</v>
      </c>
      <c r="I83" s="657">
        <v>141602</v>
      </c>
      <c r="J83" s="656">
        <v>0</v>
      </c>
      <c r="K83" s="656">
        <v>0</v>
      </c>
      <c r="L83" s="658" t="s">
        <v>356</v>
      </c>
      <c r="M83" s="659">
        <f t="array" ref="M83">INDEX(UtilityList!Q$4:Q$251,MATCH('Table 2.3b'!$A83&amp;'Table 2.3b'!$B83&amp;'Table 2.3b'!$C83,UtilityList!$A$4:$A$251&amp;UtilityList!$B$4:$B$251&amp;UtilityList!$C$4:$C$251,0))</f>
        <v>0</v>
      </c>
      <c r="N83" s="382" t="str">
        <f t="array" ref="N83">IFERROR(INDEX(UtilityList!J$4:J$251,MATCH('Table 2.3b'!$A83&amp;'Table 2.3b'!$B83&amp;'Table 2.3b'!$C83,UtilityList!$A$4:$A$251&amp;UtilityList!$B$4:$B$251&amp;UtilityList!$C$4:$C$251,0)),INDEX(UtilityList!J$4:J$251,MATCH('Table 2.3b'!$A83&amp;'Table 2.3b'!$C83,UtilityList!$A$4:$A$251&amp;UtilityList!$C$4:$C$251,0)))</f>
        <v>Bering Straits</v>
      </c>
      <c r="O83" s="382" t="str">
        <f t="array" ref="O83">IFERROR(INDEX(UtilityList!K$4:K$251,MATCH('Table 2.3b'!$A83&amp;'Table 2.3b'!$B83&amp;'Table 2.3b'!$C83,UtilityList!$A$4:$A$251&amp;UtilityList!$B$4:$B$251&amp;UtilityList!$C$4:$C$251,0)),INDEX(UtilityList!K$4:K$251,MATCH('Table 2.3b'!$A83&amp;'Table 2.3b'!$C83,UtilityList!$A$4:$A$251&amp;UtilityList!$C$4:$C$251,0)))</f>
        <v>Nome (CA)</v>
      </c>
      <c r="P83" s="382" t="str">
        <f t="array" ref="P83">IFERROR(INDEX(UtilityList!L$4:L$251,MATCH('Table 2.3b'!$A83&amp;'Table 2.3b'!$B83&amp;'Table 2.3b'!$C83,UtilityList!$A$4:$A$251&amp;UtilityList!$B$4:$B$251&amp;UtilityList!$C$4:$C$251,0)),INDEX(UtilityList!L$4:L$251,MATCH('Table 2.3b'!$A83&amp;'Table 2.3b'!$C83,UtilityList!$A$4:$A$251&amp;UtilityList!$C$4:$C$251,0)))</f>
        <v>Bering Straits</v>
      </c>
      <c r="Q83" s="382" t="str">
        <f t="array" ref="Q83">IFERROR(INDEX(UtilityList!M$4:M$251,MATCH('Table 2.3b'!$A83&amp;'Table 2.3b'!$B83&amp;'Table 2.3b'!$C83,UtilityList!$A$4:$A$251&amp;UtilityList!$B$4:$B$251&amp;UtilityList!$C$4:$C$251,0)),INDEX(UtilityList!M$4:M$251,MATCH('Table 2.3b'!$A83&amp;'Table 2.3b'!$C83,UtilityList!$A$4:$A$251&amp;UtilityList!$C$4:$C$251,0)))</f>
        <v>AN</v>
      </c>
    </row>
    <row r="84" spans="1:17" customFormat="1" ht="30" x14ac:dyDescent="0.25">
      <c r="A84" s="653" t="s">
        <v>524</v>
      </c>
      <c r="B84" s="452" t="s">
        <v>104</v>
      </c>
      <c r="C84" s="654" t="s">
        <v>104</v>
      </c>
      <c r="D84" s="655">
        <v>1735.5519999999999</v>
      </c>
      <c r="E84" s="656">
        <v>0</v>
      </c>
      <c r="F84" s="656">
        <v>0</v>
      </c>
      <c r="G84" s="657">
        <v>0</v>
      </c>
      <c r="H84" s="657">
        <v>0</v>
      </c>
      <c r="I84" s="657">
        <v>132746</v>
      </c>
      <c r="J84" s="656">
        <v>0</v>
      </c>
      <c r="K84" s="656">
        <v>0</v>
      </c>
      <c r="L84" s="658" t="s">
        <v>356</v>
      </c>
      <c r="M84" s="659">
        <f t="array" ref="M84">INDEX(UtilityList!Q$4:Q$251,MATCH('Table 2.3b'!$A84&amp;'Table 2.3b'!$B84&amp;'Table 2.3b'!$C84,UtilityList!$A$4:$A$251&amp;UtilityList!$B$4:$B$251&amp;UtilityList!$C$4:$C$251,0))</f>
        <v>0</v>
      </c>
      <c r="N84" s="382" t="str">
        <f t="array" ref="N84">IFERROR(INDEX(UtilityList!J$4:J$251,MATCH('Table 2.3b'!$A84&amp;'Table 2.3b'!$B84&amp;'Table 2.3b'!$C84,UtilityList!$A$4:$A$251&amp;UtilityList!$B$4:$B$251&amp;UtilityList!$C$4:$C$251,0)),INDEX(UtilityList!J$4:J$251,MATCH('Table 2.3b'!$A84&amp;'Table 2.3b'!$C84,UtilityList!$A$4:$A$251&amp;UtilityList!$C$4:$C$251,0)))</f>
        <v>Lower Yukon-Kuskokwim</v>
      </c>
      <c r="O84" s="382" t="str">
        <f t="array" ref="O84">IFERROR(INDEX(UtilityList!K$4:K$251,MATCH('Table 2.3b'!$A84&amp;'Table 2.3b'!$B84&amp;'Table 2.3b'!$C84,UtilityList!$A$4:$A$251&amp;UtilityList!$B$4:$B$251&amp;UtilityList!$C$4:$C$251,0)),INDEX(UtilityList!K$4:K$251,MATCH('Table 2.3b'!$A84&amp;'Table 2.3b'!$C84,UtilityList!$A$4:$A$251&amp;UtilityList!$C$4:$C$251,0)))</f>
        <v>Wade Hampton (CA)</v>
      </c>
      <c r="P84" s="382" t="str">
        <f t="array" ref="P84">IFERROR(INDEX(UtilityList!L$4:L$251,MATCH('Table 2.3b'!$A84&amp;'Table 2.3b'!$B84&amp;'Table 2.3b'!$C84,UtilityList!$A$4:$A$251&amp;UtilityList!$B$4:$B$251&amp;UtilityList!$C$4:$C$251,0)),INDEX(UtilityList!L$4:L$251,MATCH('Table 2.3b'!$A84&amp;'Table 2.3b'!$C84,UtilityList!$A$4:$A$251&amp;UtilityList!$C$4:$C$251,0)))</f>
        <v>Calista</v>
      </c>
      <c r="Q84" s="382" t="str">
        <f t="array" ref="Q84">IFERROR(INDEX(UtilityList!M$4:M$251,MATCH('Table 2.3b'!$A84&amp;'Table 2.3b'!$B84&amp;'Table 2.3b'!$C84,UtilityList!$A$4:$A$251&amp;UtilityList!$B$4:$B$251&amp;UtilityList!$C$4:$C$251,0)),INDEX(UtilityList!M$4:M$251,MATCH('Table 2.3b'!$A84&amp;'Table 2.3b'!$C84,UtilityList!$A$4:$A$251&amp;UtilityList!$C$4:$C$251,0)))</f>
        <v>YU</v>
      </c>
    </row>
    <row r="85" spans="1:17" customFormat="1" ht="30" x14ac:dyDescent="0.25">
      <c r="A85" s="653" t="s">
        <v>524</v>
      </c>
      <c r="B85" s="452" t="s">
        <v>105</v>
      </c>
      <c r="C85" s="654" t="s">
        <v>105</v>
      </c>
      <c r="D85" s="655">
        <v>2745.7550000000001</v>
      </c>
      <c r="E85" s="656">
        <v>0</v>
      </c>
      <c r="F85" s="656">
        <v>0</v>
      </c>
      <c r="G85" s="657">
        <v>0</v>
      </c>
      <c r="H85" s="657">
        <v>107.907</v>
      </c>
      <c r="I85" s="657">
        <v>206729</v>
      </c>
      <c r="J85" s="656">
        <v>0</v>
      </c>
      <c r="K85" s="656">
        <v>0</v>
      </c>
      <c r="L85" s="658" t="s">
        <v>356</v>
      </c>
      <c r="M85" s="659">
        <f t="array" ref="M85">INDEX(UtilityList!Q$4:Q$251,MATCH('Table 2.3b'!$A85&amp;'Table 2.3b'!$B85&amp;'Table 2.3b'!$C85,UtilityList!$A$4:$A$251&amp;UtilityList!$B$4:$B$251&amp;UtilityList!$C$4:$C$251,0))</f>
        <v>0</v>
      </c>
      <c r="N85" s="382" t="str">
        <f t="array" ref="N85">IFERROR(INDEX(UtilityList!J$4:J$251,MATCH('Table 2.3b'!$A85&amp;'Table 2.3b'!$B85&amp;'Table 2.3b'!$C85,UtilityList!$A$4:$A$251&amp;UtilityList!$B$4:$B$251&amp;UtilityList!$C$4:$C$251,0)),INDEX(UtilityList!J$4:J$251,MATCH('Table 2.3b'!$A85&amp;'Table 2.3b'!$C85,UtilityList!$A$4:$A$251&amp;UtilityList!$C$4:$C$251,0)))</f>
        <v>Northwest Arctic</v>
      </c>
      <c r="O85" s="382" t="str">
        <f t="array" ref="O85">IFERROR(INDEX(UtilityList!K$4:K$251,MATCH('Table 2.3b'!$A85&amp;'Table 2.3b'!$B85&amp;'Table 2.3b'!$C85,UtilityList!$A$4:$A$251&amp;UtilityList!$B$4:$B$251&amp;UtilityList!$C$4:$C$251,0)),INDEX(UtilityList!K$4:K$251,MATCH('Table 2.3b'!$A85&amp;'Table 2.3b'!$C85,UtilityList!$A$4:$A$251&amp;UtilityList!$C$4:$C$251,0)))</f>
        <v>Northwest Arctic</v>
      </c>
      <c r="P85" s="382" t="str">
        <f t="array" ref="P85">IFERROR(INDEX(UtilityList!L$4:L$251,MATCH('Table 2.3b'!$A85&amp;'Table 2.3b'!$B85&amp;'Table 2.3b'!$C85,UtilityList!$A$4:$A$251&amp;UtilityList!$B$4:$B$251&amp;UtilityList!$C$4:$C$251,0)),INDEX(UtilityList!L$4:L$251,MATCH('Table 2.3b'!$A85&amp;'Table 2.3b'!$C85,UtilityList!$A$4:$A$251&amp;UtilityList!$C$4:$C$251,0)))</f>
        <v>NANA</v>
      </c>
      <c r="Q85" s="382" t="str">
        <f t="array" ref="Q85">IFERROR(INDEX(UtilityList!M$4:M$251,MATCH('Table 2.3b'!$A85&amp;'Table 2.3b'!$B85&amp;'Table 2.3b'!$C85,UtilityList!$A$4:$A$251&amp;UtilityList!$B$4:$B$251&amp;UtilityList!$C$4:$C$251,0)),INDEX(UtilityList!M$4:M$251,MATCH('Table 2.3b'!$A85&amp;'Table 2.3b'!$C85,UtilityList!$A$4:$A$251&amp;UtilityList!$C$4:$C$251,0)))</f>
        <v>AN</v>
      </c>
    </row>
    <row r="86" spans="1:17" customFormat="1" ht="30" x14ac:dyDescent="0.25">
      <c r="A86" s="653" t="s">
        <v>524</v>
      </c>
      <c r="B86" s="452" t="s">
        <v>106</v>
      </c>
      <c r="C86" s="654" t="s">
        <v>106</v>
      </c>
      <c r="D86" s="655">
        <v>369.01499999999999</v>
      </c>
      <c r="E86" s="656">
        <v>0</v>
      </c>
      <c r="F86" s="656">
        <v>0</v>
      </c>
      <c r="G86" s="657">
        <v>0</v>
      </c>
      <c r="H86" s="657">
        <v>0</v>
      </c>
      <c r="I86" s="657">
        <v>31328</v>
      </c>
      <c r="J86" s="656">
        <v>0</v>
      </c>
      <c r="K86" s="656">
        <v>0</v>
      </c>
      <c r="L86" s="658" t="s">
        <v>356</v>
      </c>
      <c r="M86" s="659">
        <f t="array" ref="M86">INDEX(UtilityList!Q$4:Q$251,MATCH('Table 2.3b'!$A86&amp;'Table 2.3b'!$B86&amp;'Table 2.3b'!$C86,UtilityList!$A$4:$A$251&amp;UtilityList!$B$4:$B$251&amp;UtilityList!$C$4:$C$251,0))</f>
        <v>0</v>
      </c>
      <c r="N86" s="382" t="str">
        <f t="array" ref="N86">IFERROR(INDEX(UtilityList!J$4:J$251,MATCH('Table 2.3b'!$A86&amp;'Table 2.3b'!$B86&amp;'Table 2.3b'!$C86,UtilityList!$A$4:$A$251&amp;UtilityList!$B$4:$B$251&amp;UtilityList!$C$4:$C$251,0)),INDEX(UtilityList!J$4:J$251,MATCH('Table 2.3b'!$A86&amp;'Table 2.3b'!$C86,UtilityList!$A$4:$A$251&amp;UtilityList!$C$4:$C$251,0)))</f>
        <v>Yukon-Koyukuk/Upper Tanana</v>
      </c>
      <c r="O86" s="382" t="str">
        <f t="array" ref="O86">IFERROR(INDEX(UtilityList!K$4:K$251,MATCH('Table 2.3b'!$A86&amp;'Table 2.3b'!$B86&amp;'Table 2.3b'!$C86,UtilityList!$A$4:$A$251&amp;UtilityList!$B$4:$B$251&amp;UtilityList!$C$4:$C$251,0)),INDEX(UtilityList!K$4:K$251,MATCH('Table 2.3b'!$A86&amp;'Table 2.3b'!$C86,UtilityList!$A$4:$A$251&amp;UtilityList!$C$4:$C$251,0)))</f>
        <v>Yukon-Koyukuk (CA)</v>
      </c>
      <c r="P86" s="382" t="str">
        <f t="array" ref="P86">IFERROR(INDEX(UtilityList!L$4:L$251,MATCH('Table 2.3b'!$A86&amp;'Table 2.3b'!$B86&amp;'Table 2.3b'!$C86,UtilityList!$A$4:$A$251&amp;UtilityList!$B$4:$B$251&amp;UtilityList!$C$4:$C$251,0)),INDEX(UtilityList!L$4:L$251,MATCH('Table 2.3b'!$A86&amp;'Table 2.3b'!$C86,UtilityList!$A$4:$A$251&amp;UtilityList!$C$4:$C$251,0)))</f>
        <v>Doyon</v>
      </c>
      <c r="Q86" s="382" t="str">
        <f t="array" ref="Q86">IFERROR(INDEX(UtilityList!M$4:M$251,MATCH('Table 2.3b'!$A86&amp;'Table 2.3b'!$B86&amp;'Table 2.3b'!$C86,UtilityList!$A$4:$A$251&amp;UtilityList!$B$4:$B$251&amp;UtilityList!$C$4:$C$251,0)),INDEX(UtilityList!M$4:M$251,MATCH('Table 2.3b'!$A86&amp;'Table 2.3b'!$C86,UtilityList!$A$4:$A$251&amp;UtilityList!$C$4:$C$251,0)))</f>
        <v>YU</v>
      </c>
    </row>
    <row r="87" spans="1:17" customFormat="1" ht="30" x14ac:dyDescent="0.25">
      <c r="A87" s="653" t="s">
        <v>524</v>
      </c>
      <c r="B87" s="452" t="s">
        <v>107</v>
      </c>
      <c r="C87" s="654" t="s">
        <v>107</v>
      </c>
      <c r="D87" s="655">
        <v>903.83900000000006</v>
      </c>
      <c r="E87" s="656">
        <v>0</v>
      </c>
      <c r="F87" s="656">
        <v>0</v>
      </c>
      <c r="G87" s="657">
        <v>0</v>
      </c>
      <c r="H87" s="657">
        <v>8.2000000000000003E-2</v>
      </c>
      <c r="I87" s="657">
        <v>70025</v>
      </c>
      <c r="J87" s="656">
        <v>0</v>
      </c>
      <c r="K87" s="656">
        <v>0</v>
      </c>
      <c r="L87" s="658" t="s">
        <v>356</v>
      </c>
      <c r="M87" s="659">
        <f t="array" ref="M87">INDEX(UtilityList!Q$4:Q$251,MATCH('Table 2.3b'!$A87&amp;'Table 2.3b'!$B87&amp;'Table 2.3b'!$C87,UtilityList!$A$4:$A$251&amp;UtilityList!$B$4:$B$251&amp;UtilityList!$C$4:$C$251,0))</f>
        <v>0</v>
      </c>
      <c r="N87" s="382" t="str">
        <f t="array" ref="N87">IFERROR(INDEX(UtilityList!J$4:J$251,MATCH('Table 2.3b'!$A87&amp;'Table 2.3b'!$B87&amp;'Table 2.3b'!$C87,UtilityList!$A$4:$A$251&amp;UtilityList!$B$4:$B$251&amp;UtilityList!$C$4:$C$251,0)),INDEX(UtilityList!J$4:J$251,MATCH('Table 2.3b'!$A87&amp;'Table 2.3b'!$C87,UtilityList!$A$4:$A$251&amp;UtilityList!$C$4:$C$251,0)))</f>
        <v>Bering Straits</v>
      </c>
      <c r="O87" s="382" t="str">
        <f t="array" ref="O87">IFERROR(INDEX(UtilityList!K$4:K$251,MATCH('Table 2.3b'!$A87&amp;'Table 2.3b'!$B87&amp;'Table 2.3b'!$C87,UtilityList!$A$4:$A$251&amp;UtilityList!$B$4:$B$251&amp;UtilityList!$C$4:$C$251,0)),INDEX(UtilityList!K$4:K$251,MATCH('Table 2.3b'!$A87&amp;'Table 2.3b'!$C87,UtilityList!$A$4:$A$251&amp;UtilityList!$C$4:$C$251,0)))</f>
        <v>Nome (CA)</v>
      </c>
      <c r="P87" s="382" t="str">
        <f t="array" ref="P87">IFERROR(INDEX(UtilityList!L$4:L$251,MATCH('Table 2.3b'!$A87&amp;'Table 2.3b'!$B87&amp;'Table 2.3b'!$C87,UtilityList!$A$4:$A$251&amp;UtilityList!$B$4:$B$251&amp;UtilityList!$C$4:$C$251,0)),INDEX(UtilityList!L$4:L$251,MATCH('Table 2.3b'!$A87&amp;'Table 2.3b'!$C87,UtilityList!$A$4:$A$251&amp;UtilityList!$C$4:$C$251,0)))</f>
        <v>Bering Straits</v>
      </c>
      <c r="Q87" s="382" t="str">
        <f t="array" ref="Q87">IFERROR(INDEX(UtilityList!M$4:M$251,MATCH('Table 2.3b'!$A87&amp;'Table 2.3b'!$B87&amp;'Table 2.3b'!$C87,UtilityList!$A$4:$A$251&amp;UtilityList!$B$4:$B$251&amp;UtilityList!$C$4:$C$251,0)),INDEX(UtilityList!M$4:M$251,MATCH('Table 2.3b'!$A87&amp;'Table 2.3b'!$C87,UtilityList!$A$4:$A$251&amp;UtilityList!$C$4:$C$251,0)))</f>
        <v>AN</v>
      </c>
    </row>
    <row r="88" spans="1:17" s="169" customFormat="1" ht="30" x14ac:dyDescent="0.25">
      <c r="A88" s="653" t="s">
        <v>524</v>
      </c>
      <c r="B88" s="452" t="s">
        <v>108</v>
      </c>
      <c r="C88" s="654" t="s">
        <v>108</v>
      </c>
      <c r="D88" s="655">
        <v>1593.91</v>
      </c>
      <c r="E88" s="656">
        <v>0</v>
      </c>
      <c r="F88" s="656">
        <v>0</v>
      </c>
      <c r="G88" s="657">
        <v>0</v>
      </c>
      <c r="H88" s="657">
        <v>0</v>
      </c>
      <c r="I88" s="657">
        <v>116751</v>
      </c>
      <c r="J88" s="656">
        <v>0</v>
      </c>
      <c r="K88" s="656">
        <v>0</v>
      </c>
      <c r="L88" s="658" t="s">
        <v>356</v>
      </c>
      <c r="M88" s="659">
        <f t="array" ref="M88">INDEX(UtilityList!Q$4:Q$251,MATCH('Table 2.3b'!$A88&amp;'Table 2.3b'!$B88&amp;'Table 2.3b'!$C88,UtilityList!$A$4:$A$251&amp;UtilityList!$B$4:$B$251&amp;UtilityList!$C$4:$C$251,0))</f>
        <v>0</v>
      </c>
      <c r="N88" s="382" t="str">
        <f t="array" ref="N88">IFERROR(INDEX(UtilityList!J$4:J$251,MATCH('Table 2.3b'!$A88&amp;'Table 2.3b'!$B88&amp;'Table 2.3b'!$C88,UtilityList!$A$4:$A$251&amp;UtilityList!$B$4:$B$251&amp;UtilityList!$C$4:$C$251,0)),INDEX(UtilityList!J$4:J$251,MATCH('Table 2.3b'!$A88&amp;'Table 2.3b'!$C88,UtilityList!$A$4:$A$251&amp;UtilityList!$C$4:$C$251,0)))</f>
        <v>Bering Straits</v>
      </c>
      <c r="O88" s="382" t="str">
        <f t="array" ref="O88">IFERROR(INDEX(UtilityList!K$4:K$251,MATCH('Table 2.3b'!$A88&amp;'Table 2.3b'!$B88&amp;'Table 2.3b'!$C88,UtilityList!$A$4:$A$251&amp;UtilityList!$B$4:$B$251&amp;UtilityList!$C$4:$C$251,0)),INDEX(UtilityList!K$4:K$251,MATCH('Table 2.3b'!$A88&amp;'Table 2.3b'!$C88,UtilityList!$A$4:$A$251&amp;UtilityList!$C$4:$C$251,0)))</f>
        <v>Nome (CA)</v>
      </c>
      <c r="P88" s="382" t="str">
        <f t="array" ref="P88">IFERROR(INDEX(UtilityList!L$4:L$251,MATCH('Table 2.3b'!$A88&amp;'Table 2.3b'!$B88&amp;'Table 2.3b'!$C88,UtilityList!$A$4:$A$251&amp;UtilityList!$B$4:$B$251&amp;UtilityList!$C$4:$C$251,0)),INDEX(UtilityList!L$4:L$251,MATCH('Table 2.3b'!$A88&amp;'Table 2.3b'!$C88,UtilityList!$A$4:$A$251&amp;UtilityList!$C$4:$C$251,0)))</f>
        <v>Bering Straits</v>
      </c>
      <c r="Q88" s="382" t="str">
        <f t="array" ref="Q88">IFERROR(INDEX(UtilityList!M$4:M$251,MATCH('Table 2.3b'!$A88&amp;'Table 2.3b'!$B88&amp;'Table 2.3b'!$C88,UtilityList!$A$4:$A$251&amp;UtilityList!$B$4:$B$251&amp;UtilityList!$C$4:$C$251,0)),INDEX(UtilityList!M$4:M$251,MATCH('Table 2.3b'!$A88&amp;'Table 2.3b'!$C88,UtilityList!$A$4:$A$251&amp;UtilityList!$C$4:$C$251,0)))</f>
        <v>AN</v>
      </c>
    </row>
    <row r="89" spans="1:17" s="169" customFormat="1" ht="60" x14ac:dyDescent="0.25">
      <c r="A89" s="653" t="s">
        <v>524</v>
      </c>
      <c r="B89" s="452" t="s">
        <v>109</v>
      </c>
      <c r="C89" s="654" t="s">
        <v>994</v>
      </c>
      <c r="D89" s="655">
        <v>1527.3440000000001</v>
      </c>
      <c r="E89" s="656">
        <v>0</v>
      </c>
      <c r="F89" s="656">
        <v>0</v>
      </c>
      <c r="G89" s="657">
        <v>0</v>
      </c>
      <c r="H89" s="657">
        <v>0</v>
      </c>
      <c r="I89" s="657">
        <v>113831</v>
      </c>
      <c r="J89" s="656">
        <v>0</v>
      </c>
      <c r="K89" s="656">
        <v>0</v>
      </c>
      <c r="L89" s="658" t="s">
        <v>356</v>
      </c>
      <c r="M89" s="659" t="str">
        <f t="array" ref="M89">INDEX(UtilityList!Q$4:Q$251,MATCH('Table 2.3b'!$A89&amp;'Table 2.3b'!$B89&amp;'Table 2.3b'!$C89,UtilityList!$A$4:$A$251&amp;UtilityList!$B$4:$B$251&amp;UtilityList!$C$4:$C$251,0))</f>
        <v>Provides power to Kobuk via intertie. Fuel use and cost includes Kobuk's information.</v>
      </c>
      <c r="N89" s="382" t="str">
        <f t="array" ref="N89">IFERROR(INDEX(UtilityList!J$4:J$251,MATCH('Table 2.3b'!$A89&amp;'Table 2.3b'!$B89&amp;'Table 2.3b'!$C89,UtilityList!$A$4:$A$251&amp;UtilityList!$B$4:$B$251&amp;UtilityList!$C$4:$C$251,0)),INDEX(UtilityList!J$4:J$251,MATCH('Table 2.3b'!$A89&amp;'Table 2.3b'!$C89,UtilityList!$A$4:$A$251&amp;UtilityList!$C$4:$C$251,0)))</f>
        <v>Northwest Arctic</v>
      </c>
      <c r="O89" s="382" t="str">
        <f t="array" ref="O89">IFERROR(INDEX(UtilityList!K$4:K$251,MATCH('Table 2.3b'!$A89&amp;'Table 2.3b'!$B89&amp;'Table 2.3b'!$C89,UtilityList!$A$4:$A$251&amp;UtilityList!$B$4:$B$251&amp;UtilityList!$C$4:$C$251,0)),INDEX(UtilityList!K$4:K$251,MATCH('Table 2.3b'!$A89&amp;'Table 2.3b'!$C89,UtilityList!$A$4:$A$251&amp;UtilityList!$C$4:$C$251,0)))</f>
        <v>Northwest Arctic</v>
      </c>
      <c r="P89" s="382" t="str">
        <f t="array" ref="P89">IFERROR(INDEX(UtilityList!L$4:L$251,MATCH('Table 2.3b'!$A89&amp;'Table 2.3b'!$B89&amp;'Table 2.3b'!$C89,UtilityList!$A$4:$A$251&amp;UtilityList!$B$4:$B$251&amp;UtilityList!$C$4:$C$251,0)),INDEX(UtilityList!L$4:L$251,MATCH('Table 2.3b'!$A89&amp;'Table 2.3b'!$C89,UtilityList!$A$4:$A$251&amp;UtilityList!$C$4:$C$251,0)))</f>
        <v>NANA</v>
      </c>
      <c r="Q89" s="382" t="str">
        <f t="array" ref="Q89">IFERROR(INDEX(UtilityList!M$4:M$251,MATCH('Table 2.3b'!$A89&amp;'Table 2.3b'!$B89&amp;'Table 2.3b'!$C89,UtilityList!$A$4:$A$251&amp;UtilityList!$B$4:$B$251&amp;UtilityList!$C$4:$C$251,0)),INDEX(UtilityList!M$4:M$251,MATCH('Table 2.3b'!$A89&amp;'Table 2.3b'!$C89,UtilityList!$A$4:$A$251&amp;UtilityList!$C$4:$C$251,0)))</f>
        <v>AN</v>
      </c>
    </row>
    <row r="90" spans="1:17" s="169" customFormat="1" ht="30" x14ac:dyDescent="0.25">
      <c r="A90" s="653" t="s">
        <v>524</v>
      </c>
      <c r="B90" s="452" t="s">
        <v>110</v>
      </c>
      <c r="C90" s="654" t="s">
        <v>110</v>
      </c>
      <c r="D90" s="655">
        <v>1354.2349999999999</v>
      </c>
      <c r="E90" s="656">
        <v>0</v>
      </c>
      <c r="F90" s="656">
        <v>0</v>
      </c>
      <c r="G90" s="657">
        <v>0</v>
      </c>
      <c r="H90" s="657">
        <v>0</v>
      </c>
      <c r="I90" s="657">
        <v>102124</v>
      </c>
      <c r="J90" s="656">
        <v>0</v>
      </c>
      <c r="K90" s="656">
        <v>0</v>
      </c>
      <c r="L90" s="658" t="s">
        <v>356</v>
      </c>
      <c r="M90" s="659">
        <f t="array" ref="M90">INDEX(UtilityList!Q$4:Q$251,MATCH('Table 2.3b'!$A90&amp;'Table 2.3b'!$B90&amp;'Table 2.3b'!$C90,UtilityList!$A$4:$A$251&amp;UtilityList!$B$4:$B$251&amp;UtilityList!$C$4:$C$251,0))</f>
        <v>0</v>
      </c>
      <c r="N90" s="382" t="str">
        <f t="array" ref="N90">IFERROR(INDEX(UtilityList!J$4:J$251,MATCH('Table 2.3b'!$A90&amp;'Table 2.3b'!$B90&amp;'Table 2.3b'!$C90,UtilityList!$A$4:$A$251&amp;UtilityList!$B$4:$B$251&amp;UtilityList!$C$4:$C$251,0)),INDEX(UtilityList!J$4:J$251,MATCH('Table 2.3b'!$A90&amp;'Table 2.3b'!$C90,UtilityList!$A$4:$A$251&amp;UtilityList!$C$4:$C$251,0)))</f>
        <v>Bering Straits</v>
      </c>
      <c r="O90" s="382" t="str">
        <f t="array" ref="O90">IFERROR(INDEX(UtilityList!K$4:K$251,MATCH('Table 2.3b'!$A90&amp;'Table 2.3b'!$B90&amp;'Table 2.3b'!$C90,UtilityList!$A$4:$A$251&amp;UtilityList!$B$4:$B$251&amp;UtilityList!$C$4:$C$251,0)),INDEX(UtilityList!K$4:K$251,MATCH('Table 2.3b'!$A90&amp;'Table 2.3b'!$C90,UtilityList!$A$4:$A$251&amp;UtilityList!$C$4:$C$251,0)))</f>
        <v>Nome (CA)</v>
      </c>
      <c r="P90" s="382" t="str">
        <f t="array" ref="P90">IFERROR(INDEX(UtilityList!L$4:L$251,MATCH('Table 2.3b'!$A90&amp;'Table 2.3b'!$B90&amp;'Table 2.3b'!$C90,UtilityList!$A$4:$A$251&amp;UtilityList!$B$4:$B$251&amp;UtilityList!$C$4:$C$251,0)),INDEX(UtilityList!L$4:L$251,MATCH('Table 2.3b'!$A90&amp;'Table 2.3b'!$C90,UtilityList!$A$4:$A$251&amp;UtilityList!$C$4:$C$251,0)))</f>
        <v>Bering Straits</v>
      </c>
      <c r="Q90" s="382" t="str">
        <f t="array" ref="Q90">IFERROR(INDEX(UtilityList!M$4:M$251,MATCH('Table 2.3b'!$A90&amp;'Table 2.3b'!$B90&amp;'Table 2.3b'!$C90,UtilityList!$A$4:$A$251&amp;UtilityList!$B$4:$B$251&amp;UtilityList!$C$4:$C$251,0)),INDEX(UtilityList!M$4:M$251,MATCH('Table 2.3b'!$A90&amp;'Table 2.3b'!$C90,UtilityList!$A$4:$A$251&amp;UtilityList!$C$4:$C$251,0)))</f>
        <v>AN</v>
      </c>
    </row>
    <row r="91" spans="1:17" s="169" customFormat="1" ht="30" x14ac:dyDescent="0.25">
      <c r="A91" s="653" t="s">
        <v>524</v>
      </c>
      <c r="B91" s="452" t="s">
        <v>111</v>
      </c>
      <c r="C91" s="654" t="s">
        <v>111</v>
      </c>
      <c r="D91" s="655">
        <v>837.98900000000003</v>
      </c>
      <c r="E91" s="656">
        <v>0</v>
      </c>
      <c r="F91" s="656">
        <v>0</v>
      </c>
      <c r="G91" s="657">
        <v>0</v>
      </c>
      <c r="H91" s="657">
        <v>0</v>
      </c>
      <c r="I91" s="657">
        <v>72035</v>
      </c>
      <c r="J91" s="656">
        <v>0</v>
      </c>
      <c r="K91" s="656">
        <v>0</v>
      </c>
      <c r="L91" s="658" t="s">
        <v>356</v>
      </c>
      <c r="M91" s="659">
        <f t="array" ref="M91">INDEX(UtilityList!Q$4:Q$251,MATCH('Table 2.3b'!$A91&amp;'Table 2.3b'!$B91&amp;'Table 2.3b'!$C91,UtilityList!$A$4:$A$251&amp;UtilityList!$B$4:$B$251&amp;UtilityList!$C$4:$C$251,0))</f>
        <v>0</v>
      </c>
      <c r="N91" s="382" t="str">
        <f t="array" ref="N91">IFERROR(INDEX(UtilityList!J$4:J$251,MATCH('Table 2.3b'!$A91&amp;'Table 2.3b'!$B91&amp;'Table 2.3b'!$C91,UtilityList!$A$4:$A$251&amp;UtilityList!$B$4:$B$251&amp;UtilityList!$C$4:$C$251,0)),INDEX(UtilityList!J$4:J$251,MATCH('Table 2.3b'!$A91&amp;'Table 2.3b'!$C91,UtilityList!$A$4:$A$251&amp;UtilityList!$C$4:$C$251,0)))</f>
        <v>Bering Straits</v>
      </c>
      <c r="O91" s="382" t="str">
        <f t="array" ref="O91">IFERROR(INDEX(UtilityList!K$4:K$251,MATCH('Table 2.3b'!$A91&amp;'Table 2.3b'!$B91&amp;'Table 2.3b'!$C91,UtilityList!$A$4:$A$251&amp;UtilityList!$B$4:$B$251&amp;UtilityList!$C$4:$C$251,0)),INDEX(UtilityList!K$4:K$251,MATCH('Table 2.3b'!$A91&amp;'Table 2.3b'!$C91,UtilityList!$A$4:$A$251&amp;UtilityList!$C$4:$C$251,0)))</f>
        <v>Nome (CA)</v>
      </c>
      <c r="P91" s="382" t="str">
        <f t="array" ref="P91">IFERROR(INDEX(UtilityList!L$4:L$251,MATCH('Table 2.3b'!$A91&amp;'Table 2.3b'!$B91&amp;'Table 2.3b'!$C91,UtilityList!$A$4:$A$251&amp;UtilityList!$B$4:$B$251&amp;UtilityList!$C$4:$C$251,0)),INDEX(UtilityList!L$4:L$251,MATCH('Table 2.3b'!$A91&amp;'Table 2.3b'!$C91,UtilityList!$A$4:$A$251&amp;UtilityList!$C$4:$C$251,0)))</f>
        <v>Bering Straits</v>
      </c>
      <c r="Q91" s="382" t="str">
        <f t="array" ref="Q91">IFERROR(INDEX(UtilityList!M$4:M$251,MATCH('Table 2.3b'!$A91&amp;'Table 2.3b'!$B91&amp;'Table 2.3b'!$C91,UtilityList!$A$4:$A$251&amp;UtilityList!$B$4:$B$251&amp;UtilityList!$C$4:$C$251,0)),INDEX(UtilityList!M$4:M$251,MATCH('Table 2.3b'!$A91&amp;'Table 2.3b'!$C91,UtilityList!$A$4:$A$251&amp;UtilityList!$C$4:$C$251,0)))</f>
        <v>AN</v>
      </c>
    </row>
    <row r="92" spans="1:17" s="169" customFormat="1" ht="30" x14ac:dyDescent="0.25">
      <c r="A92" s="653" t="s">
        <v>524</v>
      </c>
      <c r="B92" s="452" t="s">
        <v>112</v>
      </c>
      <c r="C92" s="654" t="s">
        <v>112</v>
      </c>
      <c r="D92" s="655">
        <v>3044.7559999999999</v>
      </c>
      <c r="E92" s="656">
        <v>0</v>
      </c>
      <c r="F92" s="656">
        <v>0</v>
      </c>
      <c r="G92" s="657">
        <v>0</v>
      </c>
      <c r="H92" s="657">
        <v>0</v>
      </c>
      <c r="I92" s="657">
        <v>225519</v>
      </c>
      <c r="J92" s="656">
        <v>0</v>
      </c>
      <c r="K92" s="656">
        <v>0</v>
      </c>
      <c r="L92" s="658" t="s">
        <v>356</v>
      </c>
      <c r="M92" s="659">
        <f t="array" ref="M92">INDEX(UtilityList!Q$4:Q$251,MATCH('Table 2.3b'!$A92&amp;'Table 2.3b'!$B92&amp;'Table 2.3b'!$C92,UtilityList!$A$4:$A$251&amp;UtilityList!$B$4:$B$251&amp;UtilityList!$C$4:$C$251,0))</f>
        <v>0</v>
      </c>
      <c r="N92" s="382" t="str">
        <f t="array" ref="N92">IFERROR(INDEX(UtilityList!J$4:J$251,MATCH('Table 2.3b'!$A92&amp;'Table 2.3b'!$B92&amp;'Table 2.3b'!$C92,UtilityList!$A$4:$A$251&amp;UtilityList!$B$4:$B$251&amp;UtilityList!$C$4:$C$251,0)),INDEX(UtilityList!J$4:J$251,MATCH('Table 2.3b'!$A92&amp;'Table 2.3b'!$C92,UtilityList!$A$4:$A$251&amp;UtilityList!$C$4:$C$251,0)))</f>
        <v>Bristol Bay</v>
      </c>
      <c r="O92" s="382" t="str">
        <f t="array" ref="O92">IFERROR(INDEX(UtilityList!K$4:K$251,MATCH('Table 2.3b'!$A92&amp;'Table 2.3b'!$B92&amp;'Table 2.3b'!$C92,UtilityList!$A$4:$A$251&amp;UtilityList!$B$4:$B$251&amp;UtilityList!$C$4:$C$251,0)),INDEX(UtilityList!K$4:K$251,MATCH('Table 2.3b'!$A92&amp;'Table 2.3b'!$C92,UtilityList!$A$4:$A$251&amp;UtilityList!$C$4:$C$251,0)))</f>
        <v>Dillingham (CA)</v>
      </c>
      <c r="P92" s="382" t="str">
        <f t="array" ref="P92">IFERROR(INDEX(UtilityList!L$4:L$251,MATCH('Table 2.3b'!$A92&amp;'Table 2.3b'!$B92&amp;'Table 2.3b'!$C92,UtilityList!$A$4:$A$251&amp;UtilityList!$B$4:$B$251&amp;UtilityList!$C$4:$C$251,0)),INDEX(UtilityList!L$4:L$251,MATCH('Table 2.3b'!$A92&amp;'Table 2.3b'!$C92,UtilityList!$A$4:$A$251&amp;UtilityList!$C$4:$C$251,0)))</f>
        <v>Bristol Bay</v>
      </c>
      <c r="Q92" s="382" t="str">
        <f t="array" ref="Q92">IFERROR(INDEX(UtilityList!M$4:M$251,MATCH('Table 2.3b'!$A92&amp;'Table 2.3b'!$B92&amp;'Table 2.3b'!$C92,UtilityList!$A$4:$A$251&amp;UtilityList!$B$4:$B$251&amp;UtilityList!$C$4:$C$251,0)),INDEX(UtilityList!M$4:M$251,MATCH('Table 2.3b'!$A92&amp;'Table 2.3b'!$C92,UtilityList!$A$4:$A$251&amp;UtilityList!$C$4:$C$251,0)))</f>
        <v>SW</v>
      </c>
    </row>
    <row r="93" spans="1:17" s="169" customFormat="1" ht="75" x14ac:dyDescent="0.25">
      <c r="A93" s="653" t="s">
        <v>524</v>
      </c>
      <c r="B93" s="452" t="s">
        <v>113</v>
      </c>
      <c r="C93" s="654" t="s">
        <v>996</v>
      </c>
      <c r="D93" s="655">
        <v>2592.1080000000002</v>
      </c>
      <c r="E93" s="656">
        <v>0</v>
      </c>
      <c r="F93" s="656">
        <v>0</v>
      </c>
      <c r="G93" s="657">
        <v>0</v>
      </c>
      <c r="H93" s="657">
        <v>559.97299999999996</v>
      </c>
      <c r="I93" s="657">
        <v>200398</v>
      </c>
      <c r="J93" s="656">
        <v>0</v>
      </c>
      <c r="K93" s="656">
        <v>0</v>
      </c>
      <c r="L93" s="658" t="s">
        <v>356</v>
      </c>
      <c r="M93" s="659" t="str">
        <f t="array" ref="M93">INDEX(UtilityList!Q$4:Q$251,MATCH('Table 2.3b'!$A93&amp;'Table 2.3b'!$B93&amp;'Table 2.3b'!$C93,UtilityList!$A$4:$A$251&amp;UtilityList!$B$4:$B$251&amp;UtilityList!$C$4:$C$251,0))</f>
        <v>Provides power to Nightmute and Tununak via intertie. Fuel use and cost includes Nightmute's and Tununak's information.</v>
      </c>
      <c r="N93" s="382" t="str">
        <f t="array" ref="N93">IFERROR(INDEX(UtilityList!J$4:J$251,MATCH('Table 2.3b'!$A93&amp;'Table 2.3b'!$B93&amp;'Table 2.3b'!$C93,UtilityList!$A$4:$A$251&amp;UtilityList!$B$4:$B$251&amp;UtilityList!$C$4:$C$251,0)),INDEX(UtilityList!J$4:J$251,MATCH('Table 2.3b'!$A93&amp;'Table 2.3b'!$C93,UtilityList!$A$4:$A$251&amp;UtilityList!$C$4:$C$251,0)))</f>
        <v>Lower Yukon-Kuskokwim</v>
      </c>
      <c r="O93" s="382" t="str">
        <f t="array" ref="O93">IFERROR(INDEX(UtilityList!K$4:K$251,MATCH('Table 2.3b'!$A93&amp;'Table 2.3b'!$B93&amp;'Table 2.3b'!$C93,UtilityList!$A$4:$A$251&amp;UtilityList!$B$4:$B$251&amp;UtilityList!$C$4:$C$251,0)),INDEX(UtilityList!K$4:K$251,MATCH('Table 2.3b'!$A93&amp;'Table 2.3b'!$C93,UtilityList!$A$4:$A$251&amp;UtilityList!$C$4:$C$251,0)))</f>
        <v>Bethel (CA)</v>
      </c>
      <c r="P93" s="382" t="str">
        <f t="array" ref="P93">IFERROR(INDEX(UtilityList!L$4:L$251,MATCH('Table 2.3b'!$A93&amp;'Table 2.3b'!$B93&amp;'Table 2.3b'!$C93,UtilityList!$A$4:$A$251&amp;UtilityList!$B$4:$B$251&amp;UtilityList!$C$4:$C$251,0)),INDEX(UtilityList!L$4:L$251,MATCH('Table 2.3b'!$A93&amp;'Table 2.3b'!$C93,UtilityList!$A$4:$A$251&amp;UtilityList!$C$4:$C$251,0)))</f>
        <v>Calista</v>
      </c>
      <c r="Q93" s="382" t="str">
        <f t="array" ref="Q93">IFERROR(INDEX(UtilityList!M$4:M$251,MATCH('Table 2.3b'!$A93&amp;'Table 2.3b'!$B93&amp;'Table 2.3b'!$C93,UtilityList!$A$4:$A$251&amp;UtilityList!$B$4:$B$251&amp;UtilityList!$C$4:$C$251,0)),INDEX(UtilityList!M$4:M$251,MATCH('Table 2.3b'!$A93&amp;'Table 2.3b'!$C93,UtilityList!$A$4:$A$251&amp;UtilityList!$C$4:$C$251,0)))</f>
        <v>SW</v>
      </c>
    </row>
    <row r="94" spans="1:17" s="169" customFormat="1" ht="60" x14ac:dyDescent="0.25">
      <c r="A94" s="653" t="s">
        <v>524</v>
      </c>
      <c r="B94" s="452" t="s">
        <v>114</v>
      </c>
      <c r="C94" s="654" t="s">
        <v>114</v>
      </c>
      <c r="D94" s="655">
        <v>0</v>
      </c>
      <c r="E94" s="656">
        <v>0</v>
      </c>
      <c r="F94" s="656">
        <v>0</v>
      </c>
      <c r="G94" s="657">
        <v>0</v>
      </c>
      <c r="H94" s="657">
        <v>0</v>
      </c>
      <c r="I94" s="657">
        <v>0</v>
      </c>
      <c r="J94" s="656">
        <v>0</v>
      </c>
      <c r="K94" s="656">
        <v>0</v>
      </c>
      <c r="L94" s="658" t="s">
        <v>356</v>
      </c>
      <c r="M94" s="659" t="str">
        <f t="array" ref="M94">INDEX(UtilityList!Q$4:Q$251,MATCH('Table 2.3b'!$A94&amp;'Table 2.3b'!$B94&amp;'Table 2.3b'!$C94,UtilityList!$A$4:$A$251&amp;UtilityList!$B$4:$B$251&amp;UtilityList!$C$4:$C$251,0))</f>
        <v>Receives power from Toksook Bay via intertie. For fuel use and cost, please refer to Toksook Bay.</v>
      </c>
      <c r="N94" s="382" t="str">
        <f t="array" ref="N94">IFERROR(INDEX(UtilityList!J$4:J$251,MATCH('Table 2.3b'!$A94&amp;'Table 2.3b'!$B94&amp;'Table 2.3b'!$C94,UtilityList!$A$4:$A$251&amp;UtilityList!$B$4:$B$251&amp;UtilityList!$C$4:$C$251,0)),INDEX(UtilityList!J$4:J$251,MATCH('Table 2.3b'!$A94&amp;'Table 2.3b'!$C94,UtilityList!$A$4:$A$251&amp;UtilityList!$C$4:$C$251,0)))</f>
        <v>Lower Yukon-Kuskokwim</v>
      </c>
      <c r="O94" s="382" t="str">
        <f t="array" ref="O94">IFERROR(INDEX(UtilityList!K$4:K$251,MATCH('Table 2.3b'!$A94&amp;'Table 2.3b'!$B94&amp;'Table 2.3b'!$C94,UtilityList!$A$4:$A$251&amp;UtilityList!$B$4:$B$251&amp;UtilityList!$C$4:$C$251,0)),INDEX(UtilityList!K$4:K$251,MATCH('Table 2.3b'!$A94&amp;'Table 2.3b'!$C94,UtilityList!$A$4:$A$251&amp;UtilityList!$C$4:$C$251,0)))</f>
        <v>Bethel (CA)</v>
      </c>
      <c r="P94" s="382" t="str">
        <f t="array" ref="P94">IFERROR(INDEX(UtilityList!L$4:L$251,MATCH('Table 2.3b'!$A94&amp;'Table 2.3b'!$B94&amp;'Table 2.3b'!$C94,UtilityList!$A$4:$A$251&amp;UtilityList!$B$4:$B$251&amp;UtilityList!$C$4:$C$251,0)),INDEX(UtilityList!L$4:L$251,MATCH('Table 2.3b'!$A94&amp;'Table 2.3b'!$C94,UtilityList!$A$4:$A$251&amp;UtilityList!$C$4:$C$251,0)))</f>
        <v>Calista</v>
      </c>
      <c r="Q94" s="382" t="str">
        <f t="array" ref="Q94">IFERROR(INDEX(UtilityList!M$4:M$251,MATCH('Table 2.3b'!$A94&amp;'Table 2.3b'!$B94&amp;'Table 2.3b'!$C94,UtilityList!$A$4:$A$251&amp;UtilityList!$B$4:$B$251&amp;UtilityList!$C$4:$C$251,0)),INDEX(UtilityList!M$4:M$251,MATCH('Table 2.3b'!$A94&amp;'Table 2.3b'!$C94,UtilityList!$A$4:$A$251&amp;UtilityList!$C$4:$C$251,0)))</f>
        <v>SW</v>
      </c>
    </row>
    <row r="95" spans="1:17" s="169" customFormat="1" ht="30" x14ac:dyDescent="0.25">
      <c r="A95" s="653" t="s">
        <v>524</v>
      </c>
      <c r="B95" s="452" t="s">
        <v>116</v>
      </c>
      <c r="C95" s="654" t="s">
        <v>116</v>
      </c>
      <c r="D95" s="655">
        <v>582.09500000000003</v>
      </c>
      <c r="E95" s="656">
        <v>0</v>
      </c>
      <c r="F95" s="656">
        <v>0</v>
      </c>
      <c r="G95" s="657">
        <v>0</v>
      </c>
      <c r="H95" s="657">
        <v>0</v>
      </c>
      <c r="I95" s="657">
        <v>47325</v>
      </c>
      <c r="J95" s="656">
        <v>0</v>
      </c>
      <c r="K95" s="656">
        <v>0</v>
      </c>
      <c r="L95" s="658" t="s">
        <v>356</v>
      </c>
      <c r="M95" s="659">
        <f t="array" ref="M95">INDEX(UtilityList!Q$4:Q$251,MATCH('Table 2.3b'!$A95&amp;'Table 2.3b'!$B95&amp;'Table 2.3b'!$C95,UtilityList!$A$4:$A$251&amp;UtilityList!$B$4:$B$251&amp;UtilityList!$C$4:$C$251,0))</f>
        <v>0</v>
      </c>
      <c r="N95" s="382" t="str">
        <f t="array" ref="N95">IFERROR(INDEX(UtilityList!J$4:J$251,MATCH('Table 2.3b'!$A95&amp;'Table 2.3b'!$B95&amp;'Table 2.3b'!$C95,UtilityList!$A$4:$A$251&amp;UtilityList!$B$4:$B$251&amp;UtilityList!$C$4:$C$251,0)),INDEX(UtilityList!J$4:J$251,MATCH('Table 2.3b'!$A95&amp;'Table 2.3b'!$C95,UtilityList!$A$4:$A$251&amp;UtilityList!$C$4:$C$251,0)))</f>
        <v>Bering Straits</v>
      </c>
      <c r="O95" s="382" t="str">
        <f t="array" ref="O95">IFERROR(INDEX(UtilityList!K$4:K$251,MATCH('Table 2.3b'!$A95&amp;'Table 2.3b'!$B95&amp;'Table 2.3b'!$C95,UtilityList!$A$4:$A$251&amp;UtilityList!$B$4:$B$251&amp;UtilityList!$C$4:$C$251,0)),INDEX(UtilityList!K$4:K$251,MATCH('Table 2.3b'!$A95&amp;'Table 2.3b'!$C95,UtilityList!$A$4:$A$251&amp;UtilityList!$C$4:$C$251,0)))</f>
        <v>Nome (CA)</v>
      </c>
      <c r="P95" s="382" t="str">
        <f t="array" ref="P95">IFERROR(INDEX(UtilityList!L$4:L$251,MATCH('Table 2.3b'!$A95&amp;'Table 2.3b'!$B95&amp;'Table 2.3b'!$C95,UtilityList!$A$4:$A$251&amp;UtilityList!$B$4:$B$251&amp;UtilityList!$C$4:$C$251,0)),INDEX(UtilityList!L$4:L$251,MATCH('Table 2.3b'!$A95&amp;'Table 2.3b'!$C95,UtilityList!$A$4:$A$251&amp;UtilityList!$C$4:$C$251,0)))</f>
        <v>Bering Straits</v>
      </c>
      <c r="Q95" s="382" t="str">
        <f t="array" ref="Q95">IFERROR(INDEX(UtilityList!M$4:M$251,MATCH('Table 2.3b'!$A95&amp;'Table 2.3b'!$B95&amp;'Table 2.3b'!$C95,UtilityList!$A$4:$A$251&amp;UtilityList!$B$4:$B$251&amp;UtilityList!$C$4:$C$251,0)),INDEX(UtilityList!M$4:M$251,MATCH('Table 2.3b'!$A95&amp;'Table 2.3b'!$C95,UtilityList!$A$4:$A$251&amp;UtilityList!$C$4:$C$251,0)))</f>
        <v>AN</v>
      </c>
    </row>
    <row r="96" spans="1:17" s="169" customFormat="1" ht="30" x14ac:dyDescent="0.25">
      <c r="A96" s="360" t="s">
        <v>117</v>
      </c>
      <c r="B96" s="452" t="s">
        <v>118</v>
      </c>
      <c r="C96" s="628" t="s">
        <v>118</v>
      </c>
      <c r="D96" s="655">
        <v>252.608</v>
      </c>
      <c r="E96" s="656">
        <v>0</v>
      </c>
      <c r="F96" s="656">
        <v>0</v>
      </c>
      <c r="G96" s="657">
        <v>0</v>
      </c>
      <c r="H96" s="657">
        <v>0</v>
      </c>
      <c r="I96" s="657">
        <v>22089</v>
      </c>
      <c r="J96" s="656">
        <v>0</v>
      </c>
      <c r="K96" s="656">
        <v>0</v>
      </c>
      <c r="L96" s="658" t="s">
        <v>356</v>
      </c>
      <c r="M96" s="659">
        <f t="array" ref="M96">INDEX(UtilityList!Q$4:Q$251,MATCH('Table 2.3b'!$A96&amp;'Table 2.3b'!$B96&amp;'Table 2.3b'!$C96,UtilityList!$A$4:$A$251&amp;UtilityList!$B$4:$B$251&amp;UtilityList!$C$4:$C$251,0))</f>
        <v>0</v>
      </c>
      <c r="N96" s="382" t="str">
        <f t="array" ref="N96">IFERROR(INDEX(UtilityList!J$4:J$251,MATCH('Table 2.3b'!$A96&amp;'Table 2.3b'!$B96&amp;'Table 2.3b'!$C96,UtilityList!$A$4:$A$251&amp;UtilityList!$B$4:$B$251&amp;UtilityList!$C$4:$C$251,0)),INDEX(UtilityList!J$4:J$251,MATCH('Table 2.3b'!$A96&amp;'Table 2.3b'!$C96,UtilityList!$A$4:$A$251&amp;UtilityList!$C$4:$C$251,0)))</f>
        <v>Kodiak</v>
      </c>
      <c r="O96" s="382" t="str">
        <f t="array" ref="O96">IFERROR(INDEX(UtilityList!K$4:K$251,MATCH('Table 2.3b'!$A96&amp;'Table 2.3b'!$B96&amp;'Table 2.3b'!$C96,UtilityList!$A$4:$A$251&amp;UtilityList!$B$4:$B$251&amp;UtilityList!$C$4:$C$251,0)),INDEX(UtilityList!K$4:K$251,MATCH('Table 2.3b'!$A96&amp;'Table 2.3b'!$C96,UtilityList!$A$4:$A$251&amp;UtilityList!$C$4:$C$251,0)))</f>
        <v>Kodiak Island</v>
      </c>
      <c r="P96" s="382" t="str">
        <f t="array" ref="P96">IFERROR(INDEX(UtilityList!L$4:L$251,MATCH('Table 2.3b'!$A96&amp;'Table 2.3b'!$B96&amp;'Table 2.3b'!$C96,UtilityList!$A$4:$A$251&amp;UtilityList!$B$4:$B$251&amp;UtilityList!$C$4:$C$251,0)),INDEX(UtilityList!L$4:L$251,MATCH('Table 2.3b'!$A96&amp;'Table 2.3b'!$C96,UtilityList!$A$4:$A$251&amp;UtilityList!$C$4:$C$251,0)))</f>
        <v>Koniag</v>
      </c>
      <c r="Q96" s="382" t="str">
        <f t="array" ref="Q96">IFERROR(INDEX(UtilityList!M$4:M$251,MATCH('Table 2.3b'!$A96&amp;'Table 2.3b'!$B96&amp;'Table 2.3b'!$C96,UtilityList!$A$4:$A$251&amp;UtilityList!$B$4:$B$251&amp;UtilityList!$C$4:$C$251,0)),INDEX(UtilityList!M$4:M$251,MATCH('Table 2.3b'!$A96&amp;'Table 2.3b'!$C96,UtilityList!$A$4:$A$251&amp;UtilityList!$C$4:$C$251,0)))</f>
        <v>SC</v>
      </c>
    </row>
    <row r="97" spans="1:17" s="169" customFormat="1" ht="30" x14ac:dyDescent="0.25">
      <c r="A97" s="360" t="s">
        <v>119</v>
      </c>
      <c r="B97" s="452" t="s">
        <v>120</v>
      </c>
      <c r="C97" s="361" t="s">
        <v>121</v>
      </c>
      <c r="D97" s="642">
        <v>48.344999999999999</v>
      </c>
      <c r="E97" s="642">
        <v>91290.654999999999</v>
      </c>
      <c r="F97" s="656">
        <v>0</v>
      </c>
      <c r="G97" s="661">
        <v>0</v>
      </c>
      <c r="H97" s="644">
        <v>0</v>
      </c>
      <c r="I97" s="644">
        <v>4242</v>
      </c>
      <c r="J97" s="644">
        <v>1089173</v>
      </c>
      <c r="K97" s="656">
        <v>0</v>
      </c>
      <c r="L97" s="658" t="s">
        <v>558</v>
      </c>
      <c r="M97" s="659">
        <f t="array" ref="M97">INDEX(UtilityList!Q$4:Q$251,MATCH('Table 2.3b'!$A97&amp;'Table 2.3b'!$B97&amp;'Table 2.3b'!$C97,UtilityList!$A$4:$A$251&amp;UtilityList!$B$4:$B$251&amp;UtilityList!$C$4:$C$251,0))</f>
        <v>0</v>
      </c>
      <c r="N97" s="382" t="str">
        <f t="array" ref="N97">IFERROR(INDEX(UtilityList!J$4:J$251,MATCH('Table 2.3b'!$A97&amp;'Table 2.3b'!$B97&amp;'Table 2.3b'!$C97,UtilityList!$A$4:$A$251&amp;UtilityList!$B$4:$B$251&amp;UtilityList!$C$4:$C$251,0)),INDEX(UtilityList!J$4:J$251,MATCH('Table 2.3b'!$A97&amp;'Table 2.3b'!$C97,UtilityList!$A$4:$A$251&amp;UtilityList!$C$4:$C$251,0)))</f>
        <v>Railbelt</v>
      </c>
      <c r="O97" s="382" t="str">
        <f t="array" ref="O97">IFERROR(INDEX(UtilityList!K$4:K$251,MATCH('Table 2.3b'!$A97&amp;'Table 2.3b'!$B97&amp;'Table 2.3b'!$C97,UtilityList!$A$4:$A$251&amp;UtilityList!$B$4:$B$251&amp;UtilityList!$C$4:$C$251,0)),INDEX(UtilityList!K$4:K$251,MATCH('Table 2.3b'!$A97&amp;'Table 2.3b'!$C97,UtilityList!$A$4:$A$251&amp;UtilityList!$C$4:$C$251,0)))</f>
        <v>Anchorage</v>
      </c>
      <c r="P97" s="382" t="str">
        <f t="array" ref="P97">IFERROR(INDEX(UtilityList!L$4:L$251,MATCH('Table 2.3b'!$A97&amp;'Table 2.3b'!$B97&amp;'Table 2.3b'!$C97,UtilityList!$A$4:$A$251&amp;UtilityList!$B$4:$B$251&amp;UtilityList!$C$4:$C$251,0)),INDEX(UtilityList!L$4:L$251,MATCH('Table 2.3b'!$A97&amp;'Table 2.3b'!$C97,UtilityList!$A$4:$A$251&amp;UtilityList!$C$4:$C$251,0)))</f>
        <v>Cook Inlet</v>
      </c>
      <c r="Q97" s="382" t="str">
        <f t="array" ref="Q97">IFERROR(INDEX(UtilityList!M$4:M$251,MATCH('Table 2.3b'!$A97&amp;'Table 2.3b'!$B97&amp;'Table 2.3b'!$C97,UtilityList!$A$4:$A$251&amp;UtilityList!$B$4:$B$251&amp;UtilityList!$C$4:$C$251,0)),INDEX(UtilityList!M$4:M$251,MATCH('Table 2.3b'!$A97&amp;'Table 2.3b'!$C97,UtilityList!$A$4:$A$251&amp;UtilityList!$C$4:$C$251,0)))</f>
        <v>SC</v>
      </c>
    </row>
    <row r="98" spans="1:17" customFormat="1" ht="30" x14ac:dyDescent="0.25">
      <c r="A98" s="360" t="s">
        <v>119</v>
      </c>
      <c r="B98" s="452" t="s">
        <v>534</v>
      </c>
      <c r="C98" s="361" t="s">
        <v>121</v>
      </c>
      <c r="D98" s="644">
        <v>0</v>
      </c>
      <c r="E98" s="656">
        <v>0</v>
      </c>
      <c r="F98" s="656">
        <v>0</v>
      </c>
      <c r="G98" s="642">
        <v>66088</v>
      </c>
      <c r="H98" s="644">
        <v>0</v>
      </c>
      <c r="I98" s="644">
        <v>0</v>
      </c>
      <c r="J98" s="656">
        <v>0</v>
      </c>
      <c r="K98" s="656">
        <v>0</v>
      </c>
      <c r="L98" s="658" t="s">
        <v>558</v>
      </c>
      <c r="M98" s="659">
        <f t="array" ref="M98">INDEX(UtilityList!Q$4:Q$251,MATCH('Table 2.3b'!$A98&amp;'Table 2.3b'!$B98&amp;'Table 2.3b'!$C98,UtilityList!$A$4:$A$251&amp;UtilityList!$B$4:$B$251&amp;UtilityList!$C$4:$C$251,0))</f>
        <v>0</v>
      </c>
      <c r="N98" s="382" t="str">
        <f t="array" ref="N98">IFERROR(INDEX(UtilityList!J$4:J$251,MATCH('Table 2.3b'!$A98&amp;'Table 2.3b'!$B98&amp;'Table 2.3b'!$C98,UtilityList!$A$4:$A$251&amp;UtilityList!$B$4:$B$251&amp;UtilityList!$C$4:$C$251,0)),INDEX(UtilityList!J$4:J$251,MATCH('Table 2.3b'!$A98&amp;'Table 2.3b'!$C98,UtilityList!$A$4:$A$251&amp;UtilityList!$C$4:$C$251,0)))</f>
        <v>Railbelt</v>
      </c>
      <c r="O98" s="382" t="str">
        <f t="array" ref="O98">IFERROR(INDEX(UtilityList!K$4:K$251,MATCH('Table 2.3b'!$A98&amp;'Table 2.3b'!$B98&amp;'Table 2.3b'!$C98,UtilityList!$A$4:$A$251&amp;UtilityList!$B$4:$B$251&amp;UtilityList!$C$4:$C$251,0)),INDEX(UtilityList!K$4:K$251,MATCH('Table 2.3b'!$A98&amp;'Table 2.3b'!$C98,UtilityList!$A$4:$A$251&amp;UtilityList!$C$4:$C$251,0)))</f>
        <v>Anchorage</v>
      </c>
      <c r="P98" s="382" t="str">
        <f t="array" ref="P98">IFERROR(INDEX(UtilityList!L$4:L$251,MATCH('Table 2.3b'!$A98&amp;'Table 2.3b'!$B98&amp;'Table 2.3b'!$C98,UtilityList!$A$4:$A$251&amp;UtilityList!$B$4:$B$251&amp;UtilityList!$C$4:$C$251,0)),INDEX(UtilityList!L$4:L$251,MATCH('Table 2.3b'!$A98&amp;'Table 2.3b'!$C98,UtilityList!$A$4:$A$251&amp;UtilityList!$C$4:$C$251,0)))</f>
        <v>Cook Inlet</v>
      </c>
      <c r="Q98" s="382" t="str">
        <f t="array" ref="Q98">IFERROR(INDEX(UtilityList!M$4:M$251,MATCH('Table 2.3b'!$A98&amp;'Table 2.3b'!$B98&amp;'Table 2.3b'!$C98,UtilityList!$A$4:$A$251&amp;UtilityList!$B$4:$B$251&amp;UtilityList!$C$4:$C$251,0)),INDEX(UtilityList!M$4:M$251,MATCH('Table 2.3b'!$A98&amp;'Table 2.3b'!$C98,UtilityList!$A$4:$A$251&amp;UtilityList!$C$4:$C$251,0)))</f>
        <v>SC</v>
      </c>
    </row>
    <row r="99" spans="1:17" customFormat="1" ht="60" x14ac:dyDescent="0.25">
      <c r="A99" s="360" t="s">
        <v>119</v>
      </c>
      <c r="B99" s="452" t="s">
        <v>122</v>
      </c>
      <c r="C99" s="361" t="s">
        <v>121</v>
      </c>
      <c r="D99" s="642">
        <v>328</v>
      </c>
      <c r="E99" s="644">
        <v>1082675</v>
      </c>
      <c r="F99" s="656">
        <v>0</v>
      </c>
      <c r="G99" s="661">
        <v>0</v>
      </c>
      <c r="H99" s="644">
        <v>0</v>
      </c>
      <c r="I99" s="642">
        <v>19110</v>
      </c>
      <c r="J99" s="644">
        <v>10551686</v>
      </c>
      <c r="K99" s="656">
        <v>0</v>
      </c>
      <c r="L99" s="658" t="s">
        <v>558</v>
      </c>
      <c r="M99" s="659">
        <f t="array" ref="M99">INDEX(UtilityList!Q$4:Q$251,MATCH('Table 2.3b'!$A99&amp;'Table 2.3b'!$B99&amp;'Table 2.3b'!$C99,UtilityList!$A$4:$A$251&amp;UtilityList!$B$4:$B$251&amp;UtilityList!$C$4:$C$251,0))</f>
        <v>0</v>
      </c>
      <c r="N99" s="382" t="str">
        <f t="array" ref="N99">IFERROR(INDEX(UtilityList!J$4:J$251,MATCH('Table 2.3b'!$A99&amp;'Table 2.3b'!$B99&amp;'Table 2.3b'!$C99,UtilityList!$A$4:$A$251&amp;UtilityList!$B$4:$B$251&amp;UtilityList!$C$4:$C$251,0)),INDEX(UtilityList!J$4:J$251,MATCH('Table 2.3b'!$A99&amp;'Table 2.3b'!$C99,UtilityList!$A$4:$A$251&amp;UtilityList!$C$4:$C$251,0)))</f>
        <v>Railbelt</v>
      </c>
      <c r="O99" s="382" t="str">
        <f t="array" ref="O99">IFERROR(INDEX(UtilityList!K$4:K$251,MATCH('Table 2.3b'!$A99&amp;'Table 2.3b'!$B99&amp;'Table 2.3b'!$C99,UtilityList!$A$4:$A$251&amp;UtilityList!$B$4:$B$251&amp;UtilityList!$C$4:$C$251,0)),INDEX(UtilityList!K$4:K$251,MATCH('Table 2.3b'!$A99&amp;'Table 2.3b'!$C99,UtilityList!$A$4:$A$251&amp;UtilityList!$C$4:$C$251,0)))</f>
        <v>Anchorage</v>
      </c>
      <c r="P99" s="382" t="str">
        <f t="array" ref="P99">IFERROR(INDEX(UtilityList!L$4:L$251,MATCH('Table 2.3b'!$A99&amp;'Table 2.3b'!$B99&amp;'Table 2.3b'!$C99,UtilityList!$A$4:$A$251&amp;UtilityList!$B$4:$B$251&amp;UtilityList!$C$4:$C$251,0)),INDEX(UtilityList!L$4:L$251,MATCH('Table 2.3b'!$A99&amp;'Table 2.3b'!$C99,UtilityList!$A$4:$A$251&amp;UtilityList!$C$4:$C$251,0)))</f>
        <v>Cook Inlet</v>
      </c>
      <c r="Q99" s="382" t="str">
        <f t="array" ref="Q99">IFERROR(INDEX(UtilityList!M$4:M$251,MATCH('Table 2.3b'!$A99&amp;'Table 2.3b'!$B99&amp;'Table 2.3b'!$C99,UtilityList!$A$4:$A$251&amp;UtilityList!$B$4:$B$251&amp;UtilityList!$C$4:$C$251,0)),INDEX(UtilityList!M$4:M$251,MATCH('Table 2.3b'!$A99&amp;'Table 2.3b'!$C99,UtilityList!$A$4:$A$251&amp;UtilityList!$C$4:$C$251,0)))</f>
        <v>SC</v>
      </c>
    </row>
    <row r="100" spans="1:17" customFormat="1" x14ac:dyDescent="0.25">
      <c r="A100" s="360" t="s">
        <v>123</v>
      </c>
      <c r="B100" s="452" t="s">
        <v>124</v>
      </c>
      <c r="C100" s="628" t="s">
        <v>124</v>
      </c>
      <c r="D100" s="655">
        <v>2618.598</v>
      </c>
      <c r="E100" s="656">
        <v>0</v>
      </c>
      <c r="F100" s="656">
        <v>0</v>
      </c>
      <c r="G100" s="657">
        <v>0</v>
      </c>
      <c r="H100" s="657">
        <v>0</v>
      </c>
      <c r="I100" s="657">
        <v>204154</v>
      </c>
      <c r="J100" s="656">
        <v>0</v>
      </c>
      <c r="K100" s="656">
        <v>0</v>
      </c>
      <c r="L100" s="658" t="s">
        <v>356</v>
      </c>
      <c r="M100" s="659">
        <f t="array" ref="M100">INDEX(UtilityList!Q$4:Q$251,MATCH('Table 2.3b'!$A100&amp;'Table 2.3b'!$B100&amp;'Table 2.3b'!$C100,UtilityList!$A$4:$A$251&amp;UtilityList!$B$4:$B$251&amp;UtilityList!$C$4:$C$251,0))</f>
        <v>0</v>
      </c>
      <c r="N100" s="382" t="str">
        <f t="array" ref="N100">IFERROR(INDEX(UtilityList!J$4:J$251,MATCH('Table 2.3b'!$A100&amp;'Table 2.3b'!$B100&amp;'Table 2.3b'!$C100,UtilityList!$A$4:$A$251&amp;UtilityList!$B$4:$B$251&amp;UtilityList!$C$4:$C$251,0)),INDEX(UtilityList!J$4:J$251,MATCH('Table 2.3b'!$A100&amp;'Table 2.3b'!$C100,UtilityList!$A$4:$A$251&amp;UtilityList!$C$4:$C$251,0)))</f>
        <v>Lower Yukon-Kuskokwim</v>
      </c>
      <c r="O100" s="382" t="str">
        <f t="array" ref="O100">IFERROR(INDEX(UtilityList!K$4:K$251,MATCH('Table 2.3b'!$A100&amp;'Table 2.3b'!$B100&amp;'Table 2.3b'!$C100,UtilityList!$A$4:$A$251&amp;UtilityList!$B$4:$B$251&amp;UtilityList!$C$4:$C$251,0)),INDEX(UtilityList!K$4:K$251,MATCH('Table 2.3b'!$A100&amp;'Table 2.3b'!$C100,UtilityList!$A$4:$A$251&amp;UtilityList!$C$4:$C$251,0)))</f>
        <v>Bethel (CA)</v>
      </c>
      <c r="P100" s="382" t="str">
        <f t="array" ref="P100">IFERROR(INDEX(UtilityList!L$4:L$251,MATCH('Table 2.3b'!$A100&amp;'Table 2.3b'!$B100&amp;'Table 2.3b'!$C100,UtilityList!$A$4:$A$251&amp;UtilityList!$B$4:$B$251&amp;UtilityList!$C$4:$C$251,0)),INDEX(UtilityList!L$4:L$251,MATCH('Table 2.3b'!$A100&amp;'Table 2.3b'!$C100,UtilityList!$A$4:$A$251&amp;UtilityList!$C$4:$C$251,0)))</f>
        <v>Calista</v>
      </c>
      <c r="Q100" s="382" t="str">
        <f t="array" ref="Q100">IFERROR(INDEX(UtilityList!M$4:M$251,MATCH('Table 2.3b'!$A100&amp;'Table 2.3b'!$B100&amp;'Table 2.3b'!$C100,UtilityList!$A$4:$A$251&amp;UtilityList!$B$4:$B$251&amp;UtilityList!$C$4:$C$251,0)),INDEX(UtilityList!M$4:M$251,MATCH('Table 2.3b'!$A100&amp;'Table 2.3b'!$C100,UtilityList!$A$4:$A$251&amp;UtilityList!$C$4:$C$251,0)))</f>
        <v>SW</v>
      </c>
    </row>
    <row r="101" spans="1:17" customFormat="1" x14ac:dyDescent="0.25">
      <c r="A101" s="360" t="s">
        <v>127</v>
      </c>
      <c r="B101" s="452" t="s">
        <v>128</v>
      </c>
      <c r="C101" s="628" t="s">
        <v>128</v>
      </c>
      <c r="D101" s="655">
        <v>444.322</v>
      </c>
      <c r="E101" s="656">
        <v>0</v>
      </c>
      <c r="F101" s="656">
        <v>0</v>
      </c>
      <c r="G101" s="657">
        <v>0</v>
      </c>
      <c r="H101" s="657">
        <v>0</v>
      </c>
      <c r="I101" s="657">
        <v>49036.000000000007</v>
      </c>
      <c r="J101" s="656">
        <v>0</v>
      </c>
      <c r="K101" s="656">
        <v>0</v>
      </c>
      <c r="L101" s="658" t="s">
        <v>356</v>
      </c>
      <c r="M101" s="659">
        <f t="array" ref="M101">INDEX(UtilityList!Q$4:Q$251,MATCH('Table 2.3b'!$A101&amp;'Table 2.3b'!$B101&amp;'Table 2.3b'!$C101,UtilityList!$A$4:$A$251&amp;UtilityList!$B$4:$B$251&amp;UtilityList!$C$4:$C$251,0))</f>
        <v>0</v>
      </c>
      <c r="N101" s="382" t="str">
        <f t="array" ref="N101">IFERROR(INDEX(UtilityList!J$4:J$251,MATCH('Table 2.3b'!$A101&amp;'Table 2.3b'!$B101&amp;'Table 2.3b'!$C101,UtilityList!$A$4:$A$251&amp;UtilityList!$B$4:$B$251&amp;UtilityList!$C$4:$C$251,0)),INDEX(UtilityList!J$4:J$251,MATCH('Table 2.3b'!$A101&amp;'Table 2.3b'!$C101,UtilityList!$A$4:$A$251&amp;UtilityList!$C$4:$C$251,0)))</f>
        <v>Aleutians</v>
      </c>
      <c r="O101" s="382" t="str">
        <f t="array" ref="O101">IFERROR(INDEX(UtilityList!K$4:K$251,MATCH('Table 2.3b'!$A101&amp;'Table 2.3b'!$B101&amp;'Table 2.3b'!$C101,UtilityList!$A$4:$A$251&amp;UtilityList!$B$4:$B$251&amp;UtilityList!$C$4:$C$251,0)),INDEX(UtilityList!K$4:K$251,MATCH('Table 2.3b'!$A101&amp;'Table 2.3b'!$C101,UtilityList!$A$4:$A$251&amp;UtilityList!$C$4:$C$251,0)))</f>
        <v>Aleutians West (CA)</v>
      </c>
      <c r="P101" s="382" t="str">
        <f t="array" ref="P101">IFERROR(INDEX(UtilityList!L$4:L$251,MATCH('Table 2.3b'!$A101&amp;'Table 2.3b'!$B101&amp;'Table 2.3b'!$C101,UtilityList!$A$4:$A$251&amp;UtilityList!$B$4:$B$251&amp;UtilityList!$C$4:$C$251,0)),INDEX(UtilityList!L$4:L$251,MATCH('Table 2.3b'!$A101&amp;'Table 2.3b'!$C101,UtilityList!$A$4:$A$251&amp;UtilityList!$C$4:$C$251,0)))</f>
        <v>Aleut</v>
      </c>
      <c r="Q101" s="382" t="str">
        <f t="array" ref="Q101">IFERROR(INDEX(UtilityList!M$4:M$251,MATCH('Table 2.3b'!$A101&amp;'Table 2.3b'!$B101&amp;'Table 2.3b'!$C101,UtilityList!$A$4:$A$251&amp;UtilityList!$B$4:$B$251&amp;UtilityList!$C$4:$C$251,0)),INDEX(UtilityList!M$4:M$251,MATCH('Table 2.3b'!$A101&amp;'Table 2.3b'!$C101,UtilityList!$A$4:$A$251&amp;UtilityList!$C$4:$C$251,0)))</f>
        <v>SW</v>
      </c>
    </row>
    <row r="102" spans="1:17" customFormat="1" ht="30" x14ac:dyDescent="0.25">
      <c r="A102" s="360" t="s">
        <v>129</v>
      </c>
      <c r="B102" s="452" t="s">
        <v>130</v>
      </c>
      <c r="C102" s="628" t="s">
        <v>130</v>
      </c>
      <c r="D102" s="655">
        <v>796.81399999999996</v>
      </c>
      <c r="E102" s="656">
        <v>0</v>
      </c>
      <c r="F102" s="656">
        <v>0</v>
      </c>
      <c r="G102" s="657">
        <v>0</v>
      </c>
      <c r="H102" s="657">
        <v>0</v>
      </c>
      <c r="I102" s="657">
        <v>54344.999999999993</v>
      </c>
      <c r="J102" s="656">
        <v>0</v>
      </c>
      <c r="K102" s="656">
        <v>0</v>
      </c>
      <c r="L102" s="658" t="s">
        <v>356</v>
      </c>
      <c r="M102" s="659">
        <f t="array" ref="M102">INDEX(UtilityList!Q$4:Q$251,MATCH('Table 2.3b'!$A102&amp;'Table 2.3b'!$B102&amp;'Table 2.3b'!$C102,UtilityList!$A$4:$A$251&amp;UtilityList!$B$4:$B$251&amp;UtilityList!$C$4:$C$251,0))</f>
        <v>0</v>
      </c>
      <c r="N102" s="382" t="str">
        <f t="array" ref="N102">IFERROR(INDEX(UtilityList!J$4:J$251,MATCH('Table 2.3b'!$A102&amp;'Table 2.3b'!$B102&amp;'Table 2.3b'!$C102,UtilityList!$A$4:$A$251&amp;UtilityList!$B$4:$B$251&amp;UtilityList!$C$4:$C$251,0)),INDEX(UtilityList!J$4:J$251,MATCH('Table 2.3b'!$A102&amp;'Table 2.3b'!$C102,UtilityList!$A$4:$A$251&amp;UtilityList!$C$4:$C$251,0)))</f>
        <v>Lower Yukon-Kuskokwim</v>
      </c>
      <c r="O102" s="382" t="str">
        <f t="array" ref="O102">IFERROR(INDEX(UtilityList!K$4:K$251,MATCH('Table 2.3b'!$A102&amp;'Table 2.3b'!$B102&amp;'Table 2.3b'!$C102,UtilityList!$A$4:$A$251&amp;UtilityList!$B$4:$B$251&amp;UtilityList!$C$4:$C$251,0)),INDEX(UtilityList!K$4:K$251,MATCH('Table 2.3b'!$A102&amp;'Table 2.3b'!$C102,UtilityList!$A$4:$A$251&amp;UtilityList!$C$4:$C$251,0)))</f>
        <v>Bethel (CA)</v>
      </c>
      <c r="P102" s="382" t="str">
        <f t="array" ref="P102">IFERROR(INDEX(UtilityList!L$4:L$251,MATCH('Table 2.3b'!$A102&amp;'Table 2.3b'!$B102&amp;'Table 2.3b'!$C102,UtilityList!$A$4:$A$251&amp;UtilityList!$B$4:$B$251&amp;UtilityList!$C$4:$C$251,0)),INDEX(UtilityList!L$4:L$251,MATCH('Table 2.3b'!$A102&amp;'Table 2.3b'!$C102,UtilityList!$A$4:$A$251&amp;UtilityList!$C$4:$C$251,0)))</f>
        <v>Calista</v>
      </c>
      <c r="Q102" s="382" t="str">
        <f t="array" ref="Q102">IFERROR(INDEX(UtilityList!M$4:M$251,MATCH('Table 2.3b'!$A102&amp;'Table 2.3b'!$B102&amp;'Table 2.3b'!$C102,UtilityList!$A$4:$A$251&amp;UtilityList!$B$4:$B$251&amp;UtilityList!$C$4:$C$251,0)),INDEX(UtilityList!M$4:M$251,MATCH('Table 2.3b'!$A102&amp;'Table 2.3b'!$C102,UtilityList!$A$4:$A$251&amp;UtilityList!$C$4:$C$251,0)))</f>
        <v>SW</v>
      </c>
    </row>
    <row r="103" spans="1:17" s="342" customFormat="1" ht="60" x14ac:dyDescent="0.25">
      <c r="A103" s="353" t="s">
        <v>131</v>
      </c>
      <c r="B103" s="353" t="s">
        <v>668</v>
      </c>
      <c r="C103" s="353" t="s">
        <v>132</v>
      </c>
      <c r="D103" s="644">
        <v>0</v>
      </c>
      <c r="E103" s="656">
        <v>0</v>
      </c>
      <c r="F103" s="642">
        <v>209150</v>
      </c>
      <c r="G103" s="644">
        <v>0</v>
      </c>
      <c r="H103" s="644">
        <v>0</v>
      </c>
      <c r="I103" s="644">
        <v>0</v>
      </c>
      <c r="J103" s="656">
        <v>0</v>
      </c>
      <c r="K103" s="644">
        <v>222349</v>
      </c>
      <c r="L103" s="658" t="s">
        <v>558</v>
      </c>
      <c r="M103" s="665" t="str">
        <f t="array" ref="M103">INDEX(UtilityList!Q$4:Q$251,MATCH('Table 2.3b'!$A103&amp;'Table 2.3b'!$B103&amp;'Table 2.3b'!$C103,UtilityList!$A$4:$A$251&amp;UtilityList!$B$4:$B$251&amp;UtilityList!$C$4:$C$251,0))</f>
        <v xml:space="preserve"> Aurora Energy LLC is an independent power producer that sells all its power to GVEA.</v>
      </c>
      <c r="N103" s="666" t="str">
        <f t="array" ref="N103">IFERROR(INDEX(UtilityList!J$4:J$251,MATCH('Table 2.3b'!$A103&amp;'Table 2.3b'!$B103&amp;'Table 2.3b'!$C103,UtilityList!$A$4:$A$251&amp;UtilityList!$B$4:$B$251&amp;UtilityList!$C$4:$C$251,0)),INDEX(UtilityList!J$4:J$251,MATCH('Table 2.3b'!$A103&amp;'Table 2.3b'!$C103,UtilityList!$A$4:$A$251&amp;UtilityList!$C$4:$C$251,0)))</f>
        <v>Railbelt</v>
      </c>
      <c r="O103" s="666" t="str">
        <f t="array" ref="O103">IFERROR(INDEX(UtilityList!K$4:K$251,MATCH('Table 2.3b'!$A103&amp;'Table 2.3b'!$B103&amp;'Table 2.3b'!$C103,UtilityList!$A$4:$A$251&amp;UtilityList!$B$4:$B$251&amp;UtilityList!$C$4:$C$251,0)),INDEX(UtilityList!K$4:K$251,MATCH('Table 2.3b'!$A103&amp;'Table 2.3b'!$C103,UtilityList!$A$4:$A$251&amp;UtilityList!$C$4:$C$251,0)))</f>
        <v>Fairbanks North Star</v>
      </c>
      <c r="P103" s="666" t="str">
        <f t="array" ref="P103">IFERROR(INDEX(UtilityList!L$4:L$251,MATCH('Table 2.3b'!$A103&amp;'Table 2.3b'!$B103&amp;'Table 2.3b'!$C103,UtilityList!$A$4:$A$251&amp;UtilityList!$B$4:$B$251&amp;UtilityList!$C$4:$C$251,0)),INDEX(UtilityList!L$4:L$251,MATCH('Table 2.3b'!$A103&amp;'Table 2.3b'!$C103,UtilityList!$A$4:$A$251&amp;UtilityList!$C$4:$C$251,0)))</f>
        <v>Doyon</v>
      </c>
      <c r="Q103" s="666" t="str">
        <f t="array" ref="Q103">IFERROR(INDEX(UtilityList!M$4:M$251,MATCH('Table 2.3b'!$A103&amp;'Table 2.3b'!$B103&amp;'Table 2.3b'!$C103,UtilityList!$A$4:$A$251&amp;UtilityList!$B$4:$B$251&amp;UtilityList!$C$4:$C$251,0)),INDEX(UtilityList!M$4:M$251,MATCH('Table 2.3b'!$A103&amp;'Table 2.3b'!$C103,UtilityList!$A$4:$A$251&amp;UtilityList!$C$4:$C$251,0)))</f>
        <v>YU</v>
      </c>
    </row>
    <row r="104" spans="1:17" s="330" customFormat="1" ht="51.75" x14ac:dyDescent="0.25">
      <c r="A104" s="619" t="s">
        <v>671</v>
      </c>
      <c r="B104" s="361" t="s">
        <v>639</v>
      </c>
      <c r="C104" s="350" t="s">
        <v>276</v>
      </c>
      <c r="D104" s="667">
        <v>0</v>
      </c>
      <c r="E104" s="668">
        <v>0</v>
      </c>
      <c r="F104" s="669">
        <v>0</v>
      </c>
      <c r="G104" s="667">
        <v>0</v>
      </c>
      <c r="H104" s="667">
        <v>955</v>
      </c>
      <c r="I104" s="667">
        <v>0</v>
      </c>
      <c r="J104" s="668">
        <v>0</v>
      </c>
      <c r="K104" s="667">
        <v>0</v>
      </c>
      <c r="L104" s="670" t="s">
        <v>356</v>
      </c>
      <c r="M104" s="671" t="str">
        <f t="array" ref="M104">INDEX(UtilityList!Q$4:Q$251,MATCH('Table 2.3b'!$A104&amp;'Table 2.3b'!$B104&amp;'Table 2.3b'!$C104,UtilityList!$A$4:$A$251&amp;UtilityList!$B$4:$B$251&amp;UtilityList!$C$4:$C$251,0))</f>
        <v>Banner Wind, LLC. is an independent power proucer, who sells all its power to Nome Joint Utility Systems.</v>
      </c>
      <c r="N104" s="318" t="str">
        <f t="array" ref="N104">IFERROR(INDEX(UtilityList!J$4:J$251,MATCH('Table 2.3b'!$A104&amp;'Table 2.3b'!$B104&amp;'Table 2.3b'!$C104,UtilityList!$A$4:$A$251&amp;UtilityList!$B$4:$B$251&amp;UtilityList!$C$4:$C$251,0)),INDEX(UtilityList!J$4:J$251,MATCH('Table 2.3b'!$A104&amp;'Table 2.3b'!$C104,UtilityList!$A$4:$A$251&amp;UtilityList!$C$4:$C$251,0)))</f>
        <v>Bering Straits</v>
      </c>
      <c r="O104" s="318" t="str">
        <f t="array" ref="O104">IFERROR(INDEX(UtilityList!K$4:K$251,MATCH('Table 2.3b'!$A104&amp;'Table 2.3b'!$B104&amp;'Table 2.3b'!$C104,UtilityList!$A$4:$A$251&amp;UtilityList!$B$4:$B$251&amp;UtilityList!$C$4:$C$251,0)),INDEX(UtilityList!K$4:K$251,MATCH('Table 2.3b'!$A104&amp;'Table 2.3b'!$C104,UtilityList!$A$4:$A$251&amp;UtilityList!$C$4:$C$251,0)))</f>
        <v>Nome (CA)</v>
      </c>
      <c r="P104" s="318" t="str">
        <f t="array" ref="P104">IFERROR(INDEX(UtilityList!L$4:L$251,MATCH('Table 2.3b'!$A104&amp;'Table 2.3b'!$B104&amp;'Table 2.3b'!$C104,UtilityList!$A$4:$A$251&amp;UtilityList!$B$4:$B$251&amp;UtilityList!$C$4:$C$251,0)),INDEX(UtilityList!L$4:L$251,MATCH('Table 2.3b'!$A104&amp;'Table 2.3b'!$C104,UtilityList!$A$4:$A$251&amp;UtilityList!$C$4:$C$251,0)))</f>
        <v>Bering Straits</v>
      </c>
      <c r="Q104" s="318" t="str">
        <f t="array" ref="Q104">IFERROR(INDEX(UtilityList!M$4:M$251,MATCH('Table 2.3b'!$A104&amp;'Table 2.3b'!$B104&amp;'Table 2.3b'!$C104,UtilityList!$A$4:$A$251&amp;UtilityList!$B$4:$B$251&amp;UtilityList!$C$4:$C$251,0)),INDEX(UtilityList!M$4:M$251,MATCH('Table 2.3b'!$A104&amp;'Table 2.3b'!$C104,UtilityList!$A$4:$A$251&amp;UtilityList!$C$4:$C$251,0)))</f>
        <v>AN</v>
      </c>
    </row>
    <row r="105" spans="1:17" customFormat="1" ht="45" x14ac:dyDescent="0.25">
      <c r="A105" s="360" t="s">
        <v>570</v>
      </c>
      <c r="B105" s="452" t="s">
        <v>133</v>
      </c>
      <c r="C105" s="361" t="s">
        <v>133</v>
      </c>
      <c r="D105" s="644">
        <v>0</v>
      </c>
      <c r="E105" s="644">
        <v>50211</v>
      </c>
      <c r="F105" s="656">
        <v>0</v>
      </c>
      <c r="G105" s="661">
        <v>0</v>
      </c>
      <c r="H105" s="644">
        <v>0</v>
      </c>
      <c r="I105" s="644">
        <v>0</v>
      </c>
      <c r="J105" s="644">
        <v>745980</v>
      </c>
      <c r="K105" s="656">
        <v>0</v>
      </c>
      <c r="L105" s="658" t="s">
        <v>558</v>
      </c>
      <c r="M105" s="659">
        <f t="array" ref="M105">INDEX(UtilityList!Q$4:Q$251,MATCH('Table 2.3b'!$A105&amp;'Table 2.3b'!$B105&amp;'Table 2.3b'!$C105,UtilityList!$A$4:$A$251&amp;UtilityList!$B$4:$B$251&amp;UtilityList!$C$4:$C$251,0))</f>
        <v>0</v>
      </c>
      <c r="N105" s="382" t="str">
        <f t="array" ref="N105">IFERROR(INDEX(UtilityList!J$4:J$251,MATCH('Table 2.3b'!$A105&amp;'Table 2.3b'!$B105&amp;'Table 2.3b'!$C105,UtilityList!$A$4:$A$251&amp;UtilityList!$B$4:$B$251&amp;UtilityList!$C$4:$C$251,0)),INDEX(UtilityList!J$4:J$251,MATCH('Table 2.3b'!$A105&amp;'Table 2.3b'!$C105,UtilityList!$A$4:$A$251&amp;UtilityList!$C$4:$C$251,0)))</f>
        <v>North Slope</v>
      </c>
      <c r="O105" s="382" t="str">
        <f t="array" ref="O105">IFERROR(INDEX(UtilityList!K$4:K$251,MATCH('Table 2.3b'!$A105&amp;'Table 2.3b'!$B105&amp;'Table 2.3b'!$C105,UtilityList!$A$4:$A$251&amp;UtilityList!$B$4:$B$251&amp;UtilityList!$C$4:$C$251,0)),INDEX(UtilityList!K$4:K$251,MATCH('Table 2.3b'!$A105&amp;'Table 2.3b'!$C105,UtilityList!$A$4:$A$251&amp;UtilityList!$C$4:$C$251,0)))</f>
        <v>North Slope</v>
      </c>
      <c r="P105" s="382" t="str">
        <f t="array" ref="P105">IFERROR(INDEX(UtilityList!L$4:L$251,MATCH('Table 2.3b'!$A105&amp;'Table 2.3b'!$B105&amp;'Table 2.3b'!$C105,UtilityList!$A$4:$A$251&amp;UtilityList!$B$4:$B$251&amp;UtilityList!$C$4:$C$251,0)),INDEX(UtilityList!L$4:L$251,MATCH('Table 2.3b'!$A105&amp;'Table 2.3b'!$C105,UtilityList!$A$4:$A$251&amp;UtilityList!$C$4:$C$251,0)))</f>
        <v>Arctic Slope</v>
      </c>
      <c r="Q105" s="382" t="str">
        <f t="array" ref="Q105">IFERROR(INDEX(UtilityList!M$4:M$251,MATCH('Table 2.3b'!$A105&amp;'Table 2.3b'!$B105&amp;'Table 2.3b'!$C105,UtilityList!$A$4:$A$251&amp;UtilityList!$B$4:$B$251&amp;UtilityList!$C$4:$C$251,0)),INDEX(UtilityList!M$4:M$251,MATCH('Table 2.3b'!$A105&amp;'Table 2.3b'!$C105,UtilityList!$A$4:$A$251&amp;UtilityList!$C$4:$C$251,0)))</f>
        <v>AN</v>
      </c>
    </row>
    <row r="106" spans="1:17" customFormat="1" ht="30" x14ac:dyDescent="0.25">
      <c r="A106" s="653" t="s">
        <v>134</v>
      </c>
      <c r="B106" s="452" t="s">
        <v>135</v>
      </c>
      <c r="C106" s="654" t="s">
        <v>135</v>
      </c>
      <c r="D106" s="655">
        <v>318.02999999999997</v>
      </c>
      <c r="E106" s="656">
        <v>0</v>
      </c>
      <c r="F106" s="656">
        <v>0</v>
      </c>
      <c r="G106" s="657">
        <v>0</v>
      </c>
      <c r="H106" s="657">
        <v>0</v>
      </c>
      <c r="I106" s="657">
        <v>30506</v>
      </c>
      <c r="J106" s="656">
        <v>0</v>
      </c>
      <c r="K106" s="656">
        <v>0</v>
      </c>
      <c r="L106" s="658" t="s">
        <v>356</v>
      </c>
      <c r="M106" s="659">
        <f t="array" ref="M106">INDEX(UtilityList!Q$4:Q$251,MATCH('Table 2.3b'!$A106&amp;'Table 2.3b'!$B106&amp;'Table 2.3b'!$C106,UtilityList!$A$4:$A$251&amp;UtilityList!$B$4:$B$251&amp;UtilityList!$C$4:$C$251,0))</f>
        <v>0</v>
      </c>
      <c r="N106" s="382" t="str">
        <f t="array" ref="N106">IFERROR(INDEX(UtilityList!J$4:J$251,MATCH('Table 2.3b'!$A106&amp;'Table 2.3b'!$B106&amp;'Table 2.3b'!$C106,UtilityList!$A$4:$A$251&amp;UtilityList!$B$4:$B$251&amp;UtilityList!$C$4:$C$251,0)),INDEX(UtilityList!J$4:J$251,MATCH('Table 2.3b'!$A106&amp;'Table 2.3b'!$C106,UtilityList!$A$4:$A$251&amp;UtilityList!$C$4:$C$251,0)))</f>
        <v>Yukon-Koyukuk/Upper Tanana</v>
      </c>
      <c r="O106" s="382" t="str">
        <f t="array" ref="O106">IFERROR(INDEX(UtilityList!K$4:K$251,MATCH('Table 2.3b'!$A106&amp;'Table 2.3b'!$B106&amp;'Table 2.3b'!$C106,UtilityList!$A$4:$A$251&amp;UtilityList!$B$4:$B$251&amp;UtilityList!$C$4:$C$251,0)),INDEX(UtilityList!K$4:K$251,MATCH('Table 2.3b'!$A106&amp;'Table 2.3b'!$C106,UtilityList!$A$4:$A$251&amp;UtilityList!$C$4:$C$251,0)))</f>
        <v>Yukon-Koyukuk (CA)</v>
      </c>
      <c r="P106" s="382" t="str">
        <f t="array" ref="P106">IFERROR(INDEX(UtilityList!L$4:L$251,MATCH('Table 2.3b'!$A106&amp;'Table 2.3b'!$B106&amp;'Table 2.3b'!$C106,UtilityList!$A$4:$A$251&amp;UtilityList!$B$4:$B$251&amp;UtilityList!$C$4:$C$251,0)),INDEX(UtilityList!L$4:L$251,MATCH('Table 2.3b'!$A106&amp;'Table 2.3b'!$C106,UtilityList!$A$4:$A$251&amp;UtilityList!$C$4:$C$251,0)))</f>
        <v>Doyon</v>
      </c>
      <c r="Q106" s="382" t="str">
        <f t="array" ref="Q106">IFERROR(INDEX(UtilityList!M$4:M$251,MATCH('Table 2.3b'!$A106&amp;'Table 2.3b'!$B106&amp;'Table 2.3b'!$C106,UtilityList!$A$4:$A$251&amp;UtilityList!$B$4:$B$251&amp;UtilityList!$C$4:$C$251,0)),INDEX(UtilityList!M$4:M$251,MATCH('Table 2.3b'!$A106&amp;'Table 2.3b'!$C106,UtilityList!$A$4:$A$251&amp;UtilityList!$C$4:$C$251,0)))</f>
        <v>YU</v>
      </c>
    </row>
    <row r="107" spans="1:17" s="169" customFormat="1" ht="75" x14ac:dyDescent="0.25">
      <c r="A107" s="653" t="s">
        <v>502</v>
      </c>
      <c r="B107" s="452" t="s">
        <v>136</v>
      </c>
      <c r="C107" s="654" t="s">
        <v>679</v>
      </c>
      <c r="D107" s="655">
        <v>41800</v>
      </c>
      <c r="E107" s="656">
        <v>0</v>
      </c>
      <c r="F107" s="656">
        <v>0</v>
      </c>
      <c r="G107" s="657">
        <v>0</v>
      </c>
      <c r="H107" s="657">
        <v>0</v>
      </c>
      <c r="I107" s="657">
        <v>3094125</v>
      </c>
      <c r="J107" s="656">
        <v>0</v>
      </c>
      <c r="K107" s="656">
        <v>0</v>
      </c>
      <c r="L107" s="658" t="s">
        <v>356</v>
      </c>
      <c r="M107" s="659" t="str">
        <f t="array" ref="M107">INDEX(UtilityList!Q$4:Q$251,MATCH('Table 2.3b'!$A107&amp;'Table 2.3b'!$B107&amp;'Table 2.3b'!$C107,UtilityList!$A$4:$A$251&amp;UtilityList!$B$4:$B$251&amp;UtilityList!$C$4:$C$251,0))</f>
        <v>Provides power to Oscarville and sells power to Napakiak Ircinraq via intertie. Data includes Oscarville's information.</v>
      </c>
      <c r="N107" s="382" t="str">
        <f t="array" ref="N107">IFERROR(INDEX(UtilityList!J$4:J$251,MATCH('Table 2.3b'!$A107&amp;'Table 2.3b'!$B107&amp;'Table 2.3b'!$C107,UtilityList!$A$4:$A$251&amp;UtilityList!$B$4:$B$251&amp;UtilityList!$C$4:$C$251,0)),INDEX(UtilityList!J$4:J$251,MATCH('Table 2.3b'!$A107&amp;'Table 2.3b'!$C107,UtilityList!$A$4:$A$251&amp;UtilityList!$C$4:$C$251,0)))</f>
        <v>Lower Yukon-Kuskokwim</v>
      </c>
      <c r="O107" s="382" t="str">
        <f t="array" ref="O107">IFERROR(INDEX(UtilityList!K$4:K$251,MATCH('Table 2.3b'!$A107&amp;'Table 2.3b'!$B107&amp;'Table 2.3b'!$C107,UtilityList!$A$4:$A$251&amp;UtilityList!$B$4:$B$251&amp;UtilityList!$C$4:$C$251,0)),INDEX(UtilityList!K$4:K$251,MATCH('Table 2.3b'!$A107&amp;'Table 2.3b'!$C107,UtilityList!$A$4:$A$251&amp;UtilityList!$C$4:$C$251,0)))</f>
        <v>Bethel (CA)</v>
      </c>
      <c r="P107" s="382" t="str">
        <f t="array" ref="P107">IFERROR(INDEX(UtilityList!L$4:L$251,MATCH('Table 2.3b'!$A107&amp;'Table 2.3b'!$B107&amp;'Table 2.3b'!$C107,UtilityList!$A$4:$A$251&amp;UtilityList!$B$4:$B$251&amp;UtilityList!$C$4:$C$251,0)),INDEX(UtilityList!L$4:L$251,MATCH('Table 2.3b'!$A107&amp;'Table 2.3b'!$C107,UtilityList!$A$4:$A$251&amp;UtilityList!$C$4:$C$251,0)))</f>
        <v>Calista</v>
      </c>
      <c r="Q107" s="382" t="str">
        <f t="array" ref="Q107">IFERROR(INDEX(UtilityList!M$4:M$251,MATCH('Table 2.3b'!$A107&amp;'Table 2.3b'!$B107&amp;'Table 2.3b'!$C107,UtilityList!$A$4:$A$251&amp;UtilityList!$B$4:$B$251&amp;UtilityList!$C$4:$C$251,0)),INDEX(UtilityList!M$4:M$251,MATCH('Table 2.3b'!$A107&amp;'Table 2.3b'!$C107,UtilityList!$A$4:$A$251&amp;UtilityList!$C$4:$C$251,0)))</f>
        <v>SW</v>
      </c>
    </row>
    <row r="108" spans="1:17" s="169" customFormat="1" x14ac:dyDescent="0.25">
      <c r="A108" s="653" t="s">
        <v>139</v>
      </c>
      <c r="B108" s="452" t="s">
        <v>140</v>
      </c>
      <c r="C108" s="654" t="s">
        <v>140</v>
      </c>
      <c r="D108" s="655">
        <v>1592.204</v>
      </c>
      <c r="E108" s="656">
        <v>0</v>
      </c>
      <c r="F108" s="656">
        <v>0</v>
      </c>
      <c r="G108" s="657">
        <v>0</v>
      </c>
      <c r="H108" s="657">
        <v>0</v>
      </c>
      <c r="I108" s="657">
        <v>116056</v>
      </c>
      <c r="J108" s="656">
        <v>0</v>
      </c>
      <c r="K108" s="656">
        <v>0</v>
      </c>
      <c r="L108" s="658" t="s">
        <v>356</v>
      </c>
      <c r="M108" s="659">
        <f t="array" ref="M108">INDEX(UtilityList!Q$4:Q$251,MATCH('Table 2.3b'!$A108&amp;'Table 2.3b'!$B108&amp;'Table 2.3b'!$C108,UtilityList!$A$4:$A$251&amp;UtilityList!$B$4:$B$251&amp;UtilityList!$C$4:$C$251,0))</f>
        <v>0</v>
      </c>
      <c r="N108" s="382" t="str">
        <f t="array" ref="N108">IFERROR(INDEX(UtilityList!J$4:J$251,MATCH('Table 2.3b'!$A108&amp;'Table 2.3b'!$B108&amp;'Table 2.3b'!$C108,UtilityList!$A$4:$A$251&amp;UtilityList!$B$4:$B$251&amp;UtilityList!$C$4:$C$251,0)),INDEX(UtilityList!J$4:J$251,MATCH('Table 2.3b'!$A108&amp;'Table 2.3b'!$C108,UtilityList!$A$4:$A$251&amp;UtilityList!$C$4:$C$251,0)))</f>
        <v>Northwest Arctic</v>
      </c>
      <c r="O108" s="382" t="str">
        <f t="array" ref="O108">IFERROR(INDEX(UtilityList!K$4:K$251,MATCH('Table 2.3b'!$A108&amp;'Table 2.3b'!$B108&amp;'Table 2.3b'!$C108,UtilityList!$A$4:$A$251&amp;UtilityList!$B$4:$B$251&amp;UtilityList!$C$4:$C$251,0)),INDEX(UtilityList!K$4:K$251,MATCH('Table 2.3b'!$A108&amp;'Table 2.3b'!$C108,UtilityList!$A$4:$A$251&amp;UtilityList!$C$4:$C$251,0)))</f>
        <v>Northwest Arctic</v>
      </c>
      <c r="P108" s="382" t="str">
        <f t="array" ref="P108">IFERROR(INDEX(UtilityList!L$4:L$251,MATCH('Table 2.3b'!$A108&amp;'Table 2.3b'!$B108&amp;'Table 2.3b'!$C108,UtilityList!$A$4:$A$251&amp;UtilityList!$B$4:$B$251&amp;UtilityList!$C$4:$C$251,0)),INDEX(UtilityList!L$4:L$251,MATCH('Table 2.3b'!$A108&amp;'Table 2.3b'!$C108,UtilityList!$A$4:$A$251&amp;UtilityList!$C$4:$C$251,0)))</f>
        <v>NANA</v>
      </c>
      <c r="Q108" s="382" t="str">
        <f t="array" ref="Q108">IFERROR(INDEX(UtilityList!M$4:M$251,MATCH('Table 2.3b'!$A108&amp;'Table 2.3b'!$B108&amp;'Table 2.3b'!$C108,UtilityList!$A$4:$A$251&amp;UtilityList!$B$4:$B$251&amp;UtilityList!$C$4:$C$251,0)),INDEX(UtilityList!M$4:M$251,MATCH('Table 2.3b'!$A108&amp;'Table 2.3b'!$C108,UtilityList!$A$4:$A$251&amp;UtilityList!$C$4:$C$251,0)))</f>
        <v>AN</v>
      </c>
    </row>
    <row r="109" spans="1:17" s="169" customFormat="1" ht="30" x14ac:dyDescent="0.25">
      <c r="A109" s="653" t="s">
        <v>141</v>
      </c>
      <c r="B109" s="452" t="s">
        <v>142</v>
      </c>
      <c r="C109" s="654" t="s">
        <v>142</v>
      </c>
      <c r="D109" s="655">
        <v>304.16500000000002</v>
      </c>
      <c r="E109" s="656">
        <v>0</v>
      </c>
      <c r="F109" s="656">
        <v>0</v>
      </c>
      <c r="G109" s="657">
        <v>0</v>
      </c>
      <c r="H109" s="657">
        <v>0</v>
      </c>
      <c r="I109" s="657">
        <v>30609.000000000004</v>
      </c>
      <c r="J109" s="656">
        <v>0</v>
      </c>
      <c r="K109" s="656">
        <v>0</v>
      </c>
      <c r="L109" s="658" t="s">
        <v>356</v>
      </c>
      <c r="M109" s="659">
        <f t="array" ref="M109">INDEX(UtilityList!Q$4:Q$251,MATCH('Table 2.3b'!$A109&amp;'Table 2.3b'!$B109&amp;'Table 2.3b'!$C109,UtilityList!$A$4:$A$251&amp;UtilityList!$B$4:$B$251&amp;UtilityList!$C$4:$C$251,0))</f>
        <v>0</v>
      </c>
      <c r="N109" s="382" t="str">
        <f t="array" ref="N109">IFERROR(INDEX(UtilityList!J$4:J$251,MATCH('Table 2.3b'!$A109&amp;'Table 2.3b'!$B109&amp;'Table 2.3b'!$C109,UtilityList!$A$4:$A$251&amp;UtilityList!$B$4:$B$251&amp;UtilityList!$C$4:$C$251,0)),INDEX(UtilityList!J$4:J$251,MATCH('Table 2.3b'!$A109&amp;'Table 2.3b'!$C109,UtilityList!$A$4:$A$251&amp;UtilityList!$C$4:$C$251,0)))</f>
        <v>Yukon-Koyukuk/Upper Tanana</v>
      </c>
      <c r="O109" s="382" t="str">
        <f t="array" ref="O109">IFERROR(INDEX(UtilityList!K$4:K$251,MATCH('Table 2.3b'!$A109&amp;'Table 2.3b'!$B109&amp;'Table 2.3b'!$C109,UtilityList!$A$4:$A$251&amp;UtilityList!$B$4:$B$251&amp;UtilityList!$C$4:$C$251,0)),INDEX(UtilityList!K$4:K$251,MATCH('Table 2.3b'!$A109&amp;'Table 2.3b'!$C109,UtilityList!$A$4:$A$251&amp;UtilityList!$C$4:$C$251,0)))</f>
        <v>Yukon-Koyukuk (CA)</v>
      </c>
      <c r="P109" s="382" t="str">
        <f t="array" ref="P109">IFERROR(INDEX(UtilityList!L$4:L$251,MATCH('Table 2.3b'!$A109&amp;'Table 2.3b'!$B109&amp;'Table 2.3b'!$C109,UtilityList!$A$4:$A$251&amp;UtilityList!$B$4:$B$251&amp;UtilityList!$C$4:$C$251,0)),INDEX(UtilityList!L$4:L$251,MATCH('Table 2.3b'!$A109&amp;'Table 2.3b'!$C109,UtilityList!$A$4:$A$251&amp;UtilityList!$C$4:$C$251,0)))</f>
        <v>Doyon</v>
      </c>
      <c r="Q109" s="382" t="str">
        <f t="array" ref="Q109">IFERROR(INDEX(UtilityList!M$4:M$251,MATCH('Table 2.3b'!$A109&amp;'Table 2.3b'!$B109&amp;'Table 2.3b'!$C109,UtilityList!$A$4:$A$251&amp;UtilityList!$B$4:$B$251&amp;UtilityList!$C$4:$C$251,0)),INDEX(UtilityList!M$4:M$251,MATCH('Table 2.3b'!$A109&amp;'Table 2.3b'!$C109,UtilityList!$A$4:$A$251&amp;UtilityList!$C$4:$C$251,0)))</f>
        <v>YU</v>
      </c>
    </row>
    <row r="110" spans="1:17" customFormat="1" x14ac:dyDescent="0.25">
      <c r="A110" s="653" t="s">
        <v>143</v>
      </c>
      <c r="B110" s="452" t="s">
        <v>144</v>
      </c>
      <c r="C110" s="654" t="s">
        <v>144</v>
      </c>
      <c r="D110" s="655">
        <v>308.27600000000001</v>
      </c>
      <c r="E110" s="656">
        <v>0</v>
      </c>
      <c r="F110" s="656">
        <v>0</v>
      </c>
      <c r="G110" s="657">
        <v>0</v>
      </c>
      <c r="H110" s="657">
        <v>0</v>
      </c>
      <c r="I110" s="657">
        <v>29631</v>
      </c>
      <c r="J110" s="656">
        <v>0</v>
      </c>
      <c r="K110" s="656">
        <v>0</v>
      </c>
      <c r="L110" s="658" t="s">
        <v>356</v>
      </c>
      <c r="M110" s="659">
        <f t="array" ref="M110">INDEX(UtilityList!Q$4:Q$251,MATCH('Table 2.3b'!$A110&amp;'Table 2.3b'!$B110&amp;'Table 2.3b'!$C110,UtilityList!$A$4:$A$251&amp;UtilityList!$B$4:$B$251&amp;UtilityList!$C$4:$C$251,0))</f>
        <v>0</v>
      </c>
      <c r="N110" s="382" t="str">
        <f t="array" ref="N110">IFERROR(INDEX(UtilityList!J$4:J$251,MATCH('Table 2.3b'!$A110&amp;'Table 2.3b'!$B110&amp;'Table 2.3b'!$C110,UtilityList!$A$4:$A$251&amp;UtilityList!$B$4:$B$251&amp;UtilityList!$C$4:$C$251,0)),INDEX(UtilityList!J$4:J$251,MATCH('Table 2.3b'!$A110&amp;'Table 2.3b'!$C110,UtilityList!$A$4:$A$251&amp;UtilityList!$C$4:$C$251,0)))</f>
        <v>Copper River/Chugach</v>
      </c>
      <c r="O110" s="382" t="str">
        <f t="array" ref="O110">IFERROR(INDEX(UtilityList!K$4:K$251,MATCH('Table 2.3b'!$A110&amp;'Table 2.3b'!$B110&amp;'Table 2.3b'!$C110,UtilityList!$A$4:$A$251&amp;UtilityList!$B$4:$B$251&amp;UtilityList!$C$4:$C$251,0)),INDEX(UtilityList!K$4:K$251,MATCH('Table 2.3b'!$A110&amp;'Table 2.3b'!$C110,UtilityList!$A$4:$A$251&amp;UtilityList!$C$4:$C$251,0)))</f>
        <v>Valdez-Cordova (CA)</v>
      </c>
      <c r="P110" s="382" t="str">
        <f t="array" ref="P110">IFERROR(INDEX(UtilityList!L$4:L$251,MATCH('Table 2.3b'!$A110&amp;'Table 2.3b'!$B110&amp;'Table 2.3b'!$C110,UtilityList!$A$4:$A$251&amp;UtilityList!$B$4:$B$251&amp;UtilityList!$C$4:$C$251,0)),INDEX(UtilityList!L$4:L$251,MATCH('Table 2.3b'!$A110&amp;'Table 2.3b'!$C110,UtilityList!$A$4:$A$251&amp;UtilityList!$C$4:$C$251,0)))</f>
        <v>Chugach</v>
      </c>
      <c r="Q110" s="382" t="str">
        <f t="array" ref="Q110">IFERROR(INDEX(UtilityList!M$4:M$251,MATCH('Table 2.3b'!$A110&amp;'Table 2.3b'!$B110&amp;'Table 2.3b'!$C110,UtilityList!$A$4:$A$251&amp;UtilityList!$B$4:$B$251&amp;UtilityList!$C$4:$C$251,0)),INDEX(UtilityList!M$4:M$251,MATCH('Table 2.3b'!$A110&amp;'Table 2.3b'!$C110,UtilityList!$A$4:$A$251&amp;UtilityList!$C$4:$C$251,0)))</f>
        <v>SC</v>
      </c>
    </row>
    <row r="111" spans="1:17" s="169" customFormat="1" ht="30" x14ac:dyDescent="0.25">
      <c r="A111" s="653" t="s">
        <v>145</v>
      </c>
      <c r="B111" s="452" t="s">
        <v>146</v>
      </c>
      <c r="C111" s="654" t="s">
        <v>146</v>
      </c>
      <c r="D111" s="655">
        <v>506.53100000000001</v>
      </c>
      <c r="E111" s="656">
        <v>0</v>
      </c>
      <c r="F111" s="656">
        <v>0</v>
      </c>
      <c r="G111" s="657">
        <v>0</v>
      </c>
      <c r="H111" s="657">
        <v>0</v>
      </c>
      <c r="I111" s="657">
        <v>43418</v>
      </c>
      <c r="J111" s="656">
        <v>0</v>
      </c>
      <c r="K111" s="656">
        <v>0</v>
      </c>
      <c r="L111" s="658" t="s">
        <v>356</v>
      </c>
      <c r="M111" s="659">
        <f t="array" ref="M111">INDEX(UtilityList!Q$4:Q$251,MATCH('Table 2.3b'!$A111&amp;'Table 2.3b'!$B111&amp;'Table 2.3b'!$C111,UtilityList!$A$4:$A$251&amp;UtilityList!$B$4:$B$251&amp;UtilityList!$C$4:$C$251,0))</f>
        <v>0</v>
      </c>
      <c r="N111" s="382" t="str">
        <f t="array" ref="N111">IFERROR(INDEX(UtilityList!J$4:J$251,MATCH('Table 2.3b'!$A111&amp;'Table 2.3b'!$B111&amp;'Table 2.3b'!$C111,UtilityList!$A$4:$A$251&amp;UtilityList!$B$4:$B$251&amp;UtilityList!$C$4:$C$251,0)),INDEX(UtilityList!J$4:J$251,MATCH('Table 2.3b'!$A111&amp;'Table 2.3b'!$C111,UtilityList!$A$4:$A$251&amp;UtilityList!$C$4:$C$251,0)))</f>
        <v>Bristol Bay</v>
      </c>
      <c r="O111" s="382" t="str">
        <f t="array" ref="O111">IFERROR(INDEX(UtilityList!K$4:K$251,MATCH('Table 2.3b'!$A111&amp;'Table 2.3b'!$B111&amp;'Table 2.3b'!$C111,UtilityList!$A$4:$A$251&amp;UtilityList!$B$4:$B$251&amp;UtilityList!$C$4:$C$251,0)),INDEX(UtilityList!K$4:K$251,MATCH('Table 2.3b'!$A111&amp;'Table 2.3b'!$C111,UtilityList!$A$4:$A$251&amp;UtilityList!$C$4:$C$251,0)))</f>
        <v>Lake and Peninsula</v>
      </c>
      <c r="P111" s="382" t="str">
        <f t="array" ref="P111">IFERROR(INDEX(UtilityList!L$4:L$251,MATCH('Table 2.3b'!$A111&amp;'Table 2.3b'!$B111&amp;'Table 2.3b'!$C111,UtilityList!$A$4:$A$251&amp;UtilityList!$B$4:$B$251&amp;UtilityList!$C$4:$C$251,0)),INDEX(UtilityList!L$4:L$251,MATCH('Table 2.3b'!$A111&amp;'Table 2.3b'!$C111,UtilityList!$A$4:$A$251&amp;UtilityList!$C$4:$C$251,0)))</f>
        <v>Bristol Bay</v>
      </c>
      <c r="Q111" s="382" t="str">
        <f t="array" ref="Q111">IFERROR(INDEX(UtilityList!M$4:M$251,MATCH('Table 2.3b'!$A111&amp;'Table 2.3b'!$B111&amp;'Table 2.3b'!$C111,UtilityList!$A$4:$A$251&amp;UtilityList!$B$4:$B$251&amp;UtilityList!$C$4:$C$251,0)),INDEX(UtilityList!M$4:M$251,MATCH('Table 2.3b'!$A111&amp;'Table 2.3b'!$C111,UtilityList!$A$4:$A$251&amp;UtilityList!$C$4:$C$251,0)))</f>
        <v>SW</v>
      </c>
    </row>
    <row r="112" spans="1:17" s="169" customFormat="1" ht="30" x14ac:dyDescent="0.25">
      <c r="A112" s="653" t="s">
        <v>147</v>
      </c>
      <c r="B112" s="452" t="s">
        <v>148</v>
      </c>
      <c r="C112" s="654" t="s">
        <v>148</v>
      </c>
      <c r="D112" s="655">
        <v>199.04300000000001</v>
      </c>
      <c r="E112" s="656">
        <v>0</v>
      </c>
      <c r="F112" s="656">
        <v>0</v>
      </c>
      <c r="G112" s="657">
        <v>0</v>
      </c>
      <c r="H112" s="657">
        <v>0</v>
      </c>
      <c r="I112" s="657">
        <v>17351</v>
      </c>
      <c r="J112" s="656">
        <v>0</v>
      </c>
      <c r="K112" s="656">
        <v>0</v>
      </c>
      <c r="L112" s="658" t="s">
        <v>356</v>
      </c>
      <c r="M112" s="659">
        <f t="array" ref="M112">INDEX(UtilityList!Q$4:Q$251,MATCH('Table 2.3b'!$A112&amp;'Table 2.3b'!$B112&amp;'Table 2.3b'!$C112,UtilityList!$A$4:$A$251&amp;UtilityList!$B$4:$B$251&amp;UtilityList!$C$4:$C$251,0))</f>
        <v>0</v>
      </c>
      <c r="N112" s="382" t="str">
        <f t="array" ref="N112">IFERROR(INDEX(UtilityList!J$4:J$251,MATCH('Table 2.3b'!$A112&amp;'Table 2.3b'!$B112&amp;'Table 2.3b'!$C112,UtilityList!$A$4:$A$251&amp;UtilityList!$B$4:$B$251&amp;UtilityList!$C$4:$C$251,0)),INDEX(UtilityList!J$4:J$251,MATCH('Table 2.3b'!$A112&amp;'Table 2.3b'!$C112,UtilityList!$A$4:$A$251&amp;UtilityList!$C$4:$C$251,0)))</f>
        <v>Bristol Bay</v>
      </c>
      <c r="O112" s="382" t="str">
        <f t="array" ref="O112">IFERROR(INDEX(UtilityList!K$4:K$251,MATCH('Table 2.3b'!$A112&amp;'Table 2.3b'!$B112&amp;'Table 2.3b'!$C112,UtilityList!$A$4:$A$251&amp;UtilityList!$B$4:$B$251&amp;UtilityList!$C$4:$C$251,0)),INDEX(UtilityList!K$4:K$251,MATCH('Table 2.3b'!$A112&amp;'Table 2.3b'!$C112,UtilityList!$A$4:$A$251&amp;UtilityList!$C$4:$C$251,0)))</f>
        <v>Lake and Peninsula</v>
      </c>
      <c r="P112" s="382" t="str">
        <f t="array" ref="P112">IFERROR(INDEX(UtilityList!L$4:L$251,MATCH('Table 2.3b'!$A112&amp;'Table 2.3b'!$B112&amp;'Table 2.3b'!$C112,UtilityList!$A$4:$A$251&amp;UtilityList!$B$4:$B$251&amp;UtilityList!$C$4:$C$251,0)),INDEX(UtilityList!L$4:L$251,MATCH('Table 2.3b'!$A112&amp;'Table 2.3b'!$C112,UtilityList!$A$4:$A$251&amp;UtilityList!$C$4:$C$251,0)))</f>
        <v>Bristol Bay</v>
      </c>
      <c r="Q112" s="382" t="str">
        <f t="array" ref="Q112">IFERROR(INDEX(UtilityList!M$4:M$251,MATCH('Table 2.3b'!$A112&amp;'Table 2.3b'!$B112&amp;'Table 2.3b'!$C112,UtilityList!$A$4:$A$251&amp;UtilityList!$B$4:$B$251&amp;UtilityList!$C$4:$C$251,0)),INDEX(UtilityList!M$4:M$251,MATCH('Table 2.3b'!$A112&amp;'Table 2.3b'!$C112,UtilityList!$A$4:$A$251&amp;UtilityList!$C$4:$C$251,0)))</f>
        <v>SW</v>
      </c>
    </row>
    <row r="113" spans="1:17" s="169" customFormat="1" x14ac:dyDescent="0.25">
      <c r="A113" s="653" t="s">
        <v>149</v>
      </c>
      <c r="B113" s="452" t="s">
        <v>150</v>
      </c>
      <c r="C113" s="654" t="s">
        <v>150</v>
      </c>
      <c r="D113" s="655">
        <v>868.08199999999999</v>
      </c>
      <c r="E113" s="656">
        <v>0</v>
      </c>
      <c r="F113" s="656">
        <v>0</v>
      </c>
      <c r="G113" s="657">
        <v>0</v>
      </c>
      <c r="H113" s="657">
        <v>0</v>
      </c>
      <c r="I113" s="657">
        <v>68013.455000000002</v>
      </c>
      <c r="J113" s="656">
        <v>0</v>
      </c>
      <c r="K113" s="656">
        <v>0</v>
      </c>
      <c r="L113" s="658" t="s">
        <v>356</v>
      </c>
      <c r="M113" s="659">
        <f t="array" ref="M113">INDEX(UtilityList!Q$4:Q$251,MATCH('Table 2.3b'!$A113&amp;'Table 2.3b'!$B113&amp;'Table 2.3b'!$C113,UtilityList!$A$4:$A$251&amp;UtilityList!$B$4:$B$251&amp;UtilityList!$C$4:$C$251,0))</f>
        <v>0</v>
      </c>
      <c r="N113" s="382" t="str">
        <f t="array" ref="N113">IFERROR(INDEX(UtilityList!J$4:J$251,MATCH('Table 2.3b'!$A113&amp;'Table 2.3b'!$B113&amp;'Table 2.3b'!$C113,UtilityList!$A$4:$A$251&amp;UtilityList!$B$4:$B$251&amp;UtilityList!$C$4:$C$251,0)),INDEX(UtilityList!J$4:J$251,MATCH('Table 2.3b'!$A113&amp;'Table 2.3b'!$C113,UtilityList!$A$4:$A$251&amp;UtilityList!$C$4:$C$251,0)))</f>
        <v>Bristol Bay</v>
      </c>
      <c r="O113" s="382" t="str">
        <f t="array" ref="O113">IFERROR(INDEX(UtilityList!K$4:K$251,MATCH('Table 2.3b'!$A113&amp;'Table 2.3b'!$B113&amp;'Table 2.3b'!$C113,UtilityList!$A$4:$A$251&amp;UtilityList!$B$4:$B$251&amp;UtilityList!$C$4:$C$251,0)),INDEX(UtilityList!K$4:K$251,MATCH('Table 2.3b'!$A113&amp;'Table 2.3b'!$C113,UtilityList!$A$4:$A$251&amp;UtilityList!$C$4:$C$251,0)))</f>
        <v>Lake and Peninsula</v>
      </c>
      <c r="P113" s="382" t="str">
        <f t="array" ref="P113">IFERROR(INDEX(UtilityList!L$4:L$251,MATCH('Table 2.3b'!$A113&amp;'Table 2.3b'!$B113&amp;'Table 2.3b'!$C113,UtilityList!$A$4:$A$251&amp;UtilityList!$B$4:$B$251&amp;UtilityList!$C$4:$C$251,0)),INDEX(UtilityList!L$4:L$251,MATCH('Table 2.3b'!$A113&amp;'Table 2.3b'!$C113,UtilityList!$A$4:$A$251&amp;UtilityList!$C$4:$C$251,0)))</f>
        <v>Bristol Bay</v>
      </c>
      <c r="Q113" s="382" t="str">
        <f t="array" ref="Q113">IFERROR(INDEX(UtilityList!M$4:M$251,MATCH('Table 2.3b'!$A113&amp;'Table 2.3b'!$B113&amp;'Table 2.3b'!$C113,UtilityList!$A$4:$A$251&amp;UtilityList!$B$4:$B$251&amp;UtilityList!$C$4:$C$251,0)),INDEX(UtilityList!M$4:M$251,MATCH('Table 2.3b'!$A113&amp;'Table 2.3b'!$C113,UtilityList!$A$4:$A$251&amp;UtilityList!$C$4:$C$251,0)))</f>
        <v>SW</v>
      </c>
    </row>
    <row r="114" spans="1:17" s="169" customFormat="1" x14ac:dyDescent="0.25">
      <c r="A114" s="653" t="s">
        <v>151</v>
      </c>
      <c r="B114" s="452" t="s">
        <v>152</v>
      </c>
      <c r="C114" s="654" t="s">
        <v>152</v>
      </c>
      <c r="D114" s="655">
        <v>519.23599999999999</v>
      </c>
      <c r="E114" s="656">
        <v>0</v>
      </c>
      <c r="F114" s="656">
        <v>0</v>
      </c>
      <c r="G114" s="657">
        <v>0</v>
      </c>
      <c r="H114" s="657">
        <v>0</v>
      </c>
      <c r="I114" s="657">
        <v>41918</v>
      </c>
      <c r="J114" s="656">
        <v>0</v>
      </c>
      <c r="K114" s="656">
        <v>0</v>
      </c>
      <c r="L114" s="658" t="s">
        <v>356</v>
      </c>
      <c r="M114" s="659">
        <f t="array" ref="M114">INDEX(UtilityList!Q$4:Q$251,MATCH('Table 2.3b'!$A114&amp;'Table 2.3b'!$B114&amp;'Table 2.3b'!$C114,UtilityList!$A$4:$A$251&amp;UtilityList!$B$4:$B$251&amp;UtilityList!$C$4:$C$251,0))</f>
        <v>0</v>
      </c>
      <c r="N114" s="382" t="str">
        <f t="array" ref="N114">IFERROR(INDEX(UtilityList!J$4:J$251,MATCH('Table 2.3b'!$A114&amp;'Table 2.3b'!$B114&amp;'Table 2.3b'!$C114,UtilityList!$A$4:$A$251&amp;UtilityList!$B$4:$B$251&amp;UtilityList!$C$4:$C$251,0)),INDEX(UtilityList!J$4:J$251,MATCH('Table 2.3b'!$A114&amp;'Table 2.3b'!$C114,UtilityList!$A$4:$A$251&amp;UtilityList!$C$4:$C$251,0)))</f>
        <v>Copper River/Chugach</v>
      </c>
      <c r="O114" s="382" t="str">
        <f t="array" ref="O114">IFERROR(INDEX(UtilityList!K$4:K$251,MATCH('Table 2.3b'!$A114&amp;'Table 2.3b'!$B114&amp;'Table 2.3b'!$C114,UtilityList!$A$4:$A$251&amp;UtilityList!$B$4:$B$251&amp;UtilityList!$C$4:$C$251,0)),INDEX(UtilityList!K$4:K$251,MATCH('Table 2.3b'!$A114&amp;'Table 2.3b'!$C114,UtilityList!$A$4:$A$251&amp;UtilityList!$C$4:$C$251,0)))</f>
        <v>Valdez-Cordova (CA)</v>
      </c>
      <c r="P114" s="382" t="str">
        <f t="array" ref="P114">IFERROR(INDEX(UtilityList!L$4:L$251,MATCH('Table 2.3b'!$A114&amp;'Table 2.3b'!$B114&amp;'Table 2.3b'!$C114,UtilityList!$A$4:$A$251&amp;UtilityList!$B$4:$B$251&amp;UtilityList!$C$4:$C$251,0)),INDEX(UtilityList!L$4:L$251,MATCH('Table 2.3b'!$A114&amp;'Table 2.3b'!$C114,UtilityList!$A$4:$A$251&amp;UtilityList!$C$4:$C$251,0)))</f>
        <v>Ahtna</v>
      </c>
      <c r="Q114" s="382" t="str">
        <f t="array" ref="Q114">IFERROR(INDEX(UtilityList!M$4:M$251,MATCH('Table 2.3b'!$A114&amp;'Table 2.3b'!$B114&amp;'Table 2.3b'!$C114,UtilityList!$A$4:$A$251&amp;UtilityList!$B$4:$B$251&amp;UtilityList!$C$4:$C$251,0)),INDEX(UtilityList!M$4:M$251,MATCH('Table 2.3b'!$A114&amp;'Table 2.3b'!$C114,UtilityList!$A$4:$A$251&amp;UtilityList!$C$4:$C$251,0)))</f>
        <v>SC</v>
      </c>
    </row>
    <row r="115" spans="1:17" customFormat="1" ht="30" x14ac:dyDescent="0.25">
      <c r="A115" s="360" t="s">
        <v>153</v>
      </c>
      <c r="B115" s="452" t="s">
        <v>157</v>
      </c>
      <c r="C115" s="361"/>
      <c r="D115" s="644">
        <v>0</v>
      </c>
      <c r="E115" s="644">
        <v>2281306</v>
      </c>
      <c r="F115" s="656">
        <v>0</v>
      </c>
      <c r="G115" s="661">
        <v>0</v>
      </c>
      <c r="H115" s="644">
        <v>0</v>
      </c>
      <c r="I115" s="644">
        <v>0</v>
      </c>
      <c r="J115" s="644">
        <v>24008970</v>
      </c>
      <c r="K115" s="656">
        <v>0</v>
      </c>
      <c r="L115" s="658" t="s">
        <v>558</v>
      </c>
      <c r="M115" s="659">
        <f t="array" ref="M115">INDEX(UtilityList!Q$4:Q$251,MATCH('Table 2.3b'!$A115&amp;'Table 2.3b'!$B115&amp;'Table 2.3b'!$C115,UtilityList!$A$4:$A$251&amp;UtilityList!$B$4:$B$251&amp;UtilityList!$C$4:$C$251,0))</f>
        <v>0</v>
      </c>
      <c r="N115" s="382" t="str">
        <f t="array" ref="N115">IFERROR(INDEX(UtilityList!J$4:J$251,MATCH('Table 2.3b'!$A115&amp;'Table 2.3b'!$B115&amp;'Table 2.3b'!$C115,UtilityList!$A$4:$A$251&amp;UtilityList!$B$4:$B$251&amp;UtilityList!$C$4:$C$251,0)),INDEX(UtilityList!J$4:J$251,MATCH('Table 2.3b'!$A115&amp;'Table 2.3b'!$C115,UtilityList!$A$4:$A$251&amp;UtilityList!$C$4:$C$251,0)))</f>
        <v>Railbelt</v>
      </c>
      <c r="O115" s="382" t="str">
        <f t="array" ref="O115">IFERROR(INDEX(UtilityList!K$4:K$251,MATCH('Table 2.3b'!$A115&amp;'Table 2.3b'!$B115&amp;'Table 2.3b'!$C115,UtilityList!$A$4:$A$251&amp;UtilityList!$B$4:$B$251&amp;UtilityList!$C$4:$C$251,0)),INDEX(UtilityList!K$4:K$251,MATCH('Table 2.3b'!$A115&amp;'Table 2.3b'!$C115,UtilityList!$A$4:$A$251&amp;UtilityList!$C$4:$C$251,0)))</f>
        <v>Anchorage</v>
      </c>
      <c r="P115" s="382" t="str">
        <f t="array" ref="P115">IFERROR(INDEX(UtilityList!L$4:L$251,MATCH('Table 2.3b'!$A115&amp;'Table 2.3b'!$B115&amp;'Table 2.3b'!$C115,UtilityList!$A$4:$A$251&amp;UtilityList!$B$4:$B$251&amp;UtilityList!$C$4:$C$251,0)),INDEX(UtilityList!L$4:L$251,MATCH('Table 2.3b'!$A115&amp;'Table 2.3b'!$C115,UtilityList!$A$4:$A$251&amp;UtilityList!$C$4:$C$251,0)))</f>
        <v>Cook Inlet</v>
      </c>
      <c r="Q115" s="382" t="str">
        <f t="array" ref="Q115">IFERROR(INDEX(UtilityList!M$4:M$251,MATCH('Table 2.3b'!$A115&amp;'Table 2.3b'!$B115&amp;'Table 2.3b'!$C115,UtilityList!$A$4:$A$251&amp;UtilityList!$B$4:$B$251&amp;UtilityList!$C$4:$C$251,0)),INDEX(UtilityList!M$4:M$251,MATCH('Table 2.3b'!$A115&amp;'Table 2.3b'!$C115,UtilityList!$A$4:$A$251&amp;UtilityList!$C$4:$C$251,0)))</f>
        <v>SC</v>
      </c>
    </row>
    <row r="116" spans="1:17" customFormat="1" ht="30" x14ac:dyDescent="0.25">
      <c r="A116" s="360" t="s">
        <v>153</v>
      </c>
      <c r="B116" s="388" t="s">
        <v>155</v>
      </c>
      <c r="C116" s="361"/>
      <c r="D116" s="644">
        <v>41995</v>
      </c>
      <c r="E116" s="656">
        <v>0</v>
      </c>
      <c r="F116" s="656">
        <v>0</v>
      </c>
      <c r="G116" s="661">
        <v>0</v>
      </c>
      <c r="H116" s="644">
        <v>0</v>
      </c>
      <c r="I116" s="644">
        <v>0</v>
      </c>
      <c r="J116" s="644">
        <v>601772</v>
      </c>
      <c r="K116" s="656">
        <v>0</v>
      </c>
      <c r="L116" s="658" t="s">
        <v>558</v>
      </c>
      <c r="M116" s="659">
        <f t="array" ref="M116">INDEX(UtilityList!Q$4:Q$251,MATCH('Table 2.3b'!$A116&amp;'Table 2.3b'!$B116&amp;'Table 2.3b'!$C116,UtilityList!$A$4:$A$251&amp;UtilityList!$B$4:$B$251&amp;UtilityList!$C$4:$C$251,0))</f>
        <v>0</v>
      </c>
      <c r="N116" s="382" t="str">
        <f t="array" ref="N116">IFERROR(INDEX(UtilityList!J$4:J$251,MATCH('Table 2.3b'!$A116&amp;'Table 2.3b'!$B116&amp;'Table 2.3b'!$C116,UtilityList!$A$4:$A$251&amp;UtilityList!$B$4:$B$251&amp;UtilityList!$C$4:$C$251,0)),INDEX(UtilityList!J$4:J$251,MATCH('Table 2.3b'!$A116&amp;'Table 2.3b'!$C116,UtilityList!$A$4:$A$251&amp;UtilityList!$C$4:$C$251,0)))</f>
        <v>Railbelt</v>
      </c>
      <c r="O116" s="382" t="str">
        <f t="array" ref="O116">IFERROR(INDEX(UtilityList!K$4:K$251,MATCH('Table 2.3b'!$A116&amp;'Table 2.3b'!$B116&amp;'Table 2.3b'!$C116,UtilityList!$A$4:$A$251&amp;UtilityList!$B$4:$B$251&amp;UtilityList!$C$4:$C$251,0)),INDEX(UtilityList!K$4:K$251,MATCH('Table 2.3b'!$A116&amp;'Table 2.3b'!$C116,UtilityList!$A$4:$A$251&amp;UtilityList!$C$4:$C$251,0)))</f>
        <v>Kenai Peninsula</v>
      </c>
      <c r="P116" s="382" t="str">
        <f t="array" ref="P116">IFERROR(INDEX(UtilityList!L$4:L$251,MATCH('Table 2.3b'!$A116&amp;'Table 2.3b'!$B116&amp;'Table 2.3b'!$C116,UtilityList!$A$4:$A$251&amp;UtilityList!$B$4:$B$251&amp;UtilityList!$C$4:$C$251,0)),INDEX(UtilityList!L$4:L$251,MATCH('Table 2.3b'!$A116&amp;'Table 2.3b'!$C116,UtilityList!$A$4:$A$251&amp;UtilityList!$C$4:$C$251,0)))</f>
        <v>Cook Inlet</v>
      </c>
      <c r="Q116" s="382" t="str">
        <f t="array" ref="Q116">IFERROR(INDEX(UtilityList!M$4:M$251,MATCH('Table 2.3b'!$A116&amp;'Table 2.3b'!$B116&amp;'Table 2.3b'!$C116,UtilityList!$A$4:$A$251&amp;UtilityList!$B$4:$B$251&amp;UtilityList!$C$4:$C$251,0)),INDEX(UtilityList!M$4:M$251,MATCH('Table 2.3b'!$A116&amp;'Table 2.3b'!$C116,UtilityList!$A$4:$A$251&amp;UtilityList!$C$4:$C$251,0)))</f>
        <v>SC</v>
      </c>
    </row>
    <row r="117" spans="1:17" customFormat="1" ht="30" x14ac:dyDescent="0.25">
      <c r="A117" s="360" t="s">
        <v>153</v>
      </c>
      <c r="B117" s="388" t="s">
        <v>159</v>
      </c>
      <c r="C117" s="361"/>
      <c r="D117" s="644">
        <v>0</v>
      </c>
      <c r="E117" s="656">
        <v>0</v>
      </c>
      <c r="F117" s="656">
        <v>0</v>
      </c>
      <c r="G117" s="644">
        <v>28759</v>
      </c>
      <c r="H117" s="644">
        <v>0</v>
      </c>
      <c r="I117" s="644">
        <v>0</v>
      </c>
      <c r="J117" s="656">
        <v>0</v>
      </c>
      <c r="K117" s="656">
        <v>0</v>
      </c>
      <c r="L117" s="658" t="s">
        <v>558</v>
      </c>
      <c r="M117" s="659">
        <f t="array" ref="M117">INDEX(UtilityList!Q$4:Q$251,MATCH('Table 2.3b'!$A117&amp;'Table 2.3b'!$B117&amp;'Table 2.3b'!$C117,UtilityList!$A$4:$A$251&amp;UtilityList!$B$4:$B$251&amp;UtilityList!$C$4:$C$251,0))</f>
        <v>0</v>
      </c>
      <c r="N117" s="382" t="str">
        <f t="array" ref="N117">IFERROR(INDEX(UtilityList!J$4:J$251,MATCH('Table 2.3b'!$A117&amp;'Table 2.3b'!$B117&amp;'Table 2.3b'!$C117,UtilityList!$A$4:$A$251&amp;UtilityList!$B$4:$B$251&amp;UtilityList!$C$4:$C$251,0)),INDEX(UtilityList!J$4:J$251,MATCH('Table 2.3b'!$A117&amp;'Table 2.3b'!$C117,UtilityList!$A$4:$A$251&amp;UtilityList!$C$4:$C$251,0)))</f>
        <v>Railbelt</v>
      </c>
      <c r="O117" s="382" t="str">
        <f t="array" ref="O117">IFERROR(INDEX(UtilityList!K$4:K$251,MATCH('Table 2.3b'!$A117&amp;'Table 2.3b'!$B117&amp;'Table 2.3b'!$C117,UtilityList!$A$4:$A$251&amp;UtilityList!$B$4:$B$251&amp;UtilityList!$C$4:$C$251,0)),INDEX(UtilityList!K$4:K$251,MATCH('Table 2.3b'!$A117&amp;'Table 2.3b'!$C117,UtilityList!$A$4:$A$251&amp;UtilityList!$C$4:$C$251,0)))</f>
        <v>Anchorage</v>
      </c>
      <c r="P117" s="382" t="str">
        <f t="array" ref="P117">IFERROR(INDEX(UtilityList!L$4:L$251,MATCH('Table 2.3b'!$A117&amp;'Table 2.3b'!$B117&amp;'Table 2.3b'!$C117,UtilityList!$A$4:$A$251&amp;UtilityList!$B$4:$B$251&amp;UtilityList!$C$4:$C$251,0)),INDEX(UtilityList!L$4:L$251,MATCH('Table 2.3b'!$A117&amp;'Table 2.3b'!$C117,UtilityList!$A$4:$A$251&amp;UtilityList!$C$4:$C$251,0)))</f>
        <v>Cook Inlet</v>
      </c>
      <c r="Q117" s="382" t="str">
        <f t="array" ref="Q117">IFERROR(INDEX(UtilityList!M$4:M$251,MATCH('Table 2.3b'!$A117&amp;'Table 2.3b'!$B117&amp;'Table 2.3b'!$C117,UtilityList!$A$4:$A$251&amp;UtilityList!$B$4:$B$251&amp;UtilityList!$C$4:$C$251,0)),INDEX(UtilityList!M$4:M$251,MATCH('Table 2.3b'!$A117&amp;'Table 2.3b'!$C117,UtilityList!$A$4:$A$251&amp;UtilityList!$C$4:$C$251,0)))</f>
        <v>SC</v>
      </c>
    </row>
    <row r="118" spans="1:17" customFormat="1" ht="33.75" customHeight="1" x14ac:dyDescent="0.25">
      <c r="A118" s="360" t="s">
        <v>153</v>
      </c>
      <c r="B118" s="388" t="s">
        <v>154</v>
      </c>
      <c r="C118" s="361"/>
      <c r="D118" s="644">
        <v>21789</v>
      </c>
      <c r="E118" s="656">
        <v>0</v>
      </c>
      <c r="F118" s="656">
        <v>0</v>
      </c>
      <c r="G118" s="661">
        <v>0</v>
      </c>
      <c r="H118" s="644">
        <v>0</v>
      </c>
      <c r="I118" s="644">
        <v>0</v>
      </c>
      <c r="J118" s="644">
        <v>352079</v>
      </c>
      <c r="K118" s="656">
        <v>0</v>
      </c>
      <c r="L118" s="658" t="s">
        <v>558</v>
      </c>
      <c r="M118" s="659">
        <f t="array" ref="M118">INDEX(UtilityList!Q$4:Q$251,MATCH('Table 2.3b'!$A118&amp;'Table 2.3b'!$B118&amp;'Table 2.3b'!$C118,UtilityList!$A$4:$A$251&amp;UtilityList!$B$4:$B$251&amp;UtilityList!$C$4:$C$251,0))</f>
        <v>0</v>
      </c>
      <c r="N118" s="382" t="str">
        <f t="array" ref="N118">IFERROR(INDEX(UtilityList!J$4:J$251,MATCH('Table 2.3b'!$A118&amp;'Table 2.3b'!$B118&amp;'Table 2.3b'!$C118,UtilityList!$A$4:$A$251&amp;UtilityList!$B$4:$B$251&amp;UtilityList!$C$4:$C$251,0)),INDEX(UtilityList!J$4:J$251,MATCH('Table 2.3b'!$A118&amp;'Table 2.3b'!$C118,UtilityList!$A$4:$A$251&amp;UtilityList!$C$4:$C$251,0)))</f>
        <v>Railbelt</v>
      </c>
      <c r="O118" s="382" t="str">
        <f t="array" ref="O118">IFERROR(INDEX(UtilityList!K$4:K$251,MATCH('Table 2.3b'!$A118&amp;'Table 2.3b'!$B118&amp;'Table 2.3b'!$C118,UtilityList!$A$4:$A$251&amp;UtilityList!$B$4:$B$251&amp;UtilityList!$C$4:$C$251,0)),INDEX(UtilityList!K$4:K$251,MATCH('Table 2.3b'!$A118&amp;'Table 2.3b'!$C118,UtilityList!$A$4:$A$251&amp;UtilityList!$C$4:$C$251,0)))</f>
        <v>Anchorage</v>
      </c>
      <c r="P118" s="382" t="str">
        <f t="array" ref="P118">IFERROR(INDEX(UtilityList!L$4:L$251,MATCH('Table 2.3b'!$A118&amp;'Table 2.3b'!$B118&amp;'Table 2.3b'!$C118,UtilityList!$A$4:$A$251&amp;UtilityList!$B$4:$B$251&amp;UtilityList!$C$4:$C$251,0)),INDEX(UtilityList!L$4:L$251,MATCH('Table 2.3b'!$A118&amp;'Table 2.3b'!$C118,UtilityList!$A$4:$A$251&amp;UtilityList!$C$4:$C$251,0)))</f>
        <v>Cook Inlet</v>
      </c>
      <c r="Q118" s="382" t="str">
        <f t="array" ref="Q118">IFERROR(INDEX(UtilityList!M$4:M$251,MATCH('Table 2.3b'!$A118&amp;'Table 2.3b'!$B118&amp;'Table 2.3b'!$C118,UtilityList!$A$4:$A$251&amp;UtilityList!$B$4:$B$251&amp;UtilityList!$C$4:$C$251,0)),INDEX(UtilityList!M$4:M$251,MATCH('Table 2.3b'!$A118&amp;'Table 2.3b'!$C118,UtilityList!$A$4:$A$251&amp;UtilityList!$C$4:$C$251,0)))</f>
        <v>SC</v>
      </c>
    </row>
    <row r="119" spans="1:17" customFormat="1" ht="30" x14ac:dyDescent="0.25">
      <c r="A119" s="653" t="s">
        <v>160</v>
      </c>
      <c r="B119" s="452" t="s">
        <v>161</v>
      </c>
      <c r="C119" s="654" t="s">
        <v>161</v>
      </c>
      <c r="D119" s="655">
        <v>389.51</v>
      </c>
      <c r="E119" s="656">
        <v>0</v>
      </c>
      <c r="F119" s="656">
        <v>0</v>
      </c>
      <c r="G119" s="657">
        <v>0</v>
      </c>
      <c r="H119" s="657">
        <v>0</v>
      </c>
      <c r="I119" s="657">
        <v>36322</v>
      </c>
      <c r="J119" s="656">
        <v>0</v>
      </c>
      <c r="K119" s="656">
        <v>0</v>
      </c>
      <c r="L119" s="658" t="s">
        <v>356</v>
      </c>
      <c r="M119" s="659">
        <f t="array" ref="M119">INDEX(UtilityList!Q$4:Q$251,MATCH('Table 2.3b'!$A119&amp;'Table 2.3b'!$B119&amp;'Table 2.3b'!$C119,UtilityList!$A$4:$A$251&amp;UtilityList!$B$4:$B$251&amp;UtilityList!$C$4:$C$251,0))</f>
        <v>0</v>
      </c>
      <c r="N119" s="382" t="str">
        <f t="array" ref="N119">IFERROR(INDEX(UtilityList!J$4:J$251,MATCH('Table 2.3b'!$A119&amp;'Table 2.3b'!$B119&amp;'Table 2.3b'!$C119,UtilityList!$A$4:$A$251&amp;UtilityList!$B$4:$B$251&amp;UtilityList!$C$4:$C$251,0)),INDEX(UtilityList!J$4:J$251,MATCH('Table 2.3b'!$A119&amp;'Table 2.3b'!$C119,UtilityList!$A$4:$A$251&amp;UtilityList!$C$4:$C$251,0)))</f>
        <v>Yukon-Koyukuk/Upper Tanana</v>
      </c>
      <c r="O119" s="382" t="str">
        <f t="array" ref="O119">IFERROR(INDEX(UtilityList!K$4:K$251,MATCH('Table 2.3b'!$A119&amp;'Table 2.3b'!$B119&amp;'Table 2.3b'!$C119,UtilityList!$A$4:$A$251&amp;UtilityList!$B$4:$B$251&amp;UtilityList!$C$4:$C$251,0)),INDEX(UtilityList!K$4:K$251,MATCH('Table 2.3b'!$A119&amp;'Table 2.3b'!$C119,UtilityList!$A$4:$A$251&amp;UtilityList!$C$4:$C$251,0)))</f>
        <v>Yukon-Koyukuk (CA)</v>
      </c>
      <c r="P119" s="382" t="str">
        <f t="array" ref="P119">IFERROR(INDEX(UtilityList!L$4:L$251,MATCH('Table 2.3b'!$A119&amp;'Table 2.3b'!$B119&amp;'Table 2.3b'!$C119,UtilityList!$A$4:$A$251&amp;UtilityList!$B$4:$B$251&amp;UtilityList!$C$4:$C$251,0)),INDEX(UtilityList!L$4:L$251,MATCH('Table 2.3b'!$A119&amp;'Table 2.3b'!$C119,UtilityList!$A$4:$A$251&amp;UtilityList!$C$4:$C$251,0)))</f>
        <v>Doyon</v>
      </c>
      <c r="Q119" s="382" t="str">
        <f t="array" ref="Q119">IFERROR(INDEX(UtilityList!M$4:M$251,MATCH('Table 2.3b'!$A119&amp;'Table 2.3b'!$B119&amp;'Table 2.3b'!$C119,UtilityList!$A$4:$A$251&amp;UtilityList!$B$4:$B$251&amp;UtilityList!$C$4:$C$251,0)),INDEX(UtilityList!M$4:M$251,MATCH('Table 2.3b'!$A119&amp;'Table 2.3b'!$C119,UtilityList!$A$4:$A$251&amp;UtilityList!$C$4:$C$251,0)))</f>
        <v>YU</v>
      </c>
    </row>
    <row r="120" spans="1:17" customFormat="1" ht="30" x14ac:dyDescent="0.25">
      <c r="A120" s="360" t="s">
        <v>164</v>
      </c>
      <c r="B120" s="452" t="s">
        <v>165</v>
      </c>
      <c r="C120" s="361" t="s">
        <v>165</v>
      </c>
      <c r="D120" s="644">
        <v>15113</v>
      </c>
      <c r="E120" s="656">
        <v>0</v>
      </c>
      <c r="F120" s="656">
        <v>0</v>
      </c>
      <c r="G120" s="661">
        <v>0</v>
      </c>
      <c r="H120" s="644">
        <v>0</v>
      </c>
      <c r="I120" s="644">
        <v>1136226</v>
      </c>
      <c r="J120" s="656">
        <v>0</v>
      </c>
      <c r="K120" s="656">
        <v>0</v>
      </c>
      <c r="L120" s="658" t="s">
        <v>558</v>
      </c>
      <c r="M120" s="659">
        <f t="array" ref="M120">INDEX(UtilityList!Q$4:Q$251,MATCH('Table 2.3b'!$A120&amp;'Table 2.3b'!$B120&amp;'Table 2.3b'!$C120,UtilityList!$A$4:$A$251&amp;UtilityList!$B$4:$B$251&amp;UtilityList!$C$4:$C$251,0))</f>
        <v>0</v>
      </c>
      <c r="N120" s="382" t="str">
        <f t="array" ref="N120">IFERROR(INDEX(UtilityList!J$4:J$251,MATCH('Table 2.3b'!$A120&amp;'Table 2.3b'!$B120&amp;'Table 2.3b'!$C120,UtilityList!$A$4:$A$251&amp;UtilityList!$B$4:$B$251&amp;UtilityList!$C$4:$C$251,0)),INDEX(UtilityList!J$4:J$251,MATCH('Table 2.3b'!$A120&amp;'Table 2.3b'!$C120,UtilityList!$A$4:$A$251&amp;UtilityList!$C$4:$C$251,0)))</f>
        <v>Copper River/Chugach</v>
      </c>
      <c r="O120" s="382" t="str">
        <f t="array" ref="O120">IFERROR(INDEX(UtilityList!K$4:K$251,MATCH('Table 2.3b'!$A120&amp;'Table 2.3b'!$B120&amp;'Table 2.3b'!$C120,UtilityList!$A$4:$A$251&amp;UtilityList!$B$4:$B$251&amp;UtilityList!$C$4:$C$251,0)),INDEX(UtilityList!K$4:K$251,MATCH('Table 2.3b'!$A120&amp;'Table 2.3b'!$C120,UtilityList!$A$4:$A$251&amp;UtilityList!$C$4:$C$251,0)))</f>
        <v>Valdez-Cordova (CA)</v>
      </c>
      <c r="P120" s="382" t="str">
        <f t="array" ref="P120">IFERROR(INDEX(UtilityList!L$4:L$251,MATCH('Table 2.3b'!$A120&amp;'Table 2.3b'!$B120&amp;'Table 2.3b'!$C120,UtilityList!$A$4:$A$251&amp;UtilityList!$B$4:$B$251&amp;UtilityList!$C$4:$C$251,0)),INDEX(UtilityList!L$4:L$251,MATCH('Table 2.3b'!$A120&amp;'Table 2.3b'!$C120,UtilityList!$A$4:$A$251&amp;UtilityList!$C$4:$C$251,0)))</f>
        <v>Ahtna</v>
      </c>
      <c r="Q120" s="382" t="str">
        <f t="array" ref="Q120">IFERROR(INDEX(UtilityList!M$4:M$251,MATCH('Table 2.3b'!$A120&amp;'Table 2.3b'!$B120&amp;'Table 2.3b'!$C120,UtilityList!$A$4:$A$251&amp;UtilityList!$B$4:$B$251&amp;UtilityList!$C$4:$C$251,0)),INDEX(UtilityList!M$4:M$251,MATCH('Table 2.3b'!$A120&amp;'Table 2.3b'!$C120,UtilityList!$A$4:$A$251&amp;UtilityList!$C$4:$C$251,0)))</f>
        <v>SC</v>
      </c>
    </row>
    <row r="121" spans="1:17" s="169" customFormat="1" ht="30" x14ac:dyDescent="0.25">
      <c r="A121" s="360" t="s">
        <v>164</v>
      </c>
      <c r="B121" s="452" t="s">
        <v>166</v>
      </c>
      <c r="C121" s="361" t="s">
        <v>656</v>
      </c>
      <c r="D121" s="644">
        <v>0</v>
      </c>
      <c r="E121" s="656">
        <v>0</v>
      </c>
      <c r="F121" s="656">
        <v>0</v>
      </c>
      <c r="G121" s="644">
        <v>46189</v>
      </c>
      <c r="H121" s="644">
        <v>0</v>
      </c>
      <c r="I121" s="644">
        <v>0</v>
      </c>
      <c r="J121" s="656">
        <v>0</v>
      </c>
      <c r="K121" s="656">
        <v>0</v>
      </c>
      <c r="L121" s="658" t="s">
        <v>558</v>
      </c>
      <c r="M121" s="659">
        <f t="array" ref="M121">INDEX(UtilityList!Q$4:Q$251,MATCH('Table 2.3b'!$A121&amp;'Table 2.3b'!$B121&amp;'Table 2.3b'!$C121,UtilityList!$A$4:$A$251&amp;UtilityList!$B$4:$B$251&amp;UtilityList!$C$4:$C$251,0))</f>
        <v>0</v>
      </c>
      <c r="N121" s="382" t="str">
        <f t="array" ref="N121">IFERROR(INDEX(UtilityList!J$4:J$251,MATCH('Table 2.3b'!$A121&amp;'Table 2.3b'!$B121&amp;'Table 2.3b'!$C121,UtilityList!$A$4:$A$251&amp;UtilityList!$B$4:$B$251&amp;UtilityList!$C$4:$C$251,0)),INDEX(UtilityList!J$4:J$251,MATCH('Table 2.3b'!$A121&amp;'Table 2.3b'!$C121,UtilityList!$A$4:$A$251&amp;UtilityList!$C$4:$C$251,0)))</f>
        <v>Copper River/Chugach</v>
      </c>
      <c r="O121" s="382" t="str">
        <f t="array" ref="O121">IFERROR(INDEX(UtilityList!K$4:K$251,MATCH('Table 2.3b'!$A121&amp;'Table 2.3b'!$B121&amp;'Table 2.3b'!$C121,UtilityList!$A$4:$A$251&amp;UtilityList!$B$4:$B$251&amp;UtilityList!$C$4:$C$251,0)),INDEX(UtilityList!K$4:K$251,MATCH('Table 2.3b'!$A121&amp;'Table 2.3b'!$C121,UtilityList!$A$4:$A$251&amp;UtilityList!$C$4:$C$251,0)))</f>
        <v>Valdez-Cordova (CA)</v>
      </c>
      <c r="P121" s="382" t="str">
        <f t="array" ref="P121">IFERROR(INDEX(UtilityList!L$4:L$251,MATCH('Table 2.3b'!$A121&amp;'Table 2.3b'!$B121&amp;'Table 2.3b'!$C121,UtilityList!$A$4:$A$251&amp;UtilityList!$B$4:$B$251&amp;UtilityList!$C$4:$C$251,0)),INDEX(UtilityList!L$4:L$251,MATCH('Table 2.3b'!$A121&amp;'Table 2.3b'!$C121,UtilityList!$A$4:$A$251&amp;UtilityList!$C$4:$C$251,0)))</f>
        <v>Chugach</v>
      </c>
      <c r="Q121" s="382" t="str">
        <f t="array" ref="Q121">IFERROR(INDEX(UtilityList!M$4:M$251,MATCH('Table 2.3b'!$A121&amp;'Table 2.3b'!$B121&amp;'Table 2.3b'!$C121,UtilityList!$A$4:$A$251&amp;UtilityList!$B$4:$B$251&amp;UtilityList!$C$4:$C$251,0)),INDEX(UtilityList!M$4:M$251,MATCH('Table 2.3b'!$A121&amp;'Table 2.3b'!$C121,UtilityList!$A$4:$A$251&amp;UtilityList!$C$4:$C$251,0)))</f>
        <v>SC</v>
      </c>
    </row>
    <row r="122" spans="1:17" s="169" customFormat="1" ht="30" x14ac:dyDescent="0.25">
      <c r="A122" s="360" t="s">
        <v>164</v>
      </c>
      <c r="B122" s="452" t="s">
        <v>167</v>
      </c>
      <c r="C122" s="361" t="s">
        <v>167</v>
      </c>
      <c r="D122" s="644">
        <v>7338</v>
      </c>
      <c r="E122" s="656">
        <v>0</v>
      </c>
      <c r="F122" s="656">
        <v>0</v>
      </c>
      <c r="G122" s="661">
        <v>0</v>
      </c>
      <c r="H122" s="644">
        <v>0</v>
      </c>
      <c r="I122" s="644">
        <v>643230</v>
      </c>
      <c r="J122" s="656">
        <v>0</v>
      </c>
      <c r="K122" s="656">
        <v>0</v>
      </c>
      <c r="L122" s="658" t="s">
        <v>558</v>
      </c>
      <c r="M122" s="659">
        <f t="array" ref="M122">INDEX(UtilityList!Q$4:Q$251,MATCH('Table 2.3b'!$A122&amp;'Table 2.3b'!$B122&amp;'Table 2.3b'!$C122,UtilityList!$A$4:$A$251&amp;UtilityList!$B$4:$B$251&amp;UtilityList!$C$4:$C$251,0))</f>
        <v>0</v>
      </c>
      <c r="N122" s="382" t="str">
        <f t="array" ref="N122">IFERROR(INDEX(UtilityList!J$4:J$251,MATCH('Table 2.3b'!$A122&amp;'Table 2.3b'!$B122&amp;'Table 2.3b'!$C122,UtilityList!$A$4:$A$251&amp;UtilityList!$B$4:$B$251&amp;UtilityList!$C$4:$C$251,0)),INDEX(UtilityList!J$4:J$251,MATCH('Table 2.3b'!$A122&amp;'Table 2.3b'!$C122,UtilityList!$A$4:$A$251&amp;UtilityList!$C$4:$C$251,0)))</f>
        <v>Copper River/Chugach</v>
      </c>
      <c r="O122" s="382" t="str">
        <f t="array" ref="O122">IFERROR(INDEX(UtilityList!K$4:K$251,MATCH('Table 2.3b'!$A122&amp;'Table 2.3b'!$B122&amp;'Table 2.3b'!$C122,UtilityList!$A$4:$A$251&amp;UtilityList!$B$4:$B$251&amp;UtilityList!$C$4:$C$251,0)),INDEX(UtilityList!K$4:K$251,MATCH('Table 2.3b'!$A122&amp;'Table 2.3b'!$C122,UtilityList!$A$4:$A$251&amp;UtilityList!$C$4:$C$251,0)))</f>
        <v>Valdez-Cordova (CA)</v>
      </c>
      <c r="P122" s="382" t="str">
        <f t="array" ref="P122">IFERROR(INDEX(UtilityList!L$4:L$251,MATCH('Table 2.3b'!$A122&amp;'Table 2.3b'!$B122&amp;'Table 2.3b'!$C122,UtilityList!$A$4:$A$251&amp;UtilityList!$B$4:$B$251&amp;UtilityList!$C$4:$C$251,0)),INDEX(UtilityList!L$4:L$251,MATCH('Table 2.3b'!$A122&amp;'Table 2.3b'!$C122,UtilityList!$A$4:$A$251&amp;UtilityList!$C$4:$C$251,0)))</f>
        <v>Chugach</v>
      </c>
      <c r="Q122" s="382" t="str">
        <f t="array" ref="Q122">IFERROR(INDEX(UtilityList!M$4:M$251,MATCH('Table 2.3b'!$A122&amp;'Table 2.3b'!$B122&amp;'Table 2.3b'!$C122,UtilityList!$A$4:$A$251&amp;UtilityList!$B$4:$B$251&amp;UtilityList!$C$4:$C$251,0)),INDEX(UtilityList!M$4:M$251,MATCH('Table 2.3b'!$A122&amp;'Table 2.3b'!$C122,UtilityList!$A$4:$A$251&amp;UtilityList!$C$4:$C$251,0)))</f>
        <v>SC</v>
      </c>
    </row>
    <row r="123" spans="1:17" s="169" customFormat="1" ht="30" x14ac:dyDescent="0.25">
      <c r="A123" s="360" t="s">
        <v>164</v>
      </c>
      <c r="B123" s="452" t="s">
        <v>168</v>
      </c>
      <c r="C123" s="361" t="s">
        <v>167</v>
      </c>
      <c r="D123" s="644">
        <v>17519</v>
      </c>
      <c r="E123" s="656">
        <v>0</v>
      </c>
      <c r="F123" s="656">
        <v>0</v>
      </c>
      <c r="G123" s="661">
        <v>0</v>
      </c>
      <c r="H123" s="644">
        <v>0</v>
      </c>
      <c r="I123" s="644">
        <v>1869252</v>
      </c>
      <c r="J123" s="656">
        <v>0</v>
      </c>
      <c r="K123" s="656">
        <v>0</v>
      </c>
      <c r="L123" s="658" t="s">
        <v>558</v>
      </c>
      <c r="M123" s="659">
        <f t="array" ref="M123">INDEX(UtilityList!Q$4:Q$251,MATCH('Table 2.3b'!$A123&amp;'Table 2.3b'!$B123&amp;'Table 2.3b'!$C123,UtilityList!$A$4:$A$251&amp;UtilityList!$B$4:$B$251&amp;UtilityList!$C$4:$C$251,0))</f>
        <v>0</v>
      </c>
      <c r="N123" s="382" t="str">
        <f t="array" ref="N123">IFERROR(INDEX(UtilityList!J$4:J$251,MATCH('Table 2.3b'!$A123&amp;'Table 2.3b'!$B123&amp;'Table 2.3b'!$C123,UtilityList!$A$4:$A$251&amp;UtilityList!$B$4:$B$251&amp;UtilityList!$C$4:$C$251,0)),INDEX(UtilityList!J$4:J$251,MATCH('Table 2.3b'!$A123&amp;'Table 2.3b'!$C123,UtilityList!$A$4:$A$251&amp;UtilityList!$C$4:$C$251,0)))</f>
        <v>Copper River/Chugach</v>
      </c>
      <c r="O123" s="382" t="str">
        <f t="array" ref="O123">IFERROR(INDEX(UtilityList!K$4:K$251,MATCH('Table 2.3b'!$A123&amp;'Table 2.3b'!$B123&amp;'Table 2.3b'!$C123,UtilityList!$A$4:$A$251&amp;UtilityList!$B$4:$B$251&amp;UtilityList!$C$4:$C$251,0)),INDEX(UtilityList!K$4:K$251,MATCH('Table 2.3b'!$A123&amp;'Table 2.3b'!$C123,UtilityList!$A$4:$A$251&amp;UtilityList!$C$4:$C$251,0)))</f>
        <v>Valdez-Cordova (CA)</v>
      </c>
      <c r="P123" s="382" t="str">
        <f t="array" ref="P123">IFERROR(INDEX(UtilityList!L$4:L$251,MATCH('Table 2.3b'!$A123&amp;'Table 2.3b'!$B123&amp;'Table 2.3b'!$C123,UtilityList!$A$4:$A$251&amp;UtilityList!$B$4:$B$251&amp;UtilityList!$C$4:$C$251,0)),INDEX(UtilityList!L$4:L$251,MATCH('Table 2.3b'!$A123&amp;'Table 2.3b'!$C123,UtilityList!$A$4:$A$251&amp;UtilityList!$C$4:$C$251,0)))</f>
        <v>Chugach</v>
      </c>
      <c r="Q123" s="382" t="str">
        <f t="array" ref="Q123">IFERROR(INDEX(UtilityList!M$4:M$251,MATCH('Table 2.3b'!$A123&amp;'Table 2.3b'!$B123&amp;'Table 2.3b'!$C123,UtilityList!$A$4:$A$251&amp;UtilityList!$B$4:$B$251&amp;UtilityList!$C$4:$C$251,0)),INDEX(UtilityList!M$4:M$251,MATCH('Table 2.3b'!$A123&amp;'Table 2.3b'!$C123,UtilityList!$A$4:$A$251&amp;UtilityList!$C$4:$C$251,0)))</f>
        <v>SC</v>
      </c>
    </row>
    <row r="124" spans="1:17" s="169" customFormat="1" ht="30" x14ac:dyDescent="0.25">
      <c r="A124" s="653" t="s">
        <v>533</v>
      </c>
      <c r="B124" s="452" t="s">
        <v>505</v>
      </c>
      <c r="C124" s="654" t="s">
        <v>1092</v>
      </c>
      <c r="D124" s="655">
        <v>9068</v>
      </c>
      <c r="E124" s="656">
        <v>0</v>
      </c>
      <c r="F124" s="656">
        <v>0</v>
      </c>
      <c r="G124" s="672">
        <v>0</v>
      </c>
      <c r="H124" s="657">
        <v>0</v>
      </c>
      <c r="I124" s="657">
        <v>781015</v>
      </c>
      <c r="J124" s="656">
        <v>0</v>
      </c>
      <c r="K124" s="656">
        <v>0</v>
      </c>
      <c r="L124" s="658" t="s">
        <v>356</v>
      </c>
      <c r="M124" s="659">
        <f t="array" ref="M124">INDEX(UtilityList!Q$4:Q$251,MATCH('Table 2.3b'!$A124&amp;'Table 2.3b'!$B124&amp;'Table 2.3b'!$C124,UtilityList!$A$4:$A$251&amp;UtilityList!$B$4:$B$251&amp;UtilityList!$C$4:$C$251,0))</f>
        <v>0</v>
      </c>
      <c r="N124" s="382" t="str">
        <f t="array" ref="N124">IFERROR(INDEX(UtilityList!J$4:J$251,MATCH('Table 2.3b'!$A124&amp;'Table 2.3b'!$B124&amp;'Table 2.3b'!$C124,UtilityList!$A$4:$A$251&amp;UtilityList!$B$4:$B$251&amp;UtilityList!$C$4:$C$251,0)),INDEX(UtilityList!J$4:J$251,MATCH('Table 2.3b'!$A124&amp;'Table 2.3b'!$C124,UtilityList!$A$4:$A$251&amp;UtilityList!$C$4:$C$251,0)))</f>
        <v>Copper River/Chugach</v>
      </c>
      <c r="O124" s="382" t="str">
        <f t="array" ref="O124">IFERROR(INDEX(UtilityList!K$4:K$251,MATCH('Table 2.3b'!$A124&amp;'Table 2.3b'!$B124&amp;'Table 2.3b'!$C124,UtilityList!$A$4:$A$251&amp;UtilityList!$B$4:$B$251&amp;UtilityList!$C$4:$C$251,0)),INDEX(UtilityList!K$4:K$251,MATCH('Table 2.3b'!$A124&amp;'Table 2.3b'!$C124,UtilityList!$A$4:$A$251&amp;UtilityList!$C$4:$C$251,0)))</f>
        <v>Valdez-Cordova (CA)</v>
      </c>
      <c r="P124" s="382" t="str">
        <f t="array" ref="P124">IFERROR(INDEX(UtilityList!L$4:L$251,MATCH('Table 2.3b'!$A124&amp;'Table 2.3b'!$B124&amp;'Table 2.3b'!$C124,UtilityList!$A$4:$A$251&amp;UtilityList!$B$4:$B$251&amp;UtilityList!$C$4:$C$251,0)),INDEX(UtilityList!L$4:L$251,MATCH('Table 2.3b'!$A124&amp;'Table 2.3b'!$C124,UtilityList!$A$4:$A$251&amp;UtilityList!$C$4:$C$251,0)))</f>
        <v>Chugach</v>
      </c>
      <c r="Q124" s="382" t="str">
        <f t="array" ref="Q124">IFERROR(INDEX(UtilityList!M$4:M$251,MATCH('Table 2.3b'!$A124&amp;'Table 2.3b'!$B124&amp;'Table 2.3b'!$C124,UtilityList!$A$4:$A$251&amp;UtilityList!$B$4:$B$251&amp;UtilityList!$C$4:$C$251,0)),INDEX(UtilityList!M$4:M$251,MATCH('Table 2.3b'!$A124&amp;'Table 2.3b'!$C124,UtilityList!$A$4:$A$251&amp;UtilityList!$C$4:$C$251,0)))</f>
        <v>SC</v>
      </c>
    </row>
    <row r="125" spans="1:17" customFormat="1" ht="30" x14ac:dyDescent="0.25">
      <c r="A125" s="653" t="s">
        <v>533</v>
      </c>
      <c r="B125" s="452" t="s">
        <v>506</v>
      </c>
      <c r="C125" s="842" t="s">
        <v>1092</v>
      </c>
      <c r="D125" s="673">
        <v>0</v>
      </c>
      <c r="E125" s="515">
        <v>0</v>
      </c>
      <c r="F125" s="515">
        <v>0</v>
      </c>
      <c r="G125" s="657">
        <v>16759.928</v>
      </c>
      <c r="H125" s="515">
        <v>0</v>
      </c>
      <c r="I125" s="515">
        <v>0</v>
      </c>
      <c r="J125" s="515">
        <v>0</v>
      </c>
      <c r="K125" s="515">
        <v>0</v>
      </c>
      <c r="L125" s="674" t="s">
        <v>356</v>
      </c>
      <c r="M125" s="659">
        <f t="array" ref="M125">INDEX(UtilityList!Q$4:Q$251,MATCH('Table 2.3b'!$A125&amp;'Table 2.3b'!$B125&amp;'Table 2.3b'!$C125,UtilityList!$A$4:$A$251&amp;UtilityList!$B$4:$B$251&amp;UtilityList!$C$4:$C$251,0))</f>
        <v>0</v>
      </c>
      <c r="N125" s="382" t="str">
        <f t="array" ref="N125">IFERROR(INDEX(UtilityList!J$4:J$251,MATCH('Table 2.3b'!$A125&amp;'Table 2.3b'!$B125&amp;'Table 2.3b'!$C125,UtilityList!$A$4:$A$251&amp;UtilityList!$B$4:$B$251&amp;UtilityList!$C$4:$C$251,0)),INDEX(UtilityList!J$4:J$251,MATCH('Table 2.3b'!$A125&amp;'Table 2.3b'!$C125,UtilityList!$A$4:$A$251&amp;UtilityList!$C$4:$C$251,0)))</f>
        <v>Copper River/Chugach</v>
      </c>
      <c r="O125" s="382" t="str">
        <f t="array" ref="O125">IFERROR(INDEX(UtilityList!K$4:K$251,MATCH('Table 2.3b'!$A125&amp;'Table 2.3b'!$B125&amp;'Table 2.3b'!$C125,UtilityList!$A$4:$A$251&amp;UtilityList!$B$4:$B$251&amp;UtilityList!$C$4:$C$251,0)),INDEX(UtilityList!K$4:K$251,MATCH('Table 2.3b'!$A125&amp;'Table 2.3b'!$C125,UtilityList!$A$4:$A$251&amp;UtilityList!$C$4:$C$251,0)))</f>
        <v>Valdez-Cordova (CA)</v>
      </c>
      <c r="P125" s="382" t="str">
        <f t="array" ref="P125">IFERROR(INDEX(UtilityList!L$4:L$251,MATCH('Table 2.3b'!$A125&amp;'Table 2.3b'!$B125&amp;'Table 2.3b'!$C125,UtilityList!$A$4:$A$251&amp;UtilityList!$B$4:$B$251&amp;UtilityList!$C$4:$C$251,0)),INDEX(UtilityList!L$4:L$251,MATCH('Table 2.3b'!$A125&amp;'Table 2.3b'!$C125,UtilityList!$A$4:$A$251&amp;UtilityList!$C$4:$C$251,0)))</f>
        <v>Chugach</v>
      </c>
      <c r="Q125" s="382" t="str">
        <f t="array" ref="Q125">IFERROR(INDEX(UtilityList!M$4:M$251,MATCH('Table 2.3b'!$A125&amp;'Table 2.3b'!$B125&amp;'Table 2.3b'!$C125,UtilityList!$A$4:$A$251&amp;UtilityList!$B$4:$B$251&amp;UtilityList!$C$4:$C$251,0)),INDEX(UtilityList!M$4:M$251,MATCH('Table 2.3b'!$A125&amp;'Table 2.3b'!$C125,UtilityList!$A$4:$A$251&amp;UtilityList!$C$4:$C$251,0)))</f>
        <v>SC</v>
      </c>
    </row>
    <row r="126" spans="1:17" customFormat="1" ht="30" x14ac:dyDescent="0.25">
      <c r="A126" s="653" t="s">
        <v>640</v>
      </c>
      <c r="B126" s="452" t="s">
        <v>170</v>
      </c>
      <c r="C126" s="654" t="s">
        <v>170</v>
      </c>
      <c r="D126" s="655">
        <v>438.73590000000002</v>
      </c>
      <c r="E126" s="656">
        <v>0</v>
      </c>
      <c r="F126" s="656">
        <v>0</v>
      </c>
      <c r="G126" s="657">
        <v>0</v>
      </c>
      <c r="H126" s="657">
        <v>0</v>
      </c>
      <c r="I126" s="657">
        <v>45572</v>
      </c>
      <c r="J126" s="656">
        <v>0</v>
      </c>
      <c r="K126" s="656">
        <v>0</v>
      </c>
      <c r="L126" s="658" t="s">
        <v>356</v>
      </c>
      <c r="M126" s="659">
        <f t="array" ref="M126">INDEX(UtilityList!Q$4:Q$251,MATCH('Table 2.3b'!$A126&amp;'Table 2.3b'!$B126&amp;'Table 2.3b'!$C126,UtilityList!$A$4:$A$251&amp;UtilityList!$B$4:$B$251&amp;UtilityList!$C$4:$C$251,0))</f>
        <v>0</v>
      </c>
      <c r="N126" s="382" t="str">
        <f t="array" ref="N126">IFERROR(INDEX(UtilityList!J$4:J$251,MATCH('Table 2.3b'!$A126&amp;'Table 2.3b'!$B126&amp;'Table 2.3b'!$C126,UtilityList!$A$4:$A$251&amp;UtilityList!$B$4:$B$251&amp;UtilityList!$C$4:$C$251,0)),INDEX(UtilityList!J$4:J$251,MATCH('Table 2.3b'!$A126&amp;'Table 2.3b'!$C126,UtilityList!$A$4:$A$251&amp;UtilityList!$C$4:$C$251,0)))</f>
        <v>Bering Straits</v>
      </c>
      <c r="O126" s="382" t="str">
        <f t="array" ref="O126">IFERROR(INDEX(UtilityList!K$4:K$251,MATCH('Table 2.3b'!$A126&amp;'Table 2.3b'!$B126&amp;'Table 2.3b'!$C126,UtilityList!$A$4:$A$251&amp;UtilityList!$B$4:$B$251&amp;UtilityList!$C$4:$C$251,0)),INDEX(UtilityList!K$4:K$251,MATCH('Table 2.3b'!$A126&amp;'Table 2.3b'!$C126,UtilityList!$A$4:$A$251&amp;UtilityList!$C$4:$C$251,0)))</f>
        <v>Nome (CA)</v>
      </c>
      <c r="P126" s="382" t="str">
        <f t="array" ref="P126">IFERROR(INDEX(UtilityList!L$4:L$251,MATCH('Table 2.3b'!$A126&amp;'Table 2.3b'!$B126&amp;'Table 2.3b'!$C126,UtilityList!$A$4:$A$251&amp;UtilityList!$B$4:$B$251&amp;UtilityList!$C$4:$C$251,0)),INDEX(UtilityList!L$4:L$251,MATCH('Table 2.3b'!$A126&amp;'Table 2.3b'!$C126,UtilityList!$A$4:$A$251&amp;UtilityList!$C$4:$C$251,0)))</f>
        <v>Bering Straits</v>
      </c>
      <c r="Q126" s="382" t="str">
        <f t="array" ref="Q126">IFERROR(INDEX(UtilityList!M$4:M$251,MATCH('Table 2.3b'!$A126&amp;'Table 2.3b'!$B126&amp;'Table 2.3b'!$C126,UtilityList!$A$4:$A$251&amp;UtilityList!$B$4:$B$251&amp;UtilityList!$C$4:$C$251,0)),INDEX(UtilityList!M$4:M$251,MATCH('Table 2.3b'!$A126&amp;'Table 2.3b'!$C126,UtilityList!$A$4:$A$251&amp;UtilityList!$C$4:$C$251,0)))</f>
        <v>AN</v>
      </c>
    </row>
    <row r="127" spans="1:17" customFormat="1" ht="30" x14ac:dyDescent="0.25">
      <c r="A127" s="653" t="s">
        <v>171</v>
      </c>
      <c r="B127" s="452" t="s">
        <v>172</v>
      </c>
      <c r="C127" s="654" t="s">
        <v>172</v>
      </c>
      <c r="D127" s="655">
        <v>281.745</v>
      </c>
      <c r="E127" s="656">
        <v>0</v>
      </c>
      <c r="F127" s="656">
        <v>0</v>
      </c>
      <c r="G127" s="657">
        <v>0</v>
      </c>
      <c r="H127" s="657">
        <v>0</v>
      </c>
      <c r="I127" s="657">
        <v>27601</v>
      </c>
      <c r="J127" s="656">
        <v>0</v>
      </c>
      <c r="K127" s="656">
        <v>0</v>
      </c>
      <c r="L127" s="658" t="s">
        <v>356</v>
      </c>
      <c r="M127" s="659">
        <f t="array" ref="M127">INDEX(UtilityList!Q$4:Q$251,MATCH('Table 2.3b'!$A127&amp;'Table 2.3b'!$B127&amp;'Table 2.3b'!$C127,UtilityList!$A$4:$A$251&amp;UtilityList!$B$4:$B$251&amp;UtilityList!$C$4:$C$251,0))</f>
        <v>0</v>
      </c>
      <c r="N127" s="382" t="str">
        <f t="array" ref="N127">IFERROR(INDEX(UtilityList!J$4:J$251,MATCH('Table 2.3b'!$A127&amp;'Table 2.3b'!$B127&amp;'Table 2.3b'!$C127,UtilityList!$A$4:$A$251&amp;UtilityList!$B$4:$B$251&amp;UtilityList!$C$4:$C$251,0)),INDEX(UtilityList!J$4:J$251,MATCH('Table 2.3b'!$A127&amp;'Table 2.3b'!$C127,UtilityList!$A$4:$A$251&amp;UtilityList!$C$4:$C$251,0)))</f>
        <v>Bristol Bay</v>
      </c>
      <c r="O127" s="382" t="str">
        <f t="array" ref="O127">IFERROR(INDEX(UtilityList!K$4:K$251,MATCH('Table 2.3b'!$A127&amp;'Table 2.3b'!$B127&amp;'Table 2.3b'!$C127,UtilityList!$A$4:$A$251&amp;UtilityList!$B$4:$B$251&amp;UtilityList!$C$4:$C$251,0)),INDEX(UtilityList!K$4:K$251,MATCH('Table 2.3b'!$A127&amp;'Table 2.3b'!$C127,UtilityList!$A$4:$A$251&amp;UtilityList!$C$4:$C$251,0)))</f>
        <v>Lake and Peninsula</v>
      </c>
      <c r="P127" s="382" t="str">
        <f t="array" ref="P127">IFERROR(INDEX(UtilityList!L$4:L$251,MATCH('Table 2.3b'!$A127&amp;'Table 2.3b'!$B127&amp;'Table 2.3b'!$C127,UtilityList!$A$4:$A$251&amp;UtilityList!$B$4:$B$251&amp;UtilityList!$C$4:$C$251,0)),INDEX(UtilityList!L$4:L$251,MATCH('Table 2.3b'!$A127&amp;'Table 2.3b'!$C127,UtilityList!$A$4:$A$251&amp;UtilityList!$C$4:$C$251,0)))</f>
        <v>Bristol Bay</v>
      </c>
      <c r="Q127" s="382" t="str">
        <f t="array" ref="Q127">IFERROR(INDEX(UtilityList!M$4:M$251,MATCH('Table 2.3b'!$A127&amp;'Table 2.3b'!$B127&amp;'Table 2.3b'!$C127,UtilityList!$A$4:$A$251&amp;UtilityList!$B$4:$B$251&amp;UtilityList!$C$4:$C$251,0)),INDEX(UtilityList!M$4:M$251,MATCH('Table 2.3b'!$A127&amp;'Table 2.3b'!$C127,UtilityList!$A$4:$A$251&amp;UtilityList!$C$4:$C$251,0)))</f>
        <v>SW</v>
      </c>
    </row>
    <row r="128" spans="1:17" s="267" customFormat="1" ht="30" x14ac:dyDescent="0.25">
      <c r="A128" s="653" t="s">
        <v>174</v>
      </c>
      <c r="B128" s="452" t="s">
        <v>175</v>
      </c>
      <c r="C128" s="654" t="s">
        <v>175</v>
      </c>
      <c r="D128" s="655">
        <v>277.4572</v>
      </c>
      <c r="E128" s="656">
        <v>0</v>
      </c>
      <c r="F128" s="656">
        <v>0</v>
      </c>
      <c r="G128" s="657">
        <v>0</v>
      </c>
      <c r="H128" s="657">
        <v>0</v>
      </c>
      <c r="I128" s="657">
        <v>25097</v>
      </c>
      <c r="J128" s="656">
        <v>0</v>
      </c>
      <c r="K128" s="656">
        <v>0</v>
      </c>
      <c r="L128" s="658" t="s">
        <v>356</v>
      </c>
      <c r="M128" s="659">
        <f t="array" ref="M128">INDEX(UtilityList!Q$4:Q$251,MATCH('Table 2.3b'!$A128&amp;'Table 2.3b'!$B128&amp;'Table 2.3b'!$C128,UtilityList!$A$4:$A$251&amp;UtilityList!$B$4:$B$251&amp;UtilityList!$C$4:$C$251,0))</f>
        <v>0</v>
      </c>
      <c r="N128" s="382" t="str">
        <f t="array" ref="N128">IFERROR(INDEX(UtilityList!J$4:J$251,MATCH('Table 2.3b'!$A128&amp;'Table 2.3b'!$B128&amp;'Table 2.3b'!$C128,UtilityList!$A$4:$A$251&amp;UtilityList!$B$4:$B$251&amp;UtilityList!$C$4:$C$251,0)),INDEX(UtilityList!J$4:J$251,MATCH('Table 2.3b'!$A128&amp;'Table 2.3b'!$C128,UtilityList!$A$4:$A$251&amp;UtilityList!$C$4:$C$251,0)))</f>
        <v>Southeast</v>
      </c>
      <c r="O128" s="382" t="str">
        <f t="array" ref="O128">IFERROR(INDEX(UtilityList!K$4:K$251,MATCH('Table 2.3b'!$A128&amp;'Table 2.3b'!$B128&amp;'Table 2.3b'!$C128,UtilityList!$A$4:$A$251&amp;UtilityList!$B$4:$B$251&amp;UtilityList!$C$4:$C$251,0)),INDEX(UtilityList!K$4:K$251,MATCH('Table 2.3b'!$A128&amp;'Table 2.3b'!$C128,UtilityList!$A$4:$A$251&amp;UtilityList!$C$4:$C$251,0)))</f>
        <v>Hoonah-Angoon (CA)</v>
      </c>
      <c r="P128" s="382" t="str">
        <f t="array" ref="P128">IFERROR(INDEX(UtilityList!L$4:L$251,MATCH('Table 2.3b'!$A128&amp;'Table 2.3b'!$B128&amp;'Table 2.3b'!$C128,UtilityList!$A$4:$A$251&amp;UtilityList!$B$4:$B$251&amp;UtilityList!$C$4:$C$251,0)),INDEX(UtilityList!L$4:L$251,MATCH('Table 2.3b'!$A128&amp;'Table 2.3b'!$C128,UtilityList!$A$4:$A$251&amp;UtilityList!$C$4:$C$251,0)))</f>
        <v>Sealaska</v>
      </c>
      <c r="Q128" s="382" t="str">
        <f t="array" ref="Q128">IFERROR(INDEX(UtilityList!M$4:M$251,MATCH('Table 2.3b'!$A128&amp;'Table 2.3b'!$B128&amp;'Table 2.3b'!$C128,UtilityList!$A$4:$A$251&amp;UtilityList!$B$4:$B$251&amp;UtilityList!$C$4:$C$251,0)),INDEX(UtilityList!M$4:M$251,MATCH('Table 2.3b'!$A128&amp;'Table 2.3b'!$C128,UtilityList!$A$4:$A$251&amp;UtilityList!$C$4:$C$251,0)))</f>
        <v>SE</v>
      </c>
    </row>
    <row r="129" spans="1:17" s="169" customFormat="1" x14ac:dyDescent="0.25">
      <c r="A129" s="653" t="s">
        <v>176</v>
      </c>
      <c r="B129" s="452" t="s">
        <v>177</v>
      </c>
      <c r="C129" s="654" t="s">
        <v>177</v>
      </c>
      <c r="D129" s="655">
        <v>461.351</v>
      </c>
      <c r="E129" s="656">
        <v>0</v>
      </c>
      <c r="F129" s="656">
        <v>0</v>
      </c>
      <c r="G129" s="657">
        <v>0</v>
      </c>
      <c r="H129" s="657">
        <v>0</v>
      </c>
      <c r="I129" s="657">
        <v>45211.999999999993</v>
      </c>
      <c r="J129" s="656">
        <v>0</v>
      </c>
      <c r="K129" s="656">
        <v>0</v>
      </c>
      <c r="L129" s="658" t="s">
        <v>356</v>
      </c>
      <c r="M129" s="659">
        <f t="array" ref="M129">INDEX(UtilityList!Q$4:Q$251,MATCH('Table 2.3b'!$A129&amp;'Table 2.3b'!$B129&amp;'Table 2.3b'!$C129,UtilityList!$A$4:$A$251&amp;UtilityList!$B$4:$B$251&amp;UtilityList!$C$4:$C$251,0))</f>
        <v>0</v>
      </c>
      <c r="N129" s="382" t="str">
        <f t="array" ref="N129">IFERROR(INDEX(UtilityList!J$4:J$251,MATCH('Table 2.3b'!$A129&amp;'Table 2.3b'!$B129&amp;'Table 2.3b'!$C129,UtilityList!$A$4:$A$251&amp;UtilityList!$B$4:$B$251&amp;UtilityList!$C$4:$C$251,0)),INDEX(UtilityList!J$4:J$251,MATCH('Table 2.3b'!$A129&amp;'Table 2.3b'!$C129,UtilityList!$A$4:$A$251&amp;UtilityList!$C$4:$C$251,0)))</f>
        <v>Aleutians</v>
      </c>
      <c r="O129" s="382" t="str">
        <f t="array" ref="O129">IFERROR(INDEX(UtilityList!K$4:K$251,MATCH('Table 2.3b'!$A129&amp;'Table 2.3b'!$B129&amp;'Table 2.3b'!$C129,UtilityList!$A$4:$A$251&amp;UtilityList!$B$4:$B$251&amp;UtilityList!$C$4:$C$251,0)),INDEX(UtilityList!K$4:K$251,MATCH('Table 2.3b'!$A129&amp;'Table 2.3b'!$C129,UtilityList!$A$4:$A$251&amp;UtilityList!$C$4:$C$251,0)))</f>
        <v>Aleutians East</v>
      </c>
      <c r="P129" s="382" t="str">
        <f t="array" ref="P129">IFERROR(INDEX(UtilityList!L$4:L$251,MATCH('Table 2.3b'!$A129&amp;'Table 2.3b'!$B129&amp;'Table 2.3b'!$C129,UtilityList!$A$4:$A$251&amp;UtilityList!$B$4:$B$251&amp;UtilityList!$C$4:$C$251,0)),INDEX(UtilityList!L$4:L$251,MATCH('Table 2.3b'!$A129&amp;'Table 2.3b'!$C129,UtilityList!$A$4:$A$251&amp;UtilityList!$C$4:$C$251,0)))</f>
        <v>Aleut</v>
      </c>
      <c r="Q129" s="382" t="str">
        <f t="array" ref="Q129">IFERROR(INDEX(UtilityList!M$4:M$251,MATCH('Table 2.3b'!$A129&amp;'Table 2.3b'!$B129&amp;'Table 2.3b'!$C129,UtilityList!$A$4:$A$251&amp;UtilityList!$B$4:$B$251&amp;UtilityList!$C$4:$C$251,0)),INDEX(UtilityList!M$4:M$251,MATCH('Table 2.3b'!$A129&amp;'Table 2.3b'!$C129,UtilityList!$A$4:$A$251&amp;UtilityList!$C$4:$C$251,0)))</f>
        <v>SW</v>
      </c>
    </row>
    <row r="130" spans="1:17" s="169" customFormat="1" x14ac:dyDescent="0.25">
      <c r="A130" s="653" t="s">
        <v>178</v>
      </c>
      <c r="B130" s="452" t="s">
        <v>179</v>
      </c>
      <c r="C130" s="654" t="s">
        <v>179</v>
      </c>
      <c r="D130" s="655">
        <v>2566.9209999999998</v>
      </c>
      <c r="E130" s="656">
        <v>0</v>
      </c>
      <c r="F130" s="656">
        <v>0</v>
      </c>
      <c r="G130" s="657">
        <v>0</v>
      </c>
      <c r="H130" s="657">
        <v>0</v>
      </c>
      <c r="I130" s="657">
        <v>205710</v>
      </c>
      <c r="J130" s="656">
        <v>0</v>
      </c>
      <c r="K130" s="656">
        <v>0</v>
      </c>
      <c r="L130" s="658" t="s">
        <v>356</v>
      </c>
      <c r="M130" s="659">
        <f t="array" ref="M130">INDEX(UtilityList!Q$4:Q$251,MATCH('Table 2.3b'!$A130&amp;'Table 2.3b'!$B130&amp;'Table 2.3b'!$C130,UtilityList!$A$4:$A$251&amp;UtilityList!$B$4:$B$251&amp;UtilityList!$C$4:$C$251,0))</f>
        <v>0</v>
      </c>
      <c r="N130" s="382" t="str">
        <f t="array" ref="N130">IFERROR(INDEX(UtilityList!J$4:J$251,MATCH('Table 2.3b'!$A130&amp;'Table 2.3b'!$B130&amp;'Table 2.3b'!$C130,UtilityList!$A$4:$A$251&amp;UtilityList!$B$4:$B$251&amp;UtilityList!$C$4:$C$251,0)),INDEX(UtilityList!J$4:J$251,MATCH('Table 2.3b'!$A130&amp;'Table 2.3b'!$C130,UtilityList!$A$4:$A$251&amp;UtilityList!$C$4:$C$251,0)))</f>
        <v>Aleutians</v>
      </c>
      <c r="O130" s="382" t="str">
        <f t="array" ref="O130">IFERROR(INDEX(UtilityList!K$4:K$251,MATCH('Table 2.3b'!$A130&amp;'Table 2.3b'!$B130&amp;'Table 2.3b'!$C130,UtilityList!$A$4:$A$251&amp;UtilityList!$B$4:$B$251&amp;UtilityList!$C$4:$C$251,0)),INDEX(UtilityList!K$4:K$251,MATCH('Table 2.3b'!$A130&amp;'Table 2.3b'!$C130,UtilityList!$A$4:$A$251&amp;UtilityList!$C$4:$C$251,0)))</f>
        <v>Aleutians East</v>
      </c>
      <c r="P130" s="382" t="str">
        <f t="array" ref="P130">IFERROR(INDEX(UtilityList!L$4:L$251,MATCH('Table 2.3b'!$A130&amp;'Table 2.3b'!$B130&amp;'Table 2.3b'!$C130,UtilityList!$A$4:$A$251&amp;UtilityList!$B$4:$B$251&amp;UtilityList!$C$4:$C$251,0)),INDEX(UtilityList!L$4:L$251,MATCH('Table 2.3b'!$A130&amp;'Table 2.3b'!$C130,UtilityList!$A$4:$A$251&amp;UtilityList!$C$4:$C$251,0)))</f>
        <v>Aleut</v>
      </c>
      <c r="Q130" s="382" t="str">
        <f t="array" ref="Q130">IFERROR(INDEX(UtilityList!M$4:M$251,MATCH('Table 2.3b'!$A130&amp;'Table 2.3b'!$B130&amp;'Table 2.3b'!$C130,UtilityList!$A$4:$A$251&amp;UtilityList!$B$4:$B$251&amp;UtilityList!$C$4:$C$251,0)),INDEX(UtilityList!M$4:M$251,MATCH('Table 2.3b'!$A130&amp;'Table 2.3b'!$C130,UtilityList!$A$4:$A$251&amp;UtilityList!$C$4:$C$251,0)))</f>
        <v>SW</v>
      </c>
    </row>
    <row r="131" spans="1:17" customFormat="1" ht="30" x14ac:dyDescent="0.25">
      <c r="A131" s="361" t="s">
        <v>180</v>
      </c>
      <c r="B131" s="622" t="s">
        <v>181</v>
      </c>
      <c r="C131" s="361" t="s">
        <v>181</v>
      </c>
      <c r="D131" s="655">
        <v>2907.3449999999998</v>
      </c>
      <c r="E131" s="675"/>
      <c r="F131" s="675"/>
      <c r="G131" s="657">
        <v>0</v>
      </c>
      <c r="H131" s="657">
        <v>0</v>
      </c>
      <c r="I131" s="657">
        <v>232400</v>
      </c>
      <c r="J131" s="675"/>
      <c r="K131" s="675"/>
      <c r="L131" s="676" t="s">
        <v>356</v>
      </c>
      <c r="M131" s="659">
        <f t="array" ref="M131">INDEX(UtilityList!Q$4:Q$251,MATCH('Table 2.3b'!$A131&amp;'Table 2.3b'!$B131&amp;'Table 2.3b'!$C131,UtilityList!$A$4:$A$251&amp;UtilityList!$B$4:$B$251&amp;UtilityList!$C$4:$C$251,0))</f>
        <v>0</v>
      </c>
      <c r="N131" s="382" t="str">
        <f t="array" ref="N131">IFERROR(INDEX(UtilityList!J$4:J$251,MATCH('Table 2.3b'!$A131&amp;'Table 2.3b'!$B131&amp;'Table 2.3b'!$C131,UtilityList!$A$4:$A$251&amp;UtilityList!$B$4:$B$251&amp;UtilityList!$C$4:$C$251,0)),INDEX(UtilityList!J$4:J$251,MATCH('Table 2.3b'!$A131&amp;'Table 2.3b'!$C131,UtilityList!$A$4:$A$251&amp;UtilityList!$C$4:$C$251,0)))</f>
        <v>Yukon-Koyukuk/Upper Tanana</v>
      </c>
      <c r="O131" s="382" t="str">
        <f t="array" ref="O131">IFERROR(INDEX(UtilityList!K$4:K$251,MATCH('Table 2.3b'!$A131&amp;'Table 2.3b'!$B131&amp;'Table 2.3b'!$C131,UtilityList!$A$4:$A$251&amp;UtilityList!$B$4:$B$251&amp;UtilityList!$C$4:$C$251,0)),INDEX(UtilityList!K$4:K$251,MATCH('Table 2.3b'!$A131&amp;'Table 2.3b'!$C131,UtilityList!$A$4:$A$251&amp;UtilityList!$C$4:$C$251,0)))</f>
        <v>Yukon-Koyukuk (CA)</v>
      </c>
      <c r="P131" s="382" t="str">
        <f t="array" ref="P131">IFERROR(INDEX(UtilityList!L$4:L$251,MATCH('Table 2.3b'!$A131&amp;'Table 2.3b'!$B131&amp;'Table 2.3b'!$C131,UtilityList!$A$4:$A$251&amp;UtilityList!$B$4:$B$251&amp;UtilityList!$C$4:$C$251,0)),INDEX(UtilityList!L$4:L$251,MATCH('Table 2.3b'!$A131&amp;'Table 2.3b'!$C131,UtilityList!$A$4:$A$251&amp;UtilityList!$C$4:$C$251,0)))</f>
        <v>Doyon</v>
      </c>
      <c r="Q131" s="382" t="str">
        <f t="array" ref="Q131">IFERROR(INDEX(UtilityList!M$4:M$251,MATCH('Table 2.3b'!$A131&amp;'Table 2.3b'!$B131&amp;'Table 2.3b'!$C131,UtilityList!$A$4:$A$251&amp;UtilityList!$B$4:$B$251&amp;UtilityList!$C$4:$C$251,0)),INDEX(UtilityList!M$4:M$251,MATCH('Table 2.3b'!$A131&amp;'Table 2.3b'!$C131,UtilityList!$A$4:$A$251&amp;UtilityList!$C$4:$C$251,0)))</f>
        <v>YU</v>
      </c>
    </row>
    <row r="132" spans="1:17" s="326" customFormat="1" ht="30" x14ac:dyDescent="0.25">
      <c r="A132" s="653" t="s">
        <v>182</v>
      </c>
      <c r="B132" s="452" t="s">
        <v>183</v>
      </c>
      <c r="C132" s="654" t="s">
        <v>183</v>
      </c>
      <c r="D132" s="655">
        <v>474.60300000000001</v>
      </c>
      <c r="E132" s="656">
        <v>0</v>
      </c>
      <c r="F132" s="656">
        <v>0</v>
      </c>
      <c r="G132" s="657">
        <v>0</v>
      </c>
      <c r="H132" s="657">
        <v>0</v>
      </c>
      <c r="I132" s="657">
        <v>45258.000000000007</v>
      </c>
      <c r="J132" s="656">
        <v>0</v>
      </c>
      <c r="K132" s="656">
        <v>0</v>
      </c>
      <c r="L132" s="658" t="s">
        <v>356</v>
      </c>
      <c r="M132" s="659">
        <f t="array" ref="M132">INDEX(UtilityList!Q$4:Q$251,MATCH('Table 2.3b'!$A132&amp;'Table 2.3b'!$B132&amp;'Table 2.3b'!$C132,UtilityList!$A$4:$A$251&amp;UtilityList!$B$4:$B$251&amp;UtilityList!$C$4:$C$251,0))</f>
        <v>0</v>
      </c>
      <c r="N132" s="382" t="str">
        <f t="array" ref="N132">IFERROR(INDEX(UtilityList!J$4:J$251,MATCH('Table 2.3b'!$A132&amp;'Table 2.3b'!$B132&amp;'Table 2.3b'!$C132,UtilityList!$A$4:$A$251&amp;UtilityList!$B$4:$B$251&amp;UtilityList!$C$4:$C$251,0)),INDEX(UtilityList!J$4:J$251,MATCH('Table 2.3b'!$A132&amp;'Table 2.3b'!$C132,UtilityList!$A$4:$A$251&amp;UtilityList!$C$4:$C$251,0)))</f>
        <v>Yukon-Koyukuk/Upper Tanana</v>
      </c>
      <c r="O132" s="382" t="str">
        <f t="array" ref="O132">IFERROR(INDEX(UtilityList!K$4:K$251,MATCH('Table 2.3b'!$A132&amp;'Table 2.3b'!$B132&amp;'Table 2.3b'!$C132,UtilityList!$A$4:$A$251&amp;UtilityList!$B$4:$B$251&amp;UtilityList!$C$4:$C$251,0)),INDEX(UtilityList!K$4:K$251,MATCH('Table 2.3b'!$A132&amp;'Table 2.3b'!$C132,UtilityList!$A$4:$A$251&amp;UtilityList!$C$4:$C$251,0)))</f>
        <v>Yukon-Koyukuk (CA)</v>
      </c>
      <c r="P132" s="382" t="str">
        <f t="array" ref="P132">IFERROR(INDEX(UtilityList!L$4:L$251,MATCH('Table 2.3b'!$A132&amp;'Table 2.3b'!$B132&amp;'Table 2.3b'!$C132,UtilityList!$A$4:$A$251&amp;UtilityList!$B$4:$B$251&amp;UtilityList!$C$4:$C$251,0)),INDEX(UtilityList!L$4:L$251,MATCH('Table 2.3b'!$A132&amp;'Table 2.3b'!$C132,UtilityList!$A$4:$A$251&amp;UtilityList!$C$4:$C$251,0)))</f>
        <v>Doyon</v>
      </c>
      <c r="Q132" s="382" t="str">
        <f t="array" ref="Q132">IFERROR(INDEX(UtilityList!M$4:M$251,MATCH('Table 2.3b'!$A132&amp;'Table 2.3b'!$B132&amp;'Table 2.3b'!$C132,UtilityList!$A$4:$A$251&amp;UtilityList!$B$4:$B$251&amp;UtilityList!$C$4:$C$251,0)),INDEX(UtilityList!M$4:M$251,MATCH('Table 2.3b'!$A132&amp;'Table 2.3b'!$C132,UtilityList!$A$4:$A$251&amp;UtilityList!$C$4:$C$251,0)))</f>
        <v>YU</v>
      </c>
    </row>
    <row r="133" spans="1:17" customFormat="1" ht="30" x14ac:dyDescent="0.25">
      <c r="A133" s="360" t="s">
        <v>184</v>
      </c>
      <c r="B133" s="452" t="s">
        <v>185</v>
      </c>
      <c r="C133" s="361"/>
      <c r="D133" s="644">
        <v>-170</v>
      </c>
      <c r="E133" s="656">
        <v>0</v>
      </c>
      <c r="F133" s="656">
        <v>0</v>
      </c>
      <c r="G133" s="661">
        <v>0</v>
      </c>
      <c r="H133" s="644">
        <v>0</v>
      </c>
      <c r="I133" s="644">
        <v>1806</v>
      </c>
      <c r="J133" s="656">
        <v>0</v>
      </c>
      <c r="K133" s="656">
        <v>0</v>
      </c>
      <c r="L133" s="658" t="s">
        <v>558</v>
      </c>
      <c r="M133" s="659">
        <f t="array" ref="M133">INDEX(UtilityList!Q$4:Q$251,MATCH('Table 2.3b'!$A133&amp;'Table 2.3b'!$B133&amp;'Table 2.3b'!$C133,UtilityList!$A$4:$A$251&amp;UtilityList!$B$4:$B$251&amp;UtilityList!$C$4:$C$251,0))</f>
        <v>0</v>
      </c>
      <c r="N133" s="382" t="str">
        <f t="array" ref="N133">IFERROR(INDEX(UtilityList!J$4:J$251,MATCH('Table 2.3b'!$A133&amp;'Table 2.3b'!$B133&amp;'Table 2.3b'!$C133,UtilityList!$A$4:$A$251&amp;UtilityList!$B$4:$B$251&amp;UtilityList!$C$4:$C$251,0)),INDEX(UtilityList!J$4:J$251,MATCH('Table 2.3b'!$A133&amp;'Table 2.3b'!$C133,UtilityList!$A$4:$A$251&amp;UtilityList!$C$4:$C$251,0)))</f>
        <v>Railbelt</v>
      </c>
      <c r="O133" s="382" t="str">
        <f t="array" ref="O133">IFERROR(INDEX(UtilityList!K$4:K$251,MATCH('Table 2.3b'!$A133&amp;'Table 2.3b'!$B133&amp;'Table 2.3b'!$C133,UtilityList!$A$4:$A$251&amp;UtilityList!$B$4:$B$251&amp;UtilityList!$C$4:$C$251,0)),INDEX(UtilityList!K$4:K$251,MATCH('Table 2.3b'!$A133&amp;'Table 2.3b'!$C133,UtilityList!$A$4:$A$251&amp;UtilityList!$C$4:$C$251,0)))</f>
        <v>Fairbanks North Star</v>
      </c>
      <c r="P133" s="382" t="str">
        <f t="array" ref="P133">IFERROR(INDEX(UtilityList!L$4:L$251,MATCH('Table 2.3b'!$A133&amp;'Table 2.3b'!$B133&amp;'Table 2.3b'!$C133,UtilityList!$A$4:$A$251&amp;UtilityList!$B$4:$B$251&amp;UtilityList!$C$4:$C$251,0)),INDEX(UtilityList!L$4:L$251,MATCH('Table 2.3b'!$A133&amp;'Table 2.3b'!$C133,UtilityList!$A$4:$A$251&amp;UtilityList!$C$4:$C$251,0)))</f>
        <v>Doyon</v>
      </c>
      <c r="Q133" s="382" t="str">
        <f t="array" ref="Q133">IFERROR(INDEX(UtilityList!M$4:M$251,MATCH('Table 2.3b'!$A133&amp;'Table 2.3b'!$B133&amp;'Table 2.3b'!$C133,UtilityList!$A$4:$A$251&amp;UtilityList!$B$4:$B$251&amp;UtilityList!$C$4:$C$251,0)),INDEX(UtilityList!M$4:M$251,MATCH('Table 2.3b'!$A133&amp;'Table 2.3b'!$C133,UtilityList!$A$4:$A$251&amp;UtilityList!$C$4:$C$251,0)))</f>
        <v>YU</v>
      </c>
    </row>
    <row r="134" spans="1:17" customFormat="1" ht="30" x14ac:dyDescent="0.25">
      <c r="A134" s="360" t="s">
        <v>184</v>
      </c>
      <c r="B134" s="388" t="s">
        <v>132</v>
      </c>
      <c r="C134" s="361"/>
      <c r="D134" s="642">
        <v>8529</v>
      </c>
      <c r="E134" s="656">
        <v>0</v>
      </c>
      <c r="F134" s="656">
        <v>0</v>
      </c>
      <c r="G134" s="661">
        <v>0</v>
      </c>
      <c r="H134" s="644">
        <v>0</v>
      </c>
      <c r="I134" s="644">
        <v>1495746</v>
      </c>
      <c r="J134" s="656">
        <v>0</v>
      </c>
      <c r="K134" s="656">
        <v>0</v>
      </c>
      <c r="L134" s="658" t="s">
        <v>558</v>
      </c>
      <c r="M134" s="659">
        <f t="array" ref="M134">INDEX(UtilityList!Q$4:Q$251,MATCH('Table 2.3b'!$A134&amp;'Table 2.3b'!$B134&amp;'Table 2.3b'!$C134,UtilityList!$A$4:$A$251&amp;UtilityList!$B$4:$B$251&amp;UtilityList!$C$4:$C$251,0))</f>
        <v>0</v>
      </c>
      <c r="N134" s="382" t="str">
        <f t="array" ref="N134">IFERROR(INDEX(UtilityList!J$4:J$251,MATCH('Table 2.3b'!$A134&amp;'Table 2.3b'!$B134&amp;'Table 2.3b'!$C134,UtilityList!$A$4:$A$251&amp;UtilityList!$B$4:$B$251&amp;UtilityList!$C$4:$C$251,0)),INDEX(UtilityList!J$4:J$251,MATCH('Table 2.3b'!$A134&amp;'Table 2.3b'!$C134,UtilityList!$A$4:$A$251&amp;UtilityList!$C$4:$C$251,0)))</f>
        <v>Railbelt</v>
      </c>
      <c r="O134" s="382" t="str">
        <f t="array" ref="O134">IFERROR(INDEX(UtilityList!K$4:K$251,MATCH('Table 2.3b'!$A134&amp;'Table 2.3b'!$B134&amp;'Table 2.3b'!$C134,UtilityList!$A$4:$A$251&amp;UtilityList!$B$4:$B$251&amp;UtilityList!$C$4:$C$251,0)),INDEX(UtilityList!K$4:K$251,MATCH('Table 2.3b'!$A134&amp;'Table 2.3b'!$C134,UtilityList!$A$4:$A$251&amp;UtilityList!$C$4:$C$251,0)))</f>
        <v>Fairbanks North Star</v>
      </c>
      <c r="P134" s="382" t="str">
        <f t="array" ref="P134">IFERROR(INDEX(UtilityList!L$4:L$251,MATCH('Table 2.3b'!$A134&amp;'Table 2.3b'!$B134&amp;'Table 2.3b'!$C134,UtilityList!$A$4:$A$251&amp;UtilityList!$B$4:$B$251&amp;UtilityList!$C$4:$C$251,0)),INDEX(UtilityList!L$4:L$251,MATCH('Table 2.3b'!$A134&amp;'Table 2.3b'!$C134,UtilityList!$A$4:$A$251&amp;UtilityList!$C$4:$C$251,0)))</f>
        <v>Doyon</v>
      </c>
      <c r="Q134" s="382" t="str">
        <f t="array" ref="Q134">IFERROR(INDEX(UtilityList!M$4:M$251,MATCH('Table 2.3b'!$A134&amp;'Table 2.3b'!$B134&amp;'Table 2.3b'!$C134,UtilityList!$A$4:$A$251&amp;UtilityList!$B$4:$B$251&amp;UtilityList!$C$4:$C$251,0)),INDEX(UtilityList!M$4:M$251,MATCH('Table 2.3b'!$A134&amp;'Table 2.3b'!$C134,UtilityList!$A$4:$A$251&amp;UtilityList!$C$4:$C$251,0)))</f>
        <v>YU</v>
      </c>
    </row>
    <row r="135" spans="1:17" s="8" customFormat="1" ht="30" x14ac:dyDescent="0.25">
      <c r="A135" s="360" t="s">
        <v>184</v>
      </c>
      <c r="B135" s="452" t="s">
        <v>186</v>
      </c>
      <c r="C135" s="361"/>
      <c r="D135" s="642">
        <v>178</v>
      </c>
      <c r="E135" s="656">
        <v>0</v>
      </c>
      <c r="F135" s="642">
        <v>178010</v>
      </c>
      <c r="G135" s="644">
        <v>0</v>
      </c>
      <c r="H135" s="644">
        <v>0</v>
      </c>
      <c r="I135" s="644">
        <v>24192</v>
      </c>
      <c r="J135" s="656">
        <v>0</v>
      </c>
      <c r="K135" s="644">
        <v>175018</v>
      </c>
      <c r="L135" s="658" t="s">
        <v>558</v>
      </c>
      <c r="M135" s="659">
        <f t="array" ref="M135">INDEX(UtilityList!Q$4:Q$251,MATCH('Table 2.3b'!$A135&amp;'Table 2.3b'!$B135&amp;'Table 2.3b'!$C135,UtilityList!$A$4:$A$251&amp;UtilityList!$B$4:$B$251&amp;UtilityList!$C$4:$C$251,0))</f>
        <v>0</v>
      </c>
      <c r="N135" s="382" t="str">
        <f t="array" ref="N135">IFERROR(INDEX(UtilityList!J$4:J$251,MATCH('Table 2.3b'!$A135&amp;'Table 2.3b'!$B135&amp;'Table 2.3b'!$C135,UtilityList!$A$4:$A$251&amp;UtilityList!$B$4:$B$251&amp;UtilityList!$C$4:$C$251,0)),INDEX(UtilityList!J$4:J$251,MATCH('Table 2.3b'!$A135&amp;'Table 2.3b'!$C135,UtilityList!$A$4:$A$251&amp;UtilityList!$C$4:$C$251,0)))</f>
        <v>Railbelt</v>
      </c>
      <c r="O135" s="382" t="str">
        <f t="array" ref="O135">IFERROR(INDEX(UtilityList!K$4:K$251,MATCH('Table 2.3b'!$A135&amp;'Table 2.3b'!$B135&amp;'Table 2.3b'!$C135,UtilityList!$A$4:$A$251&amp;UtilityList!$B$4:$B$251&amp;UtilityList!$C$4:$C$251,0)),INDEX(UtilityList!K$4:K$251,MATCH('Table 2.3b'!$A135&amp;'Table 2.3b'!$C135,UtilityList!$A$4:$A$251&amp;UtilityList!$C$4:$C$251,0)))</f>
        <v>Denali</v>
      </c>
      <c r="P135" s="382" t="str">
        <f t="array" ref="P135">IFERROR(INDEX(UtilityList!L$4:L$251,MATCH('Table 2.3b'!$A135&amp;'Table 2.3b'!$B135&amp;'Table 2.3b'!$C135,UtilityList!$A$4:$A$251&amp;UtilityList!$B$4:$B$251&amp;UtilityList!$C$4:$C$251,0)),INDEX(UtilityList!L$4:L$251,MATCH('Table 2.3b'!$A135&amp;'Table 2.3b'!$C135,UtilityList!$A$4:$A$251&amp;UtilityList!$C$4:$C$251,0)))</f>
        <v>Doyon</v>
      </c>
      <c r="Q135" s="382" t="str">
        <f t="array" ref="Q135">IFERROR(INDEX(UtilityList!M$4:M$251,MATCH('Table 2.3b'!$A135&amp;'Table 2.3b'!$B135&amp;'Table 2.3b'!$C135,UtilityList!$A$4:$A$251&amp;UtilityList!$B$4:$B$251&amp;UtilityList!$C$4:$C$251,0)),INDEX(UtilityList!M$4:M$251,MATCH('Table 2.3b'!$A135&amp;'Table 2.3b'!$C135,UtilityList!$A$4:$A$251&amp;UtilityList!$C$4:$C$251,0)))</f>
        <v>YU</v>
      </c>
    </row>
    <row r="136" spans="1:17" s="8" customFormat="1" ht="30" x14ac:dyDescent="0.25">
      <c r="A136" s="360" t="s">
        <v>184</v>
      </c>
      <c r="B136" s="452" t="s">
        <v>187</v>
      </c>
      <c r="C136" s="361"/>
      <c r="D136" s="642">
        <v>486542</v>
      </c>
      <c r="E136" s="656">
        <v>0</v>
      </c>
      <c r="F136" s="656">
        <v>0</v>
      </c>
      <c r="G136" s="661">
        <v>0</v>
      </c>
      <c r="H136" s="644">
        <v>0</v>
      </c>
      <c r="I136" s="644">
        <v>32928882</v>
      </c>
      <c r="J136" s="656">
        <v>0</v>
      </c>
      <c r="K136" s="656">
        <v>0</v>
      </c>
      <c r="L136" s="658" t="s">
        <v>558</v>
      </c>
      <c r="M136" s="659">
        <f t="array" ref="M136">INDEX(UtilityList!Q$4:Q$251,MATCH('Table 2.3b'!$A136&amp;'Table 2.3b'!$B136&amp;'Table 2.3b'!$C136,UtilityList!$A$4:$A$251&amp;UtilityList!$B$4:$B$251&amp;UtilityList!$C$4:$C$251,0))</f>
        <v>0</v>
      </c>
      <c r="N136" s="382" t="str">
        <f t="array" ref="N136">IFERROR(INDEX(UtilityList!J$4:J$251,MATCH('Table 2.3b'!$A136&amp;'Table 2.3b'!$B136&amp;'Table 2.3b'!$C136,UtilityList!$A$4:$A$251&amp;UtilityList!$B$4:$B$251&amp;UtilityList!$C$4:$C$251,0)),INDEX(UtilityList!J$4:J$251,MATCH('Table 2.3b'!$A136&amp;'Table 2.3b'!$C136,UtilityList!$A$4:$A$251&amp;UtilityList!$C$4:$C$251,0)))</f>
        <v>Railbelt</v>
      </c>
      <c r="O136" s="382" t="str">
        <f t="array" ref="O136">IFERROR(INDEX(UtilityList!K$4:K$251,MATCH('Table 2.3b'!$A136&amp;'Table 2.3b'!$B136&amp;'Table 2.3b'!$C136,UtilityList!$A$4:$A$251&amp;UtilityList!$B$4:$B$251&amp;UtilityList!$C$4:$C$251,0)),INDEX(UtilityList!K$4:K$251,MATCH('Table 2.3b'!$A136&amp;'Table 2.3b'!$C136,UtilityList!$A$4:$A$251&amp;UtilityList!$C$4:$C$251,0)))</f>
        <v>Fairbanks North Star</v>
      </c>
      <c r="P136" s="382" t="str">
        <f t="array" ref="P136">IFERROR(INDEX(UtilityList!L$4:L$251,MATCH('Table 2.3b'!$A136&amp;'Table 2.3b'!$B136&amp;'Table 2.3b'!$C136,UtilityList!$A$4:$A$251&amp;UtilityList!$B$4:$B$251&amp;UtilityList!$C$4:$C$251,0)),INDEX(UtilityList!L$4:L$251,MATCH('Table 2.3b'!$A136&amp;'Table 2.3b'!$C136,UtilityList!$A$4:$A$251&amp;UtilityList!$C$4:$C$251,0)))</f>
        <v>Doyon</v>
      </c>
      <c r="Q136" s="382" t="str">
        <f t="array" ref="Q136">IFERROR(INDEX(UtilityList!M$4:M$251,MATCH('Table 2.3b'!$A136&amp;'Table 2.3b'!$B136&amp;'Table 2.3b'!$C136,UtilityList!$A$4:$A$251&amp;UtilityList!$B$4:$B$251&amp;UtilityList!$C$4:$C$251,0)),INDEX(UtilityList!M$4:M$251,MATCH('Table 2.3b'!$A136&amp;'Table 2.3b'!$C136,UtilityList!$A$4:$A$251&amp;UtilityList!$C$4:$C$251,0)))</f>
        <v>YU</v>
      </c>
    </row>
    <row r="137" spans="1:17" customFormat="1" ht="30" x14ac:dyDescent="0.25">
      <c r="A137" s="653" t="s">
        <v>188</v>
      </c>
      <c r="B137" s="452" t="s">
        <v>189</v>
      </c>
      <c r="C137" s="654" t="s">
        <v>189</v>
      </c>
      <c r="D137" s="655">
        <v>755.70100000000002</v>
      </c>
      <c r="E137" s="656">
        <v>0</v>
      </c>
      <c r="F137" s="656">
        <v>0</v>
      </c>
      <c r="G137" s="657">
        <v>0</v>
      </c>
      <c r="H137" s="657">
        <v>0</v>
      </c>
      <c r="I137" s="657">
        <v>60975</v>
      </c>
      <c r="J137" s="656">
        <v>0</v>
      </c>
      <c r="K137" s="656">
        <v>0</v>
      </c>
      <c r="L137" s="658" t="s">
        <v>356</v>
      </c>
      <c r="M137" s="659">
        <f t="array" ref="M137">INDEX(UtilityList!Q$4:Q$251,MATCH('Table 2.3b'!$A137&amp;'Table 2.3b'!$B137&amp;'Table 2.3b'!$C137,UtilityList!$A$4:$A$251&amp;UtilityList!$B$4:$B$251&amp;UtilityList!$C$4:$C$251,0))</f>
        <v>0</v>
      </c>
      <c r="N137" s="382" t="str">
        <f t="array" ref="N137">IFERROR(INDEX(UtilityList!J$4:J$251,MATCH('Table 2.3b'!$A137&amp;'Table 2.3b'!$B137&amp;'Table 2.3b'!$C137,UtilityList!$A$4:$A$251&amp;UtilityList!$B$4:$B$251&amp;UtilityList!$C$4:$C$251,0)),INDEX(UtilityList!J$4:J$251,MATCH('Table 2.3b'!$A137&amp;'Table 2.3b'!$C137,UtilityList!$A$4:$A$251&amp;UtilityList!$C$4:$C$251,0)))</f>
        <v>Bering Straits</v>
      </c>
      <c r="O137" s="382" t="str">
        <f t="array" ref="O137">IFERROR(INDEX(UtilityList!K$4:K$251,MATCH('Table 2.3b'!$A137&amp;'Table 2.3b'!$B137&amp;'Table 2.3b'!$C137,UtilityList!$A$4:$A$251&amp;UtilityList!$B$4:$B$251&amp;UtilityList!$C$4:$C$251,0)),INDEX(UtilityList!K$4:K$251,MATCH('Table 2.3b'!$A137&amp;'Table 2.3b'!$C137,UtilityList!$A$4:$A$251&amp;UtilityList!$C$4:$C$251,0)))</f>
        <v>Nome (CA)</v>
      </c>
      <c r="P137" s="382" t="str">
        <f t="array" ref="P137">IFERROR(INDEX(UtilityList!L$4:L$251,MATCH('Table 2.3b'!$A137&amp;'Table 2.3b'!$B137&amp;'Table 2.3b'!$C137,UtilityList!$A$4:$A$251&amp;UtilityList!$B$4:$B$251&amp;UtilityList!$C$4:$C$251,0)),INDEX(UtilityList!L$4:L$251,MATCH('Table 2.3b'!$A137&amp;'Table 2.3b'!$C137,UtilityList!$A$4:$A$251&amp;UtilityList!$C$4:$C$251,0)))</f>
        <v>Bering Straits</v>
      </c>
      <c r="Q137" s="382" t="str">
        <f t="array" ref="Q137">IFERROR(INDEX(UtilityList!M$4:M$251,MATCH('Table 2.3b'!$A137&amp;'Table 2.3b'!$B137&amp;'Table 2.3b'!$C137,UtilityList!$A$4:$A$251&amp;UtilityList!$B$4:$B$251&amp;UtilityList!$C$4:$C$251,0)),INDEX(UtilityList!M$4:M$251,MATCH('Table 2.3b'!$A137&amp;'Table 2.3b'!$C137,UtilityList!$A$4:$A$251&amp;UtilityList!$C$4:$C$251,0)))</f>
        <v>AN</v>
      </c>
    </row>
    <row r="138" spans="1:17" s="341" customFormat="1" x14ac:dyDescent="0.25">
      <c r="A138" s="653" t="s">
        <v>190</v>
      </c>
      <c r="B138" s="452" t="s">
        <v>520</v>
      </c>
      <c r="C138" s="654" t="s">
        <v>191</v>
      </c>
      <c r="D138" s="655">
        <v>0</v>
      </c>
      <c r="E138" s="656">
        <v>0</v>
      </c>
      <c r="F138" s="656">
        <v>0</v>
      </c>
      <c r="G138" s="657">
        <v>1955</v>
      </c>
      <c r="H138" s="657">
        <v>0</v>
      </c>
      <c r="I138" s="657">
        <v>0</v>
      </c>
      <c r="J138" s="656">
        <v>0</v>
      </c>
      <c r="K138" s="656">
        <v>0</v>
      </c>
      <c r="L138" s="658" t="s">
        <v>356</v>
      </c>
      <c r="M138" s="659">
        <f t="array" ref="M138">INDEX(UtilityList!Q$4:Q$251,MATCH('Table 2.3b'!$A138&amp;'Table 2.3b'!$B138&amp;'Table 2.3b'!$C138,UtilityList!$A$4:$A$251&amp;UtilityList!$B$4:$B$251&amp;UtilityList!$C$4:$C$251,0))</f>
        <v>0</v>
      </c>
      <c r="N138" s="382" t="str">
        <f t="array" ref="N138">IFERROR(INDEX(UtilityList!J$4:J$251,MATCH('Table 2.3b'!$A138&amp;'Table 2.3b'!$B138&amp;'Table 2.3b'!$C138,UtilityList!$A$4:$A$251&amp;UtilityList!$B$4:$B$251&amp;UtilityList!$C$4:$C$251,0)),INDEX(UtilityList!J$4:J$251,MATCH('Table 2.3b'!$A138&amp;'Table 2.3b'!$C138,UtilityList!$A$4:$A$251&amp;UtilityList!$C$4:$C$251,0)))</f>
        <v>Southeast</v>
      </c>
      <c r="O138" s="382" t="str">
        <f t="array" ref="O138">IFERROR(INDEX(UtilityList!K$4:K$251,MATCH('Table 2.3b'!$A138&amp;'Table 2.3b'!$B138&amp;'Table 2.3b'!$C138,UtilityList!$A$4:$A$251&amp;UtilityList!$B$4:$B$251&amp;UtilityList!$C$4:$C$251,0)),INDEX(UtilityList!K$4:K$251,MATCH('Table 2.3b'!$A138&amp;'Table 2.3b'!$C138,UtilityList!$A$4:$A$251&amp;UtilityList!$C$4:$C$251,0)))</f>
        <v>Hoonah-Angoon (CA)</v>
      </c>
      <c r="P138" s="382" t="str">
        <f t="array" ref="P138">IFERROR(INDEX(UtilityList!L$4:L$251,MATCH('Table 2.3b'!$A138&amp;'Table 2.3b'!$B138&amp;'Table 2.3b'!$C138,UtilityList!$A$4:$A$251&amp;UtilityList!$B$4:$B$251&amp;UtilityList!$C$4:$C$251,0)),INDEX(UtilityList!L$4:L$251,MATCH('Table 2.3b'!$A138&amp;'Table 2.3b'!$C138,UtilityList!$A$4:$A$251&amp;UtilityList!$C$4:$C$251,0)))</f>
        <v>Sealaska</v>
      </c>
      <c r="Q138" s="382" t="str">
        <f t="array" ref="Q138">IFERROR(INDEX(UtilityList!M$4:M$251,MATCH('Table 2.3b'!$A138&amp;'Table 2.3b'!$B138&amp;'Table 2.3b'!$C138,UtilityList!$A$4:$A$251&amp;UtilityList!$B$4:$B$251&amp;UtilityList!$C$4:$C$251,0)),INDEX(UtilityList!M$4:M$251,MATCH('Table 2.3b'!$A138&amp;'Table 2.3b'!$C138,UtilityList!$A$4:$A$251&amp;UtilityList!$C$4:$C$251,0)))</f>
        <v>SE</v>
      </c>
    </row>
    <row r="139" spans="1:17" customFormat="1" x14ac:dyDescent="0.25">
      <c r="A139" s="653" t="s">
        <v>190</v>
      </c>
      <c r="B139" s="452" t="s">
        <v>191</v>
      </c>
      <c r="C139" s="654" t="s">
        <v>191</v>
      </c>
      <c r="D139" s="655">
        <v>98.196960000000004</v>
      </c>
      <c r="E139" s="656">
        <v>0</v>
      </c>
      <c r="F139" s="656">
        <v>0</v>
      </c>
      <c r="G139" s="657">
        <v>0</v>
      </c>
      <c r="H139" s="657">
        <v>0</v>
      </c>
      <c r="I139" s="657">
        <v>12625.089</v>
      </c>
      <c r="J139" s="656">
        <v>0</v>
      </c>
      <c r="K139" s="656">
        <v>0</v>
      </c>
      <c r="L139" s="658" t="s">
        <v>356</v>
      </c>
      <c r="M139" s="659">
        <f t="array" ref="M139">INDEX(UtilityList!Q$4:Q$251,MATCH('Table 2.3b'!$A139&amp;'Table 2.3b'!$B139&amp;'Table 2.3b'!$C139,UtilityList!$A$4:$A$251&amp;UtilityList!$B$4:$B$251&amp;UtilityList!$C$4:$C$251,0))</f>
        <v>0</v>
      </c>
      <c r="N139" s="382" t="str">
        <f t="array" ref="N139">IFERROR(INDEX(UtilityList!J$4:J$251,MATCH('Table 2.3b'!$A139&amp;'Table 2.3b'!$B139&amp;'Table 2.3b'!$C139,UtilityList!$A$4:$A$251&amp;UtilityList!$B$4:$B$251&amp;UtilityList!$C$4:$C$251,0)),INDEX(UtilityList!J$4:J$251,MATCH('Table 2.3b'!$A139&amp;'Table 2.3b'!$C139,UtilityList!$A$4:$A$251&amp;UtilityList!$C$4:$C$251,0)))</f>
        <v>Southeast</v>
      </c>
      <c r="O139" s="382" t="str">
        <f t="array" ref="O139">IFERROR(INDEX(UtilityList!K$4:K$251,MATCH('Table 2.3b'!$A139&amp;'Table 2.3b'!$B139&amp;'Table 2.3b'!$C139,UtilityList!$A$4:$A$251&amp;UtilityList!$B$4:$B$251&amp;UtilityList!$C$4:$C$251,0)),INDEX(UtilityList!K$4:K$251,MATCH('Table 2.3b'!$A139&amp;'Table 2.3b'!$C139,UtilityList!$A$4:$A$251&amp;UtilityList!$C$4:$C$251,0)))</f>
        <v>Hoonah-Angoon (CA)</v>
      </c>
      <c r="P139" s="382" t="str">
        <f t="array" ref="P139">IFERROR(INDEX(UtilityList!L$4:L$251,MATCH('Table 2.3b'!$A139&amp;'Table 2.3b'!$B139&amp;'Table 2.3b'!$C139,UtilityList!$A$4:$A$251&amp;UtilityList!$B$4:$B$251&amp;UtilityList!$C$4:$C$251,0)),INDEX(UtilityList!L$4:L$251,MATCH('Table 2.3b'!$A139&amp;'Table 2.3b'!$C139,UtilityList!$A$4:$A$251&amp;UtilityList!$C$4:$C$251,0)))</f>
        <v>Sealaska</v>
      </c>
      <c r="Q139" s="382" t="str">
        <f t="array" ref="Q139">IFERROR(INDEX(UtilityList!M$4:M$251,MATCH('Table 2.3b'!$A139&amp;'Table 2.3b'!$B139&amp;'Table 2.3b'!$C139,UtilityList!$A$4:$A$251&amp;UtilityList!$B$4:$B$251&amp;UtilityList!$C$4:$C$251,0)),INDEX(UtilityList!M$4:M$251,MATCH('Table 2.3b'!$A139&amp;'Table 2.3b'!$C139,UtilityList!$A$4:$A$251&amp;UtilityList!$C$4:$C$251,0)))</f>
        <v>SE</v>
      </c>
    </row>
    <row r="140" spans="1:17" customFormat="1" ht="30" x14ac:dyDescent="0.25">
      <c r="A140" s="653" t="s">
        <v>535</v>
      </c>
      <c r="B140" s="452" t="s">
        <v>192</v>
      </c>
      <c r="C140" s="654" t="s">
        <v>192</v>
      </c>
      <c r="D140" s="655">
        <v>3061.62</v>
      </c>
      <c r="E140" s="656">
        <v>0</v>
      </c>
      <c r="F140" s="656">
        <v>0</v>
      </c>
      <c r="G140" s="657">
        <v>0</v>
      </c>
      <c r="H140" s="657">
        <v>0</v>
      </c>
      <c r="I140" s="657">
        <v>238873</v>
      </c>
      <c r="J140" s="656">
        <v>0</v>
      </c>
      <c r="K140" s="656">
        <v>0</v>
      </c>
      <c r="L140" s="658" t="s">
        <v>356</v>
      </c>
      <c r="M140" s="659">
        <f t="array" ref="M140">INDEX(UtilityList!Q$4:Q$251,MATCH('Table 2.3b'!$A140&amp;'Table 2.3b'!$B140&amp;'Table 2.3b'!$C140,UtilityList!$A$4:$A$251&amp;UtilityList!$B$4:$B$251&amp;UtilityList!$C$4:$C$251,0))</f>
        <v>0</v>
      </c>
      <c r="N140" s="382" t="str">
        <f t="array" ref="N140">IFERROR(INDEX(UtilityList!J$4:J$251,MATCH('Table 2.3b'!$A140&amp;'Table 2.3b'!$B140&amp;'Table 2.3b'!$C140,UtilityList!$A$4:$A$251&amp;UtilityList!$B$4:$B$251&amp;UtilityList!$C$4:$C$251,0)),INDEX(UtilityList!J$4:J$251,MATCH('Table 2.3b'!$A140&amp;'Table 2.3b'!$C140,UtilityList!$A$4:$A$251&amp;UtilityList!$C$4:$C$251,0)))</f>
        <v>Yukon-Koyukuk/Upper Tanana</v>
      </c>
      <c r="O140" s="382" t="str">
        <f t="array" ref="O140">IFERROR(INDEX(UtilityList!K$4:K$251,MATCH('Table 2.3b'!$A140&amp;'Table 2.3b'!$B140&amp;'Table 2.3b'!$C140,UtilityList!$A$4:$A$251&amp;UtilityList!$B$4:$B$251&amp;UtilityList!$C$4:$C$251,0)),INDEX(UtilityList!K$4:K$251,MATCH('Table 2.3b'!$A140&amp;'Table 2.3b'!$C140,UtilityList!$A$4:$A$251&amp;UtilityList!$C$4:$C$251,0)))</f>
        <v>Yukon-Koyukuk (CA)</v>
      </c>
      <c r="P140" s="382" t="str">
        <f t="array" ref="P140">IFERROR(INDEX(UtilityList!L$4:L$251,MATCH('Table 2.3b'!$A140&amp;'Table 2.3b'!$B140&amp;'Table 2.3b'!$C140,UtilityList!$A$4:$A$251&amp;UtilityList!$B$4:$B$251&amp;UtilityList!$C$4:$C$251,0)),INDEX(UtilityList!L$4:L$251,MATCH('Table 2.3b'!$A140&amp;'Table 2.3b'!$C140,UtilityList!$A$4:$A$251&amp;UtilityList!$C$4:$C$251,0)))</f>
        <v>Doyon</v>
      </c>
      <c r="Q140" s="382" t="str">
        <f t="array" ref="Q140">IFERROR(INDEX(UtilityList!M$4:M$251,MATCH('Table 2.3b'!$A140&amp;'Table 2.3b'!$B140&amp;'Table 2.3b'!$C140,UtilityList!$A$4:$A$251&amp;UtilityList!$B$4:$B$251&amp;UtilityList!$C$4:$C$251,0)),INDEX(UtilityList!M$4:M$251,MATCH('Table 2.3b'!$A140&amp;'Table 2.3b'!$C140,UtilityList!$A$4:$A$251&amp;UtilityList!$C$4:$C$251,0)))</f>
        <v>YU</v>
      </c>
    </row>
    <row r="141" spans="1:17" s="169" customFormat="1" ht="30" x14ac:dyDescent="0.25">
      <c r="A141" s="653" t="s">
        <v>193</v>
      </c>
      <c r="B141" s="452" t="s">
        <v>194</v>
      </c>
      <c r="C141" s="361"/>
      <c r="D141" s="644">
        <v>0</v>
      </c>
      <c r="E141" s="642">
        <v>276289</v>
      </c>
      <c r="F141" s="656">
        <v>0</v>
      </c>
      <c r="G141" s="661">
        <v>0</v>
      </c>
      <c r="H141" s="644">
        <v>0</v>
      </c>
      <c r="I141" s="644">
        <v>0</v>
      </c>
      <c r="J141" s="644">
        <v>3577770</v>
      </c>
      <c r="K141" s="656">
        <v>0</v>
      </c>
      <c r="L141" s="658" t="s">
        <v>558</v>
      </c>
      <c r="M141" s="659">
        <f t="array" ref="M141">INDEX(UtilityList!Q$4:Q$251,MATCH('Table 2.3b'!$A141&amp;'Table 2.3b'!$B141&amp;'Table 2.3b'!$C141,UtilityList!$A$4:$A$251&amp;UtilityList!$B$4:$B$251&amp;UtilityList!$C$4:$C$251,0))</f>
        <v>0</v>
      </c>
      <c r="N141" s="382" t="str">
        <f t="array" ref="N141">IFERROR(INDEX(UtilityList!J$4:J$251,MATCH('Table 2.3b'!$A141&amp;'Table 2.3b'!$B141&amp;'Table 2.3b'!$C141,UtilityList!$A$4:$A$251&amp;UtilityList!$B$4:$B$251&amp;UtilityList!$C$4:$C$251,0)),INDEX(UtilityList!J$4:J$251,MATCH('Table 2.3b'!$A141&amp;'Table 2.3b'!$C141,UtilityList!$A$4:$A$251&amp;UtilityList!$C$4:$C$251,0)))</f>
        <v>Railbelt</v>
      </c>
      <c r="O141" s="382" t="str">
        <f t="array" ref="O141">IFERROR(INDEX(UtilityList!K$4:K$251,MATCH('Table 2.3b'!$A141&amp;'Table 2.3b'!$B141&amp;'Table 2.3b'!$C141,UtilityList!$A$4:$A$251&amp;UtilityList!$B$4:$B$251&amp;UtilityList!$C$4:$C$251,0)),INDEX(UtilityList!K$4:K$251,MATCH('Table 2.3b'!$A141&amp;'Table 2.3b'!$C141,UtilityList!$A$4:$A$251&amp;UtilityList!$C$4:$C$251,0)))</f>
        <v>Kenai Peninsula</v>
      </c>
      <c r="P141" s="382" t="str">
        <f t="array" ref="P141">IFERROR(INDEX(UtilityList!L$4:L$251,MATCH('Table 2.3b'!$A141&amp;'Table 2.3b'!$B141&amp;'Table 2.3b'!$C141,UtilityList!$A$4:$A$251&amp;UtilityList!$B$4:$B$251&amp;UtilityList!$C$4:$C$251,0)),INDEX(UtilityList!L$4:L$251,MATCH('Table 2.3b'!$A141&amp;'Table 2.3b'!$C141,UtilityList!$A$4:$A$251&amp;UtilityList!$C$4:$C$251,0)))</f>
        <v>Cook Inlet</v>
      </c>
      <c r="Q141" s="382" t="str">
        <f t="array" ref="Q141">IFERROR(INDEX(UtilityList!M$4:M$251,MATCH('Table 2.3b'!$A141&amp;'Table 2.3b'!$B141&amp;'Table 2.3b'!$C141,UtilityList!$A$4:$A$251&amp;UtilityList!$B$4:$B$251&amp;UtilityList!$C$4:$C$251,0)),INDEX(UtilityList!M$4:M$251,MATCH('Table 2.3b'!$A141&amp;'Table 2.3b'!$C141,UtilityList!$A$4:$A$251&amp;UtilityList!$C$4:$C$251,0)))</f>
        <v>SC</v>
      </c>
    </row>
    <row r="142" spans="1:17" s="169" customFormat="1" ht="30" x14ac:dyDescent="0.25">
      <c r="A142" s="653" t="s">
        <v>193</v>
      </c>
      <c r="B142" s="452" t="s">
        <v>195</v>
      </c>
      <c r="C142" s="361"/>
      <c r="D142" s="644">
        <v>143</v>
      </c>
      <c r="E142" s="656">
        <v>0</v>
      </c>
      <c r="F142" s="656">
        <v>0</v>
      </c>
      <c r="G142" s="661">
        <v>0</v>
      </c>
      <c r="H142" s="644">
        <v>0</v>
      </c>
      <c r="I142" s="644">
        <v>10206</v>
      </c>
      <c r="J142" s="656">
        <v>0</v>
      </c>
      <c r="K142" s="656">
        <v>0</v>
      </c>
      <c r="L142" s="658" t="s">
        <v>558</v>
      </c>
      <c r="M142" s="659">
        <f t="array" ref="M142">INDEX(UtilityList!Q$4:Q$251,MATCH('Table 2.3b'!$A142&amp;'Table 2.3b'!$B142&amp;'Table 2.3b'!$C142,UtilityList!$A$4:$A$251&amp;UtilityList!$B$4:$B$251&amp;UtilityList!$C$4:$C$251,0))</f>
        <v>0</v>
      </c>
      <c r="N142" s="382" t="str">
        <f t="array" ref="N142">IFERROR(INDEX(UtilityList!J$4:J$251,MATCH('Table 2.3b'!$A142&amp;'Table 2.3b'!$B142&amp;'Table 2.3b'!$C142,UtilityList!$A$4:$A$251&amp;UtilityList!$B$4:$B$251&amp;UtilityList!$C$4:$C$251,0)),INDEX(UtilityList!J$4:J$251,MATCH('Table 2.3b'!$A142&amp;'Table 2.3b'!$C142,UtilityList!$A$4:$A$251&amp;UtilityList!$C$4:$C$251,0)))</f>
        <v>Railbelt</v>
      </c>
      <c r="O142" s="382" t="str">
        <f t="array" ref="O142">IFERROR(INDEX(UtilityList!K$4:K$251,MATCH('Table 2.3b'!$A142&amp;'Table 2.3b'!$B142&amp;'Table 2.3b'!$C142,UtilityList!$A$4:$A$251&amp;UtilityList!$B$4:$B$251&amp;UtilityList!$C$4:$C$251,0)),INDEX(UtilityList!K$4:K$251,MATCH('Table 2.3b'!$A142&amp;'Table 2.3b'!$C142,UtilityList!$A$4:$A$251&amp;UtilityList!$C$4:$C$251,0)))</f>
        <v>Kenai Peninsula</v>
      </c>
      <c r="P142" s="382" t="str">
        <f t="array" ref="P142">IFERROR(INDEX(UtilityList!L$4:L$251,MATCH('Table 2.3b'!$A142&amp;'Table 2.3b'!$B142&amp;'Table 2.3b'!$C142,UtilityList!$A$4:$A$251&amp;UtilityList!$B$4:$B$251&amp;UtilityList!$C$4:$C$251,0)),INDEX(UtilityList!L$4:L$251,MATCH('Table 2.3b'!$A142&amp;'Table 2.3b'!$C142,UtilityList!$A$4:$A$251&amp;UtilityList!$C$4:$C$251,0)))</f>
        <v>Cook Inlet</v>
      </c>
      <c r="Q142" s="382" t="str">
        <f t="array" ref="Q142">IFERROR(INDEX(UtilityList!M$4:M$251,MATCH('Table 2.3b'!$A142&amp;'Table 2.3b'!$B142&amp;'Table 2.3b'!$C142,UtilityList!$A$4:$A$251&amp;UtilityList!$B$4:$B$251&amp;UtilityList!$C$4:$C$251,0)),INDEX(UtilityList!M$4:M$251,MATCH('Table 2.3b'!$A142&amp;'Table 2.3b'!$C142,UtilityList!$A$4:$A$251&amp;UtilityList!$C$4:$C$251,0)))</f>
        <v>SC</v>
      </c>
    </row>
    <row r="143" spans="1:17" s="169" customFormat="1" ht="60" x14ac:dyDescent="0.25">
      <c r="A143" s="653" t="s">
        <v>193</v>
      </c>
      <c r="B143" s="452" t="s">
        <v>312</v>
      </c>
      <c r="C143" s="654"/>
      <c r="D143" s="655">
        <v>0</v>
      </c>
      <c r="E143" s="656">
        <v>0</v>
      </c>
      <c r="F143" s="656">
        <v>0</v>
      </c>
      <c r="G143" s="657">
        <v>303900</v>
      </c>
      <c r="H143" s="425">
        <v>0</v>
      </c>
      <c r="I143" s="425">
        <v>0</v>
      </c>
      <c r="J143" s="656">
        <v>0</v>
      </c>
      <c r="K143" s="656">
        <v>0</v>
      </c>
      <c r="L143" s="658" t="s">
        <v>558</v>
      </c>
      <c r="M143" s="659" t="str">
        <f t="array" ref="M143">INDEX(UtilityList!Q$4:Q$251,MATCH('Table 2.3b'!$A143&amp;'Table 2.3b'!$B143&amp;'Table 2.3b'!$C143,UtilityList!$A$4:$A$251&amp;UtilityList!$B$4:$B$251&amp;UtilityList!$C$4:$C$251,0))</f>
        <v>Generation from Bradley Lake is shared among Chugach, AML&amp;P, HEA, MEA, Seward Electric and GVEA</v>
      </c>
      <c r="N143" s="382" t="str">
        <f t="array" ref="N143">IFERROR(INDEX(UtilityList!J$4:J$251,MATCH('Table 2.3b'!$A143&amp;'Table 2.3b'!$B143&amp;'Table 2.3b'!$C143,UtilityList!$A$4:$A$251&amp;UtilityList!$B$4:$B$251&amp;UtilityList!$C$4:$C$251,0)),INDEX(UtilityList!J$4:J$251,MATCH('Table 2.3b'!$A143&amp;'Table 2.3b'!$C143,UtilityList!$A$4:$A$251&amp;UtilityList!$C$4:$C$251,0)))</f>
        <v>Railbelt</v>
      </c>
      <c r="O143" s="382" t="str">
        <f t="array" ref="O143">IFERROR(INDEX(UtilityList!K$4:K$251,MATCH('Table 2.3b'!$A143&amp;'Table 2.3b'!$B143&amp;'Table 2.3b'!$C143,UtilityList!$A$4:$A$251&amp;UtilityList!$B$4:$B$251&amp;UtilityList!$C$4:$C$251,0)),INDEX(UtilityList!K$4:K$251,MATCH('Table 2.3b'!$A143&amp;'Table 2.3b'!$C143,UtilityList!$A$4:$A$251&amp;UtilityList!$C$4:$C$251,0)))</f>
        <v>Anchorage</v>
      </c>
      <c r="P143" s="382" t="str">
        <f t="array" ref="P143">IFERROR(INDEX(UtilityList!L$4:L$251,MATCH('Table 2.3b'!$A143&amp;'Table 2.3b'!$B143&amp;'Table 2.3b'!$C143,UtilityList!$A$4:$A$251&amp;UtilityList!$B$4:$B$251&amp;UtilityList!$C$4:$C$251,0)),INDEX(UtilityList!L$4:L$251,MATCH('Table 2.3b'!$A143&amp;'Table 2.3b'!$C143,UtilityList!$A$4:$A$251&amp;UtilityList!$C$4:$C$251,0)))</f>
        <v>Cook Inlet</v>
      </c>
      <c r="Q143" s="382" t="str">
        <f t="array" ref="Q143">IFERROR(INDEX(UtilityList!M$4:M$251,MATCH('Table 2.3b'!$A143&amp;'Table 2.3b'!$B143&amp;'Table 2.3b'!$C143,UtilityList!$A$4:$A$251&amp;UtilityList!$B$4:$B$251&amp;UtilityList!$C$4:$C$251,0)),INDEX(UtilityList!M$4:M$251,MATCH('Table 2.3b'!$A143&amp;'Table 2.3b'!$C143,UtilityList!$A$4:$A$251&amp;UtilityList!$C$4:$C$251,0)))</f>
        <v>SC</v>
      </c>
    </row>
    <row r="144" spans="1:17" s="169" customFormat="1" ht="30" x14ac:dyDescent="0.25">
      <c r="A144" s="653" t="s">
        <v>196</v>
      </c>
      <c r="B144" s="452" t="s">
        <v>197</v>
      </c>
      <c r="C144" s="654" t="s">
        <v>197</v>
      </c>
      <c r="D144" s="655">
        <v>372.29500000000002</v>
      </c>
      <c r="E144" s="656">
        <v>0</v>
      </c>
      <c r="F144" s="656">
        <v>0</v>
      </c>
      <c r="G144" s="657">
        <v>0</v>
      </c>
      <c r="H144" s="657">
        <v>0</v>
      </c>
      <c r="I144" s="657">
        <v>40992</v>
      </c>
      <c r="J144" s="656">
        <v>0</v>
      </c>
      <c r="K144" s="656">
        <v>0</v>
      </c>
      <c r="L144" s="658" t="s">
        <v>356</v>
      </c>
      <c r="M144" s="659">
        <f t="array" ref="M144">INDEX(UtilityList!Q$4:Q$251,MATCH('Table 2.3b'!$A144&amp;'Table 2.3b'!$B144&amp;'Table 2.3b'!$C144,UtilityList!$A$4:$A$251&amp;UtilityList!$B$4:$B$251&amp;UtilityList!$C$4:$C$251,0))</f>
        <v>0</v>
      </c>
      <c r="N144" s="382" t="str">
        <f t="array" ref="N144">IFERROR(INDEX(UtilityList!J$4:J$251,MATCH('Table 2.3b'!$A144&amp;'Table 2.3b'!$B144&amp;'Table 2.3b'!$C144,UtilityList!$A$4:$A$251&amp;UtilityList!$B$4:$B$251&amp;UtilityList!$C$4:$C$251,0)),INDEX(UtilityList!J$4:J$251,MATCH('Table 2.3b'!$A144&amp;'Table 2.3b'!$C144,UtilityList!$A$4:$A$251&amp;UtilityList!$C$4:$C$251,0)))</f>
        <v>Yukon-Koyukuk/Upper Tanana</v>
      </c>
      <c r="O144" s="382" t="str">
        <f t="array" ref="O144">IFERROR(INDEX(UtilityList!K$4:K$251,MATCH('Table 2.3b'!$A144&amp;'Table 2.3b'!$B144&amp;'Table 2.3b'!$C144,UtilityList!$A$4:$A$251&amp;UtilityList!$B$4:$B$251&amp;UtilityList!$C$4:$C$251,0)),INDEX(UtilityList!K$4:K$251,MATCH('Table 2.3b'!$A144&amp;'Table 2.3b'!$C144,UtilityList!$A$4:$A$251&amp;UtilityList!$C$4:$C$251,0)))</f>
        <v>Yukon-Koyukuk (CA)</v>
      </c>
      <c r="P144" s="382" t="str">
        <f t="array" ref="P144">IFERROR(INDEX(UtilityList!L$4:L$251,MATCH('Table 2.3b'!$A144&amp;'Table 2.3b'!$B144&amp;'Table 2.3b'!$C144,UtilityList!$A$4:$A$251&amp;UtilityList!$B$4:$B$251&amp;UtilityList!$C$4:$C$251,0)),INDEX(UtilityList!L$4:L$251,MATCH('Table 2.3b'!$A144&amp;'Table 2.3b'!$C144,UtilityList!$A$4:$A$251&amp;UtilityList!$C$4:$C$251,0)))</f>
        <v>Doyon</v>
      </c>
      <c r="Q144" s="382" t="str">
        <f t="array" ref="Q144">IFERROR(INDEX(UtilityList!M$4:M$251,MATCH('Table 2.3b'!$A144&amp;'Table 2.3b'!$B144&amp;'Table 2.3b'!$C144,UtilityList!$A$4:$A$251&amp;UtilityList!$B$4:$B$251&amp;UtilityList!$C$4:$C$251,0)),INDEX(UtilityList!M$4:M$251,MATCH('Table 2.3b'!$A144&amp;'Table 2.3b'!$C144,UtilityList!$A$4:$A$251&amp;UtilityList!$C$4:$C$251,0)))</f>
        <v>YU</v>
      </c>
    </row>
    <row r="145" spans="1:17" customFormat="1" ht="30" x14ac:dyDescent="0.25">
      <c r="A145" s="653" t="s">
        <v>198</v>
      </c>
      <c r="B145" s="452" t="s">
        <v>199</v>
      </c>
      <c r="C145" s="654" t="s">
        <v>199</v>
      </c>
      <c r="D145" s="655">
        <v>307.71845500000001</v>
      </c>
      <c r="E145" s="656">
        <v>0</v>
      </c>
      <c r="F145" s="656">
        <v>0</v>
      </c>
      <c r="G145" s="657">
        <v>0</v>
      </c>
      <c r="H145" s="657">
        <v>0</v>
      </c>
      <c r="I145" s="657">
        <v>27001.090199999999</v>
      </c>
      <c r="J145" s="656">
        <v>0</v>
      </c>
      <c r="K145" s="656">
        <v>0</v>
      </c>
      <c r="L145" s="658" t="s">
        <v>356</v>
      </c>
      <c r="M145" s="659">
        <f t="array" ref="M145">INDEX(UtilityList!Q$4:Q$251,MATCH('Table 2.3b'!$A145&amp;'Table 2.3b'!$B145&amp;'Table 2.3b'!$C145,UtilityList!$A$4:$A$251&amp;UtilityList!$B$4:$B$251&amp;UtilityList!$C$4:$C$251,0))</f>
        <v>0</v>
      </c>
      <c r="N145" s="382" t="str">
        <f t="array" ref="N145">IFERROR(INDEX(UtilityList!J$4:J$251,MATCH('Table 2.3b'!$A145&amp;'Table 2.3b'!$B145&amp;'Table 2.3b'!$C145,UtilityList!$A$4:$A$251&amp;UtilityList!$B$4:$B$251&amp;UtilityList!$C$4:$C$251,0)),INDEX(UtilityList!J$4:J$251,MATCH('Table 2.3b'!$A145&amp;'Table 2.3b'!$C145,UtilityList!$A$4:$A$251&amp;UtilityList!$C$4:$C$251,0)))</f>
        <v>Bristol Bay</v>
      </c>
      <c r="O145" s="382" t="str">
        <f t="array" ref="O145">IFERROR(INDEX(UtilityList!K$4:K$251,MATCH('Table 2.3b'!$A145&amp;'Table 2.3b'!$B145&amp;'Table 2.3b'!$C145,UtilityList!$A$4:$A$251&amp;UtilityList!$B$4:$B$251&amp;UtilityList!$C$4:$C$251,0)),INDEX(UtilityList!K$4:K$251,MATCH('Table 2.3b'!$A145&amp;'Table 2.3b'!$C145,UtilityList!$A$4:$A$251&amp;UtilityList!$C$4:$C$251,0)))</f>
        <v>Lake and Peninsula</v>
      </c>
      <c r="P145" s="382" t="str">
        <f t="array" ref="P145">IFERROR(INDEX(UtilityList!L$4:L$251,MATCH('Table 2.3b'!$A145&amp;'Table 2.3b'!$B145&amp;'Table 2.3b'!$C145,UtilityList!$A$4:$A$251&amp;UtilityList!$B$4:$B$251&amp;UtilityList!$C$4:$C$251,0)),INDEX(UtilityList!L$4:L$251,MATCH('Table 2.3b'!$A145&amp;'Table 2.3b'!$C145,UtilityList!$A$4:$A$251&amp;UtilityList!$C$4:$C$251,0)))</f>
        <v>Bristol Bay</v>
      </c>
      <c r="Q145" s="382" t="str">
        <f t="array" ref="Q145">IFERROR(INDEX(UtilityList!M$4:M$251,MATCH('Table 2.3b'!$A145&amp;'Table 2.3b'!$B145&amp;'Table 2.3b'!$C145,UtilityList!$A$4:$A$251&amp;UtilityList!$B$4:$B$251&amp;UtilityList!$C$4:$C$251,0)),INDEX(UtilityList!M$4:M$251,MATCH('Table 2.3b'!$A145&amp;'Table 2.3b'!$C145,UtilityList!$A$4:$A$251&amp;UtilityList!$C$4:$C$251,0)))</f>
        <v>SW</v>
      </c>
    </row>
    <row r="146" spans="1:17" customFormat="1" ht="120" x14ac:dyDescent="0.25">
      <c r="A146" s="653" t="s">
        <v>200</v>
      </c>
      <c r="B146" s="658" t="s">
        <v>494</v>
      </c>
      <c r="C146" s="636" t="s">
        <v>658</v>
      </c>
      <c r="D146" s="655">
        <v>84.087000000000003</v>
      </c>
      <c r="E146" s="677">
        <v>0</v>
      </c>
      <c r="F146" s="677">
        <v>0</v>
      </c>
      <c r="G146" s="657">
        <v>0</v>
      </c>
      <c r="H146" s="657">
        <v>0</v>
      </c>
      <c r="I146" s="657">
        <v>6620.7960000000003</v>
      </c>
      <c r="J146" s="677">
        <v>0</v>
      </c>
      <c r="K146" s="677">
        <v>0</v>
      </c>
      <c r="L146" s="676" t="s">
        <v>356</v>
      </c>
      <c r="M146" s="659" t="str">
        <f t="array" ref="M146">INDEX(UtilityList!Q$4:Q$251,MATCH('Table 2.3b'!$A146&amp;'Table 2.3b'!$B146&amp;'Table 2.3b'!$C146,UtilityList!$A$4:$A$251&amp;UtilityList!$B$4:$B$251&amp;UtilityList!$C$4:$C$251,0))</f>
        <v>Power produced at the Tazimina hydroelectric project and the Newhalen plant is shared by Iliamna, Newhalen and Nondalton. Newhalen's information is included in Nondalton's data.</v>
      </c>
      <c r="N146" s="382" t="str">
        <f t="array" ref="N146">IFERROR(INDEX(UtilityList!J$4:J$251,MATCH('Table 2.3b'!$A146&amp;'Table 2.3b'!$B146&amp;'Table 2.3b'!$C146,UtilityList!$A$4:$A$251&amp;UtilityList!$B$4:$B$251&amp;UtilityList!$C$4:$C$251,0)),INDEX(UtilityList!J$4:J$251,MATCH('Table 2.3b'!$A146&amp;'Table 2.3b'!$C146,UtilityList!$A$4:$A$251&amp;UtilityList!$C$4:$C$251,0)))</f>
        <v>Bristol Bay</v>
      </c>
      <c r="O146" s="382" t="str">
        <f t="array" ref="O146">IFERROR(INDEX(UtilityList!K$4:K$251,MATCH('Table 2.3b'!$A146&amp;'Table 2.3b'!$B146&amp;'Table 2.3b'!$C146,UtilityList!$A$4:$A$251&amp;UtilityList!$B$4:$B$251&amp;UtilityList!$C$4:$C$251,0)),INDEX(UtilityList!K$4:K$251,MATCH('Table 2.3b'!$A146&amp;'Table 2.3b'!$C146,UtilityList!$A$4:$A$251&amp;UtilityList!$C$4:$C$251,0)))</f>
        <v>Lake and Peninsula</v>
      </c>
      <c r="P146" s="382" t="str">
        <f t="array" ref="P146">IFERROR(INDEX(UtilityList!L$4:L$251,MATCH('Table 2.3b'!$A146&amp;'Table 2.3b'!$B146&amp;'Table 2.3b'!$C146,UtilityList!$A$4:$A$251&amp;UtilityList!$B$4:$B$251&amp;UtilityList!$C$4:$C$251,0)),INDEX(UtilityList!L$4:L$251,MATCH('Table 2.3b'!$A146&amp;'Table 2.3b'!$C146,UtilityList!$A$4:$A$251&amp;UtilityList!$C$4:$C$251,0)))</f>
        <v>Bristol Bay</v>
      </c>
      <c r="Q146" s="382" t="str">
        <f t="array" ref="Q146">IFERROR(INDEX(UtilityList!M$4:M$251,MATCH('Table 2.3b'!$A146&amp;'Table 2.3b'!$B146&amp;'Table 2.3b'!$C146,UtilityList!$A$4:$A$251&amp;UtilityList!$B$4:$B$251&amp;UtilityList!$C$4:$C$251,0)),INDEX(UtilityList!M$4:M$251,MATCH('Table 2.3b'!$A146&amp;'Table 2.3b'!$C146,UtilityList!$A$4:$A$251&amp;UtilityList!$C$4:$C$251,0)))</f>
        <v>SW</v>
      </c>
    </row>
    <row r="147" spans="1:17" s="169" customFormat="1" ht="120" x14ac:dyDescent="0.25">
      <c r="A147" s="653" t="s">
        <v>200</v>
      </c>
      <c r="B147" s="452" t="s">
        <v>495</v>
      </c>
      <c r="C147" s="654" t="s">
        <v>658</v>
      </c>
      <c r="D147" s="655">
        <v>0</v>
      </c>
      <c r="E147" s="656">
        <v>0</v>
      </c>
      <c r="F147" s="656">
        <v>0</v>
      </c>
      <c r="G147" s="657">
        <v>3566.2379999999998</v>
      </c>
      <c r="H147" s="657">
        <v>0</v>
      </c>
      <c r="I147" s="657">
        <v>0</v>
      </c>
      <c r="J147" s="656">
        <v>0</v>
      </c>
      <c r="K147" s="656">
        <v>0</v>
      </c>
      <c r="L147" s="658" t="s">
        <v>356</v>
      </c>
      <c r="M147" s="659" t="str">
        <f t="array" ref="M147">INDEX(UtilityList!Q$4:Q$251,MATCH('Table 2.3b'!$A147&amp;'Table 2.3b'!$B147&amp;'Table 2.3b'!$C147,UtilityList!$A$4:$A$251&amp;UtilityList!$B$4:$B$251&amp;UtilityList!$C$4:$C$251,0))</f>
        <v>Power produced at the Tazimina hydroelectric project and the Newhalen plant is shared by Iliamna, Newhalen and Nondalton. Iliamna's information is included in Nondalton's data.</v>
      </c>
      <c r="N147" s="382" t="str">
        <f t="array" ref="N147">IFERROR(INDEX(UtilityList!J$4:J$251,MATCH('Table 2.3b'!$A147&amp;'Table 2.3b'!$B147&amp;'Table 2.3b'!$C147,UtilityList!$A$4:$A$251&amp;UtilityList!$B$4:$B$251&amp;UtilityList!$C$4:$C$251,0)),INDEX(UtilityList!J$4:J$251,MATCH('Table 2.3b'!$A147&amp;'Table 2.3b'!$C147,UtilityList!$A$4:$A$251&amp;UtilityList!$C$4:$C$251,0)))</f>
        <v>Bristol Bay</v>
      </c>
      <c r="O147" s="382" t="str">
        <f t="array" ref="O147">IFERROR(INDEX(UtilityList!K$4:K$251,MATCH('Table 2.3b'!$A147&amp;'Table 2.3b'!$B147&amp;'Table 2.3b'!$C147,UtilityList!$A$4:$A$251&amp;UtilityList!$B$4:$B$251&amp;UtilityList!$C$4:$C$251,0)),INDEX(UtilityList!K$4:K$251,MATCH('Table 2.3b'!$A147&amp;'Table 2.3b'!$C147,UtilityList!$A$4:$A$251&amp;UtilityList!$C$4:$C$251,0)))</f>
        <v>Lake and Peninsula</v>
      </c>
      <c r="P147" s="382" t="str">
        <f t="array" ref="P147">IFERROR(INDEX(UtilityList!L$4:L$251,MATCH('Table 2.3b'!$A147&amp;'Table 2.3b'!$B147&amp;'Table 2.3b'!$C147,UtilityList!$A$4:$A$251&amp;UtilityList!$B$4:$B$251&amp;UtilityList!$C$4:$C$251,0)),INDEX(UtilityList!L$4:L$251,MATCH('Table 2.3b'!$A147&amp;'Table 2.3b'!$C147,UtilityList!$A$4:$A$251&amp;UtilityList!$C$4:$C$251,0)))</f>
        <v>Bristol Bay</v>
      </c>
      <c r="Q147" s="382" t="str">
        <f t="array" ref="Q147">IFERROR(INDEX(UtilityList!M$4:M$251,MATCH('Table 2.3b'!$A147&amp;'Table 2.3b'!$B147&amp;'Table 2.3b'!$C147,UtilityList!$A$4:$A$251&amp;UtilityList!$B$4:$B$251&amp;UtilityList!$C$4:$C$251,0)),INDEX(UtilityList!M$4:M$251,MATCH('Table 2.3b'!$A147&amp;'Table 2.3b'!$C147,UtilityList!$A$4:$A$251&amp;UtilityList!$C$4:$C$251,0)))</f>
        <v>SW</v>
      </c>
    </row>
    <row r="148" spans="1:17" s="169" customFormat="1" ht="30" x14ac:dyDescent="0.25">
      <c r="A148" s="653" t="s">
        <v>201</v>
      </c>
      <c r="B148" s="452" t="s">
        <v>202</v>
      </c>
      <c r="C148" s="654" t="s">
        <v>202</v>
      </c>
      <c r="D148" s="655">
        <v>2025.2149999999999</v>
      </c>
      <c r="E148" s="656">
        <v>0</v>
      </c>
      <c r="F148" s="656">
        <v>0</v>
      </c>
      <c r="G148" s="657">
        <v>0</v>
      </c>
      <c r="H148" s="657">
        <v>0</v>
      </c>
      <c r="I148" s="657">
        <v>141021</v>
      </c>
      <c r="J148" s="656">
        <v>0</v>
      </c>
      <c r="K148" s="656">
        <v>0</v>
      </c>
      <c r="L148" s="658" t="s">
        <v>356</v>
      </c>
      <c r="M148" s="659">
        <f t="array" ref="M148">INDEX(UtilityList!Q$4:Q$251,MATCH('Table 2.3b'!$A148&amp;'Table 2.3b'!$B148&amp;'Table 2.3b'!$C148,UtilityList!$A$4:$A$251&amp;UtilityList!$B$4:$B$251&amp;UtilityList!$C$4:$C$251,0))</f>
        <v>0</v>
      </c>
      <c r="N148" s="382" t="str">
        <f t="array" ref="N148">IFERROR(INDEX(UtilityList!J$4:J$251,MATCH('Table 2.3b'!$A148&amp;'Table 2.3b'!$B148&amp;'Table 2.3b'!$C148,UtilityList!$A$4:$A$251&amp;UtilityList!$B$4:$B$251&amp;UtilityList!$C$4:$C$251,0)),INDEX(UtilityList!J$4:J$251,MATCH('Table 2.3b'!$A148&amp;'Table 2.3b'!$C148,UtilityList!$A$4:$A$251&amp;UtilityList!$C$4:$C$251,0)))</f>
        <v>Southeast</v>
      </c>
      <c r="O148" s="382" t="str">
        <f t="array" ref="O148">IFERROR(INDEX(UtilityList!K$4:K$251,MATCH('Table 2.3b'!$A148&amp;'Table 2.3b'!$B148&amp;'Table 2.3b'!$C148,UtilityList!$A$4:$A$251&amp;UtilityList!$B$4:$B$251&amp;UtilityList!$C$4:$C$251,0)),INDEX(UtilityList!K$4:K$251,MATCH('Table 2.3b'!$A148&amp;'Table 2.3b'!$C148,UtilityList!$A$4:$A$251&amp;UtilityList!$C$4:$C$251,0)))</f>
        <v>Hoonah-Angoon (CA)</v>
      </c>
      <c r="P148" s="382" t="str">
        <f t="array" ref="P148">IFERROR(INDEX(UtilityList!L$4:L$251,MATCH('Table 2.3b'!$A148&amp;'Table 2.3b'!$B148&amp;'Table 2.3b'!$C148,UtilityList!$A$4:$A$251&amp;UtilityList!$B$4:$B$251&amp;UtilityList!$C$4:$C$251,0)),INDEX(UtilityList!L$4:L$251,MATCH('Table 2.3b'!$A148&amp;'Table 2.3b'!$C148,UtilityList!$A$4:$A$251&amp;UtilityList!$C$4:$C$251,0)))</f>
        <v>Sealaska</v>
      </c>
      <c r="Q148" s="382" t="str">
        <f t="array" ref="Q148">IFERROR(INDEX(UtilityList!M$4:M$251,MATCH('Table 2.3b'!$A148&amp;'Table 2.3b'!$B148&amp;'Table 2.3b'!$C148,UtilityList!$A$4:$A$251&amp;UtilityList!$B$4:$B$251&amp;UtilityList!$C$4:$C$251,0)),INDEX(UtilityList!M$4:M$251,MATCH('Table 2.3b'!$A148&amp;'Table 2.3b'!$C148,UtilityList!$A$4:$A$251&amp;UtilityList!$C$4:$C$251,0)))</f>
        <v>SE</v>
      </c>
    </row>
    <row r="149" spans="1:17" s="169" customFormat="1" ht="45" x14ac:dyDescent="0.25">
      <c r="A149" s="653" t="s">
        <v>201</v>
      </c>
      <c r="B149" s="452" t="s">
        <v>203</v>
      </c>
      <c r="C149" s="654" t="s">
        <v>203</v>
      </c>
      <c r="D149" s="655">
        <v>-68.440910000000002</v>
      </c>
      <c r="E149" s="656">
        <v>0</v>
      </c>
      <c r="F149" s="656">
        <v>0</v>
      </c>
      <c r="G149" s="657">
        <v>183.54</v>
      </c>
      <c r="H149" s="657">
        <v>0</v>
      </c>
      <c r="I149" s="657">
        <v>0</v>
      </c>
      <c r="J149" s="656">
        <v>0</v>
      </c>
      <c r="K149" s="656">
        <v>0</v>
      </c>
      <c r="L149" s="658" t="s">
        <v>356</v>
      </c>
      <c r="M149" s="659" t="str">
        <f t="array" ref="M149">INDEX(UtilityList!Q$4:Q$251,MATCH('Table 2.3b'!$A149&amp;'Table 2.3b'!$B149&amp;'Table 2.3b'!$C149,UtilityList!$A$4:$A$251&amp;UtilityList!$B$4:$B$251&amp;UtilityList!$C$4:$C$251,0))</f>
        <v>Provides power to Klukwan via intertie. Power is purchased from AP&amp;T.</v>
      </c>
      <c r="N149" s="382" t="str">
        <f t="array" ref="N149">IFERROR(INDEX(UtilityList!J$4:J$251,MATCH('Table 2.3b'!$A149&amp;'Table 2.3b'!$B149&amp;'Table 2.3b'!$C149,UtilityList!$A$4:$A$251&amp;UtilityList!$B$4:$B$251&amp;UtilityList!$C$4:$C$251,0)),INDEX(UtilityList!J$4:J$251,MATCH('Table 2.3b'!$A149&amp;'Table 2.3b'!$C149,UtilityList!$A$4:$A$251&amp;UtilityList!$C$4:$C$251,0)))</f>
        <v>Southeast</v>
      </c>
      <c r="O149" s="382" t="str">
        <f t="array" ref="O149">IFERROR(INDEX(UtilityList!K$4:K$251,MATCH('Table 2.3b'!$A149&amp;'Table 2.3b'!$B149&amp;'Table 2.3b'!$C149,UtilityList!$A$4:$A$251&amp;UtilityList!$B$4:$B$251&amp;UtilityList!$C$4:$C$251,0)),INDEX(UtilityList!K$4:K$251,MATCH('Table 2.3b'!$A149&amp;'Table 2.3b'!$C149,UtilityList!$A$4:$A$251&amp;UtilityList!$C$4:$C$251,0)))</f>
        <v>Haines</v>
      </c>
      <c r="P149" s="382" t="str">
        <f t="array" ref="P149">IFERROR(INDEX(UtilityList!L$4:L$251,MATCH('Table 2.3b'!$A149&amp;'Table 2.3b'!$B149&amp;'Table 2.3b'!$C149,UtilityList!$A$4:$A$251&amp;UtilityList!$B$4:$B$251&amp;UtilityList!$C$4:$C$251,0)),INDEX(UtilityList!L$4:L$251,MATCH('Table 2.3b'!$A149&amp;'Table 2.3b'!$C149,UtilityList!$A$4:$A$251&amp;UtilityList!$C$4:$C$251,0)))</f>
        <v>Sealaska</v>
      </c>
      <c r="Q149" s="382" t="str">
        <f t="array" ref="Q149">IFERROR(INDEX(UtilityList!M$4:M$251,MATCH('Table 2.3b'!$A149&amp;'Table 2.3b'!$B149&amp;'Table 2.3b'!$C149,UtilityList!$A$4:$A$251&amp;UtilityList!$B$4:$B$251&amp;UtilityList!$C$4:$C$251,0)),INDEX(UtilityList!M$4:M$251,MATCH('Table 2.3b'!$A149&amp;'Table 2.3b'!$C149,UtilityList!$A$4:$A$251&amp;UtilityList!$C$4:$C$251,0)))</f>
        <v>SE</v>
      </c>
    </row>
    <row r="150" spans="1:17" s="169" customFormat="1" ht="30" x14ac:dyDescent="0.25">
      <c r="A150" s="653" t="s">
        <v>201</v>
      </c>
      <c r="B150" s="452" t="s">
        <v>204</v>
      </c>
      <c r="C150" s="654" t="s">
        <v>204</v>
      </c>
      <c r="D150" s="655">
        <v>4816.875</v>
      </c>
      <c r="E150" s="656">
        <v>0</v>
      </c>
      <c r="F150" s="656">
        <v>0</v>
      </c>
      <c r="G150" s="657">
        <v>0</v>
      </c>
      <c r="H150" s="657">
        <v>0</v>
      </c>
      <c r="I150" s="657">
        <v>331185</v>
      </c>
      <c r="J150" s="656">
        <v>0</v>
      </c>
      <c r="K150" s="656">
        <v>0</v>
      </c>
      <c r="L150" s="658" t="s">
        <v>356</v>
      </c>
      <c r="M150" s="659">
        <f t="array" ref="M150">INDEX(UtilityList!Q$4:Q$251,MATCH('Table 2.3b'!$A150&amp;'Table 2.3b'!$B150&amp;'Table 2.3b'!$C150,UtilityList!$A$4:$A$251&amp;UtilityList!$B$4:$B$251&amp;UtilityList!$C$4:$C$251,0))</f>
        <v>0</v>
      </c>
      <c r="N150" s="382" t="str">
        <f t="array" ref="N150">IFERROR(INDEX(UtilityList!J$4:J$251,MATCH('Table 2.3b'!$A150&amp;'Table 2.3b'!$B150&amp;'Table 2.3b'!$C150,UtilityList!$A$4:$A$251&amp;UtilityList!$B$4:$B$251&amp;UtilityList!$C$4:$C$251,0)),INDEX(UtilityList!J$4:J$251,MATCH('Table 2.3b'!$A150&amp;'Table 2.3b'!$C150,UtilityList!$A$4:$A$251&amp;UtilityList!$C$4:$C$251,0)))</f>
        <v>Southeast</v>
      </c>
      <c r="O150" s="382" t="str">
        <f t="array" ref="O150">IFERROR(INDEX(UtilityList!K$4:K$251,MATCH('Table 2.3b'!$A150&amp;'Table 2.3b'!$B150&amp;'Table 2.3b'!$C150,UtilityList!$A$4:$A$251&amp;UtilityList!$B$4:$B$251&amp;UtilityList!$C$4:$C$251,0)),INDEX(UtilityList!K$4:K$251,MATCH('Table 2.3b'!$A150&amp;'Table 2.3b'!$C150,UtilityList!$A$4:$A$251&amp;UtilityList!$C$4:$C$251,0)))</f>
        <v>Hoonah-Angoon (CA)</v>
      </c>
      <c r="P150" s="382" t="str">
        <f t="array" ref="P150">IFERROR(INDEX(UtilityList!L$4:L$251,MATCH('Table 2.3b'!$A150&amp;'Table 2.3b'!$B150&amp;'Table 2.3b'!$C150,UtilityList!$A$4:$A$251&amp;UtilityList!$B$4:$B$251&amp;UtilityList!$C$4:$C$251,0)),INDEX(UtilityList!L$4:L$251,MATCH('Table 2.3b'!$A150&amp;'Table 2.3b'!$C150,UtilityList!$A$4:$A$251&amp;UtilityList!$C$4:$C$251,0)))</f>
        <v>Sealaska</v>
      </c>
      <c r="Q150" s="382" t="str">
        <f t="array" ref="Q150">IFERROR(INDEX(UtilityList!M$4:M$251,MATCH('Table 2.3b'!$A150&amp;'Table 2.3b'!$B150&amp;'Table 2.3b'!$C150,UtilityList!$A$4:$A$251&amp;UtilityList!$B$4:$B$251&amp;UtilityList!$C$4:$C$251,0)),INDEX(UtilityList!M$4:M$251,MATCH('Table 2.3b'!$A150&amp;'Table 2.3b'!$C150,UtilityList!$A$4:$A$251&amp;UtilityList!$C$4:$C$251,0)))</f>
        <v>SE</v>
      </c>
    </row>
    <row r="151" spans="1:17" customFormat="1" ht="30" x14ac:dyDescent="0.25">
      <c r="A151" s="653" t="s">
        <v>201</v>
      </c>
      <c r="B151" s="452" t="s">
        <v>205</v>
      </c>
      <c r="C151" s="654" t="s">
        <v>205</v>
      </c>
      <c r="D151" s="655">
        <v>2769.4879999999998</v>
      </c>
      <c r="E151" s="656">
        <v>0</v>
      </c>
      <c r="F151" s="656">
        <v>0</v>
      </c>
      <c r="G151" s="657">
        <v>0</v>
      </c>
      <c r="H151" s="657">
        <v>0</v>
      </c>
      <c r="I151" s="657">
        <v>213498.00000000003</v>
      </c>
      <c r="J151" s="656">
        <v>0</v>
      </c>
      <c r="K151" s="656">
        <v>0</v>
      </c>
      <c r="L151" s="658" t="s">
        <v>356</v>
      </c>
      <c r="M151" s="659">
        <f t="array" ref="M151">INDEX(UtilityList!Q$4:Q$251,MATCH('Table 2.3b'!$A151&amp;'Table 2.3b'!$B151&amp;'Table 2.3b'!$C151,UtilityList!$A$4:$A$251&amp;UtilityList!$B$4:$B$251&amp;UtilityList!$C$4:$C$251,0))</f>
        <v>0</v>
      </c>
      <c r="N151" s="382" t="str">
        <f t="array" ref="N151">IFERROR(INDEX(UtilityList!J$4:J$251,MATCH('Table 2.3b'!$A151&amp;'Table 2.3b'!$B151&amp;'Table 2.3b'!$C151,UtilityList!$A$4:$A$251&amp;UtilityList!$B$4:$B$251&amp;UtilityList!$C$4:$C$251,0)),INDEX(UtilityList!J$4:J$251,MATCH('Table 2.3b'!$A151&amp;'Table 2.3b'!$C151,UtilityList!$A$4:$A$251&amp;UtilityList!$C$4:$C$251,0)))</f>
        <v>Southeast</v>
      </c>
      <c r="O151" s="382" t="str">
        <f t="array" ref="O151">IFERROR(INDEX(UtilityList!K$4:K$251,MATCH('Table 2.3b'!$A151&amp;'Table 2.3b'!$B151&amp;'Table 2.3b'!$C151,UtilityList!$A$4:$A$251&amp;UtilityList!$B$4:$B$251&amp;UtilityList!$C$4:$C$251,0)),INDEX(UtilityList!K$4:K$251,MATCH('Table 2.3b'!$A151&amp;'Table 2.3b'!$C151,UtilityList!$A$4:$A$251&amp;UtilityList!$C$4:$C$251,0)))</f>
        <v>Petersburg (CA)</v>
      </c>
      <c r="P151" s="382" t="str">
        <f t="array" ref="P151">IFERROR(INDEX(UtilityList!L$4:L$251,MATCH('Table 2.3b'!$A151&amp;'Table 2.3b'!$B151&amp;'Table 2.3b'!$C151,UtilityList!$A$4:$A$251&amp;UtilityList!$B$4:$B$251&amp;UtilityList!$C$4:$C$251,0)),INDEX(UtilityList!L$4:L$251,MATCH('Table 2.3b'!$A151&amp;'Table 2.3b'!$C151,UtilityList!$A$4:$A$251&amp;UtilityList!$C$4:$C$251,0)))</f>
        <v>Sealaska</v>
      </c>
      <c r="Q151" s="382" t="str">
        <f t="array" ref="Q151">IFERROR(INDEX(UtilityList!M$4:M$251,MATCH('Table 2.3b'!$A151&amp;'Table 2.3b'!$B151&amp;'Table 2.3b'!$C151,UtilityList!$A$4:$A$251&amp;UtilityList!$B$4:$B$251&amp;UtilityList!$C$4:$C$251,0)),INDEX(UtilityList!M$4:M$251,MATCH('Table 2.3b'!$A151&amp;'Table 2.3b'!$C151,UtilityList!$A$4:$A$251&amp;UtilityList!$C$4:$C$251,0)))</f>
        <v>SE</v>
      </c>
    </row>
    <row r="152" spans="1:17" customFormat="1" ht="60" x14ac:dyDescent="0.25">
      <c r="A152" s="653" t="s">
        <v>201</v>
      </c>
      <c r="B152" s="452" t="s">
        <v>206</v>
      </c>
      <c r="C152" s="654" t="s">
        <v>206</v>
      </c>
      <c r="D152" s="655">
        <v>0</v>
      </c>
      <c r="E152" s="656">
        <v>0</v>
      </c>
      <c r="F152" s="656">
        <v>0</v>
      </c>
      <c r="G152" s="657">
        <v>0</v>
      </c>
      <c r="H152" s="657">
        <v>0</v>
      </c>
      <c r="I152" s="657">
        <v>0</v>
      </c>
      <c r="J152" s="656">
        <v>0</v>
      </c>
      <c r="K152" s="656">
        <v>0</v>
      </c>
      <c r="L152" s="658" t="s">
        <v>356</v>
      </c>
      <c r="M152" s="659" t="str">
        <f t="array" ref="M152">INDEX(UtilityList!Q$4:Q$251,MATCH('Table 2.3b'!$A152&amp;'Table 2.3b'!$B152&amp;'Table 2.3b'!$C152,UtilityList!$A$4:$A$251&amp;UtilityList!$B$4:$B$251&amp;UtilityList!$C$4:$C$251,0))</f>
        <v>Receives power from Chilkat Valley via intertie. Chilkat Valley purchases power from AP&amp;T.</v>
      </c>
      <c r="N152" s="382" t="str">
        <f t="array" ref="N152">IFERROR(INDEX(UtilityList!J$4:J$251,MATCH('Table 2.3b'!$A152&amp;'Table 2.3b'!$B152&amp;'Table 2.3b'!$C152,UtilityList!$A$4:$A$251&amp;UtilityList!$B$4:$B$251&amp;UtilityList!$C$4:$C$251,0)),INDEX(UtilityList!J$4:J$251,MATCH('Table 2.3b'!$A152&amp;'Table 2.3b'!$C152,UtilityList!$A$4:$A$251&amp;UtilityList!$C$4:$C$251,0)))</f>
        <v>Southeast</v>
      </c>
      <c r="O152" s="382" t="str">
        <f t="array" ref="O152">IFERROR(INDEX(UtilityList!K$4:K$251,MATCH('Table 2.3b'!$A152&amp;'Table 2.3b'!$B152&amp;'Table 2.3b'!$C152,UtilityList!$A$4:$A$251&amp;UtilityList!$B$4:$B$251&amp;UtilityList!$C$4:$C$251,0)),INDEX(UtilityList!K$4:K$251,MATCH('Table 2.3b'!$A152&amp;'Table 2.3b'!$C152,UtilityList!$A$4:$A$251&amp;UtilityList!$C$4:$C$251,0)))</f>
        <v>Hoonah-Angoon (CA)</v>
      </c>
      <c r="P152" s="382" t="str">
        <f t="array" ref="P152">IFERROR(INDEX(UtilityList!L$4:L$251,MATCH('Table 2.3b'!$A152&amp;'Table 2.3b'!$B152&amp;'Table 2.3b'!$C152,UtilityList!$A$4:$A$251&amp;UtilityList!$B$4:$B$251&amp;UtilityList!$C$4:$C$251,0)),INDEX(UtilityList!L$4:L$251,MATCH('Table 2.3b'!$A152&amp;'Table 2.3b'!$C152,UtilityList!$A$4:$A$251&amp;UtilityList!$C$4:$C$251,0)))</f>
        <v>Sealaska</v>
      </c>
      <c r="Q152" s="382" t="str">
        <f t="array" ref="Q152">IFERROR(INDEX(UtilityList!M$4:M$251,MATCH('Table 2.3b'!$A152&amp;'Table 2.3b'!$B152&amp;'Table 2.3b'!$C152,UtilityList!$A$4:$A$251&amp;UtilityList!$B$4:$B$251&amp;UtilityList!$C$4:$C$251,0)),INDEX(UtilityList!M$4:M$251,MATCH('Table 2.3b'!$A152&amp;'Table 2.3b'!$C152,UtilityList!$A$4:$A$251&amp;UtilityList!$C$4:$C$251,0)))</f>
        <v>SE</v>
      </c>
    </row>
    <row r="153" spans="1:17" customFormat="1" ht="30" x14ac:dyDescent="0.25">
      <c r="A153" s="361" t="s">
        <v>207</v>
      </c>
      <c r="B153" s="622" t="s">
        <v>208</v>
      </c>
      <c r="C153" s="636" t="s">
        <v>208</v>
      </c>
      <c r="D153" s="655">
        <v>336.34699999999998</v>
      </c>
      <c r="E153" s="675"/>
      <c r="F153" s="675"/>
      <c r="G153" s="657">
        <v>0</v>
      </c>
      <c r="H153" s="657">
        <v>0</v>
      </c>
      <c r="I153" s="657">
        <v>26904</v>
      </c>
      <c r="J153" s="675"/>
      <c r="K153" s="675"/>
      <c r="L153" s="676" t="s">
        <v>356</v>
      </c>
      <c r="M153" s="659">
        <f t="array" ref="M153">INDEX(UtilityList!Q$4:Q$251,MATCH('Table 2.3b'!$A153&amp;'Table 2.3b'!$B153&amp;'Table 2.3b'!$C153,UtilityList!$A$4:$A$251&amp;UtilityList!$B$4:$B$251&amp;UtilityList!$C$4:$C$251,0))</f>
        <v>0</v>
      </c>
      <c r="N153" s="382" t="str">
        <f t="array" ref="N153">IFERROR(INDEX(UtilityList!J$4:J$251,MATCH('Table 2.3b'!$A153&amp;'Table 2.3b'!$B153&amp;'Table 2.3b'!$C153,UtilityList!$A$4:$A$251&amp;UtilityList!$B$4:$B$251&amp;UtilityList!$C$4:$C$251,0)),INDEX(UtilityList!J$4:J$251,MATCH('Table 2.3b'!$A153&amp;'Table 2.3b'!$C153,UtilityList!$A$4:$A$251&amp;UtilityList!$C$4:$C$251,0)))</f>
        <v>Northwest Arctic</v>
      </c>
      <c r="O153" s="382" t="str">
        <f t="array" ref="O153">IFERROR(INDEX(UtilityList!K$4:K$251,MATCH('Table 2.3b'!$A153&amp;'Table 2.3b'!$B153&amp;'Table 2.3b'!$C153,UtilityList!$A$4:$A$251&amp;UtilityList!$B$4:$B$251&amp;UtilityList!$C$4:$C$251,0)),INDEX(UtilityList!K$4:K$251,MATCH('Table 2.3b'!$A153&amp;'Table 2.3b'!$C153,UtilityList!$A$4:$A$251&amp;UtilityList!$C$4:$C$251,0)))</f>
        <v>Northwest Arctic</v>
      </c>
      <c r="P153" s="382" t="str">
        <f t="array" ref="P153">IFERROR(INDEX(UtilityList!L$4:L$251,MATCH('Table 2.3b'!$A153&amp;'Table 2.3b'!$B153&amp;'Table 2.3b'!$C153,UtilityList!$A$4:$A$251&amp;UtilityList!$B$4:$B$251&amp;UtilityList!$C$4:$C$251,0)),INDEX(UtilityList!L$4:L$251,MATCH('Table 2.3b'!$A153&amp;'Table 2.3b'!$C153,UtilityList!$A$4:$A$251&amp;UtilityList!$C$4:$C$251,0)))</f>
        <v>NANA</v>
      </c>
      <c r="Q153" s="382" t="str">
        <f t="array" ref="Q153">IFERROR(INDEX(UtilityList!M$4:M$251,MATCH('Table 2.3b'!$A153&amp;'Table 2.3b'!$B153&amp;'Table 2.3b'!$C153,UtilityList!$A$4:$A$251&amp;UtilityList!$B$4:$B$251&amp;UtilityList!$C$4:$C$251,0)),INDEX(UtilityList!M$4:M$251,MATCH('Table 2.3b'!$A153&amp;'Table 2.3b'!$C153,UtilityList!$A$4:$A$251&amp;UtilityList!$C$4:$C$251,0)))</f>
        <v>AN</v>
      </c>
    </row>
    <row r="154" spans="1:17" customFormat="1" ht="30" x14ac:dyDescent="0.25">
      <c r="A154" s="360" t="s">
        <v>209</v>
      </c>
      <c r="B154" s="452" t="s">
        <v>210</v>
      </c>
      <c r="C154" s="361" t="s">
        <v>211</v>
      </c>
      <c r="D154" s="644">
        <v>0</v>
      </c>
      <c r="E154" s="656">
        <v>0</v>
      </c>
      <c r="F154" s="656">
        <v>0</v>
      </c>
      <c r="G154" s="644">
        <v>46676</v>
      </c>
      <c r="H154" s="644">
        <v>0</v>
      </c>
      <c r="I154" s="644">
        <v>0</v>
      </c>
      <c r="J154" s="644">
        <v>0</v>
      </c>
      <c r="K154" s="644">
        <v>0</v>
      </c>
      <c r="L154" s="658" t="s">
        <v>558</v>
      </c>
      <c r="M154" s="659">
        <f t="array" ref="M154">INDEX(UtilityList!Q$4:Q$251,MATCH('Table 2.3b'!$A154&amp;'Table 2.3b'!$B154&amp;'Table 2.3b'!$C154,UtilityList!$A$4:$A$251&amp;UtilityList!$B$4:$B$251&amp;UtilityList!$C$4:$C$251,0))</f>
        <v>0</v>
      </c>
      <c r="N154" s="382" t="str">
        <f t="array" ref="N154">IFERROR(INDEX(UtilityList!J$4:J$251,MATCH('Table 2.3b'!$A154&amp;'Table 2.3b'!$B154&amp;'Table 2.3b'!$C154,UtilityList!$A$4:$A$251&amp;UtilityList!$B$4:$B$251&amp;UtilityList!$C$4:$C$251,0)),INDEX(UtilityList!J$4:J$251,MATCH('Table 2.3b'!$A154&amp;'Table 2.3b'!$C154,UtilityList!$A$4:$A$251&amp;UtilityList!$C$4:$C$251,0)))</f>
        <v>Southeast</v>
      </c>
      <c r="O154" s="382" t="str">
        <f t="array" ref="O154">IFERROR(INDEX(UtilityList!K$4:K$251,MATCH('Table 2.3b'!$A154&amp;'Table 2.3b'!$B154&amp;'Table 2.3b'!$C154,UtilityList!$A$4:$A$251&amp;UtilityList!$B$4:$B$251&amp;UtilityList!$C$4:$C$251,0)),INDEX(UtilityList!K$4:K$251,MATCH('Table 2.3b'!$A154&amp;'Table 2.3b'!$C154,UtilityList!$A$4:$A$251&amp;UtilityList!$C$4:$C$251,0)))</f>
        <v>Ketchikan Gateway</v>
      </c>
      <c r="P154" s="382" t="str">
        <f t="array" ref="P154">IFERROR(INDEX(UtilityList!L$4:L$251,MATCH('Table 2.3b'!$A154&amp;'Table 2.3b'!$B154&amp;'Table 2.3b'!$C154,UtilityList!$A$4:$A$251&amp;UtilityList!$B$4:$B$251&amp;UtilityList!$C$4:$C$251,0)),INDEX(UtilityList!L$4:L$251,MATCH('Table 2.3b'!$A154&amp;'Table 2.3b'!$C154,UtilityList!$A$4:$A$251&amp;UtilityList!$C$4:$C$251,0)))</f>
        <v>Sealaska</v>
      </c>
      <c r="Q154" s="382" t="str">
        <f t="array" ref="Q154">IFERROR(INDEX(UtilityList!M$4:M$251,MATCH('Table 2.3b'!$A154&amp;'Table 2.3b'!$B154&amp;'Table 2.3b'!$C154,UtilityList!$A$4:$A$251&amp;UtilityList!$B$4:$B$251&amp;UtilityList!$C$4:$C$251,0)),INDEX(UtilityList!M$4:M$251,MATCH('Table 2.3b'!$A154&amp;'Table 2.3b'!$C154,UtilityList!$A$4:$A$251&amp;UtilityList!$C$4:$C$251,0)))</f>
        <v>SE</v>
      </c>
    </row>
    <row r="155" spans="1:17" customFormat="1" ht="30" x14ac:dyDescent="0.25">
      <c r="A155" s="360" t="s">
        <v>209</v>
      </c>
      <c r="B155" s="452" t="s">
        <v>211</v>
      </c>
      <c r="C155" s="361" t="s">
        <v>211</v>
      </c>
      <c r="D155" s="644">
        <v>0</v>
      </c>
      <c r="E155" s="656">
        <v>0</v>
      </c>
      <c r="F155" s="656">
        <v>0</v>
      </c>
      <c r="G155" s="644">
        <v>22625</v>
      </c>
      <c r="H155" s="644">
        <v>0</v>
      </c>
      <c r="I155" s="644">
        <v>0</v>
      </c>
      <c r="J155" s="644">
        <v>0</v>
      </c>
      <c r="K155" s="644">
        <v>0</v>
      </c>
      <c r="L155" s="658" t="s">
        <v>558</v>
      </c>
      <c r="M155" s="659">
        <f t="array" ref="M155">INDEX(UtilityList!Q$4:Q$251,MATCH('Table 2.3b'!$A155&amp;'Table 2.3b'!$B155&amp;'Table 2.3b'!$C155,UtilityList!$A$4:$A$251&amp;UtilityList!$B$4:$B$251&amp;UtilityList!$C$4:$C$251,0))</f>
        <v>0</v>
      </c>
      <c r="N155" s="382" t="str">
        <f t="array" ref="N155">IFERROR(INDEX(UtilityList!J$4:J$251,MATCH('Table 2.3b'!$A155&amp;'Table 2.3b'!$B155&amp;'Table 2.3b'!$C155,UtilityList!$A$4:$A$251&amp;UtilityList!$B$4:$B$251&amp;UtilityList!$C$4:$C$251,0)),INDEX(UtilityList!J$4:J$251,MATCH('Table 2.3b'!$A155&amp;'Table 2.3b'!$C155,UtilityList!$A$4:$A$251&amp;UtilityList!$C$4:$C$251,0)))</f>
        <v>Southeast</v>
      </c>
      <c r="O155" s="382" t="str">
        <f t="array" ref="O155">IFERROR(INDEX(UtilityList!K$4:K$251,MATCH('Table 2.3b'!$A155&amp;'Table 2.3b'!$B155&amp;'Table 2.3b'!$C155,UtilityList!$A$4:$A$251&amp;UtilityList!$B$4:$B$251&amp;UtilityList!$C$4:$C$251,0)),INDEX(UtilityList!K$4:K$251,MATCH('Table 2.3b'!$A155&amp;'Table 2.3b'!$C155,UtilityList!$A$4:$A$251&amp;UtilityList!$C$4:$C$251,0)))</f>
        <v>Ketchikan Gateway</v>
      </c>
      <c r="P155" s="382" t="str">
        <f t="array" ref="P155">IFERROR(INDEX(UtilityList!L$4:L$251,MATCH('Table 2.3b'!$A155&amp;'Table 2.3b'!$B155&amp;'Table 2.3b'!$C155,UtilityList!$A$4:$A$251&amp;UtilityList!$B$4:$B$251&amp;UtilityList!$C$4:$C$251,0)),INDEX(UtilityList!L$4:L$251,MATCH('Table 2.3b'!$A155&amp;'Table 2.3b'!$C155,UtilityList!$A$4:$A$251&amp;UtilityList!$C$4:$C$251,0)))</f>
        <v>Sealaska</v>
      </c>
      <c r="Q155" s="382" t="str">
        <f t="array" ref="Q155">IFERROR(INDEX(UtilityList!M$4:M$251,MATCH('Table 2.3b'!$A155&amp;'Table 2.3b'!$B155&amp;'Table 2.3b'!$C155,UtilityList!$A$4:$A$251&amp;UtilityList!$B$4:$B$251&amp;UtilityList!$C$4:$C$251,0)),INDEX(UtilityList!M$4:M$251,MATCH('Table 2.3b'!$A155&amp;'Table 2.3b'!$C155,UtilityList!$A$4:$A$251&amp;UtilityList!$C$4:$C$251,0)))</f>
        <v>SE</v>
      </c>
    </row>
    <row r="156" spans="1:17" customFormat="1" ht="30" x14ac:dyDescent="0.25">
      <c r="A156" s="360" t="s">
        <v>209</v>
      </c>
      <c r="B156" s="452" t="s">
        <v>212</v>
      </c>
      <c r="C156" s="361" t="s">
        <v>211</v>
      </c>
      <c r="D156" s="644">
        <v>2603</v>
      </c>
      <c r="E156" s="656">
        <v>0</v>
      </c>
      <c r="F156" s="656">
        <v>0</v>
      </c>
      <c r="G156" s="661">
        <v>0</v>
      </c>
      <c r="H156" s="644">
        <v>0</v>
      </c>
      <c r="I156" s="644">
        <v>294588</v>
      </c>
      <c r="J156" s="656">
        <v>0</v>
      </c>
      <c r="K156" s="656">
        <v>0</v>
      </c>
      <c r="L156" s="658" t="s">
        <v>558</v>
      </c>
      <c r="M156" s="659">
        <f t="array" ref="M156">INDEX(UtilityList!Q$4:Q$251,MATCH('Table 2.3b'!$A156&amp;'Table 2.3b'!$B156&amp;'Table 2.3b'!$C156,UtilityList!$A$4:$A$251&amp;UtilityList!$B$4:$B$251&amp;UtilityList!$C$4:$C$251,0))</f>
        <v>0</v>
      </c>
      <c r="N156" s="382" t="str">
        <f t="array" ref="N156">IFERROR(INDEX(UtilityList!J$4:J$251,MATCH('Table 2.3b'!$A156&amp;'Table 2.3b'!$B156&amp;'Table 2.3b'!$C156,UtilityList!$A$4:$A$251&amp;UtilityList!$B$4:$B$251&amp;UtilityList!$C$4:$C$251,0)),INDEX(UtilityList!J$4:J$251,MATCH('Table 2.3b'!$A156&amp;'Table 2.3b'!$C156,UtilityList!$A$4:$A$251&amp;UtilityList!$C$4:$C$251,0)))</f>
        <v>Southeast</v>
      </c>
      <c r="O156" s="382" t="str">
        <f t="array" ref="O156">IFERROR(INDEX(UtilityList!K$4:K$251,MATCH('Table 2.3b'!$A156&amp;'Table 2.3b'!$B156&amp;'Table 2.3b'!$C156,UtilityList!$A$4:$A$251&amp;UtilityList!$B$4:$B$251&amp;UtilityList!$C$4:$C$251,0)),INDEX(UtilityList!K$4:K$251,MATCH('Table 2.3b'!$A156&amp;'Table 2.3b'!$C156,UtilityList!$A$4:$A$251&amp;UtilityList!$C$4:$C$251,0)))</f>
        <v>Ketchikan Gateway</v>
      </c>
      <c r="P156" s="382" t="str">
        <f t="array" ref="P156">IFERROR(INDEX(UtilityList!L$4:L$251,MATCH('Table 2.3b'!$A156&amp;'Table 2.3b'!$B156&amp;'Table 2.3b'!$C156,UtilityList!$A$4:$A$251&amp;UtilityList!$B$4:$B$251&amp;UtilityList!$C$4:$C$251,0)),INDEX(UtilityList!L$4:L$251,MATCH('Table 2.3b'!$A156&amp;'Table 2.3b'!$C156,UtilityList!$A$4:$A$251&amp;UtilityList!$C$4:$C$251,0)))</f>
        <v>Sealaska</v>
      </c>
      <c r="Q156" s="382" t="str">
        <f t="array" ref="Q156">IFERROR(INDEX(UtilityList!M$4:M$251,MATCH('Table 2.3b'!$A156&amp;'Table 2.3b'!$B156&amp;'Table 2.3b'!$C156,UtilityList!$A$4:$A$251&amp;UtilityList!$B$4:$B$251&amp;UtilityList!$C$4:$C$251,0)),INDEX(UtilityList!M$4:M$251,MATCH('Table 2.3b'!$A156&amp;'Table 2.3b'!$C156,UtilityList!$A$4:$A$251&amp;UtilityList!$C$4:$C$251,0)))</f>
        <v>SE</v>
      </c>
    </row>
    <row r="157" spans="1:17" customFormat="1" ht="30" x14ac:dyDescent="0.25">
      <c r="A157" s="360" t="s">
        <v>209</v>
      </c>
      <c r="B157" s="452" t="s">
        <v>213</v>
      </c>
      <c r="C157" s="361" t="s">
        <v>211</v>
      </c>
      <c r="D157" s="644">
        <v>0</v>
      </c>
      <c r="E157" s="656">
        <v>0</v>
      </c>
      <c r="F157" s="656">
        <v>0</v>
      </c>
      <c r="G157" s="644">
        <v>12871</v>
      </c>
      <c r="H157" s="644">
        <v>0</v>
      </c>
      <c r="I157" s="644">
        <v>0</v>
      </c>
      <c r="J157" s="644">
        <v>0</v>
      </c>
      <c r="K157" s="644">
        <v>0</v>
      </c>
      <c r="L157" s="658" t="s">
        <v>558</v>
      </c>
      <c r="M157" s="659">
        <f t="array" ref="M157">INDEX(UtilityList!Q$4:Q$251,MATCH('Table 2.3b'!$A157&amp;'Table 2.3b'!$B157&amp;'Table 2.3b'!$C157,UtilityList!$A$4:$A$251&amp;UtilityList!$B$4:$B$251&amp;UtilityList!$C$4:$C$251,0))</f>
        <v>0</v>
      </c>
      <c r="N157" s="382" t="str">
        <f t="array" ref="N157">IFERROR(INDEX(UtilityList!J$4:J$251,MATCH('Table 2.3b'!$A157&amp;'Table 2.3b'!$B157&amp;'Table 2.3b'!$C157,UtilityList!$A$4:$A$251&amp;UtilityList!$B$4:$B$251&amp;UtilityList!$C$4:$C$251,0)),INDEX(UtilityList!J$4:J$251,MATCH('Table 2.3b'!$A157&amp;'Table 2.3b'!$C157,UtilityList!$A$4:$A$251&amp;UtilityList!$C$4:$C$251,0)))</f>
        <v>Southeast</v>
      </c>
      <c r="O157" s="382" t="str">
        <f t="array" ref="O157">IFERROR(INDEX(UtilityList!K$4:K$251,MATCH('Table 2.3b'!$A157&amp;'Table 2.3b'!$B157&amp;'Table 2.3b'!$C157,UtilityList!$A$4:$A$251&amp;UtilityList!$B$4:$B$251&amp;UtilityList!$C$4:$C$251,0)),INDEX(UtilityList!K$4:K$251,MATCH('Table 2.3b'!$A157&amp;'Table 2.3b'!$C157,UtilityList!$A$4:$A$251&amp;UtilityList!$C$4:$C$251,0)))</f>
        <v>Ketchikan Gateway</v>
      </c>
      <c r="P157" s="382" t="str">
        <f t="array" ref="P157">IFERROR(INDEX(UtilityList!L$4:L$251,MATCH('Table 2.3b'!$A157&amp;'Table 2.3b'!$B157&amp;'Table 2.3b'!$C157,UtilityList!$A$4:$A$251&amp;UtilityList!$B$4:$B$251&amp;UtilityList!$C$4:$C$251,0)),INDEX(UtilityList!L$4:L$251,MATCH('Table 2.3b'!$A157&amp;'Table 2.3b'!$C157,UtilityList!$A$4:$A$251&amp;UtilityList!$C$4:$C$251,0)))</f>
        <v>Sealaska</v>
      </c>
      <c r="Q157" s="382" t="str">
        <f t="array" ref="Q157">IFERROR(INDEX(UtilityList!M$4:M$251,MATCH('Table 2.3b'!$A157&amp;'Table 2.3b'!$B157&amp;'Table 2.3b'!$C157,UtilityList!$A$4:$A$251&amp;UtilityList!$B$4:$B$251&amp;UtilityList!$C$4:$C$251,0)),INDEX(UtilityList!M$4:M$251,MATCH('Table 2.3b'!$A157&amp;'Table 2.3b'!$C157,UtilityList!$A$4:$A$251&amp;UtilityList!$C$4:$C$251,0)))</f>
        <v>SE</v>
      </c>
    </row>
    <row r="158" spans="1:17" customFormat="1" ht="45" x14ac:dyDescent="0.25">
      <c r="A158" s="360" t="s">
        <v>209</v>
      </c>
      <c r="B158" s="452" t="s">
        <v>214</v>
      </c>
      <c r="C158" s="361" t="s">
        <v>659</v>
      </c>
      <c r="D158" s="644">
        <v>0</v>
      </c>
      <c r="E158" s="656">
        <v>0</v>
      </c>
      <c r="F158" s="656">
        <v>0</v>
      </c>
      <c r="G158" s="644">
        <v>90502</v>
      </c>
      <c r="H158" s="644">
        <v>0</v>
      </c>
      <c r="I158" s="644">
        <v>0</v>
      </c>
      <c r="J158" s="644">
        <v>0</v>
      </c>
      <c r="K158" s="644">
        <v>0</v>
      </c>
      <c r="L158" s="658" t="s">
        <v>558</v>
      </c>
      <c r="M158" s="659">
        <f t="array" ref="M158">INDEX(UtilityList!Q$4:Q$251,MATCH('Table 2.3b'!$A158&amp;'Table 2.3b'!$B158&amp;'Table 2.3b'!$C158,UtilityList!$A$4:$A$251&amp;UtilityList!$B$4:$B$251&amp;UtilityList!$C$4:$C$251,0))</f>
        <v>0</v>
      </c>
      <c r="N158" s="382" t="str">
        <f t="array" ref="N158">IFERROR(INDEX(UtilityList!J$4:J$251,MATCH('Table 2.3b'!$A158&amp;'Table 2.3b'!$B158&amp;'Table 2.3b'!$C158,UtilityList!$A$4:$A$251&amp;UtilityList!$B$4:$B$251&amp;UtilityList!$C$4:$C$251,0)),INDEX(UtilityList!J$4:J$251,MATCH('Table 2.3b'!$A158&amp;'Table 2.3b'!$C158,UtilityList!$A$4:$A$251&amp;UtilityList!$C$4:$C$251,0)))</f>
        <v>Southeast</v>
      </c>
      <c r="O158" s="382" t="str">
        <f t="array" ref="O158">IFERROR(INDEX(UtilityList!K$4:K$251,MATCH('Table 2.3b'!$A158&amp;'Table 2.3b'!$B158&amp;'Table 2.3b'!$C158,UtilityList!$A$4:$A$251&amp;UtilityList!$B$4:$B$251&amp;UtilityList!$C$4:$C$251,0)),INDEX(UtilityList!K$4:K$251,MATCH('Table 2.3b'!$A158&amp;'Table 2.3b'!$C158,UtilityList!$A$4:$A$251&amp;UtilityList!$C$4:$C$251,0)))</f>
        <v>Ketchikan Gateway</v>
      </c>
      <c r="P158" s="382" t="str">
        <f t="array" ref="P158">IFERROR(INDEX(UtilityList!L$4:L$251,MATCH('Table 2.3b'!$A158&amp;'Table 2.3b'!$B158&amp;'Table 2.3b'!$C158,UtilityList!$A$4:$A$251&amp;UtilityList!$B$4:$B$251&amp;UtilityList!$C$4:$C$251,0)),INDEX(UtilityList!L$4:L$251,MATCH('Table 2.3b'!$A158&amp;'Table 2.3b'!$C158,UtilityList!$A$4:$A$251&amp;UtilityList!$C$4:$C$251,0)))</f>
        <v>Sealaska</v>
      </c>
      <c r="Q158" s="382" t="str">
        <f t="array" ref="Q158">IFERROR(INDEX(UtilityList!M$4:M$251,MATCH('Table 2.3b'!$A158&amp;'Table 2.3b'!$B158&amp;'Table 2.3b'!$C158,UtilityList!$A$4:$A$251&amp;UtilityList!$B$4:$B$251&amp;UtilityList!$C$4:$C$251,0)),INDEX(UtilityList!M$4:M$251,MATCH('Table 2.3b'!$A158&amp;'Table 2.3b'!$C158,UtilityList!$A$4:$A$251&amp;UtilityList!$C$4:$C$251,0)))</f>
        <v>SE</v>
      </c>
    </row>
    <row r="159" spans="1:17" customFormat="1" x14ac:dyDescent="0.25">
      <c r="A159" s="653" t="s">
        <v>215</v>
      </c>
      <c r="B159" s="452" t="s">
        <v>216</v>
      </c>
      <c r="C159" s="654" t="s">
        <v>216</v>
      </c>
      <c r="D159" s="655">
        <v>1712.346</v>
      </c>
      <c r="E159" s="656">
        <v>0</v>
      </c>
      <c r="F159" s="656">
        <v>0</v>
      </c>
      <c r="G159" s="657">
        <v>3102.4639999999999</v>
      </c>
      <c r="H159" s="657">
        <v>0</v>
      </c>
      <c r="I159" s="657">
        <v>143977</v>
      </c>
      <c r="J159" s="656">
        <v>0</v>
      </c>
      <c r="K159" s="656">
        <v>0</v>
      </c>
      <c r="L159" s="658" t="s">
        <v>356</v>
      </c>
      <c r="M159" s="659">
        <f t="array" ref="M159">INDEX(UtilityList!Q$4:Q$251,MATCH('Table 2.3b'!$A159&amp;'Table 2.3b'!$B159&amp;'Table 2.3b'!$C159,UtilityList!$A$4:$A$251&amp;UtilityList!$B$4:$B$251&amp;UtilityList!$C$4:$C$251,0))</f>
        <v>0</v>
      </c>
      <c r="N159" s="382" t="str">
        <f t="array" ref="N159">IFERROR(INDEX(UtilityList!J$4:J$251,MATCH('Table 2.3b'!$A159&amp;'Table 2.3b'!$B159&amp;'Table 2.3b'!$C159,UtilityList!$A$4:$A$251&amp;UtilityList!$B$4:$B$251&amp;UtilityList!$C$4:$C$251,0)),INDEX(UtilityList!J$4:J$251,MATCH('Table 2.3b'!$A159&amp;'Table 2.3b'!$C159,UtilityList!$A$4:$A$251&amp;UtilityList!$C$4:$C$251,0)))</f>
        <v>Aleutians</v>
      </c>
      <c r="O159" s="382" t="str">
        <f t="array" ref="O159">IFERROR(INDEX(UtilityList!K$4:K$251,MATCH('Table 2.3b'!$A159&amp;'Table 2.3b'!$B159&amp;'Table 2.3b'!$C159,UtilityList!$A$4:$A$251&amp;UtilityList!$B$4:$B$251&amp;UtilityList!$C$4:$C$251,0)),INDEX(UtilityList!K$4:K$251,MATCH('Table 2.3b'!$A159&amp;'Table 2.3b'!$C159,UtilityList!$A$4:$A$251&amp;UtilityList!$C$4:$C$251,0)))</f>
        <v>Aleutians East</v>
      </c>
      <c r="P159" s="382" t="str">
        <f t="array" ref="P159">IFERROR(INDEX(UtilityList!L$4:L$251,MATCH('Table 2.3b'!$A159&amp;'Table 2.3b'!$B159&amp;'Table 2.3b'!$C159,UtilityList!$A$4:$A$251&amp;UtilityList!$B$4:$B$251&amp;UtilityList!$C$4:$C$251,0)),INDEX(UtilityList!L$4:L$251,MATCH('Table 2.3b'!$A159&amp;'Table 2.3b'!$C159,UtilityList!$A$4:$A$251&amp;UtilityList!$C$4:$C$251,0)))</f>
        <v>Aleut</v>
      </c>
      <c r="Q159" s="382" t="str">
        <f t="array" ref="Q159">IFERROR(INDEX(UtilityList!M$4:M$251,MATCH('Table 2.3b'!$A159&amp;'Table 2.3b'!$B159&amp;'Table 2.3b'!$C159,UtilityList!$A$4:$A$251&amp;UtilityList!$B$4:$B$251&amp;UtilityList!$C$4:$C$251,0)),INDEX(UtilityList!M$4:M$251,MATCH('Table 2.3b'!$A159&amp;'Table 2.3b'!$C159,UtilityList!$A$4:$A$251&amp;UtilityList!$C$4:$C$251,0)))</f>
        <v>SW</v>
      </c>
    </row>
    <row r="160" spans="1:17" s="169" customFormat="1" x14ac:dyDescent="0.25">
      <c r="A160" s="653" t="s">
        <v>217</v>
      </c>
      <c r="B160" s="452" t="s">
        <v>218</v>
      </c>
      <c r="C160" s="654" t="s">
        <v>218</v>
      </c>
      <c r="D160" s="655">
        <v>1583.2080000000001</v>
      </c>
      <c r="E160" s="656">
        <v>0</v>
      </c>
      <c r="F160" s="656">
        <v>0</v>
      </c>
      <c r="G160" s="657">
        <v>0</v>
      </c>
      <c r="H160" s="657">
        <v>0</v>
      </c>
      <c r="I160" s="657">
        <v>154889</v>
      </c>
      <c r="J160" s="656">
        <v>0</v>
      </c>
      <c r="K160" s="656">
        <v>0</v>
      </c>
      <c r="L160" s="658" t="s">
        <v>356</v>
      </c>
      <c r="M160" s="659">
        <f t="array" ref="M160">INDEX(UtilityList!Q$4:Q$251,MATCH('Table 2.3b'!$A160&amp;'Table 2.3b'!$B160&amp;'Table 2.3b'!$C160,UtilityList!$A$4:$A$251&amp;UtilityList!$B$4:$B$251&amp;UtilityList!$C$4:$C$251,0))</f>
        <v>0</v>
      </c>
      <c r="N160" s="382" t="str">
        <f t="array" ref="N160">IFERROR(INDEX(UtilityList!J$4:J$251,MATCH('Table 2.3b'!$A160&amp;'Table 2.3b'!$B160&amp;'Table 2.3b'!$C160,UtilityList!$A$4:$A$251&amp;UtilityList!$B$4:$B$251&amp;UtilityList!$C$4:$C$251,0)),INDEX(UtilityList!J$4:J$251,MATCH('Table 2.3b'!$A160&amp;'Table 2.3b'!$C160,UtilityList!$A$4:$A$251&amp;UtilityList!$C$4:$C$251,0)))</f>
        <v>Lower Yukon-Kuskokwim</v>
      </c>
      <c r="O160" s="382" t="str">
        <f t="array" ref="O160">IFERROR(INDEX(UtilityList!K$4:K$251,MATCH('Table 2.3b'!$A160&amp;'Table 2.3b'!$B160&amp;'Table 2.3b'!$C160,UtilityList!$A$4:$A$251&amp;UtilityList!$B$4:$B$251&amp;UtilityList!$C$4:$C$251,0)),INDEX(UtilityList!K$4:K$251,MATCH('Table 2.3b'!$A160&amp;'Table 2.3b'!$C160,UtilityList!$A$4:$A$251&amp;UtilityList!$C$4:$C$251,0)))</f>
        <v>Bethel (CA)</v>
      </c>
      <c r="P160" s="382" t="str">
        <f t="array" ref="P160">IFERROR(INDEX(UtilityList!L$4:L$251,MATCH('Table 2.3b'!$A160&amp;'Table 2.3b'!$B160&amp;'Table 2.3b'!$C160,UtilityList!$A$4:$A$251&amp;UtilityList!$B$4:$B$251&amp;UtilityList!$C$4:$C$251,0)),INDEX(UtilityList!L$4:L$251,MATCH('Table 2.3b'!$A160&amp;'Table 2.3b'!$C160,UtilityList!$A$4:$A$251&amp;UtilityList!$C$4:$C$251,0)))</f>
        <v>Calista</v>
      </c>
      <c r="Q160" s="382" t="str">
        <f t="array" ref="Q160">IFERROR(INDEX(UtilityList!M$4:M$251,MATCH('Table 2.3b'!$A160&amp;'Table 2.3b'!$B160&amp;'Table 2.3b'!$C160,UtilityList!$A$4:$A$251&amp;UtilityList!$B$4:$B$251&amp;UtilityList!$C$4:$C$251,0)),INDEX(UtilityList!M$4:M$251,MATCH('Table 2.3b'!$A160&amp;'Table 2.3b'!$C160,UtilityList!$A$4:$A$251&amp;UtilityList!$C$4:$C$251,0)))</f>
        <v>SW</v>
      </c>
    </row>
    <row r="161" spans="1:17" s="169" customFormat="1" ht="90" x14ac:dyDescent="0.25">
      <c r="A161" s="653" t="s">
        <v>219</v>
      </c>
      <c r="B161" s="452" t="s">
        <v>220</v>
      </c>
      <c r="C161" s="654" t="s">
        <v>220</v>
      </c>
      <c r="D161" s="655">
        <v>0</v>
      </c>
      <c r="E161" s="656">
        <v>0</v>
      </c>
      <c r="F161" s="656">
        <v>0</v>
      </c>
      <c r="G161" s="657">
        <v>0</v>
      </c>
      <c r="H161" s="657">
        <v>0</v>
      </c>
      <c r="I161" s="657">
        <v>0</v>
      </c>
      <c r="J161" s="656">
        <v>0</v>
      </c>
      <c r="K161" s="656">
        <v>0</v>
      </c>
      <c r="L161" s="658" t="s">
        <v>356</v>
      </c>
      <c r="M161" s="659" t="str">
        <f t="array" ref="M161">INDEX(UtilityList!Q$4:Q$251,MATCH('Table 2.3b'!$A161&amp;'Table 2.3b'!$B161&amp;'Table 2.3b'!$C161,UtilityList!$A$4:$A$251&amp;UtilityList!$B$4:$B$251&amp;UtilityList!$C$4:$C$251,0))</f>
        <v>Receives power from Shungnak via intertie. For fuel use and cost, please refer to Shungnak. On July 1, 2012, AVEC took over operations in Kobuk.</v>
      </c>
      <c r="N161" s="382" t="str">
        <f t="array" ref="N161">IFERROR(INDEX(UtilityList!J$4:J$251,MATCH('Table 2.3b'!$A161&amp;'Table 2.3b'!$B161&amp;'Table 2.3b'!$C161,UtilityList!$A$4:$A$251&amp;UtilityList!$B$4:$B$251&amp;UtilityList!$C$4:$C$251,0)),INDEX(UtilityList!J$4:J$251,MATCH('Table 2.3b'!$A161&amp;'Table 2.3b'!$C161,UtilityList!$A$4:$A$251&amp;UtilityList!$C$4:$C$251,0)))</f>
        <v>Northwest Arctic</v>
      </c>
      <c r="O161" s="382" t="str">
        <f t="array" ref="O161">IFERROR(INDEX(UtilityList!K$4:K$251,MATCH('Table 2.3b'!$A161&amp;'Table 2.3b'!$B161&amp;'Table 2.3b'!$C161,UtilityList!$A$4:$A$251&amp;UtilityList!$B$4:$B$251&amp;UtilityList!$C$4:$C$251,0)),INDEX(UtilityList!K$4:K$251,MATCH('Table 2.3b'!$A161&amp;'Table 2.3b'!$C161,UtilityList!$A$4:$A$251&amp;UtilityList!$C$4:$C$251,0)))</f>
        <v>Northwest Arctic</v>
      </c>
      <c r="P161" s="382" t="str">
        <f t="array" ref="P161">IFERROR(INDEX(UtilityList!L$4:L$251,MATCH('Table 2.3b'!$A161&amp;'Table 2.3b'!$B161&amp;'Table 2.3b'!$C161,UtilityList!$A$4:$A$251&amp;UtilityList!$B$4:$B$251&amp;UtilityList!$C$4:$C$251,0)),INDEX(UtilityList!L$4:L$251,MATCH('Table 2.3b'!$A161&amp;'Table 2.3b'!$C161,UtilityList!$A$4:$A$251&amp;UtilityList!$C$4:$C$251,0)))</f>
        <v>NANA</v>
      </c>
      <c r="Q161" s="382" t="str">
        <f t="array" ref="Q161">IFERROR(INDEX(UtilityList!M$4:M$251,MATCH('Table 2.3b'!$A161&amp;'Table 2.3b'!$B161&amp;'Table 2.3b'!$C161,UtilityList!$A$4:$A$251&amp;UtilityList!$B$4:$B$251&amp;UtilityList!$C$4:$C$251,0)),INDEX(UtilityList!M$4:M$251,MATCH('Table 2.3b'!$A161&amp;'Table 2.3b'!$C161,UtilityList!$A$4:$A$251&amp;UtilityList!$C$4:$C$251,0)))</f>
        <v>AN</v>
      </c>
    </row>
    <row r="162" spans="1:17" s="169" customFormat="1" ht="30" x14ac:dyDescent="0.25">
      <c r="A162" s="360" t="s">
        <v>221</v>
      </c>
      <c r="B162" s="643" t="s">
        <v>222</v>
      </c>
      <c r="C162" s="361" t="s">
        <v>222</v>
      </c>
      <c r="D162" s="644">
        <v>18214</v>
      </c>
      <c r="E162" s="656">
        <v>0</v>
      </c>
      <c r="F162" s="656">
        <v>0</v>
      </c>
      <c r="G162" s="661">
        <v>0</v>
      </c>
      <c r="H162" s="644">
        <v>0</v>
      </c>
      <c r="I162" s="644">
        <v>1296582</v>
      </c>
      <c r="J162" s="656">
        <v>0</v>
      </c>
      <c r="K162" s="656">
        <v>0</v>
      </c>
      <c r="L162" s="658" t="s">
        <v>558</v>
      </c>
      <c r="M162" s="659">
        <f t="array" ref="M162">INDEX(UtilityList!Q$4:Q$251,MATCH('Table 2.3b'!$A162&amp;'Table 2.3b'!$B162&amp;'Table 2.3b'!$C162,UtilityList!$A$4:$A$251&amp;UtilityList!$B$4:$B$251&amp;UtilityList!$C$4:$C$251,0))</f>
        <v>0</v>
      </c>
      <c r="N162" s="382" t="str">
        <f t="array" ref="N162">IFERROR(INDEX(UtilityList!J$4:J$251,MATCH('Table 2.3b'!$A162&amp;'Table 2.3b'!$B162&amp;'Table 2.3b'!$C162,UtilityList!$A$4:$A$251&amp;UtilityList!$B$4:$B$251&amp;UtilityList!$C$4:$C$251,0)),INDEX(UtilityList!J$4:J$251,MATCH('Table 2.3b'!$A162&amp;'Table 2.3b'!$C162,UtilityList!$A$4:$A$251&amp;UtilityList!$C$4:$C$251,0)))</f>
        <v>Kodiak</v>
      </c>
      <c r="O162" s="382" t="str">
        <f t="array" ref="O162">IFERROR(INDEX(UtilityList!K$4:K$251,MATCH('Table 2.3b'!$A162&amp;'Table 2.3b'!$B162&amp;'Table 2.3b'!$C162,UtilityList!$A$4:$A$251&amp;UtilityList!$B$4:$B$251&amp;UtilityList!$C$4:$C$251,0)),INDEX(UtilityList!K$4:K$251,MATCH('Table 2.3b'!$A162&amp;'Table 2.3b'!$C162,UtilityList!$A$4:$A$251&amp;UtilityList!$C$4:$C$251,0)))</f>
        <v>Kodiak Island</v>
      </c>
      <c r="P162" s="382" t="str">
        <f t="array" ref="P162">IFERROR(INDEX(UtilityList!L$4:L$251,MATCH('Table 2.3b'!$A162&amp;'Table 2.3b'!$B162&amp;'Table 2.3b'!$C162,UtilityList!$A$4:$A$251&amp;UtilityList!$B$4:$B$251&amp;UtilityList!$C$4:$C$251,0)),INDEX(UtilityList!L$4:L$251,MATCH('Table 2.3b'!$A162&amp;'Table 2.3b'!$C162,UtilityList!$A$4:$A$251&amp;UtilityList!$C$4:$C$251,0)))</f>
        <v>Koniag</v>
      </c>
      <c r="Q162" s="382" t="str">
        <f t="array" ref="Q162">IFERROR(INDEX(UtilityList!M$4:M$251,MATCH('Table 2.3b'!$A162&amp;'Table 2.3b'!$B162&amp;'Table 2.3b'!$C162,UtilityList!$A$4:$A$251&amp;UtilityList!$B$4:$B$251&amp;UtilityList!$C$4:$C$251,0)),INDEX(UtilityList!M$4:M$251,MATCH('Table 2.3b'!$A162&amp;'Table 2.3b'!$C162,UtilityList!$A$4:$A$251&amp;UtilityList!$C$4:$C$251,0)))</f>
        <v>SC</v>
      </c>
    </row>
    <row r="163" spans="1:17" customFormat="1" ht="30" x14ac:dyDescent="0.25">
      <c r="A163" s="360" t="s">
        <v>221</v>
      </c>
      <c r="B163" s="643" t="s">
        <v>223</v>
      </c>
      <c r="C163" s="361" t="s">
        <v>222</v>
      </c>
      <c r="D163" s="644">
        <v>3568</v>
      </c>
      <c r="E163" s="656">
        <v>0</v>
      </c>
      <c r="F163" s="656">
        <v>0</v>
      </c>
      <c r="G163" s="661">
        <v>0</v>
      </c>
      <c r="H163" s="644">
        <v>0</v>
      </c>
      <c r="I163" s="644">
        <v>350490</v>
      </c>
      <c r="J163" s="656">
        <v>0</v>
      </c>
      <c r="K163" s="656">
        <v>0</v>
      </c>
      <c r="L163" s="658" t="s">
        <v>558</v>
      </c>
      <c r="M163" s="659">
        <f t="array" ref="M163">INDEX(UtilityList!Q$4:Q$251,MATCH('Table 2.3b'!$A163&amp;'Table 2.3b'!$B163&amp;'Table 2.3b'!$C163,UtilityList!$A$4:$A$251&amp;UtilityList!$B$4:$B$251&amp;UtilityList!$C$4:$C$251,0))</f>
        <v>0</v>
      </c>
      <c r="N163" s="382" t="str">
        <f t="array" ref="N163">IFERROR(INDEX(UtilityList!J$4:J$251,MATCH('Table 2.3b'!$A163&amp;'Table 2.3b'!$B163&amp;'Table 2.3b'!$C163,UtilityList!$A$4:$A$251&amp;UtilityList!$B$4:$B$251&amp;UtilityList!$C$4:$C$251,0)),INDEX(UtilityList!J$4:J$251,MATCH('Table 2.3b'!$A163&amp;'Table 2.3b'!$C163,UtilityList!$A$4:$A$251&amp;UtilityList!$C$4:$C$251,0)))</f>
        <v>Kodiak</v>
      </c>
      <c r="O163" s="382" t="str">
        <f t="array" ref="O163">IFERROR(INDEX(UtilityList!K$4:K$251,MATCH('Table 2.3b'!$A163&amp;'Table 2.3b'!$B163&amp;'Table 2.3b'!$C163,UtilityList!$A$4:$A$251&amp;UtilityList!$B$4:$B$251&amp;UtilityList!$C$4:$C$251,0)),INDEX(UtilityList!K$4:K$251,MATCH('Table 2.3b'!$A163&amp;'Table 2.3b'!$C163,UtilityList!$A$4:$A$251&amp;UtilityList!$C$4:$C$251,0)))</f>
        <v>Kodiak Island</v>
      </c>
      <c r="P163" s="382" t="str">
        <f t="array" ref="P163">IFERROR(INDEX(UtilityList!L$4:L$251,MATCH('Table 2.3b'!$A163&amp;'Table 2.3b'!$B163&amp;'Table 2.3b'!$C163,UtilityList!$A$4:$A$251&amp;UtilityList!$B$4:$B$251&amp;UtilityList!$C$4:$C$251,0)),INDEX(UtilityList!L$4:L$251,MATCH('Table 2.3b'!$A163&amp;'Table 2.3b'!$C163,UtilityList!$A$4:$A$251&amp;UtilityList!$C$4:$C$251,0)))</f>
        <v>Koniag</v>
      </c>
      <c r="Q163" s="382" t="str">
        <f t="array" ref="Q163">IFERROR(INDEX(UtilityList!M$4:M$251,MATCH('Table 2.3b'!$A163&amp;'Table 2.3b'!$B163&amp;'Table 2.3b'!$C163,UtilityList!$A$4:$A$251&amp;UtilityList!$B$4:$B$251&amp;UtilityList!$C$4:$C$251,0)),INDEX(UtilityList!M$4:M$251,MATCH('Table 2.3b'!$A163&amp;'Table 2.3b'!$C163,UtilityList!$A$4:$A$251&amp;UtilityList!$C$4:$C$251,0)))</f>
        <v>SC</v>
      </c>
    </row>
    <row r="164" spans="1:17" customFormat="1" ht="30" x14ac:dyDescent="0.25">
      <c r="A164" s="360" t="s">
        <v>221</v>
      </c>
      <c r="B164" s="643" t="s">
        <v>224</v>
      </c>
      <c r="C164" s="361" t="s">
        <v>222</v>
      </c>
      <c r="D164" s="644">
        <v>0</v>
      </c>
      <c r="E164" s="656">
        <v>0</v>
      </c>
      <c r="F164" s="656">
        <v>0</v>
      </c>
      <c r="G164" s="661">
        <v>0</v>
      </c>
      <c r="H164" s="644">
        <v>12364</v>
      </c>
      <c r="I164" s="644">
        <v>0</v>
      </c>
      <c r="J164" s="644">
        <v>0</v>
      </c>
      <c r="K164" s="644">
        <v>0</v>
      </c>
      <c r="L164" s="658" t="s">
        <v>558</v>
      </c>
      <c r="M164" s="659">
        <f t="array" ref="M164">INDEX(UtilityList!Q$4:Q$251,MATCH('Table 2.3b'!$A164&amp;'Table 2.3b'!$B164&amp;'Table 2.3b'!$C164,UtilityList!$A$4:$A$251&amp;UtilityList!$B$4:$B$251&amp;UtilityList!$C$4:$C$251,0))</f>
        <v>0</v>
      </c>
      <c r="N164" s="382" t="str">
        <f t="array" ref="N164">IFERROR(INDEX(UtilityList!J$4:J$251,MATCH('Table 2.3b'!$A164&amp;'Table 2.3b'!$B164&amp;'Table 2.3b'!$C164,UtilityList!$A$4:$A$251&amp;UtilityList!$B$4:$B$251&amp;UtilityList!$C$4:$C$251,0)),INDEX(UtilityList!J$4:J$251,MATCH('Table 2.3b'!$A164&amp;'Table 2.3b'!$C164,UtilityList!$A$4:$A$251&amp;UtilityList!$C$4:$C$251,0)))</f>
        <v>Kodiak</v>
      </c>
      <c r="O164" s="382" t="str">
        <f t="array" ref="O164">IFERROR(INDEX(UtilityList!K$4:K$251,MATCH('Table 2.3b'!$A164&amp;'Table 2.3b'!$B164&amp;'Table 2.3b'!$C164,UtilityList!$A$4:$A$251&amp;UtilityList!$B$4:$B$251&amp;UtilityList!$C$4:$C$251,0)),INDEX(UtilityList!K$4:K$251,MATCH('Table 2.3b'!$A164&amp;'Table 2.3b'!$C164,UtilityList!$A$4:$A$251&amp;UtilityList!$C$4:$C$251,0)))</f>
        <v>Kodiak Island</v>
      </c>
      <c r="P164" s="382" t="str">
        <f t="array" ref="P164">IFERROR(INDEX(UtilityList!L$4:L$251,MATCH('Table 2.3b'!$A164&amp;'Table 2.3b'!$B164&amp;'Table 2.3b'!$C164,UtilityList!$A$4:$A$251&amp;UtilityList!$B$4:$B$251&amp;UtilityList!$C$4:$C$251,0)),INDEX(UtilityList!L$4:L$251,MATCH('Table 2.3b'!$A164&amp;'Table 2.3b'!$C164,UtilityList!$A$4:$A$251&amp;UtilityList!$C$4:$C$251,0)))</f>
        <v>Koniag</v>
      </c>
      <c r="Q164" s="382" t="str">
        <f t="array" ref="Q164">IFERROR(INDEX(UtilityList!M$4:M$251,MATCH('Table 2.3b'!$A164&amp;'Table 2.3b'!$B164&amp;'Table 2.3b'!$C164,UtilityList!$A$4:$A$251&amp;UtilityList!$B$4:$B$251&amp;UtilityList!$C$4:$C$251,0)),INDEX(UtilityList!M$4:M$251,MATCH('Table 2.3b'!$A164&amp;'Table 2.3b'!$C164,UtilityList!$A$4:$A$251&amp;UtilityList!$C$4:$C$251,0)))</f>
        <v>SC</v>
      </c>
    </row>
    <row r="165" spans="1:17" customFormat="1" ht="30" x14ac:dyDescent="0.25">
      <c r="A165" s="360" t="s">
        <v>221</v>
      </c>
      <c r="B165" s="643" t="s">
        <v>226</v>
      </c>
      <c r="C165" s="361" t="s">
        <v>222</v>
      </c>
      <c r="D165" s="644">
        <v>70</v>
      </c>
      <c r="E165" s="656">
        <v>0</v>
      </c>
      <c r="F165" s="656">
        <v>0</v>
      </c>
      <c r="G165" s="661">
        <v>0</v>
      </c>
      <c r="H165" s="644">
        <v>0</v>
      </c>
      <c r="I165" s="644">
        <v>6510</v>
      </c>
      <c r="J165" s="656">
        <v>0</v>
      </c>
      <c r="K165" s="656">
        <v>0</v>
      </c>
      <c r="L165" s="658" t="s">
        <v>558</v>
      </c>
      <c r="M165" s="659">
        <f t="array" ref="M165">INDEX(UtilityList!Q$4:Q$251,MATCH('Table 2.3b'!$A165&amp;'Table 2.3b'!$B165&amp;'Table 2.3b'!$C165,UtilityList!$A$4:$A$251&amp;UtilityList!$B$4:$B$251&amp;UtilityList!$C$4:$C$251,0))</f>
        <v>0</v>
      </c>
      <c r="N165" s="382" t="str">
        <f t="array" ref="N165">IFERROR(INDEX(UtilityList!J$4:J$251,MATCH('Table 2.3b'!$A165&amp;'Table 2.3b'!$B165&amp;'Table 2.3b'!$C165,UtilityList!$A$4:$A$251&amp;UtilityList!$B$4:$B$251&amp;UtilityList!$C$4:$C$251,0)),INDEX(UtilityList!J$4:J$251,MATCH('Table 2.3b'!$A165&amp;'Table 2.3b'!$C165,UtilityList!$A$4:$A$251&amp;UtilityList!$C$4:$C$251,0)))</f>
        <v>Kodiak</v>
      </c>
      <c r="O165" s="382" t="str">
        <f t="array" ref="O165">IFERROR(INDEX(UtilityList!K$4:K$251,MATCH('Table 2.3b'!$A165&amp;'Table 2.3b'!$B165&amp;'Table 2.3b'!$C165,UtilityList!$A$4:$A$251&amp;UtilityList!$B$4:$B$251&amp;UtilityList!$C$4:$C$251,0)),INDEX(UtilityList!K$4:K$251,MATCH('Table 2.3b'!$A165&amp;'Table 2.3b'!$C165,UtilityList!$A$4:$A$251&amp;UtilityList!$C$4:$C$251,0)))</f>
        <v>Kodiak Island</v>
      </c>
      <c r="P165" s="382" t="str">
        <f t="array" ref="P165">IFERROR(INDEX(UtilityList!L$4:L$251,MATCH('Table 2.3b'!$A165&amp;'Table 2.3b'!$B165&amp;'Table 2.3b'!$C165,UtilityList!$A$4:$A$251&amp;UtilityList!$B$4:$B$251&amp;UtilityList!$C$4:$C$251,0)),INDEX(UtilityList!L$4:L$251,MATCH('Table 2.3b'!$A165&amp;'Table 2.3b'!$C165,UtilityList!$A$4:$A$251&amp;UtilityList!$C$4:$C$251,0)))</f>
        <v>Koniag</v>
      </c>
      <c r="Q165" s="382" t="str">
        <f t="array" ref="Q165">IFERROR(INDEX(UtilityList!M$4:M$251,MATCH('Table 2.3b'!$A165&amp;'Table 2.3b'!$B165&amp;'Table 2.3b'!$C165,UtilityList!$A$4:$A$251&amp;UtilityList!$B$4:$B$251&amp;UtilityList!$C$4:$C$251,0)),INDEX(UtilityList!M$4:M$251,MATCH('Table 2.3b'!$A165&amp;'Table 2.3b'!$C165,UtilityList!$A$4:$A$251&amp;UtilityList!$C$4:$C$251,0)))</f>
        <v>SC</v>
      </c>
    </row>
    <row r="166" spans="1:17" customFormat="1" ht="30" x14ac:dyDescent="0.25">
      <c r="A166" s="360" t="s">
        <v>221</v>
      </c>
      <c r="B166" s="643" t="s">
        <v>225</v>
      </c>
      <c r="C166" s="361" t="s">
        <v>222</v>
      </c>
      <c r="D166" s="644">
        <v>0</v>
      </c>
      <c r="E166" s="656">
        <v>0</v>
      </c>
      <c r="F166" s="656">
        <v>0</v>
      </c>
      <c r="G166" s="644">
        <v>114186</v>
      </c>
      <c r="H166" s="644">
        <v>0</v>
      </c>
      <c r="I166" s="644">
        <v>0</v>
      </c>
      <c r="J166" s="644">
        <v>0</v>
      </c>
      <c r="K166" s="644">
        <v>0</v>
      </c>
      <c r="L166" s="658" t="s">
        <v>558</v>
      </c>
      <c r="M166" s="659">
        <f t="array" ref="M166">INDEX(UtilityList!Q$4:Q$251,MATCH('Table 2.3b'!$A166&amp;'Table 2.3b'!$B166&amp;'Table 2.3b'!$C166,UtilityList!$A$4:$A$251&amp;UtilityList!$B$4:$B$251&amp;UtilityList!$C$4:$C$251,0))</f>
        <v>0</v>
      </c>
      <c r="N166" s="382" t="str">
        <f t="array" ref="N166">IFERROR(INDEX(UtilityList!J$4:J$251,MATCH('Table 2.3b'!$A166&amp;'Table 2.3b'!$B166&amp;'Table 2.3b'!$C166,UtilityList!$A$4:$A$251&amp;UtilityList!$B$4:$B$251&amp;UtilityList!$C$4:$C$251,0)),INDEX(UtilityList!J$4:J$251,MATCH('Table 2.3b'!$A166&amp;'Table 2.3b'!$C166,UtilityList!$A$4:$A$251&amp;UtilityList!$C$4:$C$251,0)))</f>
        <v>Kodiak</v>
      </c>
      <c r="O166" s="382" t="str">
        <f t="array" ref="O166">IFERROR(INDEX(UtilityList!K$4:K$251,MATCH('Table 2.3b'!$A166&amp;'Table 2.3b'!$B166&amp;'Table 2.3b'!$C166,UtilityList!$A$4:$A$251&amp;UtilityList!$B$4:$B$251&amp;UtilityList!$C$4:$C$251,0)),INDEX(UtilityList!K$4:K$251,MATCH('Table 2.3b'!$A166&amp;'Table 2.3b'!$C166,UtilityList!$A$4:$A$251&amp;UtilityList!$C$4:$C$251,0)))</f>
        <v>Kodiak Island</v>
      </c>
      <c r="P166" s="382" t="str">
        <f t="array" ref="P166">IFERROR(INDEX(UtilityList!L$4:L$251,MATCH('Table 2.3b'!$A166&amp;'Table 2.3b'!$B166&amp;'Table 2.3b'!$C166,UtilityList!$A$4:$A$251&amp;UtilityList!$B$4:$B$251&amp;UtilityList!$C$4:$C$251,0)),INDEX(UtilityList!L$4:L$251,MATCH('Table 2.3b'!$A166&amp;'Table 2.3b'!$C166,UtilityList!$A$4:$A$251&amp;UtilityList!$C$4:$C$251,0)))</f>
        <v>Koniag</v>
      </c>
      <c r="Q166" s="382" t="str">
        <f t="array" ref="Q166">IFERROR(INDEX(UtilityList!M$4:M$251,MATCH('Table 2.3b'!$A166&amp;'Table 2.3b'!$B166&amp;'Table 2.3b'!$C166,UtilityList!$A$4:$A$251&amp;UtilityList!$B$4:$B$251&amp;UtilityList!$C$4:$C$251,0)),INDEX(UtilityList!M$4:M$251,MATCH('Table 2.3b'!$A166&amp;'Table 2.3b'!$C166,UtilityList!$A$4:$A$251&amp;UtilityList!$C$4:$C$251,0)))</f>
        <v>SC</v>
      </c>
    </row>
    <row r="167" spans="1:17" customFormat="1" ht="30" x14ac:dyDescent="0.25">
      <c r="A167" s="653" t="s">
        <v>227</v>
      </c>
      <c r="B167" s="452" t="s">
        <v>228</v>
      </c>
      <c r="C167" s="654" t="s">
        <v>228</v>
      </c>
      <c r="D167" s="655">
        <v>406.92200000000003</v>
      </c>
      <c r="E167" s="656">
        <v>0</v>
      </c>
      <c r="F167" s="656">
        <v>0</v>
      </c>
      <c r="G167" s="657">
        <v>0</v>
      </c>
      <c r="H167" s="657">
        <v>66.448999999999998</v>
      </c>
      <c r="I167" s="657">
        <v>39090</v>
      </c>
      <c r="J167" s="656">
        <v>0</v>
      </c>
      <c r="K167" s="656">
        <v>0</v>
      </c>
      <c r="L167" s="658" t="s">
        <v>356</v>
      </c>
      <c r="M167" s="659">
        <f t="array" ref="M167">INDEX(UtilityList!Q$4:Q$251,MATCH('Table 2.3b'!$A167&amp;'Table 2.3b'!$B167&amp;'Table 2.3b'!$C167,UtilityList!$A$4:$A$251&amp;UtilityList!$B$4:$B$251&amp;UtilityList!$C$4:$C$251,0))</f>
        <v>0</v>
      </c>
      <c r="N167" s="382" t="str">
        <f t="array" ref="N167">IFERROR(INDEX(UtilityList!J$4:J$251,MATCH('Table 2.3b'!$A167&amp;'Table 2.3b'!$B167&amp;'Table 2.3b'!$C167,UtilityList!$A$4:$A$251&amp;UtilityList!$B$4:$B$251&amp;UtilityList!$C$4:$C$251,0)),INDEX(UtilityList!J$4:J$251,MATCH('Table 2.3b'!$A167&amp;'Table 2.3b'!$C167,UtilityList!$A$4:$A$251&amp;UtilityList!$C$4:$C$251,0)))</f>
        <v>Bristol Bay</v>
      </c>
      <c r="O167" s="382" t="str">
        <f t="array" ref="O167">IFERROR(INDEX(UtilityList!K$4:K$251,MATCH('Table 2.3b'!$A167&amp;'Table 2.3b'!$B167&amp;'Table 2.3b'!$C167,UtilityList!$A$4:$A$251&amp;UtilityList!$B$4:$B$251&amp;UtilityList!$C$4:$C$251,0)),INDEX(UtilityList!K$4:K$251,MATCH('Table 2.3b'!$A167&amp;'Table 2.3b'!$C167,UtilityList!$A$4:$A$251&amp;UtilityList!$C$4:$C$251,0)))</f>
        <v>Lake and Peninsula</v>
      </c>
      <c r="P167" s="382" t="str">
        <f t="array" ref="P167">IFERROR(INDEX(UtilityList!L$4:L$251,MATCH('Table 2.3b'!$A167&amp;'Table 2.3b'!$B167&amp;'Table 2.3b'!$C167,UtilityList!$A$4:$A$251&amp;UtilityList!$B$4:$B$251&amp;UtilityList!$C$4:$C$251,0)),INDEX(UtilityList!L$4:L$251,MATCH('Table 2.3b'!$A167&amp;'Table 2.3b'!$C167,UtilityList!$A$4:$A$251&amp;UtilityList!$C$4:$C$251,0)))</f>
        <v>Bristol Bay</v>
      </c>
      <c r="Q167" s="382" t="str">
        <f t="array" ref="Q167">IFERROR(INDEX(UtilityList!M$4:M$251,MATCH('Table 2.3b'!$A167&amp;'Table 2.3b'!$B167&amp;'Table 2.3b'!$C167,UtilityList!$A$4:$A$251&amp;UtilityList!$B$4:$B$251&amp;UtilityList!$C$4:$C$251,0)),INDEX(UtilityList!M$4:M$251,MATCH('Table 2.3b'!$A167&amp;'Table 2.3b'!$C167,UtilityList!$A$4:$A$251&amp;UtilityList!$C$4:$C$251,0)))</f>
        <v>SW</v>
      </c>
    </row>
    <row r="168" spans="1:17" customFormat="1" ht="30" x14ac:dyDescent="0.25">
      <c r="A168" s="653" t="s">
        <v>229</v>
      </c>
      <c r="B168" s="452" t="s">
        <v>230</v>
      </c>
      <c r="C168" s="654" t="s">
        <v>230</v>
      </c>
      <c r="D168" s="655">
        <v>20300</v>
      </c>
      <c r="E168" s="656">
        <v>0</v>
      </c>
      <c r="F168" s="656">
        <v>0</v>
      </c>
      <c r="G168" s="657">
        <v>0</v>
      </c>
      <c r="H168" s="657">
        <v>1502.537</v>
      </c>
      <c r="I168" s="657">
        <v>1417074</v>
      </c>
      <c r="J168" s="656">
        <v>0</v>
      </c>
      <c r="K168" s="656">
        <v>0</v>
      </c>
      <c r="L168" s="658" t="s">
        <v>356</v>
      </c>
      <c r="M168" s="659">
        <f t="array" ref="M168">INDEX(UtilityList!Q$4:Q$251,MATCH('Table 2.3b'!$A168&amp;'Table 2.3b'!$B168&amp;'Table 2.3b'!$C168,UtilityList!$A$4:$A$251&amp;UtilityList!$B$4:$B$251&amp;UtilityList!$C$4:$C$251,0))</f>
        <v>0</v>
      </c>
      <c r="N168" s="382" t="str">
        <f t="array" ref="N168">IFERROR(INDEX(UtilityList!J$4:J$251,MATCH('Table 2.3b'!$A168&amp;'Table 2.3b'!$B168&amp;'Table 2.3b'!$C168,UtilityList!$A$4:$A$251&amp;UtilityList!$B$4:$B$251&amp;UtilityList!$C$4:$C$251,0)),INDEX(UtilityList!J$4:J$251,MATCH('Table 2.3b'!$A168&amp;'Table 2.3b'!$C168,UtilityList!$A$4:$A$251&amp;UtilityList!$C$4:$C$251,0)))</f>
        <v>Northwest Arctic</v>
      </c>
      <c r="O168" s="382" t="str">
        <f t="array" ref="O168">IFERROR(INDEX(UtilityList!K$4:K$251,MATCH('Table 2.3b'!$A168&amp;'Table 2.3b'!$B168&amp;'Table 2.3b'!$C168,UtilityList!$A$4:$A$251&amp;UtilityList!$B$4:$B$251&amp;UtilityList!$C$4:$C$251,0)),INDEX(UtilityList!K$4:K$251,MATCH('Table 2.3b'!$A168&amp;'Table 2.3b'!$C168,UtilityList!$A$4:$A$251&amp;UtilityList!$C$4:$C$251,0)))</f>
        <v>Northwest Arctic</v>
      </c>
      <c r="P168" s="382" t="str">
        <f t="array" ref="P168">IFERROR(INDEX(UtilityList!L$4:L$251,MATCH('Table 2.3b'!$A168&amp;'Table 2.3b'!$B168&amp;'Table 2.3b'!$C168,UtilityList!$A$4:$A$251&amp;UtilityList!$B$4:$B$251&amp;UtilityList!$C$4:$C$251,0)),INDEX(UtilityList!L$4:L$251,MATCH('Table 2.3b'!$A168&amp;'Table 2.3b'!$C168,UtilityList!$A$4:$A$251&amp;UtilityList!$C$4:$C$251,0)))</f>
        <v>NANA</v>
      </c>
      <c r="Q168" s="382" t="str">
        <f t="array" ref="Q168">IFERROR(INDEX(UtilityList!M$4:M$251,MATCH('Table 2.3b'!$A168&amp;'Table 2.3b'!$B168&amp;'Table 2.3b'!$C168,UtilityList!$A$4:$A$251&amp;UtilityList!$B$4:$B$251&amp;UtilityList!$C$4:$C$251,0)),INDEX(UtilityList!M$4:M$251,MATCH('Table 2.3b'!$A168&amp;'Table 2.3b'!$C168,UtilityList!$A$4:$A$251&amp;UtilityList!$C$4:$C$251,0)))</f>
        <v>AN</v>
      </c>
    </row>
    <row r="169" spans="1:17" customFormat="1" ht="30" x14ac:dyDescent="0.25">
      <c r="A169" s="653" t="s">
        <v>231</v>
      </c>
      <c r="B169" s="452" t="s">
        <v>232</v>
      </c>
      <c r="C169" s="654" t="s">
        <v>232</v>
      </c>
      <c r="D169" s="655">
        <v>314.14699999999999</v>
      </c>
      <c r="E169" s="656">
        <v>0</v>
      </c>
      <c r="F169" s="656">
        <v>0</v>
      </c>
      <c r="G169" s="657">
        <v>0</v>
      </c>
      <c r="H169" s="657">
        <v>0</v>
      </c>
      <c r="I169" s="657">
        <v>32927</v>
      </c>
      <c r="J169" s="656">
        <v>0</v>
      </c>
      <c r="K169" s="656">
        <v>0</v>
      </c>
      <c r="L169" s="658" t="s">
        <v>356</v>
      </c>
      <c r="M169" s="659">
        <f t="array" ref="M169">INDEX(UtilityList!Q$4:Q$251,MATCH('Table 2.3b'!$A169&amp;'Table 2.3b'!$B169&amp;'Table 2.3b'!$C169,UtilityList!$A$4:$A$251&amp;UtilityList!$B$4:$B$251&amp;UtilityList!$C$4:$C$251,0))</f>
        <v>0</v>
      </c>
      <c r="N169" s="382" t="str">
        <f t="array" ref="N169">IFERROR(INDEX(UtilityList!J$4:J$251,MATCH('Table 2.3b'!$A169&amp;'Table 2.3b'!$B169&amp;'Table 2.3b'!$C169,UtilityList!$A$4:$A$251&amp;UtilityList!$B$4:$B$251&amp;UtilityList!$C$4:$C$251,0)),INDEX(UtilityList!J$4:J$251,MATCH('Table 2.3b'!$A169&amp;'Table 2.3b'!$C169,UtilityList!$A$4:$A$251&amp;UtilityList!$C$4:$C$251,0)))</f>
        <v>Yukon-Koyukuk/Upper Tanana</v>
      </c>
      <c r="O169" s="382" t="str">
        <f t="array" ref="O169">IFERROR(INDEX(UtilityList!K$4:K$251,MATCH('Table 2.3b'!$A169&amp;'Table 2.3b'!$B169&amp;'Table 2.3b'!$C169,UtilityList!$A$4:$A$251&amp;UtilityList!$B$4:$B$251&amp;UtilityList!$C$4:$C$251,0)),INDEX(UtilityList!K$4:K$251,MATCH('Table 2.3b'!$A169&amp;'Table 2.3b'!$C169,UtilityList!$A$4:$A$251&amp;UtilityList!$C$4:$C$251,0)))</f>
        <v>Yukon-Koyukuk (CA)</v>
      </c>
      <c r="P169" s="382" t="str">
        <f t="array" ref="P169">IFERROR(INDEX(UtilityList!L$4:L$251,MATCH('Table 2.3b'!$A169&amp;'Table 2.3b'!$B169&amp;'Table 2.3b'!$C169,UtilityList!$A$4:$A$251&amp;UtilityList!$B$4:$B$251&amp;UtilityList!$C$4:$C$251,0)),INDEX(UtilityList!L$4:L$251,MATCH('Table 2.3b'!$A169&amp;'Table 2.3b'!$C169,UtilityList!$A$4:$A$251&amp;UtilityList!$C$4:$C$251,0)))</f>
        <v>Doyon</v>
      </c>
      <c r="Q169" s="382" t="str">
        <f t="array" ref="Q169">IFERROR(INDEX(UtilityList!M$4:M$251,MATCH('Table 2.3b'!$A169&amp;'Table 2.3b'!$B169&amp;'Table 2.3b'!$C169,UtilityList!$A$4:$A$251&amp;UtilityList!$B$4:$B$251&amp;UtilityList!$C$4:$C$251,0)),INDEX(UtilityList!M$4:M$251,MATCH('Table 2.3b'!$A169&amp;'Table 2.3b'!$C169,UtilityList!$A$4:$A$251&amp;UtilityList!$C$4:$C$251,0)))</f>
        <v>YU</v>
      </c>
    </row>
    <row r="170" spans="1:17" customFormat="1" ht="30" x14ac:dyDescent="0.25">
      <c r="A170" s="653" t="s">
        <v>233</v>
      </c>
      <c r="B170" s="452" t="s">
        <v>234</v>
      </c>
      <c r="C170" s="654" t="s">
        <v>234</v>
      </c>
      <c r="D170" s="655">
        <v>1377.5930000000001</v>
      </c>
      <c r="E170" s="656">
        <v>0</v>
      </c>
      <c r="F170" s="656">
        <v>0</v>
      </c>
      <c r="G170" s="657">
        <v>0</v>
      </c>
      <c r="H170" s="657">
        <v>0</v>
      </c>
      <c r="I170" s="657">
        <v>102428</v>
      </c>
      <c r="J170" s="656">
        <v>0</v>
      </c>
      <c r="K170" s="656">
        <v>0</v>
      </c>
      <c r="L170" s="658" t="s">
        <v>356</v>
      </c>
      <c r="M170" s="659">
        <f t="array" ref="M170">INDEX(UtilityList!Q$4:Q$251,MATCH('Table 2.3b'!$A170&amp;'Table 2.3b'!$B170&amp;'Table 2.3b'!$C170,UtilityList!$A$4:$A$251&amp;UtilityList!$B$4:$B$251&amp;UtilityList!$C$4:$C$251,0))</f>
        <v>0</v>
      </c>
      <c r="N170" s="382" t="str">
        <f t="array" ref="N170">IFERROR(INDEX(UtilityList!J$4:J$251,MATCH('Table 2.3b'!$A170&amp;'Table 2.3b'!$B170&amp;'Table 2.3b'!$C170,UtilityList!$A$4:$A$251&amp;UtilityList!$B$4:$B$251&amp;UtilityList!$C$4:$C$251,0)),INDEX(UtilityList!J$4:J$251,MATCH('Table 2.3b'!$A170&amp;'Table 2.3b'!$C170,UtilityList!$A$4:$A$251&amp;UtilityList!$C$4:$C$251,0)))</f>
        <v>Lower Yukon-Kuskokwim</v>
      </c>
      <c r="O170" s="382" t="str">
        <f t="array" ref="O170">IFERROR(INDEX(UtilityList!K$4:K$251,MATCH('Table 2.3b'!$A170&amp;'Table 2.3b'!$B170&amp;'Table 2.3b'!$C170,UtilityList!$A$4:$A$251&amp;UtilityList!$B$4:$B$251&amp;UtilityList!$C$4:$C$251,0)),INDEX(UtilityList!K$4:K$251,MATCH('Table 2.3b'!$A170&amp;'Table 2.3b'!$C170,UtilityList!$A$4:$A$251&amp;UtilityList!$C$4:$C$251,0)))</f>
        <v>Bethel (CA)</v>
      </c>
      <c r="P170" s="382" t="str">
        <f t="array" ref="P170">IFERROR(INDEX(UtilityList!L$4:L$251,MATCH('Table 2.3b'!$A170&amp;'Table 2.3b'!$B170&amp;'Table 2.3b'!$C170,UtilityList!$A$4:$A$251&amp;UtilityList!$B$4:$B$251&amp;UtilityList!$C$4:$C$251,0)),INDEX(UtilityList!L$4:L$251,MATCH('Table 2.3b'!$A170&amp;'Table 2.3b'!$C170,UtilityList!$A$4:$A$251&amp;UtilityList!$C$4:$C$251,0)))</f>
        <v>Calista</v>
      </c>
      <c r="Q170" s="382" t="str">
        <f t="array" ref="Q170">IFERROR(INDEX(UtilityList!M$4:M$251,MATCH('Table 2.3b'!$A170&amp;'Table 2.3b'!$B170&amp;'Table 2.3b'!$C170,UtilityList!$A$4:$A$251&amp;UtilityList!$B$4:$B$251&amp;UtilityList!$C$4:$C$251,0)),INDEX(UtilityList!M$4:M$251,MATCH('Table 2.3b'!$A170&amp;'Table 2.3b'!$C170,UtilityList!$A$4:$A$251&amp;UtilityList!$C$4:$C$251,0)))</f>
        <v>SW</v>
      </c>
    </row>
    <row r="171" spans="1:17" customFormat="1" ht="30" x14ac:dyDescent="0.25">
      <c r="A171" s="653" t="s">
        <v>641</v>
      </c>
      <c r="B171" s="452" t="s">
        <v>235</v>
      </c>
      <c r="C171" s="654" t="s">
        <v>235</v>
      </c>
      <c r="D171" s="655">
        <v>1168.2660000000001</v>
      </c>
      <c r="E171" s="656">
        <v>0</v>
      </c>
      <c r="F171" s="656">
        <v>0</v>
      </c>
      <c r="G171" s="657">
        <v>0</v>
      </c>
      <c r="H171" s="657">
        <v>0</v>
      </c>
      <c r="I171" s="657">
        <v>84078</v>
      </c>
      <c r="J171" s="656">
        <v>0</v>
      </c>
      <c r="K171" s="656">
        <v>0</v>
      </c>
      <c r="L171" s="658" t="s">
        <v>356</v>
      </c>
      <c r="M171" s="659">
        <f t="array" ref="M171">INDEX(UtilityList!Q$4:Q$251,MATCH('Table 2.3b'!$A171&amp;'Table 2.3b'!$B171&amp;'Table 2.3b'!$C171,UtilityList!$A$4:$A$251&amp;UtilityList!$B$4:$B$251&amp;UtilityList!$C$4:$C$251,0))</f>
        <v>0</v>
      </c>
      <c r="N171" s="382" t="str">
        <f t="array" ref="N171">IFERROR(INDEX(UtilityList!J$4:J$251,MATCH('Table 2.3b'!$A171&amp;'Table 2.3b'!$B171&amp;'Table 2.3b'!$C171,UtilityList!$A$4:$A$251&amp;UtilityList!$B$4:$B$251&amp;UtilityList!$C$4:$C$251,0)),INDEX(UtilityList!J$4:J$251,MATCH('Table 2.3b'!$A171&amp;'Table 2.3b'!$C171,UtilityList!$A$4:$A$251&amp;UtilityList!$C$4:$C$251,0)))</f>
        <v>Lower Yukon-Kuskokwim</v>
      </c>
      <c r="O171" s="382" t="str">
        <f t="array" ref="O171">IFERROR(INDEX(UtilityList!K$4:K$251,MATCH('Table 2.3b'!$A171&amp;'Table 2.3b'!$B171&amp;'Table 2.3b'!$C171,UtilityList!$A$4:$A$251&amp;UtilityList!$B$4:$B$251&amp;UtilityList!$C$4:$C$251,0)),INDEX(UtilityList!K$4:K$251,MATCH('Table 2.3b'!$A171&amp;'Table 2.3b'!$C171,UtilityList!$A$4:$A$251&amp;UtilityList!$C$4:$C$251,0)))</f>
        <v>Bethel (CA)</v>
      </c>
      <c r="P171" s="382" t="str">
        <f t="array" ref="P171">IFERROR(INDEX(UtilityList!L$4:L$251,MATCH('Table 2.3b'!$A171&amp;'Table 2.3b'!$B171&amp;'Table 2.3b'!$C171,UtilityList!$A$4:$A$251&amp;UtilityList!$B$4:$B$251&amp;UtilityList!$C$4:$C$251,0)),INDEX(UtilityList!L$4:L$251,MATCH('Table 2.3b'!$A171&amp;'Table 2.3b'!$C171,UtilityList!$A$4:$A$251&amp;UtilityList!$C$4:$C$251,0)))</f>
        <v>Calista</v>
      </c>
      <c r="Q171" s="382" t="str">
        <f t="array" ref="Q171">IFERROR(INDEX(UtilityList!M$4:M$251,MATCH('Table 2.3b'!$A171&amp;'Table 2.3b'!$B171&amp;'Table 2.3b'!$C171,UtilityList!$A$4:$A$251&amp;UtilityList!$B$4:$B$251&amp;UtilityList!$C$4:$C$251,0)),INDEX(UtilityList!M$4:M$251,MATCH('Table 2.3b'!$A171&amp;'Table 2.3b'!$C171,UtilityList!$A$4:$A$251&amp;UtilityList!$C$4:$C$251,0)))</f>
        <v>SW</v>
      </c>
    </row>
    <row r="172" spans="1:17" customFormat="1" ht="30" x14ac:dyDescent="0.25">
      <c r="A172" s="653" t="s">
        <v>236</v>
      </c>
      <c r="B172" s="452" t="s">
        <v>237</v>
      </c>
      <c r="C172" s="654" t="s">
        <v>237</v>
      </c>
      <c r="D172" s="655">
        <v>159.17355000000001</v>
      </c>
      <c r="E172" s="656">
        <v>0</v>
      </c>
      <c r="F172" s="656">
        <v>0</v>
      </c>
      <c r="G172" s="657">
        <v>342.38499999999999</v>
      </c>
      <c r="H172" s="657">
        <v>0</v>
      </c>
      <c r="I172" s="657">
        <v>14340.001200000001</v>
      </c>
      <c r="J172" s="656">
        <v>0</v>
      </c>
      <c r="K172" s="656">
        <v>0</v>
      </c>
      <c r="L172" s="658" t="s">
        <v>356</v>
      </c>
      <c r="M172" s="659">
        <f t="array" ref="M172">INDEX(UtilityList!Q$4:Q$251,MATCH('Table 2.3b'!$A172&amp;'Table 2.3b'!$B172&amp;'Table 2.3b'!$C172,UtilityList!$A$4:$A$251&amp;UtilityList!$B$4:$B$251&amp;UtilityList!$C$4:$C$251,0))</f>
        <v>0</v>
      </c>
      <c r="N172" s="382" t="str">
        <f t="array" ref="N172">IFERROR(INDEX(UtilityList!J$4:J$251,MATCH('Table 2.3b'!$A172&amp;'Table 2.3b'!$B172&amp;'Table 2.3b'!$C172,UtilityList!$A$4:$A$251&amp;UtilityList!$B$4:$B$251&amp;UtilityList!$C$4:$C$251,0)),INDEX(UtilityList!J$4:J$251,MATCH('Table 2.3b'!$A172&amp;'Table 2.3b'!$C172,UtilityList!$A$4:$A$251&amp;UtilityList!$C$4:$C$251,0)))</f>
        <v>Kodiak</v>
      </c>
      <c r="O172" s="382" t="str">
        <f t="array" ref="O172">IFERROR(INDEX(UtilityList!K$4:K$251,MATCH('Table 2.3b'!$A172&amp;'Table 2.3b'!$B172&amp;'Table 2.3b'!$C172,UtilityList!$A$4:$A$251&amp;UtilityList!$B$4:$B$251&amp;UtilityList!$C$4:$C$251,0)),INDEX(UtilityList!K$4:K$251,MATCH('Table 2.3b'!$A172&amp;'Table 2.3b'!$C172,UtilityList!$A$4:$A$251&amp;UtilityList!$C$4:$C$251,0)))</f>
        <v>Kodiak Island</v>
      </c>
      <c r="P172" s="382" t="str">
        <f t="array" ref="P172">IFERROR(INDEX(UtilityList!L$4:L$251,MATCH('Table 2.3b'!$A172&amp;'Table 2.3b'!$B172&amp;'Table 2.3b'!$C172,UtilityList!$A$4:$A$251&amp;UtilityList!$B$4:$B$251&amp;UtilityList!$C$4:$C$251,0)),INDEX(UtilityList!L$4:L$251,MATCH('Table 2.3b'!$A172&amp;'Table 2.3b'!$C172,UtilityList!$A$4:$A$251&amp;UtilityList!$C$4:$C$251,0)))</f>
        <v>Koniag</v>
      </c>
      <c r="Q172" s="382" t="str">
        <f t="array" ref="Q172">IFERROR(INDEX(UtilityList!M$4:M$251,MATCH('Table 2.3b'!$A172&amp;'Table 2.3b'!$B172&amp;'Table 2.3b'!$C172,UtilityList!$A$4:$A$251&amp;UtilityList!$B$4:$B$251&amp;UtilityList!$C$4:$C$251,0)),INDEX(UtilityList!M$4:M$251,MATCH('Table 2.3b'!$A172&amp;'Table 2.3b'!$C172,UtilityList!$A$4:$A$251&amp;UtilityList!$C$4:$C$251,0)))</f>
        <v>SC</v>
      </c>
    </row>
    <row r="173" spans="1:17" customFormat="1" ht="30" x14ac:dyDescent="0.25">
      <c r="A173" s="653" t="s">
        <v>238</v>
      </c>
      <c r="B173" s="452" t="s">
        <v>239</v>
      </c>
      <c r="C173" s="654" t="s">
        <v>239</v>
      </c>
      <c r="D173" s="655">
        <v>472.11799999999999</v>
      </c>
      <c r="E173" s="656">
        <v>0</v>
      </c>
      <c r="F173" s="656">
        <v>0</v>
      </c>
      <c r="G173" s="657">
        <v>0</v>
      </c>
      <c r="H173" s="657">
        <v>0</v>
      </c>
      <c r="I173" s="657">
        <v>42434</v>
      </c>
      <c r="J173" s="656">
        <v>0</v>
      </c>
      <c r="K173" s="656">
        <v>0</v>
      </c>
      <c r="L173" s="658" t="s">
        <v>356</v>
      </c>
      <c r="M173" s="659">
        <f t="array" ref="M173">INDEX(UtilityList!Q$4:Q$251,MATCH('Table 2.3b'!$A173&amp;'Table 2.3b'!$B173&amp;'Table 2.3b'!$C173,UtilityList!$A$4:$A$251&amp;UtilityList!$B$4:$B$251&amp;UtilityList!$C$4:$C$251,0))</f>
        <v>0</v>
      </c>
      <c r="N173" s="382" t="str">
        <f t="array" ref="N173">IFERROR(INDEX(UtilityList!J$4:J$251,MATCH('Table 2.3b'!$A173&amp;'Table 2.3b'!$B173&amp;'Table 2.3b'!$C173,UtilityList!$A$4:$A$251&amp;UtilityList!$B$4:$B$251&amp;UtilityList!$C$4:$C$251,0)),INDEX(UtilityList!J$4:J$251,MATCH('Table 2.3b'!$A173&amp;'Table 2.3b'!$C173,UtilityList!$A$4:$A$251&amp;UtilityList!$C$4:$C$251,0)))</f>
        <v>Bristol Bay</v>
      </c>
      <c r="O173" s="382" t="str">
        <f t="array" ref="O173">IFERROR(INDEX(UtilityList!K$4:K$251,MATCH('Table 2.3b'!$A173&amp;'Table 2.3b'!$B173&amp;'Table 2.3b'!$C173,UtilityList!$A$4:$A$251&amp;UtilityList!$B$4:$B$251&amp;UtilityList!$C$4:$C$251,0)),INDEX(UtilityList!K$4:K$251,MATCH('Table 2.3b'!$A173&amp;'Table 2.3b'!$C173,UtilityList!$A$4:$A$251&amp;UtilityList!$C$4:$C$251,0)))</f>
        <v>Lake and Peninsula</v>
      </c>
      <c r="P173" s="382" t="str">
        <f t="array" ref="P173">IFERROR(INDEX(UtilityList!L$4:L$251,MATCH('Table 2.3b'!$A173&amp;'Table 2.3b'!$B173&amp;'Table 2.3b'!$C173,UtilityList!$A$4:$A$251&amp;UtilityList!$B$4:$B$251&amp;UtilityList!$C$4:$C$251,0)),INDEX(UtilityList!L$4:L$251,MATCH('Table 2.3b'!$A173&amp;'Table 2.3b'!$C173,UtilityList!$A$4:$A$251&amp;UtilityList!$C$4:$C$251,0)))</f>
        <v>Bristol Bay</v>
      </c>
      <c r="Q173" s="382" t="str">
        <f t="array" ref="Q173">IFERROR(INDEX(UtilityList!M$4:M$251,MATCH('Table 2.3b'!$A173&amp;'Table 2.3b'!$B173&amp;'Table 2.3b'!$C173,UtilityList!$A$4:$A$251&amp;UtilityList!$B$4:$B$251&amp;UtilityList!$C$4:$C$251,0)),INDEX(UtilityList!M$4:M$251,MATCH('Table 2.3b'!$A173&amp;'Table 2.3b'!$C173,UtilityList!$A$4:$A$251&amp;UtilityList!$C$4:$C$251,0)))</f>
        <v>SW</v>
      </c>
    </row>
    <row r="174" spans="1:17" customFormat="1" ht="30" x14ac:dyDescent="0.25">
      <c r="A174" s="361" t="s">
        <v>240</v>
      </c>
      <c r="B174" s="622" t="s">
        <v>241</v>
      </c>
      <c r="C174" s="361" t="s">
        <v>241</v>
      </c>
      <c r="D174" s="655">
        <v>32.902999999999999</v>
      </c>
      <c r="E174" s="675"/>
      <c r="F174" s="675"/>
      <c r="G174" s="657">
        <v>0</v>
      </c>
      <c r="H174" s="657">
        <v>0</v>
      </c>
      <c r="I174" s="657">
        <v>4227</v>
      </c>
      <c r="J174" s="675"/>
      <c r="K174" s="675"/>
      <c r="L174" s="676" t="s">
        <v>356</v>
      </c>
      <c r="M174" s="659">
        <f t="array" ref="M174">INDEX(UtilityList!Q$4:Q$251,MATCH('Table 2.3b'!$A174&amp;'Table 2.3b'!$B174&amp;'Table 2.3b'!$C174,UtilityList!$A$4:$A$251&amp;UtilityList!$B$4:$B$251&amp;UtilityList!$C$4:$C$251,0))</f>
        <v>0</v>
      </c>
      <c r="N174" s="382" t="str">
        <f t="array" ref="N174">IFERROR(INDEX(UtilityList!J$4:J$251,MATCH('Table 2.3b'!$A174&amp;'Table 2.3b'!$B174&amp;'Table 2.3b'!$C174,UtilityList!$A$4:$A$251&amp;UtilityList!$B$4:$B$251&amp;UtilityList!$C$4:$C$251,0)),INDEX(UtilityList!J$4:J$251,MATCH('Table 2.3b'!$A174&amp;'Table 2.3b'!$C174,UtilityList!$A$4:$A$251&amp;UtilityList!$C$4:$C$251,0)))</f>
        <v>Lower Yukon-Kuskokwim</v>
      </c>
      <c r="O174" s="382" t="str">
        <f t="array" ref="O174">IFERROR(INDEX(UtilityList!K$4:K$251,MATCH('Table 2.3b'!$A174&amp;'Table 2.3b'!$B174&amp;'Table 2.3b'!$C174,UtilityList!$A$4:$A$251&amp;UtilityList!$B$4:$B$251&amp;UtilityList!$C$4:$C$251,0)),INDEX(UtilityList!K$4:K$251,MATCH('Table 2.3b'!$A174&amp;'Table 2.3b'!$C174,UtilityList!$A$4:$A$251&amp;UtilityList!$C$4:$C$251,0)))</f>
        <v>Bethel (CA)</v>
      </c>
      <c r="P174" s="382" t="str">
        <f t="array" ref="P174">IFERROR(INDEX(UtilityList!L$4:L$251,MATCH('Table 2.3b'!$A174&amp;'Table 2.3b'!$B174&amp;'Table 2.3b'!$C174,UtilityList!$A$4:$A$251&amp;UtilityList!$B$4:$B$251&amp;UtilityList!$C$4:$C$251,0)),INDEX(UtilityList!L$4:L$251,MATCH('Table 2.3b'!$A174&amp;'Table 2.3b'!$C174,UtilityList!$A$4:$A$251&amp;UtilityList!$C$4:$C$251,0)))</f>
        <v>Calista</v>
      </c>
      <c r="Q174" s="382" t="str">
        <f t="array" ref="Q174">IFERROR(INDEX(UtilityList!M$4:M$251,MATCH('Table 2.3b'!$A174&amp;'Table 2.3b'!$B174&amp;'Table 2.3b'!$C174,UtilityList!$A$4:$A$251&amp;UtilityList!$B$4:$B$251&amp;UtilityList!$C$4:$C$251,0)),INDEX(UtilityList!M$4:M$251,MATCH('Table 2.3b'!$A174&amp;'Table 2.3b'!$C174,UtilityList!$A$4:$A$251&amp;UtilityList!$C$4:$C$251,0)))</f>
        <v>SW</v>
      </c>
    </row>
    <row r="175" spans="1:17" customFormat="1" ht="30" x14ac:dyDescent="0.25">
      <c r="A175" s="653" t="s">
        <v>242</v>
      </c>
      <c r="B175" s="452" t="s">
        <v>243</v>
      </c>
      <c r="C175" s="654" t="s">
        <v>243</v>
      </c>
      <c r="D175" s="655">
        <v>1365.7190000000001</v>
      </c>
      <c r="E175" s="656">
        <v>0</v>
      </c>
      <c r="F175" s="656">
        <v>0</v>
      </c>
      <c r="G175" s="657">
        <v>0</v>
      </c>
      <c r="H175" s="657">
        <v>0</v>
      </c>
      <c r="I175" s="657">
        <v>104840</v>
      </c>
      <c r="J175" s="656">
        <v>0</v>
      </c>
      <c r="K175" s="656">
        <v>0</v>
      </c>
      <c r="L175" s="658" t="s">
        <v>356</v>
      </c>
      <c r="M175" s="659">
        <f t="array" ref="M175">INDEX(UtilityList!Q$4:Q$251,MATCH('Table 2.3b'!$A175&amp;'Table 2.3b'!$B175&amp;'Table 2.3b'!$C175,UtilityList!$A$4:$A$251&amp;UtilityList!$B$4:$B$251&amp;UtilityList!$C$4:$C$251,0))</f>
        <v>0</v>
      </c>
      <c r="N175" s="382" t="str">
        <f t="array" ref="N175">IFERROR(INDEX(UtilityList!J$4:J$251,MATCH('Table 2.3b'!$A175&amp;'Table 2.3b'!$B175&amp;'Table 2.3b'!$C175,UtilityList!$A$4:$A$251&amp;UtilityList!$B$4:$B$251&amp;UtilityList!$C$4:$C$251,0)),INDEX(UtilityList!J$4:J$251,MATCH('Table 2.3b'!$A175&amp;'Table 2.3b'!$C175,UtilityList!$A$4:$A$251&amp;UtilityList!$C$4:$C$251,0)))</f>
        <v>Bristol Bay</v>
      </c>
      <c r="O175" s="382" t="str">
        <f t="array" ref="O175">IFERROR(INDEX(UtilityList!K$4:K$251,MATCH('Table 2.3b'!$A175&amp;'Table 2.3b'!$B175&amp;'Table 2.3b'!$C175,UtilityList!$A$4:$A$251&amp;UtilityList!$B$4:$B$251&amp;UtilityList!$C$4:$C$251,0)),INDEX(UtilityList!K$4:K$251,MATCH('Table 2.3b'!$A175&amp;'Table 2.3b'!$C175,UtilityList!$A$4:$A$251&amp;UtilityList!$C$4:$C$251,0)))</f>
        <v>Dillingham (CA)</v>
      </c>
      <c r="P175" s="382" t="str">
        <f t="array" ref="P175">IFERROR(INDEX(UtilityList!L$4:L$251,MATCH('Table 2.3b'!$A175&amp;'Table 2.3b'!$B175&amp;'Table 2.3b'!$C175,UtilityList!$A$4:$A$251&amp;UtilityList!$B$4:$B$251&amp;UtilityList!$C$4:$C$251,0)),INDEX(UtilityList!L$4:L$251,MATCH('Table 2.3b'!$A175&amp;'Table 2.3b'!$C175,UtilityList!$A$4:$A$251&amp;UtilityList!$C$4:$C$251,0)))</f>
        <v>Bristol Bay</v>
      </c>
      <c r="Q175" s="382" t="str">
        <f t="array" ref="Q175">IFERROR(INDEX(UtilityList!M$4:M$251,MATCH('Table 2.3b'!$A175&amp;'Table 2.3b'!$B175&amp;'Table 2.3b'!$C175,UtilityList!$A$4:$A$251&amp;UtilityList!$B$4:$B$251&amp;UtilityList!$C$4:$C$251,0)),INDEX(UtilityList!M$4:M$251,MATCH('Table 2.3b'!$A175&amp;'Table 2.3b'!$C175,UtilityList!$A$4:$A$251&amp;UtilityList!$C$4:$C$251,0)))</f>
        <v>SW</v>
      </c>
    </row>
    <row r="176" spans="1:17" s="126" customFormat="1" ht="30" x14ac:dyDescent="0.25">
      <c r="A176" s="653" t="s">
        <v>509</v>
      </c>
      <c r="B176" s="452" t="s">
        <v>244</v>
      </c>
      <c r="C176" s="654" t="s">
        <v>244</v>
      </c>
      <c r="D176" s="655">
        <v>2840.7040000000002</v>
      </c>
      <c r="E176" s="656">
        <v>0</v>
      </c>
      <c r="F176" s="656">
        <v>0</v>
      </c>
      <c r="G176" s="657">
        <v>0</v>
      </c>
      <c r="H176" s="657">
        <v>0</v>
      </c>
      <c r="I176" s="657">
        <v>191841</v>
      </c>
      <c r="J176" s="656">
        <v>0</v>
      </c>
      <c r="K176" s="656">
        <v>0</v>
      </c>
      <c r="L176" s="658" t="s">
        <v>356</v>
      </c>
      <c r="M176" s="659">
        <f t="array" ref="M176">INDEX(UtilityList!Q$4:Q$251,MATCH('Table 2.3b'!$A176&amp;'Table 2.3b'!$B176&amp;'Table 2.3b'!$C176,UtilityList!$A$4:$A$251&amp;UtilityList!$B$4:$B$251&amp;UtilityList!$C$4:$C$251,0))</f>
        <v>0</v>
      </c>
      <c r="N176" s="382" t="str">
        <f t="array" ref="N176">IFERROR(INDEX(UtilityList!J$4:J$251,MATCH('Table 2.3b'!$A176&amp;'Table 2.3b'!$B176&amp;'Table 2.3b'!$C176,UtilityList!$A$4:$A$251&amp;UtilityList!$B$4:$B$251&amp;UtilityList!$C$4:$C$251,0)),INDEX(UtilityList!J$4:J$251,MATCH('Table 2.3b'!$A176&amp;'Table 2.3b'!$C176,UtilityList!$A$4:$A$251&amp;UtilityList!$C$4:$C$251,0)))</f>
        <v>Yukon-Koyukuk/Upper Tanana</v>
      </c>
      <c r="O176" s="382" t="str">
        <f t="array" ref="O176">IFERROR(INDEX(UtilityList!K$4:K$251,MATCH('Table 2.3b'!$A176&amp;'Table 2.3b'!$B176&amp;'Table 2.3b'!$C176,UtilityList!$A$4:$A$251&amp;UtilityList!$B$4:$B$251&amp;UtilityList!$C$4:$C$251,0)),INDEX(UtilityList!K$4:K$251,MATCH('Table 2.3b'!$A176&amp;'Table 2.3b'!$C176,UtilityList!$A$4:$A$251&amp;UtilityList!$C$4:$C$251,0)))</f>
        <v>Yukon-Koyukuk (CA)</v>
      </c>
      <c r="P176" s="382" t="str">
        <f t="array" ref="P176">IFERROR(INDEX(UtilityList!L$4:L$251,MATCH('Table 2.3b'!$A176&amp;'Table 2.3b'!$B176&amp;'Table 2.3b'!$C176,UtilityList!$A$4:$A$251&amp;UtilityList!$B$4:$B$251&amp;UtilityList!$C$4:$C$251,0)),INDEX(UtilityList!L$4:L$251,MATCH('Table 2.3b'!$A176&amp;'Table 2.3b'!$C176,UtilityList!$A$4:$A$251&amp;UtilityList!$C$4:$C$251,0)))</f>
        <v>Doyon</v>
      </c>
      <c r="Q176" s="382" t="str">
        <f t="array" ref="Q176">IFERROR(INDEX(UtilityList!M$4:M$251,MATCH('Table 2.3b'!$A176&amp;'Table 2.3b'!$B176&amp;'Table 2.3b'!$C176,UtilityList!$A$4:$A$251&amp;UtilityList!$B$4:$B$251&amp;UtilityList!$C$4:$C$251,0)),INDEX(UtilityList!M$4:M$251,MATCH('Table 2.3b'!$A176&amp;'Table 2.3b'!$C176,UtilityList!$A$4:$A$251&amp;UtilityList!$C$4:$C$251,0)))</f>
        <v>SW</v>
      </c>
    </row>
    <row r="177" spans="1:17" s="126" customFormat="1" ht="30" x14ac:dyDescent="0.25">
      <c r="A177" s="360" t="s">
        <v>245</v>
      </c>
      <c r="B177" s="452" t="s">
        <v>246</v>
      </c>
      <c r="C177" s="361" t="s">
        <v>247</v>
      </c>
      <c r="D177" s="644">
        <v>65</v>
      </c>
      <c r="E177" s="656">
        <v>0</v>
      </c>
      <c r="F177" s="656">
        <v>0</v>
      </c>
      <c r="G177" s="661">
        <v>0</v>
      </c>
      <c r="H177" s="644">
        <v>0</v>
      </c>
      <c r="I177" s="644">
        <v>16212</v>
      </c>
      <c r="J177" s="656">
        <v>0</v>
      </c>
      <c r="K177" s="656">
        <v>0</v>
      </c>
      <c r="L177" s="658" t="s">
        <v>558</v>
      </c>
      <c r="M177" s="659">
        <f t="array" ref="M177">INDEX(UtilityList!Q$4:Q$251,MATCH('Table 2.3b'!$A177&amp;'Table 2.3b'!$B177&amp;'Table 2.3b'!$C177,UtilityList!$A$4:$A$251&amp;UtilityList!$B$4:$B$251&amp;UtilityList!$C$4:$C$251,0))</f>
        <v>0</v>
      </c>
      <c r="N177" s="382" t="str">
        <f t="array" ref="N177">IFERROR(INDEX(UtilityList!J$4:J$251,MATCH('Table 2.3b'!$A177&amp;'Table 2.3b'!$B177&amp;'Table 2.3b'!$C177,UtilityList!$A$4:$A$251&amp;UtilityList!$B$4:$B$251&amp;UtilityList!$C$4:$C$251,0)),INDEX(UtilityList!J$4:J$251,MATCH('Table 2.3b'!$A177&amp;'Table 2.3b'!$C177,UtilityList!$A$4:$A$251&amp;UtilityList!$C$4:$C$251,0)))</f>
        <v>Southeast</v>
      </c>
      <c r="O177" s="382" t="str">
        <f t="array" ref="O177">IFERROR(INDEX(UtilityList!K$4:K$251,MATCH('Table 2.3b'!$A177&amp;'Table 2.3b'!$B177&amp;'Table 2.3b'!$C177,UtilityList!$A$4:$A$251&amp;UtilityList!$B$4:$B$251&amp;UtilityList!$C$4:$C$251,0)),INDEX(UtilityList!K$4:K$251,MATCH('Table 2.3b'!$A177&amp;'Table 2.3b'!$C177,UtilityList!$A$4:$A$251&amp;UtilityList!$C$4:$C$251,0)))</f>
        <v>Prince of Wales-Hyder (CA)</v>
      </c>
      <c r="P177" s="382" t="str">
        <f t="array" ref="P177">IFERROR(INDEX(UtilityList!L$4:L$251,MATCH('Table 2.3b'!$A177&amp;'Table 2.3b'!$B177&amp;'Table 2.3b'!$C177,UtilityList!$A$4:$A$251&amp;UtilityList!$B$4:$B$251&amp;UtilityList!$C$4:$C$251,0)),INDEX(UtilityList!L$4:L$251,MATCH('Table 2.3b'!$A177&amp;'Table 2.3b'!$C177,UtilityList!$A$4:$A$251&amp;UtilityList!$C$4:$C$251,0)))</f>
        <v>Sealaska</v>
      </c>
      <c r="Q177" s="382" t="str">
        <f t="array" ref="Q177">IFERROR(INDEX(UtilityList!M$4:M$251,MATCH('Table 2.3b'!$A177&amp;'Table 2.3b'!$B177&amp;'Table 2.3b'!$C177,UtilityList!$A$4:$A$251&amp;UtilityList!$B$4:$B$251&amp;UtilityList!$C$4:$C$251,0)),INDEX(UtilityList!M$4:M$251,MATCH('Table 2.3b'!$A177&amp;'Table 2.3b'!$C177,UtilityList!$A$4:$A$251&amp;UtilityList!$C$4:$C$251,0)))</f>
        <v>SE</v>
      </c>
    </row>
    <row r="178" spans="1:17" s="126" customFormat="1" ht="30" x14ac:dyDescent="0.25">
      <c r="A178" s="360" t="s">
        <v>245</v>
      </c>
      <c r="B178" s="452" t="s">
        <v>248</v>
      </c>
      <c r="C178" s="361" t="s">
        <v>247</v>
      </c>
      <c r="D178" s="644">
        <v>0</v>
      </c>
      <c r="E178" s="656">
        <v>0</v>
      </c>
      <c r="F178" s="656">
        <v>0</v>
      </c>
      <c r="G178" s="644">
        <v>5129</v>
      </c>
      <c r="H178" s="644">
        <v>0</v>
      </c>
      <c r="I178" s="644">
        <v>0</v>
      </c>
      <c r="J178" s="644">
        <v>0</v>
      </c>
      <c r="K178" s="644">
        <v>0</v>
      </c>
      <c r="L178" s="658" t="s">
        <v>558</v>
      </c>
      <c r="M178" s="659">
        <f t="array" ref="M178">INDEX(UtilityList!Q$4:Q$251,MATCH('Table 2.3b'!$A178&amp;'Table 2.3b'!$B178&amp;'Table 2.3b'!$C178,UtilityList!$A$4:$A$251&amp;UtilityList!$B$4:$B$251&amp;UtilityList!$C$4:$C$251,0))</f>
        <v>0</v>
      </c>
      <c r="N178" s="382" t="str">
        <f t="array" ref="N178">IFERROR(INDEX(UtilityList!J$4:J$251,MATCH('Table 2.3b'!$A178&amp;'Table 2.3b'!$B178&amp;'Table 2.3b'!$C178,UtilityList!$A$4:$A$251&amp;UtilityList!$B$4:$B$251&amp;UtilityList!$C$4:$C$251,0)),INDEX(UtilityList!J$4:J$251,MATCH('Table 2.3b'!$A178&amp;'Table 2.3b'!$C178,UtilityList!$A$4:$A$251&amp;UtilityList!$C$4:$C$251,0)))</f>
        <v>Southeast</v>
      </c>
      <c r="O178" s="382" t="str">
        <f t="array" ref="O178">IFERROR(INDEX(UtilityList!K$4:K$251,MATCH('Table 2.3b'!$A178&amp;'Table 2.3b'!$B178&amp;'Table 2.3b'!$C178,UtilityList!$A$4:$A$251&amp;UtilityList!$B$4:$B$251&amp;UtilityList!$C$4:$C$251,0)),INDEX(UtilityList!K$4:K$251,MATCH('Table 2.3b'!$A178&amp;'Table 2.3b'!$C178,UtilityList!$A$4:$A$251&amp;UtilityList!$C$4:$C$251,0)))</f>
        <v>Prince of Wales-Hyder (CA)</v>
      </c>
      <c r="P178" s="382" t="str">
        <f t="array" ref="P178">IFERROR(INDEX(UtilityList!L$4:L$251,MATCH('Table 2.3b'!$A178&amp;'Table 2.3b'!$B178&amp;'Table 2.3b'!$C178,UtilityList!$A$4:$A$251&amp;UtilityList!$B$4:$B$251&amp;UtilityList!$C$4:$C$251,0)),INDEX(UtilityList!L$4:L$251,MATCH('Table 2.3b'!$A178&amp;'Table 2.3b'!$C178,UtilityList!$A$4:$A$251&amp;UtilityList!$C$4:$C$251,0)))</f>
        <v>Sealaska</v>
      </c>
      <c r="Q178" s="382" t="str">
        <f t="array" ref="Q178">IFERROR(INDEX(UtilityList!M$4:M$251,MATCH('Table 2.3b'!$A178&amp;'Table 2.3b'!$B178&amp;'Table 2.3b'!$C178,UtilityList!$A$4:$A$251&amp;UtilityList!$B$4:$B$251&amp;UtilityList!$C$4:$C$251,0)),INDEX(UtilityList!M$4:M$251,MATCH('Table 2.3b'!$A178&amp;'Table 2.3b'!$C178,UtilityList!$A$4:$A$251&amp;UtilityList!$C$4:$C$251,0)))</f>
        <v>SE</v>
      </c>
    </row>
    <row r="179" spans="1:17" s="126" customFormat="1" ht="30" x14ac:dyDescent="0.25">
      <c r="A179" s="360" t="s">
        <v>245</v>
      </c>
      <c r="B179" s="452" t="s">
        <v>249</v>
      </c>
      <c r="C179" s="361" t="s">
        <v>247</v>
      </c>
      <c r="D179" s="644">
        <v>0</v>
      </c>
      <c r="E179" s="656">
        <v>0</v>
      </c>
      <c r="F179" s="656">
        <v>0</v>
      </c>
      <c r="G179" s="644">
        <v>15040</v>
      </c>
      <c r="H179" s="644">
        <v>0</v>
      </c>
      <c r="I179" s="644">
        <v>0</v>
      </c>
      <c r="J179" s="644">
        <v>0</v>
      </c>
      <c r="K179" s="644">
        <v>0</v>
      </c>
      <c r="L179" s="658" t="s">
        <v>558</v>
      </c>
      <c r="M179" s="659">
        <f t="array" ref="M179">INDEX(UtilityList!Q$4:Q$251,MATCH('Table 2.3b'!$A179&amp;'Table 2.3b'!$B179&amp;'Table 2.3b'!$C179,UtilityList!$A$4:$A$251&amp;UtilityList!$B$4:$B$251&amp;UtilityList!$C$4:$C$251,0))</f>
        <v>0</v>
      </c>
      <c r="N179" s="382" t="str">
        <f t="array" ref="N179">IFERROR(INDEX(UtilityList!J$4:J$251,MATCH('Table 2.3b'!$A179&amp;'Table 2.3b'!$B179&amp;'Table 2.3b'!$C179,UtilityList!$A$4:$A$251&amp;UtilityList!$B$4:$B$251&amp;UtilityList!$C$4:$C$251,0)),INDEX(UtilityList!J$4:J$251,MATCH('Table 2.3b'!$A179&amp;'Table 2.3b'!$C179,UtilityList!$A$4:$A$251&amp;UtilityList!$C$4:$C$251,0)))</f>
        <v>Southeast</v>
      </c>
      <c r="O179" s="382" t="str">
        <f t="array" ref="O179">IFERROR(INDEX(UtilityList!K$4:K$251,MATCH('Table 2.3b'!$A179&amp;'Table 2.3b'!$B179&amp;'Table 2.3b'!$C179,UtilityList!$A$4:$A$251&amp;UtilityList!$B$4:$B$251&amp;UtilityList!$C$4:$C$251,0)),INDEX(UtilityList!K$4:K$251,MATCH('Table 2.3b'!$A179&amp;'Table 2.3b'!$C179,UtilityList!$A$4:$A$251&amp;UtilityList!$C$4:$C$251,0)))</f>
        <v>Prince of Wales-Hyder (CA)</v>
      </c>
      <c r="P179" s="382" t="str">
        <f t="array" ref="P179">IFERROR(INDEX(UtilityList!L$4:L$251,MATCH('Table 2.3b'!$A179&amp;'Table 2.3b'!$B179&amp;'Table 2.3b'!$C179,UtilityList!$A$4:$A$251&amp;UtilityList!$B$4:$B$251&amp;UtilityList!$C$4:$C$251,0)),INDEX(UtilityList!L$4:L$251,MATCH('Table 2.3b'!$A179&amp;'Table 2.3b'!$C179,UtilityList!$A$4:$A$251&amp;UtilityList!$C$4:$C$251,0)))</f>
        <v>Sealaska</v>
      </c>
      <c r="Q179" s="382" t="str">
        <f t="array" ref="Q179">IFERROR(INDEX(UtilityList!M$4:M$251,MATCH('Table 2.3b'!$A179&amp;'Table 2.3b'!$B179&amp;'Table 2.3b'!$C179,UtilityList!$A$4:$A$251&amp;UtilityList!$B$4:$B$251&amp;UtilityList!$C$4:$C$251,0)),INDEX(UtilityList!M$4:M$251,MATCH('Table 2.3b'!$A179&amp;'Table 2.3b'!$C179,UtilityList!$A$4:$A$251&amp;UtilityList!$C$4:$C$251,0)))</f>
        <v>SE</v>
      </c>
    </row>
    <row r="180" spans="1:17" s="126" customFormat="1" ht="30" x14ac:dyDescent="0.25">
      <c r="A180" s="653" t="s">
        <v>250</v>
      </c>
      <c r="B180" s="452" t="s">
        <v>251</v>
      </c>
      <c r="C180" s="654" t="s">
        <v>251</v>
      </c>
      <c r="D180" s="655">
        <v>220.98479999999998</v>
      </c>
      <c r="E180" s="656">
        <v>0</v>
      </c>
      <c r="F180" s="656">
        <v>0</v>
      </c>
      <c r="G180" s="657">
        <v>0</v>
      </c>
      <c r="H180" s="657">
        <v>0</v>
      </c>
      <c r="I180" s="657">
        <v>25737.908999999996</v>
      </c>
      <c r="J180" s="656">
        <v>0</v>
      </c>
      <c r="K180" s="656">
        <v>0</v>
      </c>
      <c r="L180" s="658" t="s">
        <v>356</v>
      </c>
      <c r="M180" s="659">
        <f t="array" ref="M180">INDEX(UtilityList!Q$4:Q$251,MATCH('Table 2.3b'!$A180&amp;'Table 2.3b'!$B180&amp;'Table 2.3b'!$C180,UtilityList!$A$4:$A$251&amp;UtilityList!$B$4:$B$251&amp;UtilityList!$C$4:$C$251,0))</f>
        <v>0</v>
      </c>
      <c r="N180" s="382" t="str">
        <f t="array" ref="N180">IFERROR(INDEX(UtilityList!J$4:J$251,MATCH('Table 2.3b'!$A180&amp;'Table 2.3b'!$B180&amp;'Table 2.3b'!$C180,UtilityList!$A$4:$A$251&amp;UtilityList!$B$4:$B$251&amp;UtilityList!$C$4:$C$251,0)),INDEX(UtilityList!J$4:J$251,MATCH('Table 2.3b'!$A180&amp;'Table 2.3b'!$C180,UtilityList!$A$4:$A$251&amp;UtilityList!$C$4:$C$251,0)))</f>
        <v>Lower Yukon-Kuskokwim</v>
      </c>
      <c r="O180" s="382" t="str">
        <f t="array" ref="O180">IFERROR(INDEX(UtilityList!K$4:K$251,MATCH('Table 2.3b'!$A180&amp;'Table 2.3b'!$B180&amp;'Table 2.3b'!$C180,UtilityList!$A$4:$A$251&amp;UtilityList!$B$4:$B$251&amp;UtilityList!$C$4:$C$251,0)),INDEX(UtilityList!K$4:K$251,MATCH('Table 2.3b'!$A180&amp;'Table 2.3b'!$C180,UtilityList!$A$4:$A$251&amp;UtilityList!$C$4:$C$251,0)))</f>
        <v>Bethel (CA)</v>
      </c>
      <c r="P180" s="382" t="str">
        <f t="array" ref="P180">IFERROR(INDEX(UtilityList!L$4:L$251,MATCH('Table 2.3b'!$A180&amp;'Table 2.3b'!$B180&amp;'Table 2.3b'!$C180,UtilityList!$A$4:$A$251&amp;UtilityList!$B$4:$B$251&amp;UtilityList!$C$4:$C$251,0)),INDEX(UtilityList!L$4:L$251,MATCH('Table 2.3b'!$A180&amp;'Table 2.3b'!$C180,UtilityList!$A$4:$A$251&amp;UtilityList!$C$4:$C$251,0)))</f>
        <v>Calista</v>
      </c>
      <c r="Q180" s="382" t="str">
        <f t="array" ref="Q180">IFERROR(INDEX(UtilityList!M$4:M$251,MATCH('Table 2.3b'!$A180&amp;'Table 2.3b'!$B180&amp;'Table 2.3b'!$C180,UtilityList!$A$4:$A$251&amp;UtilityList!$B$4:$B$251&amp;UtilityList!$C$4:$C$251,0)),INDEX(UtilityList!M$4:M$251,MATCH('Table 2.3b'!$A180&amp;'Table 2.3b'!$C180,UtilityList!$A$4:$A$251&amp;UtilityList!$C$4:$C$251,0)))</f>
        <v>SW</v>
      </c>
    </row>
    <row r="181" spans="1:17" s="126" customFormat="1" ht="30" x14ac:dyDescent="0.25">
      <c r="A181" s="653" t="s">
        <v>250</v>
      </c>
      <c r="B181" s="452" t="s">
        <v>252</v>
      </c>
      <c r="C181" s="654" t="s">
        <v>252</v>
      </c>
      <c r="D181" s="655">
        <v>302.6524</v>
      </c>
      <c r="E181" s="656">
        <v>0</v>
      </c>
      <c r="F181" s="656">
        <v>0</v>
      </c>
      <c r="G181" s="657">
        <v>0</v>
      </c>
      <c r="H181" s="657">
        <v>0</v>
      </c>
      <c r="I181" s="657">
        <v>25305</v>
      </c>
      <c r="J181" s="656">
        <v>0</v>
      </c>
      <c r="K181" s="656">
        <v>0</v>
      </c>
      <c r="L181" s="658" t="s">
        <v>356</v>
      </c>
      <c r="M181" s="659">
        <f t="array" ref="M181">INDEX(UtilityList!Q$4:Q$251,MATCH('Table 2.3b'!$A181&amp;'Table 2.3b'!$B181&amp;'Table 2.3b'!$C181,UtilityList!$A$4:$A$251&amp;UtilityList!$B$4:$B$251&amp;UtilityList!$C$4:$C$251,0))</f>
        <v>0</v>
      </c>
      <c r="N181" s="382" t="str">
        <f t="array" ref="N181">IFERROR(INDEX(UtilityList!J$4:J$251,MATCH('Table 2.3b'!$A181&amp;'Table 2.3b'!$B181&amp;'Table 2.3b'!$C181,UtilityList!$A$4:$A$251&amp;UtilityList!$B$4:$B$251&amp;UtilityList!$C$4:$C$251,0)),INDEX(UtilityList!J$4:J$251,MATCH('Table 2.3b'!$A181&amp;'Table 2.3b'!$C181,UtilityList!$A$4:$A$251&amp;UtilityList!$C$4:$C$251,0)))</f>
        <v>Lower Yukon-Kuskokwim</v>
      </c>
      <c r="O181" s="382" t="str">
        <f t="array" ref="O181">IFERROR(INDEX(UtilityList!K$4:K$251,MATCH('Table 2.3b'!$A181&amp;'Table 2.3b'!$B181&amp;'Table 2.3b'!$C181,UtilityList!$A$4:$A$251&amp;UtilityList!$B$4:$B$251&amp;UtilityList!$C$4:$C$251,0)),INDEX(UtilityList!K$4:K$251,MATCH('Table 2.3b'!$A181&amp;'Table 2.3b'!$C181,UtilityList!$A$4:$A$251&amp;UtilityList!$C$4:$C$251,0)))</f>
        <v>Bethel (CA)</v>
      </c>
      <c r="P181" s="382" t="str">
        <f t="array" ref="P181">IFERROR(INDEX(UtilityList!L$4:L$251,MATCH('Table 2.3b'!$A181&amp;'Table 2.3b'!$B181&amp;'Table 2.3b'!$C181,UtilityList!$A$4:$A$251&amp;UtilityList!$B$4:$B$251&amp;UtilityList!$C$4:$C$251,0)),INDEX(UtilityList!L$4:L$251,MATCH('Table 2.3b'!$A181&amp;'Table 2.3b'!$C181,UtilityList!$A$4:$A$251&amp;UtilityList!$C$4:$C$251,0)))</f>
        <v>Calista</v>
      </c>
      <c r="Q181" s="382" t="str">
        <f t="array" ref="Q181">IFERROR(INDEX(UtilityList!M$4:M$251,MATCH('Table 2.3b'!$A181&amp;'Table 2.3b'!$B181&amp;'Table 2.3b'!$C181,UtilityList!$A$4:$A$251&amp;UtilityList!$B$4:$B$251&amp;UtilityList!$C$4:$C$251,0)),INDEX(UtilityList!M$4:M$251,MATCH('Table 2.3b'!$A181&amp;'Table 2.3b'!$C181,UtilityList!$A$4:$A$251&amp;UtilityList!$C$4:$C$251,0)))</f>
        <v>SW</v>
      </c>
    </row>
    <row r="182" spans="1:17" s="126" customFormat="1" ht="30" x14ac:dyDescent="0.25">
      <c r="A182" s="653" t="s">
        <v>250</v>
      </c>
      <c r="B182" s="452" t="s">
        <v>253</v>
      </c>
      <c r="C182" s="654" t="s">
        <v>253</v>
      </c>
      <c r="D182" s="655">
        <v>106.4297</v>
      </c>
      <c r="E182" s="656">
        <v>0</v>
      </c>
      <c r="F182" s="656">
        <v>0</v>
      </c>
      <c r="G182" s="657">
        <v>0</v>
      </c>
      <c r="H182" s="657">
        <v>0</v>
      </c>
      <c r="I182" s="657">
        <v>13336</v>
      </c>
      <c r="J182" s="656">
        <v>0</v>
      </c>
      <c r="K182" s="656">
        <v>0</v>
      </c>
      <c r="L182" s="658" t="s">
        <v>356</v>
      </c>
      <c r="M182" s="659">
        <f t="array" ref="M182">INDEX(UtilityList!Q$4:Q$251,MATCH('Table 2.3b'!$A182&amp;'Table 2.3b'!$B182&amp;'Table 2.3b'!$C182,UtilityList!$A$4:$A$251&amp;UtilityList!$B$4:$B$251&amp;UtilityList!$C$4:$C$251,0))</f>
        <v>0</v>
      </c>
      <c r="N182" s="382" t="str">
        <f t="array" ref="N182">IFERROR(INDEX(UtilityList!J$4:J$251,MATCH('Table 2.3b'!$A182&amp;'Table 2.3b'!$B182&amp;'Table 2.3b'!$C182,UtilityList!$A$4:$A$251&amp;UtilityList!$B$4:$B$251&amp;UtilityList!$C$4:$C$251,0)),INDEX(UtilityList!J$4:J$251,MATCH('Table 2.3b'!$A182&amp;'Table 2.3b'!$C182,UtilityList!$A$4:$A$251&amp;UtilityList!$C$4:$C$251,0)))</f>
        <v>Lower Yukon-Kuskokwim</v>
      </c>
      <c r="O182" s="382" t="str">
        <f t="array" ref="O182">IFERROR(INDEX(UtilityList!K$4:K$251,MATCH('Table 2.3b'!$A182&amp;'Table 2.3b'!$B182&amp;'Table 2.3b'!$C182,UtilityList!$A$4:$A$251&amp;UtilityList!$B$4:$B$251&amp;UtilityList!$C$4:$C$251,0)),INDEX(UtilityList!K$4:K$251,MATCH('Table 2.3b'!$A182&amp;'Table 2.3b'!$C182,UtilityList!$A$4:$A$251&amp;UtilityList!$C$4:$C$251,0)))</f>
        <v>Bethel (CA)</v>
      </c>
      <c r="P182" s="382" t="str">
        <f t="array" ref="P182">IFERROR(INDEX(UtilityList!L$4:L$251,MATCH('Table 2.3b'!$A182&amp;'Table 2.3b'!$B182&amp;'Table 2.3b'!$C182,UtilityList!$A$4:$A$251&amp;UtilityList!$B$4:$B$251&amp;UtilityList!$C$4:$C$251,0)),INDEX(UtilityList!L$4:L$251,MATCH('Table 2.3b'!$A182&amp;'Table 2.3b'!$C182,UtilityList!$A$4:$A$251&amp;UtilityList!$C$4:$C$251,0)))</f>
        <v>Calista</v>
      </c>
      <c r="Q182" s="382" t="str">
        <f t="array" ref="Q182">IFERROR(INDEX(UtilityList!M$4:M$251,MATCH('Table 2.3b'!$A182&amp;'Table 2.3b'!$B182&amp;'Table 2.3b'!$C182,UtilityList!$A$4:$A$251&amp;UtilityList!$B$4:$B$251&amp;UtilityList!$C$4:$C$251,0)),INDEX(UtilityList!M$4:M$251,MATCH('Table 2.3b'!$A182&amp;'Table 2.3b'!$C182,UtilityList!$A$4:$A$251&amp;UtilityList!$C$4:$C$251,0)))</f>
        <v>SW</v>
      </c>
    </row>
    <row r="183" spans="1:17" customFormat="1" ht="30" x14ac:dyDescent="0.25">
      <c r="A183" s="653" t="s">
        <v>250</v>
      </c>
      <c r="B183" s="452" t="s">
        <v>254</v>
      </c>
      <c r="C183" s="654" t="s">
        <v>254</v>
      </c>
      <c r="D183" s="655">
        <v>259.13670000000002</v>
      </c>
      <c r="E183" s="656">
        <v>0</v>
      </c>
      <c r="F183" s="656">
        <v>0</v>
      </c>
      <c r="G183" s="657">
        <v>0</v>
      </c>
      <c r="H183" s="657">
        <v>0</v>
      </c>
      <c r="I183" s="657">
        <v>24532</v>
      </c>
      <c r="J183" s="656">
        <v>0</v>
      </c>
      <c r="K183" s="656">
        <v>0</v>
      </c>
      <c r="L183" s="658" t="s">
        <v>356</v>
      </c>
      <c r="M183" s="659">
        <f t="array" ref="M183">INDEX(UtilityList!Q$4:Q$251,MATCH('Table 2.3b'!$A183&amp;'Table 2.3b'!$B183&amp;'Table 2.3b'!$C183,UtilityList!$A$4:$A$251&amp;UtilityList!$B$4:$B$251&amp;UtilityList!$C$4:$C$251,0))</f>
        <v>0</v>
      </c>
      <c r="N183" s="382" t="str">
        <f t="array" ref="N183">IFERROR(INDEX(UtilityList!J$4:J$251,MATCH('Table 2.3b'!$A183&amp;'Table 2.3b'!$B183&amp;'Table 2.3b'!$C183,UtilityList!$A$4:$A$251&amp;UtilityList!$B$4:$B$251&amp;UtilityList!$C$4:$C$251,0)),INDEX(UtilityList!J$4:J$251,MATCH('Table 2.3b'!$A183&amp;'Table 2.3b'!$C183,UtilityList!$A$4:$A$251&amp;UtilityList!$C$4:$C$251,0)))</f>
        <v>Lower Yukon-Kuskokwim</v>
      </c>
      <c r="O183" s="382" t="str">
        <f t="array" ref="O183">IFERROR(INDEX(UtilityList!K$4:K$251,MATCH('Table 2.3b'!$A183&amp;'Table 2.3b'!$B183&amp;'Table 2.3b'!$C183,UtilityList!$A$4:$A$251&amp;UtilityList!$B$4:$B$251&amp;UtilityList!$C$4:$C$251,0)),INDEX(UtilityList!K$4:K$251,MATCH('Table 2.3b'!$A183&amp;'Table 2.3b'!$C183,UtilityList!$A$4:$A$251&amp;UtilityList!$C$4:$C$251,0)))</f>
        <v>Bethel (CA)</v>
      </c>
      <c r="P183" s="382" t="str">
        <f t="array" ref="P183">IFERROR(INDEX(UtilityList!L$4:L$251,MATCH('Table 2.3b'!$A183&amp;'Table 2.3b'!$B183&amp;'Table 2.3b'!$C183,UtilityList!$A$4:$A$251&amp;UtilityList!$B$4:$B$251&amp;UtilityList!$C$4:$C$251,0)),INDEX(UtilityList!L$4:L$251,MATCH('Table 2.3b'!$A183&amp;'Table 2.3b'!$C183,UtilityList!$A$4:$A$251&amp;UtilityList!$C$4:$C$251,0)))</f>
        <v>Calista</v>
      </c>
      <c r="Q183" s="382" t="str">
        <f t="array" ref="Q183">IFERROR(INDEX(UtilityList!M$4:M$251,MATCH('Table 2.3b'!$A183&amp;'Table 2.3b'!$B183&amp;'Table 2.3b'!$C183,UtilityList!$A$4:$A$251&amp;UtilityList!$B$4:$B$251&amp;UtilityList!$C$4:$C$251,0)),INDEX(UtilityList!M$4:M$251,MATCH('Table 2.3b'!$A183&amp;'Table 2.3b'!$C183,UtilityList!$A$4:$A$251&amp;UtilityList!$C$4:$C$251,0)))</f>
        <v>SW</v>
      </c>
    </row>
    <row r="184" spans="1:17" customFormat="1" ht="30" x14ac:dyDescent="0.25">
      <c r="A184" s="653" t="s">
        <v>250</v>
      </c>
      <c r="B184" s="452" t="s">
        <v>255</v>
      </c>
      <c r="C184" s="654" t="s">
        <v>255</v>
      </c>
      <c r="D184" s="655">
        <v>128.072</v>
      </c>
      <c r="E184" s="656">
        <v>0</v>
      </c>
      <c r="F184" s="656">
        <v>0</v>
      </c>
      <c r="G184" s="657">
        <v>0</v>
      </c>
      <c r="H184" s="657">
        <v>0</v>
      </c>
      <c r="I184" s="657">
        <v>14182</v>
      </c>
      <c r="J184" s="656">
        <v>0</v>
      </c>
      <c r="K184" s="656">
        <v>0</v>
      </c>
      <c r="L184" s="658" t="s">
        <v>356</v>
      </c>
      <c r="M184" s="659">
        <f t="array" ref="M184">INDEX(UtilityList!Q$4:Q$251,MATCH('Table 2.3b'!$A184&amp;'Table 2.3b'!$B184&amp;'Table 2.3b'!$C184,UtilityList!$A$4:$A$251&amp;UtilityList!$B$4:$B$251&amp;UtilityList!$C$4:$C$251,0))</f>
        <v>0</v>
      </c>
      <c r="N184" s="382" t="str">
        <f t="array" ref="N184">IFERROR(INDEX(UtilityList!J$4:J$251,MATCH('Table 2.3b'!$A184&amp;'Table 2.3b'!$B184&amp;'Table 2.3b'!$C184,UtilityList!$A$4:$A$251&amp;UtilityList!$B$4:$B$251&amp;UtilityList!$C$4:$C$251,0)),INDEX(UtilityList!J$4:J$251,MATCH('Table 2.3b'!$A184&amp;'Table 2.3b'!$C184,UtilityList!$A$4:$A$251&amp;UtilityList!$C$4:$C$251,0)))</f>
        <v>Lower Yukon-Kuskokwim</v>
      </c>
      <c r="O184" s="382" t="str">
        <f t="array" ref="O184">IFERROR(INDEX(UtilityList!K$4:K$251,MATCH('Table 2.3b'!$A184&amp;'Table 2.3b'!$B184&amp;'Table 2.3b'!$C184,UtilityList!$A$4:$A$251&amp;UtilityList!$B$4:$B$251&amp;UtilityList!$C$4:$C$251,0)),INDEX(UtilityList!K$4:K$251,MATCH('Table 2.3b'!$A184&amp;'Table 2.3b'!$C184,UtilityList!$A$4:$A$251&amp;UtilityList!$C$4:$C$251,0)))</f>
        <v>Bethel (CA)</v>
      </c>
      <c r="P184" s="382" t="str">
        <f t="array" ref="P184">IFERROR(INDEX(UtilityList!L$4:L$251,MATCH('Table 2.3b'!$A184&amp;'Table 2.3b'!$B184&amp;'Table 2.3b'!$C184,UtilityList!$A$4:$A$251&amp;UtilityList!$B$4:$B$251&amp;UtilityList!$C$4:$C$251,0)),INDEX(UtilityList!L$4:L$251,MATCH('Table 2.3b'!$A184&amp;'Table 2.3b'!$C184,UtilityList!$A$4:$A$251&amp;UtilityList!$C$4:$C$251,0)))</f>
        <v>Calista</v>
      </c>
      <c r="Q184" s="382" t="str">
        <f t="array" ref="Q184">IFERROR(INDEX(UtilityList!M$4:M$251,MATCH('Table 2.3b'!$A184&amp;'Table 2.3b'!$B184&amp;'Table 2.3b'!$C184,UtilityList!$A$4:$A$251&amp;UtilityList!$B$4:$B$251&amp;UtilityList!$C$4:$C$251,0)),INDEX(UtilityList!M$4:M$251,MATCH('Table 2.3b'!$A184&amp;'Table 2.3b'!$C184,UtilityList!$A$4:$A$251&amp;UtilityList!$C$4:$C$251,0)))</f>
        <v>SW</v>
      </c>
    </row>
    <row r="185" spans="1:17" customFormat="1" ht="75" x14ac:dyDescent="0.25">
      <c r="A185" s="361" t="s">
        <v>258</v>
      </c>
      <c r="B185" s="452" t="s">
        <v>259</v>
      </c>
      <c r="C185" s="654" t="s">
        <v>682</v>
      </c>
      <c r="D185" s="655">
        <v>19900</v>
      </c>
      <c r="E185" s="656">
        <v>0</v>
      </c>
      <c r="F185" s="656">
        <v>0</v>
      </c>
      <c r="G185" s="657">
        <v>0</v>
      </c>
      <c r="H185" s="657">
        <v>0</v>
      </c>
      <c r="I185" s="657">
        <v>1319147</v>
      </c>
      <c r="J185" s="656">
        <v>0</v>
      </c>
      <c r="K185" s="656">
        <v>0</v>
      </c>
      <c r="L185" s="658" t="s">
        <v>356</v>
      </c>
      <c r="M185" s="659" t="str">
        <f t="array" ref="M185">INDEX(UtilityList!Q$4:Q$251,MATCH('Table 2.3b'!$A185&amp;'Table 2.3b'!$B185&amp;'Table 2.3b'!$C185,UtilityList!$A$4:$A$251&amp;UtilityList!$B$4:$B$251&amp;UtilityList!$C$4:$C$251,0))</f>
        <v>Provides power to South Naknek and King Salmon via intertie. Data includes South Naknek's and King Salmon's information.</v>
      </c>
      <c r="N185" s="382" t="str">
        <f t="array" ref="N185">IFERROR(INDEX(UtilityList!J$4:J$251,MATCH('Table 2.3b'!$A185&amp;'Table 2.3b'!$B185&amp;'Table 2.3b'!$C185,UtilityList!$A$4:$A$251&amp;UtilityList!$B$4:$B$251&amp;UtilityList!$C$4:$C$251,0)),INDEX(UtilityList!J$4:J$251,MATCH('Table 2.3b'!$A185&amp;'Table 2.3b'!$C185,UtilityList!$A$4:$A$251&amp;UtilityList!$C$4:$C$251,0)))</f>
        <v>Bristol Bay</v>
      </c>
      <c r="O185" s="382" t="str">
        <f t="array" ref="O185">IFERROR(INDEX(UtilityList!K$4:K$251,MATCH('Table 2.3b'!$A185&amp;'Table 2.3b'!$B185&amp;'Table 2.3b'!$C185,UtilityList!$A$4:$A$251&amp;UtilityList!$B$4:$B$251&amp;UtilityList!$C$4:$C$251,0)),INDEX(UtilityList!K$4:K$251,MATCH('Table 2.3b'!$A185&amp;'Table 2.3b'!$C185,UtilityList!$A$4:$A$251&amp;UtilityList!$C$4:$C$251,0)))</f>
        <v>Bristol Bay</v>
      </c>
      <c r="P185" s="382" t="str">
        <f t="array" ref="P185">IFERROR(INDEX(UtilityList!L$4:L$251,MATCH('Table 2.3b'!$A185&amp;'Table 2.3b'!$B185&amp;'Table 2.3b'!$C185,UtilityList!$A$4:$A$251&amp;UtilityList!$B$4:$B$251&amp;UtilityList!$C$4:$C$251,0)),INDEX(UtilityList!L$4:L$251,MATCH('Table 2.3b'!$A185&amp;'Table 2.3b'!$C185,UtilityList!$A$4:$A$251&amp;UtilityList!$C$4:$C$251,0)))</f>
        <v>Bristol Bay</v>
      </c>
      <c r="Q185" s="382" t="str">
        <f t="array" ref="Q185">IFERROR(INDEX(UtilityList!M$4:M$251,MATCH('Table 2.3b'!$A185&amp;'Table 2.3b'!$B185&amp;'Table 2.3b'!$C185,UtilityList!$A$4:$A$251&amp;UtilityList!$B$4:$B$251&amp;UtilityList!$C$4:$C$251,0)),INDEX(UtilityList!M$4:M$251,MATCH('Table 2.3b'!$A185&amp;'Table 2.3b'!$C185,UtilityList!$A$4:$A$251&amp;UtilityList!$C$4:$C$251,0)))</f>
        <v>SW</v>
      </c>
    </row>
    <row r="186" spans="1:17" s="169" customFormat="1" ht="30" x14ac:dyDescent="0.25">
      <c r="A186" s="653" t="s">
        <v>260</v>
      </c>
      <c r="B186" s="452" t="s">
        <v>261</v>
      </c>
      <c r="C186" s="654" t="s">
        <v>261</v>
      </c>
      <c r="D186" s="655">
        <v>0</v>
      </c>
      <c r="E186" s="656">
        <v>0</v>
      </c>
      <c r="F186" s="656">
        <v>0</v>
      </c>
      <c r="G186" s="657">
        <v>0</v>
      </c>
      <c r="H186" s="657">
        <v>0</v>
      </c>
      <c r="I186" s="657">
        <v>0</v>
      </c>
      <c r="J186" s="656">
        <v>0</v>
      </c>
      <c r="K186" s="656">
        <v>0</v>
      </c>
      <c r="L186" s="658" t="s">
        <v>356</v>
      </c>
      <c r="M186" s="659" t="str">
        <f t="array" ref="M186">INDEX(UtilityList!Q$4:Q$251,MATCH('Table 2.3b'!$A186&amp;'Table 2.3b'!$B186&amp;'Table 2.3b'!$C186,UtilityList!$A$4:$A$251&amp;UtilityList!$B$4:$B$251&amp;UtilityList!$C$4:$C$251,0))</f>
        <v>Purchases power from Bethel Utilities Corporation</v>
      </c>
      <c r="N186" s="382" t="str">
        <f t="array" ref="N186">IFERROR(INDEX(UtilityList!J$4:J$251,MATCH('Table 2.3b'!$A186&amp;'Table 2.3b'!$B186&amp;'Table 2.3b'!$C186,UtilityList!$A$4:$A$251&amp;UtilityList!$B$4:$B$251&amp;UtilityList!$C$4:$C$251,0)),INDEX(UtilityList!J$4:J$251,MATCH('Table 2.3b'!$A186&amp;'Table 2.3b'!$C186,UtilityList!$A$4:$A$251&amp;UtilityList!$C$4:$C$251,0)))</f>
        <v>Lower Yukon-Kuskokwim</v>
      </c>
      <c r="O186" s="382" t="str">
        <f t="array" ref="O186">IFERROR(INDEX(UtilityList!K$4:K$251,MATCH('Table 2.3b'!$A186&amp;'Table 2.3b'!$B186&amp;'Table 2.3b'!$C186,UtilityList!$A$4:$A$251&amp;UtilityList!$B$4:$B$251&amp;UtilityList!$C$4:$C$251,0)),INDEX(UtilityList!K$4:K$251,MATCH('Table 2.3b'!$A186&amp;'Table 2.3b'!$C186,UtilityList!$A$4:$A$251&amp;UtilityList!$C$4:$C$251,0)))</f>
        <v>Bethel (CA)</v>
      </c>
      <c r="P186" s="382" t="str">
        <f t="array" ref="P186">IFERROR(INDEX(UtilityList!L$4:L$251,MATCH('Table 2.3b'!$A186&amp;'Table 2.3b'!$B186&amp;'Table 2.3b'!$C186,UtilityList!$A$4:$A$251&amp;UtilityList!$B$4:$B$251&amp;UtilityList!$C$4:$C$251,0)),INDEX(UtilityList!L$4:L$251,MATCH('Table 2.3b'!$A186&amp;'Table 2.3b'!$C186,UtilityList!$A$4:$A$251&amp;UtilityList!$C$4:$C$251,0)))</f>
        <v>Calista</v>
      </c>
      <c r="Q186" s="382" t="str">
        <f t="array" ref="Q186">IFERROR(INDEX(UtilityList!M$4:M$251,MATCH('Table 2.3b'!$A186&amp;'Table 2.3b'!$B186&amp;'Table 2.3b'!$C186,UtilityList!$A$4:$A$251&amp;UtilityList!$B$4:$B$251&amp;UtilityList!$C$4:$C$251,0)),INDEX(UtilityList!M$4:M$251,MATCH('Table 2.3b'!$A186&amp;'Table 2.3b'!$C186,UtilityList!$A$4:$A$251&amp;UtilityList!$C$4:$C$251,0)))</f>
        <v>SW</v>
      </c>
    </row>
    <row r="187" spans="1:17" customFormat="1" ht="30" x14ac:dyDescent="0.25">
      <c r="A187" s="653" t="s">
        <v>262</v>
      </c>
      <c r="B187" s="452" t="s">
        <v>263</v>
      </c>
      <c r="C187" s="654" t="s">
        <v>263</v>
      </c>
      <c r="D187" s="655">
        <v>979.45</v>
      </c>
      <c r="E187" s="656">
        <v>0</v>
      </c>
      <c r="F187" s="656">
        <v>0</v>
      </c>
      <c r="G187" s="657">
        <v>0</v>
      </c>
      <c r="H187" s="657">
        <v>0</v>
      </c>
      <c r="I187" s="657">
        <v>77093</v>
      </c>
      <c r="J187" s="656">
        <v>0</v>
      </c>
      <c r="K187" s="656">
        <v>0</v>
      </c>
      <c r="L187" s="658" t="s">
        <v>356</v>
      </c>
      <c r="M187" s="659">
        <f t="array" ref="M187">INDEX(UtilityList!Q$4:Q$251,MATCH('Table 2.3b'!$A187&amp;'Table 2.3b'!$B187&amp;'Table 2.3b'!$C187,UtilityList!$A$4:$A$251&amp;UtilityList!$B$4:$B$251&amp;UtilityList!$C$4:$C$251,0))</f>
        <v>0</v>
      </c>
      <c r="N187" s="382" t="str">
        <f t="array" ref="N187">IFERROR(INDEX(UtilityList!J$4:J$251,MATCH('Table 2.3b'!$A187&amp;'Table 2.3b'!$B187&amp;'Table 2.3b'!$C187,UtilityList!$A$4:$A$251&amp;UtilityList!$B$4:$B$251&amp;UtilityList!$C$4:$C$251,0)),INDEX(UtilityList!J$4:J$251,MATCH('Table 2.3b'!$A187&amp;'Table 2.3b'!$C187,UtilityList!$A$4:$A$251&amp;UtilityList!$C$4:$C$251,0)))</f>
        <v>Lower Yukon-Kuskokwim</v>
      </c>
      <c r="O187" s="382" t="str">
        <f t="array" ref="O187">IFERROR(INDEX(UtilityList!K$4:K$251,MATCH('Table 2.3b'!$A187&amp;'Table 2.3b'!$B187&amp;'Table 2.3b'!$C187,UtilityList!$A$4:$A$251&amp;UtilityList!$B$4:$B$251&amp;UtilityList!$C$4:$C$251,0)),INDEX(UtilityList!K$4:K$251,MATCH('Table 2.3b'!$A187&amp;'Table 2.3b'!$C187,UtilityList!$A$4:$A$251&amp;UtilityList!$C$4:$C$251,0)))</f>
        <v>Bethel (CA)</v>
      </c>
      <c r="P187" s="382" t="str">
        <f t="array" ref="P187">IFERROR(INDEX(UtilityList!L$4:L$251,MATCH('Table 2.3b'!$A187&amp;'Table 2.3b'!$B187&amp;'Table 2.3b'!$C187,UtilityList!$A$4:$A$251&amp;UtilityList!$B$4:$B$251&amp;UtilityList!$C$4:$C$251,0)),INDEX(UtilityList!L$4:L$251,MATCH('Table 2.3b'!$A187&amp;'Table 2.3b'!$C187,UtilityList!$A$4:$A$251&amp;UtilityList!$C$4:$C$251,0)))</f>
        <v>Calista</v>
      </c>
      <c r="Q187" s="382" t="str">
        <f t="array" ref="Q187">IFERROR(INDEX(UtilityList!M$4:M$251,MATCH('Table 2.3b'!$A187&amp;'Table 2.3b'!$B187&amp;'Table 2.3b'!$C187,UtilityList!$A$4:$A$251&amp;UtilityList!$B$4:$B$251&amp;UtilityList!$C$4:$C$251,0)),INDEX(UtilityList!M$4:M$251,MATCH('Table 2.3b'!$A187&amp;'Table 2.3b'!$C187,UtilityList!$A$4:$A$251&amp;UtilityList!$C$4:$C$251,0)))</f>
        <v>SW</v>
      </c>
    </row>
    <row r="188" spans="1:17" customFormat="1" x14ac:dyDescent="0.25">
      <c r="A188" s="653" t="s">
        <v>264</v>
      </c>
      <c r="B188" s="452" t="s">
        <v>265</v>
      </c>
      <c r="C188" s="654" t="s">
        <v>265</v>
      </c>
      <c r="D188" s="655">
        <v>1630.624</v>
      </c>
      <c r="E188" s="656">
        <v>0</v>
      </c>
      <c r="F188" s="656">
        <v>0</v>
      </c>
      <c r="G188" s="657">
        <v>0</v>
      </c>
      <c r="H188" s="657">
        <v>0</v>
      </c>
      <c r="I188" s="657">
        <v>123703</v>
      </c>
      <c r="J188" s="656">
        <v>0</v>
      </c>
      <c r="K188" s="656">
        <v>0</v>
      </c>
      <c r="L188" s="658" t="s">
        <v>356</v>
      </c>
      <c r="M188" s="659">
        <f t="array" ref="M188">INDEX(UtilityList!Q$4:Q$251,MATCH('Table 2.3b'!$A188&amp;'Table 2.3b'!$B188&amp;'Table 2.3b'!$C188,UtilityList!$A$4:$A$251&amp;UtilityList!$B$4:$B$251&amp;UtilityList!$C$4:$C$251,0))</f>
        <v>0</v>
      </c>
      <c r="N188" s="382" t="str">
        <f t="array" ref="N188">IFERROR(INDEX(UtilityList!J$4:J$251,MATCH('Table 2.3b'!$A188&amp;'Table 2.3b'!$B188&amp;'Table 2.3b'!$C188,UtilityList!$A$4:$A$251&amp;UtilityList!$B$4:$B$251&amp;UtilityList!$C$4:$C$251,0)),INDEX(UtilityList!J$4:J$251,MATCH('Table 2.3b'!$A188&amp;'Table 2.3b'!$C188,UtilityList!$A$4:$A$251&amp;UtilityList!$C$4:$C$251,0)))</f>
        <v>Lower Yukon-Kuskokwim</v>
      </c>
      <c r="O188" s="382" t="str">
        <f t="array" ref="O188">IFERROR(INDEX(UtilityList!K$4:K$251,MATCH('Table 2.3b'!$A188&amp;'Table 2.3b'!$B188&amp;'Table 2.3b'!$C188,UtilityList!$A$4:$A$251&amp;UtilityList!$B$4:$B$251&amp;UtilityList!$C$4:$C$251,0)),INDEX(UtilityList!K$4:K$251,MATCH('Table 2.3b'!$A188&amp;'Table 2.3b'!$C188,UtilityList!$A$4:$A$251&amp;UtilityList!$C$4:$C$251,0)))</f>
        <v>Bethel (CA)</v>
      </c>
      <c r="P188" s="382" t="str">
        <f t="array" ref="P188">IFERROR(INDEX(UtilityList!L$4:L$251,MATCH('Table 2.3b'!$A188&amp;'Table 2.3b'!$B188&amp;'Table 2.3b'!$C188,UtilityList!$A$4:$A$251&amp;UtilityList!$B$4:$B$251&amp;UtilityList!$C$4:$C$251,0)),INDEX(UtilityList!L$4:L$251,MATCH('Table 2.3b'!$A188&amp;'Table 2.3b'!$C188,UtilityList!$A$4:$A$251&amp;UtilityList!$C$4:$C$251,0)))</f>
        <v>Calista</v>
      </c>
      <c r="Q188" s="382" t="str">
        <f t="array" ref="Q188">IFERROR(INDEX(UtilityList!M$4:M$251,MATCH('Table 2.3b'!$A188&amp;'Table 2.3b'!$B188&amp;'Table 2.3b'!$C188,UtilityList!$A$4:$A$251&amp;UtilityList!$B$4:$B$251&amp;UtilityList!$C$4:$C$251,0)),INDEX(UtilityList!M$4:M$251,MATCH('Table 2.3b'!$A188&amp;'Table 2.3b'!$C188,UtilityList!$A$4:$A$251&amp;UtilityList!$C$4:$C$251,0)))</f>
        <v>SW</v>
      </c>
    </row>
    <row r="189" spans="1:17" customFormat="1" ht="30" x14ac:dyDescent="0.25">
      <c r="A189" s="653" t="s">
        <v>266</v>
      </c>
      <c r="B189" s="452" t="s">
        <v>267</v>
      </c>
      <c r="C189" s="654" t="s">
        <v>267</v>
      </c>
      <c r="D189" s="655">
        <v>176.43129999999999</v>
      </c>
      <c r="E189" s="656">
        <v>0</v>
      </c>
      <c r="F189" s="656">
        <v>0</v>
      </c>
      <c r="G189" s="657">
        <v>0</v>
      </c>
      <c r="H189" s="657">
        <v>15.798999999999999</v>
      </c>
      <c r="I189" s="657">
        <v>14464.000000000002</v>
      </c>
      <c r="J189" s="644">
        <v>0</v>
      </c>
      <c r="K189" s="644">
        <v>0</v>
      </c>
      <c r="L189" s="658" t="s">
        <v>356</v>
      </c>
      <c r="M189" s="659">
        <f t="array" ref="M189">INDEX(UtilityList!Q$4:Q$251,MATCH('Table 2.3b'!$A189&amp;'Table 2.3b'!$B189&amp;'Table 2.3b'!$C189,UtilityList!$A$4:$A$251&amp;UtilityList!$B$4:$B$251&amp;UtilityList!$C$4:$C$251,0))</f>
        <v>0</v>
      </c>
      <c r="N189" s="382" t="str">
        <f t="array" ref="N189">IFERROR(INDEX(UtilityList!J$4:J$251,MATCH('Table 2.3b'!$A189&amp;'Table 2.3b'!$B189&amp;'Table 2.3b'!$C189,UtilityList!$A$4:$A$251&amp;UtilityList!$B$4:$B$251&amp;UtilityList!$C$4:$C$251,0)),INDEX(UtilityList!J$4:J$251,MATCH('Table 2.3b'!$A189&amp;'Table 2.3b'!$C189,UtilityList!$A$4:$A$251&amp;UtilityList!$C$4:$C$251,0)))</f>
        <v>Bristol Bay</v>
      </c>
      <c r="O189" s="382" t="str">
        <f t="array" ref="O189">IFERROR(INDEX(UtilityList!K$4:K$251,MATCH('Table 2.3b'!$A189&amp;'Table 2.3b'!$B189&amp;'Table 2.3b'!$C189,UtilityList!$A$4:$A$251&amp;UtilityList!$B$4:$B$251&amp;UtilityList!$C$4:$C$251,0)),INDEX(UtilityList!K$4:K$251,MATCH('Table 2.3b'!$A189&amp;'Table 2.3b'!$C189,UtilityList!$A$4:$A$251&amp;UtilityList!$C$4:$C$251,0)))</f>
        <v>Lake and Peninsula</v>
      </c>
      <c r="P189" s="382" t="str">
        <f t="array" ref="P189">IFERROR(INDEX(UtilityList!L$4:L$251,MATCH('Table 2.3b'!$A189&amp;'Table 2.3b'!$B189&amp;'Table 2.3b'!$C189,UtilityList!$A$4:$A$251&amp;UtilityList!$B$4:$B$251&amp;UtilityList!$C$4:$C$251,0)),INDEX(UtilityList!L$4:L$251,MATCH('Table 2.3b'!$A189&amp;'Table 2.3b'!$C189,UtilityList!$A$4:$A$251&amp;UtilityList!$C$4:$C$251,0)))</f>
        <v>Bristol Bay</v>
      </c>
      <c r="Q189" s="382" t="str">
        <f t="array" ref="Q189">IFERROR(INDEX(UtilityList!M$4:M$251,MATCH('Table 2.3b'!$A189&amp;'Table 2.3b'!$B189&amp;'Table 2.3b'!$C189,UtilityList!$A$4:$A$251&amp;UtilityList!$B$4:$B$251&amp;UtilityList!$C$4:$C$251,0)),INDEX(UtilityList!M$4:M$251,MATCH('Table 2.3b'!$A189&amp;'Table 2.3b'!$C189,UtilityList!$A$4:$A$251&amp;UtilityList!$C$4:$C$251,0)))</f>
        <v>SW</v>
      </c>
    </row>
    <row r="190" spans="1:17" s="85" customFormat="1" ht="30" x14ac:dyDescent="0.25">
      <c r="A190" s="653" t="s">
        <v>268</v>
      </c>
      <c r="B190" s="452" t="s">
        <v>269</v>
      </c>
      <c r="C190" s="654" t="s">
        <v>269</v>
      </c>
      <c r="D190" s="655">
        <v>392.2319</v>
      </c>
      <c r="E190" s="656">
        <v>0</v>
      </c>
      <c r="F190" s="656">
        <v>0</v>
      </c>
      <c r="G190" s="657">
        <v>0</v>
      </c>
      <c r="H190" s="657">
        <v>0</v>
      </c>
      <c r="I190" s="657">
        <v>44500.000000000007</v>
      </c>
      <c r="J190" s="656">
        <v>0</v>
      </c>
      <c r="K190" s="656">
        <v>0</v>
      </c>
      <c r="L190" s="658" t="s">
        <v>356</v>
      </c>
      <c r="M190" s="659">
        <f t="array" ref="M190">INDEX(UtilityList!Q$4:Q$251,MATCH('Table 2.3b'!$A190&amp;'Table 2.3b'!$B190&amp;'Table 2.3b'!$C190,UtilityList!$A$4:$A$251&amp;UtilityList!$B$4:$B$251&amp;UtilityList!$C$4:$C$251,0))</f>
        <v>0</v>
      </c>
      <c r="N190" s="382" t="str">
        <f t="array" ref="N190">IFERROR(INDEX(UtilityList!J$4:J$251,MATCH('Table 2.3b'!$A190&amp;'Table 2.3b'!$B190&amp;'Table 2.3b'!$C190,UtilityList!$A$4:$A$251&amp;UtilityList!$B$4:$B$251&amp;UtilityList!$C$4:$C$251,0)),INDEX(UtilityList!J$4:J$251,MATCH('Table 2.3b'!$A190&amp;'Table 2.3b'!$C190,UtilityList!$A$4:$A$251&amp;UtilityList!$C$4:$C$251,0)))</f>
        <v>Aleutians</v>
      </c>
      <c r="O190" s="382" t="str">
        <f t="array" ref="O190">IFERROR(INDEX(UtilityList!K$4:K$251,MATCH('Table 2.3b'!$A190&amp;'Table 2.3b'!$B190&amp;'Table 2.3b'!$C190,UtilityList!$A$4:$A$251&amp;UtilityList!$B$4:$B$251&amp;UtilityList!$C$4:$C$251,0)),INDEX(UtilityList!K$4:K$251,MATCH('Table 2.3b'!$A190&amp;'Table 2.3b'!$C190,UtilityList!$A$4:$A$251&amp;UtilityList!$C$4:$C$251,0)))</f>
        <v>Aleutians East</v>
      </c>
      <c r="P190" s="382" t="str">
        <f t="array" ref="P190">IFERROR(INDEX(UtilityList!L$4:L$251,MATCH('Table 2.3b'!$A190&amp;'Table 2.3b'!$B190&amp;'Table 2.3b'!$C190,UtilityList!$A$4:$A$251&amp;UtilityList!$B$4:$B$251&amp;UtilityList!$C$4:$C$251,0)),INDEX(UtilityList!L$4:L$251,MATCH('Table 2.3b'!$A190&amp;'Table 2.3b'!$C190,UtilityList!$A$4:$A$251&amp;UtilityList!$C$4:$C$251,0)))</f>
        <v>Aleut</v>
      </c>
      <c r="Q190" s="382" t="str">
        <f t="array" ref="Q190">IFERROR(INDEX(UtilityList!M$4:M$251,MATCH('Table 2.3b'!$A190&amp;'Table 2.3b'!$B190&amp;'Table 2.3b'!$C190,UtilityList!$A$4:$A$251&amp;UtilityList!$B$4:$B$251&amp;UtilityList!$C$4:$C$251,0)),INDEX(UtilityList!M$4:M$251,MATCH('Table 2.3b'!$A190&amp;'Table 2.3b'!$C190,UtilityList!$A$4:$A$251&amp;UtilityList!$C$4:$C$251,0)))</f>
        <v>SW</v>
      </c>
    </row>
    <row r="191" spans="1:17" customFormat="1" ht="30" x14ac:dyDescent="0.25">
      <c r="A191" s="653" t="s">
        <v>270</v>
      </c>
      <c r="B191" s="452" t="s">
        <v>271</v>
      </c>
      <c r="C191" s="654" t="s">
        <v>271</v>
      </c>
      <c r="D191" s="655">
        <v>648.44000000000005</v>
      </c>
      <c r="E191" s="656">
        <v>0</v>
      </c>
      <c r="F191" s="656">
        <v>0</v>
      </c>
      <c r="G191" s="657">
        <v>0</v>
      </c>
      <c r="H191" s="657">
        <v>0</v>
      </c>
      <c r="I191" s="657">
        <v>72207</v>
      </c>
      <c r="J191" s="656">
        <v>0</v>
      </c>
      <c r="K191" s="656">
        <v>0</v>
      </c>
      <c r="L191" s="658" t="s">
        <v>356</v>
      </c>
      <c r="M191" s="659">
        <f t="array" ref="M191">INDEX(UtilityList!Q$4:Q$251,MATCH('Table 2.3b'!$A191&amp;'Table 2.3b'!$B191&amp;'Table 2.3b'!$C191,UtilityList!$A$4:$A$251&amp;UtilityList!$B$4:$B$251&amp;UtilityList!$C$4:$C$251,0))</f>
        <v>0</v>
      </c>
      <c r="N191" s="382" t="str">
        <f t="array" ref="N191">IFERROR(INDEX(UtilityList!J$4:J$251,MATCH('Table 2.3b'!$A191&amp;'Table 2.3b'!$B191&amp;'Table 2.3b'!$C191,UtilityList!$A$4:$A$251&amp;UtilityList!$B$4:$B$251&amp;UtilityList!$C$4:$C$251,0)),INDEX(UtilityList!J$4:J$251,MATCH('Table 2.3b'!$A191&amp;'Table 2.3b'!$C191,UtilityList!$A$4:$A$251&amp;UtilityList!$C$4:$C$251,0)))</f>
        <v>Bristol Bay</v>
      </c>
      <c r="O191" s="382" t="str">
        <f t="array" ref="O191">IFERROR(INDEX(UtilityList!K$4:K$251,MATCH('Table 2.3b'!$A191&amp;'Table 2.3b'!$B191&amp;'Table 2.3b'!$C191,UtilityList!$A$4:$A$251&amp;UtilityList!$B$4:$B$251&amp;UtilityList!$C$4:$C$251,0)),INDEX(UtilityList!K$4:K$251,MATCH('Table 2.3b'!$A191&amp;'Table 2.3b'!$C191,UtilityList!$A$4:$A$251&amp;UtilityList!$C$4:$C$251,0)))</f>
        <v>Dillingham (CA)</v>
      </c>
      <c r="P191" s="382" t="str">
        <f t="array" ref="P191">IFERROR(INDEX(UtilityList!L$4:L$251,MATCH('Table 2.3b'!$A191&amp;'Table 2.3b'!$B191&amp;'Table 2.3b'!$C191,UtilityList!$A$4:$A$251&amp;UtilityList!$B$4:$B$251&amp;UtilityList!$C$4:$C$251,0)),INDEX(UtilityList!L$4:L$251,MATCH('Table 2.3b'!$A191&amp;'Table 2.3b'!$C191,UtilityList!$A$4:$A$251&amp;UtilityList!$C$4:$C$251,0)))</f>
        <v>Bristol Bay</v>
      </c>
      <c r="Q191" s="382" t="str">
        <f t="array" ref="Q191">IFERROR(INDEX(UtilityList!M$4:M$251,MATCH('Table 2.3b'!$A191&amp;'Table 2.3b'!$B191&amp;'Table 2.3b'!$C191,UtilityList!$A$4:$A$251&amp;UtilityList!$B$4:$B$251&amp;UtilityList!$C$4:$C$251,0)),INDEX(UtilityList!M$4:M$251,MATCH('Table 2.3b'!$A191&amp;'Table 2.3b'!$C191,UtilityList!$A$4:$A$251&amp;UtilityList!$C$4:$C$251,0)))</f>
        <v>SW</v>
      </c>
    </row>
    <row r="192" spans="1:17" s="169" customFormat="1" ht="30" x14ac:dyDescent="0.25">
      <c r="A192" s="653" t="s">
        <v>272</v>
      </c>
      <c r="B192" s="452" t="s">
        <v>273</v>
      </c>
      <c r="C192" s="654" t="s">
        <v>273</v>
      </c>
      <c r="D192" s="655">
        <v>399.21109999999999</v>
      </c>
      <c r="E192" s="656">
        <v>0</v>
      </c>
      <c r="F192" s="656">
        <v>0</v>
      </c>
      <c r="G192" s="657">
        <v>0</v>
      </c>
      <c r="H192" s="657">
        <v>0</v>
      </c>
      <c r="I192" s="657">
        <v>36527</v>
      </c>
      <c r="J192" s="656">
        <v>0</v>
      </c>
      <c r="K192" s="656">
        <v>0</v>
      </c>
      <c r="L192" s="658" t="s">
        <v>356</v>
      </c>
      <c r="M192" s="659">
        <f t="array" ref="M192">INDEX(UtilityList!Q$4:Q$251,MATCH('Table 2.3b'!$A192&amp;'Table 2.3b'!$B192&amp;'Table 2.3b'!$C192,UtilityList!$A$4:$A$251&amp;UtilityList!$B$4:$B$251&amp;UtilityList!$C$4:$C$251,0))</f>
        <v>0</v>
      </c>
      <c r="N192" s="382" t="str">
        <f t="array" ref="N192">IFERROR(INDEX(UtilityList!J$4:J$251,MATCH('Table 2.3b'!$A192&amp;'Table 2.3b'!$B192&amp;'Table 2.3b'!$C192,UtilityList!$A$4:$A$251&amp;UtilityList!$B$4:$B$251&amp;UtilityList!$C$4:$C$251,0)),INDEX(UtilityList!J$4:J$251,MATCH('Table 2.3b'!$A192&amp;'Table 2.3b'!$C192,UtilityList!$A$4:$A$251&amp;UtilityList!$C$4:$C$251,0)))</f>
        <v>Yukon-Koyukuk/Upper Tanana</v>
      </c>
      <c r="O192" s="382" t="str">
        <f t="array" ref="O192">IFERROR(INDEX(UtilityList!K$4:K$251,MATCH('Table 2.3b'!$A192&amp;'Table 2.3b'!$B192&amp;'Table 2.3b'!$C192,UtilityList!$A$4:$A$251&amp;UtilityList!$B$4:$B$251&amp;UtilityList!$C$4:$C$251,0)),INDEX(UtilityList!K$4:K$251,MATCH('Table 2.3b'!$A192&amp;'Table 2.3b'!$C192,UtilityList!$A$4:$A$251&amp;UtilityList!$C$4:$C$251,0)))</f>
        <v>Yukon-Koyukuk (CA)</v>
      </c>
      <c r="P192" s="382" t="str">
        <f t="array" ref="P192">IFERROR(INDEX(UtilityList!L$4:L$251,MATCH('Table 2.3b'!$A192&amp;'Table 2.3b'!$B192&amp;'Table 2.3b'!$C192,UtilityList!$A$4:$A$251&amp;UtilityList!$B$4:$B$251&amp;UtilityList!$C$4:$C$251,0)),INDEX(UtilityList!L$4:L$251,MATCH('Table 2.3b'!$A192&amp;'Table 2.3b'!$C192,UtilityList!$A$4:$A$251&amp;UtilityList!$C$4:$C$251,0)))</f>
        <v>Doyon</v>
      </c>
      <c r="Q192" s="382" t="str">
        <f t="array" ref="Q192">IFERROR(INDEX(UtilityList!M$4:M$251,MATCH('Table 2.3b'!$A192&amp;'Table 2.3b'!$B192&amp;'Table 2.3b'!$C192,UtilityList!$A$4:$A$251&amp;UtilityList!$B$4:$B$251&amp;UtilityList!$C$4:$C$251,0)),INDEX(UtilityList!M$4:M$251,MATCH('Table 2.3b'!$A192&amp;'Table 2.3b'!$C192,UtilityList!$A$4:$A$251&amp;UtilityList!$C$4:$C$251,0)))</f>
        <v>SW</v>
      </c>
    </row>
    <row r="193" spans="1:17" s="169" customFormat="1" ht="30" x14ac:dyDescent="0.25">
      <c r="A193" s="360" t="s">
        <v>274</v>
      </c>
      <c r="B193" s="452" t="s">
        <v>275</v>
      </c>
      <c r="C193" s="628" t="s">
        <v>276</v>
      </c>
      <c r="D193" s="655">
        <v>33500</v>
      </c>
      <c r="E193" s="656">
        <v>0</v>
      </c>
      <c r="F193" s="656">
        <v>0</v>
      </c>
      <c r="G193" s="657">
        <v>0</v>
      </c>
      <c r="H193" s="657">
        <v>0</v>
      </c>
      <c r="I193" s="657">
        <v>2109802</v>
      </c>
      <c r="J193" s="656">
        <v>0</v>
      </c>
      <c r="K193" s="656">
        <v>0</v>
      </c>
      <c r="L193" s="658" t="s">
        <v>356</v>
      </c>
      <c r="M193" s="659">
        <f t="array" ref="M193">INDEX(UtilityList!Q$4:Q$251,MATCH('Table 2.3b'!$A193&amp;'Table 2.3b'!$B193&amp;'Table 2.3b'!$C193,UtilityList!$A$4:$A$251&amp;UtilityList!$B$4:$B$251&amp;UtilityList!$C$4:$C$251,0))</f>
        <v>0</v>
      </c>
      <c r="N193" s="382" t="str">
        <f t="array" ref="N193">IFERROR(INDEX(UtilityList!J$4:J$251,MATCH('Table 2.3b'!$A193&amp;'Table 2.3b'!$B193&amp;'Table 2.3b'!$C193,UtilityList!$A$4:$A$251&amp;UtilityList!$B$4:$B$251&amp;UtilityList!$C$4:$C$251,0)),INDEX(UtilityList!J$4:J$251,MATCH('Table 2.3b'!$A193&amp;'Table 2.3b'!$C193,UtilityList!$A$4:$A$251&amp;UtilityList!$C$4:$C$251,0)))</f>
        <v>Bering Straits</v>
      </c>
      <c r="O193" s="382" t="str">
        <f t="array" ref="O193">IFERROR(INDEX(UtilityList!K$4:K$251,MATCH('Table 2.3b'!$A193&amp;'Table 2.3b'!$B193&amp;'Table 2.3b'!$C193,UtilityList!$A$4:$A$251&amp;UtilityList!$B$4:$B$251&amp;UtilityList!$C$4:$C$251,0)),INDEX(UtilityList!K$4:K$251,MATCH('Table 2.3b'!$A193&amp;'Table 2.3b'!$C193,UtilityList!$A$4:$A$251&amp;UtilityList!$C$4:$C$251,0)))</f>
        <v>Nome (CA)</v>
      </c>
      <c r="P193" s="382" t="str">
        <f t="array" ref="P193">IFERROR(INDEX(UtilityList!L$4:L$251,MATCH('Table 2.3b'!$A193&amp;'Table 2.3b'!$B193&amp;'Table 2.3b'!$C193,UtilityList!$A$4:$A$251&amp;UtilityList!$B$4:$B$251&amp;UtilityList!$C$4:$C$251,0)),INDEX(UtilityList!L$4:L$251,MATCH('Table 2.3b'!$A193&amp;'Table 2.3b'!$C193,UtilityList!$A$4:$A$251&amp;UtilityList!$C$4:$C$251,0)))</f>
        <v>Bering Straits</v>
      </c>
      <c r="Q193" s="382" t="str">
        <f t="array" ref="Q193">IFERROR(INDEX(UtilityList!M$4:M$251,MATCH('Table 2.3b'!$A193&amp;'Table 2.3b'!$B193&amp;'Table 2.3b'!$C193,UtilityList!$A$4:$A$251&amp;UtilityList!$B$4:$B$251&amp;UtilityList!$C$4:$C$251,0)),INDEX(UtilityList!M$4:M$251,MATCH('Table 2.3b'!$A193&amp;'Table 2.3b'!$C193,UtilityList!$A$4:$A$251&amp;UtilityList!$C$4:$C$251,0)))</f>
        <v>AN</v>
      </c>
    </row>
    <row r="194" spans="1:17" s="169" customFormat="1" ht="30" x14ac:dyDescent="0.25">
      <c r="A194" s="385" t="s">
        <v>277</v>
      </c>
      <c r="B194" s="352" t="s">
        <v>278</v>
      </c>
      <c r="C194" s="352" t="s">
        <v>278</v>
      </c>
      <c r="D194" s="661">
        <v>3599</v>
      </c>
      <c r="E194" s="656">
        <v>0</v>
      </c>
      <c r="F194" s="656">
        <v>0</v>
      </c>
      <c r="G194" s="661">
        <v>0</v>
      </c>
      <c r="H194" s="661">
        <v>0</v>
      </c>
      <c r="I194" s="661">
        <v>278922</v>
      </c>
      <c r="J194" s="656">
        <v>0</v>
      </c>
      <c r="K194" s="656">
        <v>0</v>
      </c>
      <c r="L194" s="662" t="s">
        <v>558</v>
      </c>
      <c r="M194" s="659">
        <f t="array" ref="M194">INDEX(UtilityList!Q$4:Q$251,MATCH('Table 2.3b'!$A194&amp;'Table 2.3b'!$B194&amp;'Table 2.3b'!$C194,UtilityList!$A$4:$A$251&amp;UtilityList!$B$4:$B$251&amp;UtilityList!$C$4:$C$251,0))</f>
        <v>0</v>
      </c>
      <c r="N194" s="382" t="str">
        <f t="array" ref="N194">IFERROR(INDEX(UtilityList!J$4:J$251,MATCH('Table 2.3b'!$A194&amp;'Table 2.3b'!$B194&amp;'Table 2.3b'!$C194,UtilityList!$A$4:$A$251&amp;UtilityList!$B$4:$B$251&amp;UtilityList!$C$4:$C$251,0)),INDEX(UtilityList!J$4:J$251,MATCH('Table 2.3b'!$A194&amp;'Table 2.3b'!$C194,UtilityList!$A$4:$A$251&amp;UtilityList!$C$4:$C$251,0)))</f>
        <v>North Slope</v>
      </c>
      <c r="O194" s="382" t="str">
        <f t="array" ref="O194">IFERROR(INDEX(UtilityList!K$4:K$251,MATCH('Table 2.3b'!$A194&amp;'Table 2.3b'!$B194&amp;'Table 2.3b'!$C194,UtilityList!$A$4:$A$251&amp;UtilityList!$B$4:$B$251&amp;UtilityList!$C$4:$C$251,0)),INDEX(UtilityList!K$4:K$251,MATCH('Table 2.3b'!$A194&amp;'Table 2.3b'!$C194,UtilityList!$A$4:$A$251&amp;UtilityList!$C$4:$C$251,0)))</f>
        <v>North Slope</v>
      </c>
      <c r="P194" s="382" t="str">
        <f t="array" ref="P194">IFERROR(INDEX(UtilityList!L$4:L$251,MATCH('Table 2.3b'!$A194&amp;'Table 2.3b'!$B194&amp;'Table 2.3b'!$C194,UtilityList!$A$4:$A$251&amp;UtilityList!$B$4:$B$251&amp;UtilityList!$C$4:$C$251,0)),INDEX(UtilityList!L$4:L$251,MATCH('Table 2.3b'!$A194&amp;'Table 2.3b'!$C194,UtilityList!$A$4:$A$251&amp;UtilityList!$C$4:$C$251,0)))</f>
        <v>Arctic Slope</v>
      </c>
      <c r="Q194" s="382" t="str">
        <f t="array" ref="Q194">IFERROR(INDEX(UtilityList!M$4:M$251,MATCH('Table 2.3b'!$A194&amp;'Table 2.3b'!$B194&amp;'Table 2.3b'!$C194,UtilityList!$A$4:$A$251&amp;UtilityList!$B$4:$B$251&amp;UtilityList!$C$4:$C$251,0)),INDEX(UtilityList!M$4:M$251,MATCH('Table 2.3b'!$A194&amp;'Table 2.3b'!$C194,UtilityList!$A$4:$A$251&amp;UtilityList!$C$4:$C$251,0)))</f>
        <v>AN</v>
      </c>
    </row>
    <row r="195" spans="1:17" s="169" customFormat="1" ht="30" x14ac:dyDescent="0.25">
      <c r="A195" s="385" t="s">
        <v>277</v>
      </c>
      <c r="B195" s="352" t="s">
        <v>279</v>
      </c>
      <c r="C195" s="352" t="s">
        <v>279</v>
      </c>
      <c r="D195" s="661">
        <v>3241</v>
      </c>
      <c r="E195" s="656">
        <v>0</v>
      </c>
      <c r="F195" s="656">
        <v>0</v>
      </c>
      <c r="G195" s="661">
        <v>0</v>
      </c>
      <c r="H195" s="661">
        <v>0</v>
      </c>
      <c r="I195" s="661">
        <v>255318</v>
      </c>
      <c r="J195" s="656">
        <v>0</v>
      </c>
      <c r="K195" s="656">
        <v>0</v>
      </c>
      <c r="L195" s="662" t="s">
        <v>558</v>
      </c>
      <c r="M195" s="659">
        <f t="array" ref="M195">INDEX(UtilityList!Q$4:Q$251,MATCH('Table 2.3b'!$A195&amp;'Table 2.3b'!$B195&amp;'Table 2.3b'!$C195,UtilityList!$A$4:$A$251&amp;UtilityList!$B$4:$B$251&amp;UtilityList!$C$4:$C$251,0))</f>
        <v>0</v>
      </c>
      <c r="N195" s="382" t="str">
        <f t="array" ref="N195">IFERROR(INDEX(UtilityList!J$4:J$251,MATCH('Table 2.3b'!$A195&amp;'Table 2.3b'!$B195&amp;'Table 2.3b'!$C195,UtilityList!$A$4:$A$251&amp;UtilityList!$B$4:$B$251&amp;UtilityList!$C$4:$C$251,0)),INDEX(UtilityList!J$4:J$251,MATCH('Table 2.3b'!$A195&amp;'Table 2.3b'!$C195,UtilityList!$A$4:$A$251&amp;UtilityList!$C$4:$C$251,0)))</f>
        <v>North Slope</v>
      </c>
      <c r="O195" s="382" t="str">
        <f t="array" ref="O195">IFERROR(INDEX(UtilityList!K$4:K$251,MATCH('Table 2.3b'!$A195&amp;'Table 2.3b'!$B195&amp;'Table 2.3b'!$C195,UtilityList!$A$4:$A$251&amp;UtilityList!$B$4:$B$251&amp;UtilityList!$C$4:$C$251,0)),INDEX(UtilityList!K$4:K$251,MATCH('Table 2.3b'!$A195&amp;'Table 2.3b'!$C195,UtilityList!$A$4:$A$251&amp;UtilityList!$C$4:$C$251,0)))</f>
        <v>North Slope</v>
      </c>
      <c r="P195" s="382" t="str">
        <f t="array" ref="P195">IFERROR(INDEX(UtilityList!L$4:L$251,MATCH('Table 2.3b'!$A195&amp;'Table 2.3b'!$B195&amp;'Table 2.3b'!$C195,UtilityList!$A$4:$A$251&amp;UtilityList!$B$4:$B$251&amp;UtilityList!$C$4:$C$251,0)),INDEX(UtilityList!L$4:L$251,MATCH('Table 2.3b'!$A195&amp;'Table 2.3b'!$C195,UtilityList!$A$4:$A$251&amp;UtilityList!$C$4:$C$251,0)))</f>
        <v>Arctic Slope</v>
      </c>
      <c r="Q195" s="382" t="str">
        <f t="array" ref="Q195">IFERROR(INDEX(UtilityList!M$4:M$251,MATCH('Table 2.3b'!$A195&amp;'Table 2.3b'!$B195&amp;'Table 2.3b'!$C195,UtilityList!$A$4:$A$251&amp;UtilityList!$B$4:$B$251&amp;UtilityList!$C$4:$C$251,0)),INDEX(UtilityList!M$4:M$251,MATCH('Table 2.3b'!$A195&amp;'Table 2.3b'!$C195,UtilityList!$A$4:$A$251&amp;UtilityList!$C$4:$C$251,0)))</f>
        <v>AN</v>
      </c>
    </row>
    <row r="196" spans="1:17" s="85" customFormat="1" ht="30" x14ac:dyDescent="0.25">
      <c r="A196" s="385" t="s">
        <v>277</v>
      </c>
      <c r="B196" s="352" t="s">
        <v>280</v>
      </c>
      <c r="C196" s="352" t="s">
        <v>280</v>
      </c>
      <c r="D196" s="661">
        <v>4550</v>
      </c>
      <c r="E196" s="656">
        <v>0</v>
      </c>
      <c r="F196" s="656">
        <v>0</v>
      </c>
      <c r="G196" s="661">
        <v>0</v>
      </c>
      <c r="H196" s="661">
        <v>0</v>
      </c>
      <c r="I196" s="661">
        <v>353430</v>
      </c>
      <c r="J196" s="656">
        <v>0</v>
      </c>
      <c r="K196" s="656">
        <v>0</v>
      </c>
      <c r="L196" s="662" t="s">
        <v>558</v>
      </c>
      <c r="M196" s="659">
        <f t="array" ref="M196">INDEX(UtilityList!Q$4:Q$251,MATCH('Table 2.3b'!$A196&amp;'Table 2.3b'!$B196&amp;'Table 2.3b'!$C196,UtilityList!$A$4:$A$251&amp;UtilityList!$B$4:$B$251&amp;UtilityList!$C$4:$C$251,0))</f>
        <v>0</v>
      </c>
      <c r="N196" s="382" t="str">
        <f t="array" ref="N196">IFERROR(INDEX(UtilityList!J$4:J$251,MATCH('Table 2.3b'!$A196&amp;'Table 2.3b'!$B196&amp;'Table 2.3b'!$C196,UtilityList!$A$4:$A$251&amp;UtilityList!$B$4:$B$251&amp;UtilityList!$C$4:$C$251,0)),INDEX(UtilityList!J$4:J$251,MATCH('Table 2.3b'!$A196&amp;'Table 2.3b'!$C196,UtilityList!$A$4:$A$251&amp;UtilityList!$C$4:$C$251,0)))</f>
        <v>North Slope</v>
      </c>
      <c r="O196" s="382" t="str">
        <f t="array" ref="O196">IFERROR(INDEX(UtilityList!K$4:K$251,MATCH('Table 2.3b'!$A196&amp;'Table 2.3b'!$B196&amp;'Table 2.3b'!$C196,UtilityList!$A$4:$A$251&amp;UtilityList!$B$4:$B$251&amp;UtilityList!$C$4:$C$251,0)),INDEX(UtilityList!K$4:K$251,MATCH('Table 2.3b'!$A196&amp;'Table 2.3b'!$C196,UtilityList!$A$4:$A$251&amp;UtilityList!$C$4:$C$251,0)))</f>
        <v>North Slope</v>
      </c>
      <c r="P196" s="382" t="str">
        <f t="array" ref="P196">IFERROR(INDEX(UtilityList!L$4:L$251,MATCH('Table 2.3b'!$A196&amp;'Table 2.3b'!$B196&amp;'Table 2.3b'!$C196,UtilityList!$A$4:$A$251&amp;UtilityList!$B$4:$B$251&amp;UtilityList!$C$4:$C$251,0)),INDEX(UtilityList!L$4:L$251,MATCH('Table 2.3b'!$A196&amp;'Table 2.3b'!$C196,UtilityList!$A$4:$A$251&amp;UtilityList!$C$4:$C$251,0)))</f>
        <v>Arctic Slope</v>
      </c>
      <c r="Q196" s="382" t="str">
        <f t="array" ref="Q196">IFERROR(INDEX(UtilityList!M$4:M$251,MATCH('Table 2.3b'!$A196&amp;'Table 2.3b'!$B196&amp;'Table 2.3b'!$C196,UtilityList!$A$4:$A$251&amp;UtilityList!$B$4:$B$251&amp;UtilityList!$C$4:$C$251,0)),INDEX(UtilityList!M$4:M$251,MATCH('Table 2.3b'!$A196&amp;'Table 2.3b'!$C196,UtilityList!$A$4:$A$251&amp;UtilityList!$C$4:$C$251,0)))</f>
        <v>AN</v>
      </c>
    </row>
    <row r="197" spans="1:17" customFormat="1" ht="30" x14ac:dyDescent="0.25">
      <c r="A197" s="385" t="s">
        <v>277</v>
      </c>
      <c r="B197" s="352" t="s">
        <v>281</v>
      </c>
      <c r="C197" s="352" t="s">
        <v>281</v>
      </c>
      <c r="D197" s="641">
        <v>1754</v>
      </c>
      <c r="E197" s="641">
        <v>1475</v>
      </c>
      <c r="F197" s="656">
        <v>0</v>
      </c>
      <c r="G197" s="661">
        <v>0</v>
      </c>
      <c r="H197" s="661">
        <v>0</v>
      </c>
      <c r="I197" s="661">
        <v>88284</v>
      </c>
      <c r="J197" s="661">
        <v>10329</v>
      </c>
      <c r="K197" s="656">
        <v>0</v>
      </c>
      <c r="L197" s="662" t="s">
        <v>558</v>
      </c>
      <c r="M197" s="659">
        <f t="array" ref="M197">INDEX(UtilityList!Q$4:Q$251,MATCH('Table 2.3b'!$A197&amp;'Table 2.3b'!$B197&amp;'Table 2.3b'!$C197,UtilityList!$A$4:$A$251&amp;UtilityList!$B$4:$B$251&amp;UtilityList!$C$4:$C$251,0))</f>
        <v>0</v>
      </c>
      <c r="N197" s="382" t="str">
        <f t="array" ref="N197">IFERROR(INDEX(UtilityList!J$4:J$251,MATCH('Table 2.3b'!$A197&amp;'Table 2.3b'!$B197&amp;'Table 2.3b'!$C197,UtilityList!$A$4:$A$251&amp;UtilityList!$B$4:$B$251&amp;UtilityList!$C$4:$C$251,0)),INDEX(UtilityList!J$4:J$251,MATCH('Table 2.3b'!$A197&amp;'Table 2.3b'!$C197,UtilityList!$A$4:$A$251&amp;UtilityList!$C$4:$C$251,0)))</f>
        <v>North Slope</v>
      </c>
      <c r="O197" s="382" t="str">
        <f t="array" ref="O197">IFERROR(INDEX(UtilityList!K$4:K$251,MATCH('Table 2.3b'!$A197&amp;'Table 2.3b'!$B197&amp;'Table 2.3b'!$C197,UtilityList!$A$4:$A$251&amp;UtilityList!$B$4:$B$251&amp;UtilityList!$C$4:$C$251,0)),INDEX(UtilityList!K$4:K$251,MATCH('Table 2.3b'!$A197&amp;'Table 2.3b'!$C197,UtilityList!$A$4:$A$251&amp;UtilityList!$C$4:$C$251,0)))</f>
        <v>North Slope</v>
      </c>
      <c r="P197" s="382" t="str">
        <f t="array" ref="P197">IFERROR(INDEX(UtilityList!L$4:L$251,MATCH('Table 2.3b'!$A197&amp;'Table 2.3b'!$B197&amp;'Table 2.3b'!$C197,UtilityList!$A$4:$A$251&amp;UtilityList!$B$4:$B$251&amp;UtilityList!$C$4:$C$251,0)),INDEX(UtilityList!L$4:L$251,MATCH('Table 2.3b'!$A197&amp;'Table 2.3b'!$C197,UtilityList!$A$4:$A$251&amp;UtilityList!$C$4:$C$251,0)))</f>
        <v>Arctic Slope</v>
      </c>
      <c r="Q197" s="382" t="str">
        <f t="array" ref="Q197">IFERROR(INDEX(UtilityList!M$4:M$251,MATCH('Table 2.3b'!$A197&amp;'Table 2.3b'!$B197&amp;'Table 2.3b'!$C197,UtilityList!$A$4:$A$251&amp;UtilityList!$B$4:$B$251&amp;UtilityList!$C$4:$C$251,0)),INDEX(UtilityList!M$4:M$251,MATCH('Table 2.3b'!$A197&amp;'Table 2.3b'!$C197,UtilityList!$A$4:$A$251&amp;UtilityList!$C$4:$C$251,0)))</f>
        <v>AN</v>
      </c>
    </row>
    <row r="198" spans="1:17" customFormat="1" ht="30" x14ac:dyDescent="0.25">
      <c r="A198" s="385" t="s">
        <v>277</v>
      </c>
      <c r="B198" s="352" t="s">
        <v>282</v>
      </c>
      <c r="C198" s="352" t="s">
        <v>282</v>
      </c>
      <c r="D198" s="661">
        <v>6153</v>
      </c>
      <c r="E198" s="656">
        <v>0</v>
      </c>
      <c r="F198" s="656">
        <v>0</v>
      </c>
      <c r="G198" s="661">
        <v>0</v>
      </c>
      <c r="H198" s="661">
        <v>0</v>
      </c>
      <c r="I198" s="641">
        <v>412482</v>
      </c>
      <c r="J198" s="656">
        <v>0</v>
      </c>
      <c r="K198" s="656">
        <v>0</v>
      </c>
      <c r="L198" s="662" t="s">
        <v>558</v>
      </c>
      <c r="M198" s="659">
        <f t="array" ref="M198">INDEX(UtilityList!Q$4:Q$251,MATCH('Table 2.3b'!$A198&amp;'Table 2.3b'!$B198&amp;'Table 2.3b'!$C198,UtilityList!$A$4:$A$251&amp;UtilityList!$B$4:$B$251&amp;UtilityList!$C$4:$C$251,0))</f>
        <v>0</v>
      </c>
      <c r="N198" s="382" t="str">
        <f t="array" ref="N198">IFERROR(INDEX(UtilityList!J$4:J$251,MATCH('Table 2.3b'!$A198&amp;'Table 2.3b'!$B198&amp;'Table 2.3b'!$C198,UtilityList!$A$4:$A$251&amp;UtilityList!$B$4:$B$251&amp;UtilityList!$C$4:$C$251,0)),INDEX(UtilityList!J$4:J$251,MATCH('Table 2.3b'!$A198&amp;'Table 2.3b'!$C198,UtilityList!$A$4:$A$251&amp;UtilityList!$C$4:$C$251,0)))</f>
        <v>North Slope</v>
      </c>
      <c r="O198" s="382" t="str">
        <f t="array" ref="O198">IFERROR(INDEX(UtilityList!K$4:K$251,MATCH('Table 2.3b'!$A198&amp;'Table 2.3b'!$B198&amp;'Table 2.3b'!$C198,UtilityList!$A$4:$A$251&amp;UtilityList!$B$4:$B$251&amp;UtilityList!$C$4:$C$251,0)),INDEX(UtilityList!K$4:K$251,MATCH('Table 2.3b'!$A198&amp;'Table 2.3b'!$C198,UtilityList!$A$4:$A$251&amp;UtilityList!$C$4:$C$251,0)))</f>
        <v>North Slope</v>
      </c>
      <c r="P198" s="382" t="str">
        <f t="array" ref="P198">IFERROR(INDEX(UtilityList!L$4:L$251,MATCH('Table 2.3b'!$A198&amp;'Table 2.3b'!$B198&amp;'Table 2.3b'!$C198,UtilityList!$A$4:$A$251&amp;UtilityList!$B$4:$B$251&amp;UtilityList!$C$4:$C$251,0)),INDEX(UtilityList!L$4:L$251,MATCH('Table 2.3b'!$A198&amp;'Table 2.3b'!$C198,UtilityList!$A$4:$A$251&amp;UtilityList!$C$4:$C$251,0)))</f>
        <v>Arctic Slope</v>
      </c>
      <c r="Q198" s="382" t="str">
        <f t="array" ref="Q198">IFERROR(INDEX(UtilityList!M$4:M$251,MATCH('Table 2.3b'!$A198&amp;'Table 2.3b'!$B198&amp;'Table 2.3b'!$C198,UtilityList!$A$4:$A$251&amp;UtilityList!$B$4:$B$251&amp;UtilityList!$C$4:$C$251,0)),INDEX(UtilityList!M$4:M$251,MATCH('Table 2.3b'!$A198&amp;'Table 2.3b'!$C198,UtilityList!$A$4:$A$251&amp;UtilityList!$C$4:$C$251,0)))</f>
        <v>AN</v>
      </c>
    </row>
    <row r="199" spans="1:17" customFormat="1" ht="30" x14ac:dyDescent="0.25">
      <c r="A199" s="385" t="s">
        <v>277</v>
      </c>
      <c r="B199" s="352" t="s">
        <v>283</v>
      </c>
      <c r="C199" s="352" t="s">
        <v>283</v>
      </c>
      <c r="D199" s="661">
        <v>3085</v>
      </c>
      <c r="E199" s="656">
        <v>0</v>
      </c>
      <c r="F199" s="656">
        <v>0</v>
      </c>
      <c r="G199" s="661">
        <v>0</v>
      </c>
      <c r="H199" s="661">
        <v>0</v>
      </c>
      <c r="I199" s="661">
        <v>283458</v>
      </c>
      <c r="J199" s="656">
        <v>0</v>
      </c>
      <c r="K199" s="656">
        <v>0</v>
      </c>
      <c r="L199" s="662" t="s">
        <v>558</v>
      </c>
      <c r="M199" s="659">
        <f t="array" ref="M199">INDEX(UtilityList!Q$4:Q$251,MATCH('Table 2.3b'!$A199&amp;'Table 2.3b'!$B199&amp;'Table 2.3b'!$C199,UtilityList!$A$4:$A$251&amp;UtilityList!$B$4:$B$251&amp;UtilityList!$C$4:$C$251,0))</f>
        <v>0</v>
      </c>
      <c r="N199" s="382" t="str">
        <f t="array" ref="N199">IFERROR(INDEX(UtilityList!J$4:J$251,MATCH('Table 2.3b'!$A199&amp;'Table 2.3b'!$B199&amp;'Table 2.3b'!$C199,UtilityList!$A$4:$A$251&amp;UtilityList!$B$4:$B$251&amp;UtilityList!$C$4:$C$251,0)),INDEX(UtilityList!J$4:J$251,MATCH('Table 2.3b'!$A199&amp;'Table 2.3b'!$C199,UtilityList!$A$4:$A$251&amp;UtilityList!$C$4:$C$251,0)))</f>
        <v>North Slope</v>
      </c>
      <c r="O199" s="382" t="str">
        <f t="array" ref="O199">IFERROR(INDEX(UtilityList!K$4:K$251,MATCH('Table 2.3b'!$A199&amp;'Table 2.3b'!$B199&amp;'Table 2.3b'!$C199,UtilityList!$A$4:$A$251&amp;UtilityList!$B$4:$B$251&amp;UtilityList!$C$4:$C$251,0)),INDEX(UtilityList!K$4:K$251,MATCH('Table 2.3b'!$A199&amp;'Table 2.3b'!$C199,UtilityList!$A$4:$A$251&amp;UtilityList!$C$4:$C$251,0)))</f>
        <v>North Slope</v>
      </c>
      <c r="P199" s="382" t="str">
        <f t="array" ref="P199">IFERROR(INDEX(UtilityList!L$4:L$251,MATCH('Table 2.3b'!$A199&amp;'Table 2.3b'!$B199&amp;'Table 2.3b'!$C199,UtilityList!$A$4:$A$251&amp;UtilityList!$B$4:$B$251&amp;UtilityList!$C$4:$C$251,0)),INDEX(UtilityList!L$4:L$251,MATCH('Table 2.3b'!$A199&amp;'Table 2.3b'!$C199,UtilityList!$A$4:$A$251&amp;UtilityList!$C$4:$C$251,0)))</f>
        <v>Arctic Slope</v>
      </c>
      <c r="Q199" s="382" t="str">
        <f t="array" ref="Q199">IFERROR(INDEX(UtilityList!M$4:M$251,MATCH('Table 2.3b'!$A199&amp;'Table 2.3b'!$B199&amp;'Table 2.3b'!$C199,UtilityList!$A$4:$A$251&amp;UtilityList!$B$4:$B$251&amp;UtilityList!$C$4:$C$251,0)),INDEX(UtilityList!M$4:M$251,MATCH('Table 2.3b'!$A199&amp;'Table 2.3b'!$C199,UtilityList!$A$4:$A$251&amp;UtilityList!$C$4:$C$251,0)))</f>
        <v>AN</v>
      </c>
    </row>
    <row r="200" spans="1:17" customFormat="1" ht="30" x14ac:dyDescent="0.25">
      <c r="A200" s="385" t="s">
        <v>277</v>
      </c>
      <c r="B200" s="352" t="s">
        <v>284</v>
      </c>
      <c r="C200" s="352" t="s">
        <v>284</v>
      </c>
      <c r="D200" s="661">
        <v>6258</v>
      </c>
      <c r="E200" s="656">
        <v>0</v>
      </c>
      <c r="F200" s="656">
        <v>0</v>
      </c>
      <c r="G200" s="661">
        <v>0</v>
      </c>
      <c r="H200" s="661">
        <v>0</v>
      </c>
      <c r="I200" s="661">
        <v>490896</v>
      </c>
      <c r="J200" s="656">
        <v>0</v>
      </c>
      <c r="K200" s="656">
        <v>0</v>
      </c>
      <c r="L200" s="662" t="s">
        <v>558</v>
      </c>
      <c r="M200" s="659">
        <f t="array" ref="M200">INDEX(UtilityList!Q$4:Q$251,MATCH('Table 2.3b'!$A200&amp;'Table 2.3b'!$B200&amp;'Table 2.3b'!$C200,UtilityList!$A$4:$A$251&amp;UtilityList!$B$4:$B$251&amp;UtilityList!$C$4:$C$251,0))</f>
        <v>0</v>
      </c>
      <c r="N200" s="382" t="str">
        <f t="array" ref="N200">IFERROR(INDEX(UtilityList!J$4:J$251,MATCH('Table 2.3b'!$A200&amp;'Table 2.3b'!$B200&amp;'Table 2.3b'!$C200,UtilityList!$A$4:$A$251&amp;UtilityList!$B$4:$B$251&amp;UtilityList!$C$4:$C$251,0)),INDEX(UtilityList!J$4:J$251,MATCH('Table 2.3b'!$A200&amp;'Table 2.3b'!$C200,UtilityList!$A$4:$A$251&amp;UtilityList!$C$4:$C$251,0)))</f>
        <v>North Slope</v>
      </c>
      <c r="O200" s="382" t="str">
        <f t="array" ref="O200">IFERROR(INDEX(UtilityList!K$4:K$251,MATCH('Table 2.3b'!$A200&amp;'Table 2.3b'!$B200&amp;'Table 2.3b'!$C200,UtilityList!$A$4:$A$251&amp;UtilityList!$B$4:$B$251&amp;UtilityList!$C$4:$C$251,0)),INDEX(UtilityList!K$4:K$251,MATCH('Table 2.3b'!$A200&amp;'Table 2.3b'!$C200,UtilityList!$A$4:$A$251&amp;UtilityList!$C$4:$C$251,0)))</f>
        <v>North Slope</v>
      </c>
      <c r="P200" s="382" t="str">
        <f t="array" ref="P200">IFERROR(INDEX(UtilityList!L$4:L$251,MATCH('Table 2.3b'!$A200&amp;'Table 2.3b'!$B200&amp;'Table 2.3b'!$C200,UtilityList!$A$4:$A$251&amp;UtilityList!$B$4:$B$251&amp;UtilityList!$C$4:$C$251,0)),INDEX(UtilityList!L$4:L$251,MATCH('Table 2.3b'!$A200&amp;'Table 2.3b'!$C200,UtilityList!$A$4:$A$251&amp;UtilityList!$C$4:$C$251,0)))</f>
        <v>Arctic Slope</v>
      </c>
      <c r="Q200" s="382" t="str">
        <f t="array" ref="Q200">IFERROR(INDEX(UtilityList!M$4:M$251,MATCH('Table 2.3b'!$A200&amp;'Table 2.3b'!$B200&amp;'Table 2.3b'!$C200,UtilityList!$A$4:$A$251&amp;UtilityList!$B$4:$B$251&amp;UtilityList!$C$4:$C$251,0)),INDEX(UtilityList!M$4:M$251,MATCH('Table 2.3b'!$A200&amp;'Table 2.3b'!$C200,UtilityList!$A$4:$A$251&amp;UtilityList!$C$4:$C$251,0)))</f>
        <v>AN</v>
      </c>
    </row>
    <row r="201" spans="1:17" customFormat="1" ht="30" x14ac:dyDescent="0.25">
      <c r="A201" s="653" t="s">
        <v>285</v>
      </c>
      <c r="B201" s="452" t="s">
        <v>521</v>
      </c>
      <c r="C201" s="654" t="s">
        <v>286</v>
      </c>
      <c r="D201" s="655">
        <v>829.24900000000002</v>
      </c>
      <c r="E201" s="656">
        <v>0</v>
      </c>
      <c r="F201" s="656">
        <v>0</v>
      </c>
      <c r="G201" s="657">
        <v>0</v>
      </c>
      <c r="H201" s="657">
        <v>0</v>
      </c>
      <c r="I201" s="657">
        <v>67849</v>
      </c>
      <c r="J201" s="656">
        <v>0</v>
      </c>
      <c r="K201" s="656">
        <v>0</v>
      </c>
      <c r="L201" s="658" t="s">
        <v>356</v>
      </c>
      <c r="M201" s="659">
        <f t="array" ref="M201">INDEX(UtilityList!Q$4:Q$251,MATCH('Table 2.3b'!$A201&amp;'Table 2.3b'!$B201&amp;'Table 2.3b'!$C201,UtilityList!$A$4:$A$251&amp;UtilityList!$B$4:$B$251&amp;UtilityList!$C$4:$C$251,0))</f>
        <v>0</v>
      </c>
      <c r="N201" s="382" t="str">
        <f t="array" ref="N201">IFERROR(INDEX(UtilityList!J$4:J$251,MATCH('Table 2.3b'!$A201&amp;'Table 2.3b'!$B201&amp;'Table 2.3b'!$C201,UtilityList!$A$4:$A$251&amp;UtilityList!$B$4:$B$251&amp;UtilityList!$C$4:$C$251,0)),INDEX(UtilityList!J$4:J$251,MATCH('Table 2.3b'!$A201&amp;'Table 2.3b'!$C201,UtilityList!$A$4:$A$251&amp;UtilityList!$C$4:$C$251,0)))</f>
        <v>Lower Yukon-Kuskokwim</v>
      </c>
      <c r="O201" s="382" t="str">
        <f t="array" ref="O201">IFERROR(INDEX(UtilityList!K$4:K$251,MATCH('Table 2.3b'!$A201&amp;'Table 2.3b'!$B201&amp;'Table 2.3b'!$C201,UtilityList!$A$4:$A$251&amp;UtilityList!$B$4:$B$251&amp;UtilityList!$C$4:$C$251,0)),INDEX(UtilityList!K$4:K$251,MATCH('Table 2.3b'!$A201&amp;'Table 2.3b'!$C201,UtilityList!$A$4:$A$251&amp;UtilityList!$C$4:$C$251,0)))</f>
        <v>Wade Hampton (CA)</v>
      </c>
      <c r="P201" s="382" t="str">
        <f t="array" ref="P201">IFERROR(INDEX(UtilityList!L$4:L$251,MATCH('Table 2.3b'!$A201&amp;'Table 2.3b'!$B201&amp;'Table 2.3b'!$C201,UtilityList!$A$4:$A$251&amp;UtilityList!$B$4:$B$251&amp;UtilityList!$C$4:$C$251,0)),INDEX(UtilityList!L$4:L$251,MATCH('Table 2.3b'!$A201&amp;'Table 2.3b'!$C201,UtilityList!$A$4:$A$251&amp;UtilityList!$C$4:$C$251,0)))</f>
        <v>Calista</v>
      </c>
      <c r="Q201" s="382" t="str">
        <f t="array" ref="Q201">IFERROR(INDEX(UtilityList!M$4:M$251,MATCH('Table 2.3b'!$A201&amp;'Table 2.3b'!$B201&amp;'Table 2.3b'!$C201,UtilityList!$A$4:$A$251&amp;UtilityList!$B$4:$B$251&amp;UtilityList!$C$4:$C$251,0)),INDEX(UtilityList!M$4:M$251,MATCH('Table 2.3b'!$A201&amp;'Table 2.3b'!$C201,UtilityList!$A$4:$A$251&amp;UtilityList!$C$4:$C$251,0)))</f>
        <v>YU</v>
      </c>
    </row>
    <row r="202" spans="1:17" customFormat="1" ht="45" x14ac:dyDescent="0.25">
      <c r="A202" s="653" t="s">
        <v>536</v>
      </c>
      <c r="B202" s="452" t="s">
        <v>287</v>
      </c>
      <c r="C202" s="654" t="s">
        <v>687</v>
      </c>
      <c r="D202" s="655">
        <v>18800</v>
      </c>
      <c r="E202" s="656">
        <v>0</v>
      </c>
      <c r="F202" s="656">
        <v>0</v>
      </c>
      <c r="G202" s="657">
        <v>0</v>
      </c>
      <c r="H202" s="657">
        <v>0</v>
      </c>
      <c r="I202" s="657">
        <v>1276725</v>
      </c>
      <c r="J202" s="656">
        <v>0</v>
      </c>
      <c r="K202" s="656">
        <v>0</v>
      </c>
      <c r="L202" s="658" t="s">
        <v>356</v>
      </c>
      <c r="M202" s="659" t="str">
        <f t="array" ref="M202">INDEX(UtilityList!Q$4:Q$251,MATCH('Table 2.3b'!$A202&amp;'Table 2.3b'!$B202&amp;'Table 2.3b'!$C202,UtilityList!$A$4:$A$251&amp;UtilityList!$B$4:$B$251&amp;UtilityList!$C$4:$C$251,0))</f>
        <v>Provides power to Aleknagik via intertie. Data includes Aleknagik's information.</v>
      </c>
      <c r="N202" s="382" t="str">
        <f t="array" ref="N202">IFERROR(INDEX(UtilityList!J$4:J$251,MATCH('Table 2.3b'!$A202&amp;'Table 2.3b'!$B202&amp;'Table 2.3b'!$C202,UtilityList!$A$4:$A$251&amp;UtilityList!$B$4:$B$251&amp;UtilityList!$C$4:$C$251,0)),INDEX(UtilityList!J$4:J$251,MATCH('Table 2.3b'!$A202&amp;'Table 2.3b'!$C202,UtilityList!$A$4:$A$251&amp;UtilityList!$C$4:$C$251,0)))</f>
        <v>Bristol Bay</v>
      </c>
      <c r="O202" s="382" t="str">
        <f t="array" ref="O202">IFERROR(INDEX(UtilityList!K$4:K$251,MATCH('Table 2.3b'!$A202&amp;'Table 2.3b'!$B202&amp;'Table 2.3b'!$C202,UtilityList!$A$4:$A$251&amp;UtilityList!$B$4:$B$251&amp;UtilityList!$C$4:$C$251,0)),INDEX(UtilityList!K$4:K$251,MATCH('Table 2.3b'!$A202&amp;'Table 2.3b'!$C202,UtilityList!$A$4:$A$251&amp;UtilityList!$C$4:$C$251,0)))</f>
        <v>Dillingham (CA)</v>
      </c>
      <c r="P202" s="382" t="str">
        <f t="array" ref="P202">IFERROR(INDEX(UtilityList!L$4:L$251,MATCH('Table 2.3b'!$A202&amp;'Table 2.3b'!$B202&amp;'Table 2.3b'!$C202,UtilityList!$A$4:$A$251&amp;UtilityList!$B$4:$B$251&amp;UtilityList!$C$4:$C$251,0)),INDEX(UtilityList!L$4:L$251,MATCH('Table 2.3b'!$A202&amp;'Table 2.3b'!$C202,UtilityList!$A$4:$A$251&amp;UtilityList!$C$4:$C$251,0)))</f>
        <v>Bristol Bay</v>
      </c>
      <c r="Q202" s="382" t="str">
        <f t="array" ref="Q202">IFERROR(INDEX(UtilityList!M$4:M$251,MATCH('Table 2.3b'!$A202&amp;'Table 2.3b'!$B202&amp;'Table 2.3b'!$C202,UtilityList!$A$4:$A$251&amp;UtilityList!$B$4:$B$251&amp;UtilityList!$C$4:$C$251,0)),INDEX(UtilityList!M$4:M$251,MATCH('Table 2.3b'!$A202&amp;'Table 2.3b'!$C202,UtilityList!$A$4:$A$251&amp;UtilityList!$C$4:$C$251,0)))</f>
        <v>SW</v>
      </c>
    </row>
    <row r="203" spans="1:17" customFormat="1" x14ac:dyDescent="0.25">
      <c r="A203" s="653" t="s">
        <v>288</v>
      </c>
      <c r="B203" s="452" t="s">
        <v>289</v>
      </c>
      <c r="C203" s="654" t="s">
        <v>289</v>
      </c>
      <c r="D203" s="655">
        <v>328.82</v>
      </c>
      <c r="E203" s="656">
        <v>0</v>
      </c>
      <c r="F203" s="656">
        <v>0</v>
      </c>
      <c r="G203" s="657">
        <v>0</v>
      </c>
      <c r="H203" s="657">
        <v>0</v>
      </c>
      <c r="I203" s="657">
        <v>26152</v>
      </c>
      <c r="J203" s="656">
        <v>0</v>
      </c>
      <c r="K203" s="656">
        <v>0</v>
      </c>
      <c r="L203" s="658" t="s">
        <v>356</v>
      </c>
      <c r="M203" s="659">
        <f t="array" ref="M203">INDEX(UtilityList!Q$4:Q$251,MATCH('Table 2.3b'!$A203&amp;'Table 2.3b'!$B203&amp;'Table 2.3b'!$C203,UtilityList!$A$4:$A$251&amp;UtilityList!$B$4:$B$251&amp;UtilityList!$C$4:$C$251,0))</f>
        <v>0</v>
      </c>
      <c r="N203" s="382" t="str">
        <f t="array" ref="N203">IFERROR(INDEX(UtilityList!J$4:J$251,MATCH('Table 2.3b'!$A203&amp;'Table 2.3b'!$B203&amp;'Table 2.3b'!$C203,UtilityList!$A$4:$A$251&amp;UtilityList!$B$4:$B$251&amp;UtilityList!$C$4:$C$251,0)),INDEX(UtilityList!J$4:J$251,MATCH('Table 2.3b'!$A203&amp;'Table 2.3b'!$C203,UtilityList!$A$4:$A$251&amp;UtilityList!$C$4:$C$251,0)))</f>
        <v>Kodiak</v>
      </c>
      <c r="O203" s="382" t="str">
        <f t="array" ref="O203">IFERROR(INDEX(UtilityList!K$4:K$251,MATCH('Table 2.3b'!$A203&amp;'Table 2.3b'!$B203&amp;'Table 2.3b'!$C203,UtilityList!$A$4:$A$251&amp;UtilityList!$B$4:$B$251&amp;UtilityList!$C$4:$C$251,0)),INDEX(UtilityList!K$4:K$251,MATCH('Table 2.3b'!$A203&amp;'Table 2.3b'!$C203,UtilityList!$A$4:$A$251&amp;UtilityList!$C$4:$C$251,0)))</f>
        <v>Kodiak Island</v>
      </c>
      <c r="P203" s="382" t="str">
        <f t="array" ref="P203">IFERROR(INDEX(UtilityList!L$4:L$251,MATCH('Table 2.3b'!$A203&amp;'Table 2.3b'!$B203&amp;'Table 2.3b'!$C203,UtilityList!$A$4:$A$251&amp;UtilityList!$B$4:$B$251&amp;UtilityList!$C$4:$C$251,0)),INDEX(UtilityList!L$4:L$251,MATCH('Table 2.3b'!$A203&amp;'Table 2.3b'!$C203,UtilityList!$A$4:$A$251&amp;UtilityList!$C$4:$C$251,0)))</f>
        <v>Koniag</v>
      </c>
      <c r="Q203" s="382" t="str">
        <f t="array" ref="Q203">IFERROR(INDEX(UtilityList!M$4:M$251,MATCH('Table 2.3b'!$A203&amp;'Table 2.3b'!$B203&amp;'Table 2.3b'!$C203,UtilityList!$A$4:$A$251&amp;UtilityList!$B$4:$B$251&amp;UtilityList!$C$4:$C$251,0)),INDEX(UtilityList!M$4:M$251,MATCH('Table 2.3b'!$A203&amp;'Table 2.3b'!$C203,UtilityList!$A$4:$A$251&amp;UtilityList!$C$4:$C$251,0)))</f>
        <v>SC</v>
      </c>
    </row>
    <row r="204" spans="1:17" customFormat="1" ht="30" x14ac:dyDescent="0.25">
      <c r="A204" s="653" t="s">
        <v>290</v>
      </c>
      <c r="B204" s="452" t="s">
        <v>291</v>
      </c>
      <c r="C204" s="654" t="s">
        <v>291</v>
      </c>
      <c r="D204" s="655">
        <v>211.78700000000001</v>
      </c>
      <c r="E204" s="656">
        <v>0</v>
      </c>
      <c r="F204" s="656">
        <v>0</v>
      </c>
      <c r="G204" s="657">
        <v>0</v>
      </c>
      <c r="H204" s="657">
        <v>0</v>
      </c>
      <c r="I204" s="657">
        <v>19514</v>
      </c>
      <c r="J204" s="656">
        <v>0</v>
      </c>
      <c r="K204" s="656">
        <v>0</v>
      </c>
      <c r="L204" s="658" t="s">
        <v>356</v>
      </c>
      <c r="M204" s="659">
        <f t="array" ref="M204">INDEX(UtilityList!Q$4:Q$251,MATCH('Table 2.3b'!$A204&amp;'Table 2.3b'!$B204&amp;'Table 2.3b'!$C204,UtilityList!$A$4:$A$251&amp;UtilityList!$B$4:$B$251&amp;UtilityList!$C$4:$C$251,0))</f>
        <v>0</v>
      </c>
      <c r="N204" s="382" t="str">
        <f t="array" ref="N204">IFERROR(INDEX(UtilityList!J$4:J$251,MATCH('Table 2.3b'!$A204&amp;'Table 2.3b'!$B204&amp;'Table 2.3b'!$C204,UtilityList!$A$4:$A$251&amp;UtilityList!$B$4:$B$251&amp;UtilityList!$C$4:$C$251,0)),INDEX(UtilityList!J$4:J$251,MATCH('Table 2.3b'!$A204&amp;'Table 2.3b'!$C204,UtilityList!$A$4:$A$251&amp;UtilityList!$C$4:$C$251,0)))</f>
        <v>Bristol Bay</v>
      </c>
      <c r="O204" s="382" t="str">
        <f t="array" ref="O204">IFERROR(INDEX(UtilityList!K$4:K$251,MATCH('Table 2.3b'!$A204&amp;'Table 2.3b'!$B204&amp;'Table 2.3b'!$C204,UtilityList!$A$4:$A$251&amp;UtilityList!$B$4:$B$251&amp;UtilityList!$C$4:$C$251,0)),INDEX(UtilityList!K$4:K$251,MATCH('Table 2.3b'!$A204&amp;'Table 2.3b'!$C204,UtilityList!$A$4:$A$251&amp;UtilityList!$C$4:$C$251,0)))</f>
        <v>Lake and Peninsula</v>
      </c>
      <c r="P204" s="382" t="str">
        <f t="array" ref="P204">IFERROR(INDEX(UtilityList!L$4:L$251,MATCH('Table 2.3b'!$A204&amp;'Table 2.3b'!$B204&amp;'Table 2.3b'!$C204,UtilityList!$A$4:$A$251&amp;UtilityList!$B$4:$B$251&amp;UtilityList!$C$4:$C$251,0)),INDEX(UtilityList!L$4:L$251,MATCH('Table 2.3b'!$A204&amp;'Table 2.3b'!$C204,UtilityList!$A$4:$A$251&amp;UtilityList!$C$4:$C$251,0)))</f>
        <v>Bristol Bay</v>
      </c>
      <c r="Q204" s="382" t="str">
        <f t="array" ref="Q204">IFERROR(INDEX(UtilityList!M$4:M$251,MATCH('Table 2.3b'!$A204&amp;'Table 2.3b'!$B204&amp;'Table 2.3b'!$C204,UtilityList!$A$4:$A$251&amp;UtilityList!$B$4:$B$251&amp;UtilityList!$C$4:$C$251,0)),INDEX(UtilityList!M$4:M$251,MATCH('Table 2.3b'!$A204&amp;'Table 2.3b'!$C204,UtilityList!$A$4:$A$251&amp;UtilityList!$C$4:$C$251,0)))</f>
        <v>SW</v>
      </c>
    </row>
    <row r="205" spans="1:17" customFormat="1" x14ac:dyDescent="0.25">
      <c r="A205" s="653" t="s">
        <v>292</v>
      </c>
      <c r="B205" s="452" t="s">
        <v>293</v>
      </c>
      <c r="C205" s="654" t="s">
        <v>293</v>
      </c>
      <c r="D205" s="655">
        <v>798.50199999999995</v>
      </c>
      <c r="E205" s="656">
        <v>0</v>
      </c>
      <c r="F205" s="656">
        <v>0</v>
      </c>
      <c r="G205" s="657">
        <v>0</v>
      </c>
      <c r="H205" s="657">
        <v>0</v>
      </c>
      <c r="I205" s="657">
        <v>66631</v>
      </c>
      <c r="J205" s="656">
        <v>0</v>
      </c>
      <c r="K205" s="656">
        <v>0</v>
      </c>
      <c r="L205" s="658" t="s">
        <v>356</v>
      </c>
      <c r="M205" s="659">
        <f t="array" ref="M205">INDEX(UtilityList!Q$4:Q$251,MATCH('Table 2.3b'!$A205&amp;'Table 2.3b'!$B205&amp;'Table 2.3b'!$C205,UtilityList!$A$4:$A$251&amp;UtilityList!$B$4:$B$251&amp;UtilityList!$C$4:$C$251,0))</f>
        <v>0</v>
      </c>
      <c r="N205" s="382" t="str">
        <f t="array" ref="N205">IFERROR(INDEX(UtilityList!J$4:J$251,MATCH('Table 2.3b'!$A205&amp;'Table 2.3b'!$B205&amp;'Table 2.3b'!$C205,UtilityList!$A$4:$A$251&amp;UtilityList!$B$4:$B$251&amp;UtilityList!$C$4:$C$251,0)),INDEX(UtilityList!J$4:J$251,MATCH('Table 2.3b'!$A205&amp;'Table 2.3b'!$C205,UtilityList!$A$4:$A$251&amp;UtilityList!$C$4:$C$251,0)))</f>
        <v>Southeast</v>
      </c>
      <c r="O205" s="382" t="str">
        <f t="array" ref="O205">IFERROR(INDEX(UtilityList!K$4:K$251,MATCH('Table 2.3b'!$A205&amp;'Table 2.3b'!$B205&amp;'Table 2.3b'!$C205,UtilityList!$A$4:$A$251&amp;UtilityList!$B$4:$B$251&amp;UtilityList!$C$4:$C$251,0)),INDEX(UtilityList!K$4:K$251,MATCH('Table 2.3b'!$A205&amp;'Table 2.3b'!$C205,UtilityList!$A$4:$A$251&amp;UtilityList!$C$4:$C$251,0)))</f>
        <v>Hoonah-Angoon (CA)</v>
      </c>
      <c r="P205" s="382" t="str">
        <f t="array" ref="P205">IFERROR(INDEX(UtilityList!L$4:L$251,MATCH('Table 2.3b'!$A205&amp;'Table 2.3b'!$B205&amp;'Table 2.3b'!$C205,UtilityList!$A$4:$A$251&amp;UtilityList!$B$4:$B$251&amp;UtilityList!$C$4:$C$251,0)),INDEX(UtilityList!L$4:L$251,MATCH('Table 2.3b'!$A205&amp;'Table 2.3b'!$C205,UtilityList!$A$4:$A$251&amp;UtilityList!$C$4:$C$251,0)))</f>
        <v>Sealaska</v>
      </c>
      <c r="Q205" s="382" t="str">
        <f t="array" ref="Q205">IFERROR(INDEX(UtilityList!M$4:M$251,MATCH('Table 2.3b'!$A205&amp;'Table 2.3b'!$B205&amp;'Table 2.3b'!$C205,UtilityList!$A$4:$A$251&amp;UtilityList!$B$4:$B$251&amp;UtilityList!$C$4:$C$251,0)),INDEX(UtilityList!M$4:M$251,MATCH('Table 2.3b'!$A205&amp;'Table 2.3b'!$C205,UtilityList!$A$4:$A$251&amp;UtilityList!$C$4:$C$251,0)))</f>
        <v>SE</v>
      </c>
    </row>
    <row r="206" spans="1:17" customFormat="1" x14ac:dyDescent="0.25">
      <c r="A206" s="360" t="s">
        <v>294</v>
      </c>
      <c r="B206" s="452" t="s">
        <v>522</v>
      </c>
      <c r="C206" s="361" t="s">
        <v>295</v>
      </c>
      <c r="D206" s="644">
        <v>618</v>
      </c>
      <c r="E206" s="656">
        <v>0</v>
      </c>
      <c r="F206" s="656">
        <v>0</v>
      </c>
      <c r="G206" s="644">
        <v>10803</v>
      </c>
      <c r="H206" s="644">
        <v>0</v>
      </c>
      <c r="I206" s="644">
        <v>46662</v>
      </c>
      <c r="J206" s="656">
        <v>0</v>
      </c>
      <c r="K206" s="656">
        <v>0</v>
      </c>
      <c r="L206" s="658" t="s">
        <v>558</v>
      </c>
      <c r="M206" s="659">
        <f t="array" ref="M206">INDEX(UtilityList!Q$4:Q$251,MATCH('Table 2.3b'!$A206&amp;'Table 2.3b'!$B206&amp;'Table 2.3b'!$C206,UtilityList!$A$4:$A$251&amp;UtilityList!$B$4:$B$251&amp;UtilityList!$C$4:$C$251,0))</f>
        <v>0</v>
      </c>
      <c r="N206" s="382" t="str">
        <f t="array" ref="N206">IFERROR(INDEX(UtilityList!J$4:J$251,MATCH('Table 2.3b'!$A206&amp;'Table 2.3b'!$B206&amp;'Table 2.3b'!$C206,UtilityList!$A$4:$A$251&amp;UtilityList!$B$4:$B$251&amp;UtilityList!$C$4:$C$251,0)),INDEX(UtilityList!J$4:J$251,MATCH('Table 2.3b'!$A206&amp;'Table 2.3b'!$C206,UtilityList!$A$4:$A$251&amp;UtilityList!$C$4:$C$251,0)))</f>
        <v>Southeast</v>
      </c>
      <c r="O206" s="382" t="str">
        <f t="array" ref="O206">IFERROR(INDEX(UtilityList!K$4:K$251,MATCH('Table 2.3b'!$A206&amp;'Table 2.3b'!$B206&amp;'Table 2.3b'!$C206,UtilityList!$A$4:$A$251&amp;UtilityList!$B$4:$B$251&amp;UtilityList!$C$4:$C$251,0)),INDEX(UtilityList!K$4:K$251,MATCH('Table 2.3b'!$A206&amp;'Table 2.3b'!$C206,UtilityList!$A$4:$A$251&amp;UtilityList!$C$4:$C$251,0)))</f>
        <v>Petersburg (CA)</v>
      </c>
      <c r="P206" s="382" t="str">
        <f t="array" ref="P206">IFERROR(INDEX(UtilityList!L$4:L$251,MATCH('Table 2.3b'!$A206&amp;'Table 2.3b'!$B206&amp;'Table 2.3b'!$C206,UtilityList!$A$4:$A$251&amp;UtilityList!$B$4:$B$251&amp;UtilityList!$C$4:$C$251,0)),INDEX(UtilityList!L$4:L$251,MATCH('Table 2.3b'!$A206&amp;'Table 2.3b'!$C206,UtilityList!$A$4:$A$251&amp;UtilityList!$C$4:$C$251,0)))</f>
        <v>Sealaska</v>
      </c>
      <c r="Q206" s="382" t="str">
        <f t="array" ref="Q206">IFERROR(INDEX(UtilityList!M$4:M$251,MATCH('Table 2.3b'!$A206&amp;'Table 2.3b'!$B206&amp;'Table 2.3b'!$C206,UtilityList!$A$4:$A$251&amp;UtilityList!$B$4:$B$251&amp;UtilityList!$C$4:$C$251,0)),INDEX(UtilityList!M$4:M$251,MATCH('Table 2.3b'!$A206&amp;'Table 2.3b'!$C206,UtilityList!$A$4:$A$251&amp;UtilityList!$C$4:$C$251,0)))</f>
        <v>SE</v>
      </c>
    </row>
    <row r="207" spans="1:17" customFormat="1" ht="30" x14ac:dyDescent="0.25">
      <c r="A207" s="653" t="s">
        <v>296</v>
      </c>
      <c r="B207" s="452" t="s">
        <v>297</v>
      </c>
      <c r="C207" s="654" t="s">
        <v>297</v>
      </c>
      <c r="D207" s="655">
        <v>443.084</v>
      </c>
      <c r="E207" s="656">
        <v>0</v>
      </c>
      <c r="F207" s="656">
        <v>0</v>
      </c>
      <c r="G207" s="657">
        <v>0</v>
      </c>
      <c r="H207" s="657">
        <v>5.5170000000000003</v>
      </c>
      <c r="I207" s="657">
        <v>44192</v>
      </c>
      <c r="J207" s="656">
        <v>0</v>
      </c>
      <c r="K207" s="656">
        <v>0</v>
      </c>
      <c r="L207" s="658" t="s">
        <v>356</v>
      </c>
      <c r="M207" s="659">
        <f t="array" ref="M207">INDEX(UtilityList!Q$4:Q$251,MATCH('Table 2.3b'!$A207&amp;'Table 2.3b'!$B207&amp;'Table 2.3b'!$C207,UtilityList!$A$4:$A$251&amp;UtilityList!$B$4:$B$251&amp;UtilityList!$C$4:$C$251,0))</f>
        <v>0</v>
      </c>
      <c r="N207" s="382" t="str">
        <f t="array" ref="N207">IFERROR(INDEX(UtilityList!J$4:J$251,MATCH('Table 2.3b'!$A207&amp;'Table 2.3b'!$B207&amp;'Table 2.3b'!$C207,UtilityList!$A$4:$A$251&amp;UtilityList!$B$4:$B$251&amp;UtilityList!$C$4:$C$251,0)),INDEX(UtilityList!J$4:J$251,MATCH('Table 2.3b'!$A207&amp;'Table 2.3b'!$C207,UtilityList!$A$4:$A$251&amp;UtilityList!$C$4:$C$251,0)))</f>
        <v>Bristol Bay</v>
      </c>
      <c r="O207" s="382" t="str">
        <f t="array" ref="O207">IFERROR(INDEX(UtilityList!K$4:K$251,MATCH('Table 2.3b'!$A207&amp;'Table 2.3b'!$B207&amp;'Table 2.3b'!$C207,UtilityList!$A$4:$A$251&amp;UtilityList!$B$4:$B$251&amp;UtilityList!$C$4:$C$251,0)),INDEX(UtilityList!K$4:K$251,MATCH('Table 2.3b'!$A207&amp;'Table 2.3b'!$C207,UtilityList!$A$4:$A$251&amp;UtilityList!$C$4:$C$251,0)))</f>
        <v>Lake and Peninsula</v>
      </c>
      <c r="P207" s="382" t="str">
        <f t="array" ref="P207">IFERROR(INDEX(UtilityList!L$4:L$251,MATCH('Table 2.3b'!$A207&amp;'Table 2.3b'!$B207&amp;'Table 2.3b'!$C207,UtilityList!$A$4:$A$251&amp;UtilityList!$B$4:$B$251&amp;UtilityList!$C$4:$C$251,0)),INDEX(UtilityList!L$4:L$251,MATCH('Table 2.3b'!$A207&amp;'Table 2.3b'!$C207,UtilityList!$A$4:$A$251&amp;UtilityList!$C$4:$C$251,0)))</f>
        <v>Bristol Bay</v>
      </c>
      <c r="Q207" s="382" t="str">
        <f t="array" ref="Q207">IFERROR(INDEX(UtilityList!M$4:M$251,MATCH('Table 2.3b'!$A207&amp;'Table 2.3b'!$B207&amp;'Table 2.3b'!$C207,UtilityList!$A$4:$A$251&amp;UtilityList!$B$4:$B$251&amp;UtilityList!$C$4:$C$251,0)),INDEX(UtilityList!M$4:M$251,MATCH('Table 2.3b'!$A207&amp;'Table 2.3b'!$C207,UtilityList!$A$4:$A$251&amp;UtilityList!$C$4:$C$251,0)))</f>
        <v>SW</v>
      </c>
    </row>
    <row r="208" spans="1:17" customFormat="1" x14ac:dyDescent="0.25">
      <c r="A208" s="653" t="s">
        <v>300</v>
      </c>
      <c r="B208" s="452" t="s">
        <v>301</v>
      </c>
      <c r="C208" s="654" t="s">
        <v>301</v>
      </c>
      <c r="D208" s="655">
        <v>490.07</v>
      </c>
      <c r="E208" s="656">
        <v>0</v>
      </c>
      <c r="F208" s="656">
        <v>0</v>
      </c>
      <c r="G208" s="657">
        <v>0</v>
      </c>
      <c r="H208" s="657">
        <v>0</v>
      </c>
      <c r="I208" s="657">
        <v>57543.000000000007</v>
      </c>
      <c r="J208" s="656">
        <v>0</v>
      </c>
      <c r="K208" s="656">
        <v>0</v>
      </c>
      <c r="L208" s="658" t="s">
        <v>356</v>
      </c>
      <c r="M208" s="659">
        <f t="array" ref="M208">INDEX(UtilityList!Q$4:Q$251,MATCH('Table 2.3b'!$A208&amp;'Table 2.3b'!$B208&amp;'Table 2.3b'!$C208,UtilityList!$A$4:$A$251&amp;UtilityList!$B$4:$B$251&amp;UtilityList!$C$4:$C$251,0))</f>
        <v>0</v>
      </c>
      <c r="N208" s="382" t="str">
        <f t="array" ref="N208">IFERROR(INDEX(UtilityList!J$4:J$251,MATCH('Table 2.3b'!$A208&amp;'Table 2.3b'!$B208&amp;'Table 2.3b'!$C208,UtilityList!$A$4:$A$251&amp;UtilityList!$B$4:$B$251&amp;UtilityList!$C$4:$C$251,0)),INDEX(UtilityList!J$4:J$251,MATCH('Table 2.3b'!$A208&amp;'Table 2.3b'!$C208,UtilityList!$A$4:$A$251&amp;UtilityList!$C$4:$C$251,0)))</f>
        <v>Bristol Bay</v>
      </c>
      <c r="O208" s="382" t="str">
        <f t="array" ref="O208">IFERROR(INDEX(UtilityList!K$4:K$251,MATCH('Table 2.3b'!$A208&amp;'Table 2.3b'!$B208&amp;'Table 2.3b'!$C208,UtilityList!$A$4:$A$251&amp;UtilityList!$B$4:$B$251&amp;UtilityList!$C$4:$C$251,0)),INDEX(UtilityList!K$4:K$251,MATCH('Table 2.3b'!$A208&amp;'Table 2.3b'!$C208,UtilityList!$A$4:$A$251&amp;UtilityList!$C$4:$C$251,0)))</f>
        <v>Lake and Peninsula</v>
      </c>
      <c r="P208" s="382" t="str">
        <f t="array" ref="P208">IFERROR(INDEX(UtilityList!L$4:L$251,MATCH('Table 2.3b'!$A208&amp;'Table 2.3b'!$B208&amp;'Table 2.3b'!$C208,UtilityList!$A$4:$A$251&amp;UtilityList!$B$4:$B$251&amp;UtilityList!$C$4:$C$251,0)),INDEX(UtilityList!L$4:L$251,MATCH('Table 2.3b'!$A208&amp;'Table 2.3b'!$C208,UtilityList!$A$4:$A$251&amp;UtilityList!$C$4:$C$251,0)))</f>
        <v>Bristol Bay</v>
      </c>
      <c r="Q208" s="382" t="str">
        <f t="array" ref="Q208">IFERROR(INDEX(UtilityList!M$4:M$251,MATCH('Table 2.3b'!$A208&amp;'Table 2.3b'!$B208&amp;'Table 2.3b'!$C208,UtilityList!$A$4:$A$251&amp;UtilityList!$B$4:$B$251&amp;UtilityList!$C$4:$C$251,0)),INDEX(UtilityList!M$4:M$251,MATCH('Table 2.3b'!$A208&amp;'Table 2.3b'!$C208,UtilityList!$A$4:$A$251&amp;UtilityList!$C$4:$C$251,0)))</f>
        <v>SW</v>
      </c>
    </row>
    <row r="209" spans="1:17" customFormat="1" ht="30" x14ac:dyDescent="0.25">
      <c r="A209" s="653" t="s">
        <v>302</v>
      </c>
      <c r="B209" s="452" t="s">
        <v>303</v>
      </c>
      <c r="C209" s="654" t="s">
        <v>303</v>
      </c>
      <c r="D209" s="655">
        <v>671.83900000000006</v>
      </c>
      <c r="E209" s="656">
        <v>0</v>
      </c>
      <c r="F209" s="656">
        <v>0</v>
      </c>
      <c r="G209" s="657">
        <v>0</v>
      </c>
      <c r="H209" s="657">
        <v>44</v>
      </c>
      <c r="I209" s="657">
        <v>88397</v>
      </c>
      <c r="J209" s="656">
        <v>0</v>
      </c>
      <c r="K209" s="656">
        <v>0</v>
      </c>
      <c r="L209" s="658" t="s">
        <v>356</v>
      </c>
      <c r="M209" s="659">
        <f t="array" ref="M209">INDEX(UtilityList!Q$4:Q$251,MATCH('Table 2.3b'!$A209&amp;'Table 2.3b'!$B209&amp;'Table 2.3b'!$C209,UtilityList!$A$4:$A$251&amp;UtilityList!$B$4:$B$251&amp;UtilityList!$C$4:$C$251,0))</f>
        <v>0</v>
      </c>
      <c r="N209" s="382" t="str">
        <f t="array" ref="N209">IFERROR(INDEX(UtilityList!J$4:J$251,MATCH('Table 2.3b'!$A209&amp;'Table 2.3b'!$B209&amp;'Table 2.3b'!$C209,UtilityList!$A$4:$A$251&amp;UtilityList!$B$4:$B$251&amp;UtilityList!$C$4:$C$251,0)),INDEX(UtilityList!J$4:J$251,MATCH('Table 2.3b'!$A209&amp;'Table 2.3b'!$C209,UtilityList!$A$4:$A$251&amp;UtilityList!$C$4:$C$251,0)))</f>
        <v>Lower Yukon-Kuskokwim</v>
      </c>
      <c r="O209" s="382" t="str">
        <f t="array" ref="O209">IFERROR(INDEX(UtilityList!K$4:K$251,MATCH('Table 2.3b'!$A209&amp;'Table 2.3b'!$B209&amp;'Table 2.3b'!$C209,UtilityList!$A$4:$A$251&amp;UtilityList!$B$4:$B$251&amp;UtilityList!$C$4:$C$251,0)),INDEX(UtilityList!K$4:K$251,MATCH('Table 2.3b'!$A209&amp;'Table 2.3b'!$C209,UtilityList!$A$4:$A$251&amp;UtilityList!$C$4:$C$251,0)))</f>
        <v>Bethel (CA)</v>
      </c>
      <c r="P209" s="382" t="str">
        <f t="array" ref="P209">IFERROR(INDEX(UtilityList!L$4:L$251,MATCH('Table 2.3b'!$A209&amp;'Table 2.3b'!$B209&amp;'Table 2.3b'!$C209,UtilityList!$A$4:$A$251&amp;UtilityList!$B$4:$B$251&amp;UtilityList!$C$4:$C$251,0)),INDEX(UtilityList!L$4:L$251,MATCH('Table 2.3b'!$A209&amp;'Table 2.3b'!$C209,UtilityList!$A$4:$A$251&amp;UtilityList!$C$4:$C$251,0)))</f>
        <v>Calista</v>
      </c>
      <c r="Q209" s="382" t="str">
        <f t="array" ref="Q209">IFERROR(INDEX(UtilityList!M$4:M$251,MATCH('Table 2.3b'!$A209&amp;'Table 2.3b'!$B209&amp;'Table 2.3b'!$C209,UtilityList!$A$4:$A$251&amp;UtilityList!$B$4:$B$251&amp;UtilityList!$C$4:$C$251,0)),INDEX(UtilityList!M$4:M$251,MATCH('Table 2.3b'!$A209&amp;'Table 2.3b'!$C209,UtilityList!$A$4:$A$251&amp;UtilityList!$C$4:$C$251,0)))</f>
        <v>SW</v>
      </c>
    </row>
    <row r="210" spans="1:17" s="8" customFormat="1" ht="30" x14ac:dyDescent="0.25">
      <c r="A210" s="653" t="s">
        <v>306</v>
      </c>
      <c r="B210" s="452" t="s">
        <v>307</v>
      </c>
      <c r="C210" s="654" t="s">
        <v>307</v>
      </c>
      <c r="D210" s="655">
        <v>732.57640000000004</v>
      </c>
      <c r="E210" s="656">
        <v>0</v>
      </c>
      <c r="F210" s="656">
        <v>0</v>
      </c>
      <c r="G210" s="657">
        <v>0</v>
      </c>
      <c r="H210" s="657">
        <v>0</v>
      </c>
      <c r="I210" s="657">
        <v>53248</v>
      </c>
      <c r="J210" s="656">
        <v>0</v>
      </c>
      <c r="K210" s="656">
        <v>0</v>
      </c>
      <c r="L210" s="658" t="s">
        <v>356</v>
      </c>
      <c r="M210" s="659">
        <f t="array" ref="M210">INDEX(UtilityList!Q$4:Q$251,MATCH('Table 2.3b'!$A210&amp;'Table 2.3b'!$B210&amp;'Table 2.3b'!$C210,UtilityList!$A$4:$A$251&amp;UtilityList!$B$4:$B$251&amp;UtilityList!$C$4:$C$251,0))</f>
        <v>0</v>
      </c>
      <c r="N210" s="382" t="str">
        <f t="array" ref="N210">IFERROR(INDEX(UtilityList!J$4:J$251,MATCH('Table 2.3b'!$A210&amp;'Table 2.3b'!$B210&amp;'Table 2.3b'!$C210,UtilityList!$A$4:$A$251&amp;UtilityList!$B$4:$B$251&amp;UtilityList!$C$4:$C$251,0)),INDEX(UtilityList!J$4:J$251,MATCH('Table 2.3b'!$A210&amp;'Table 2.3b'!$C210,UtilityList!$A$4:$A$251&amp;UtilityList!$C$4:$C$251,0)))</f>
        <v>Yukon-Koyukuk/Upper Tanana</v>
      </c>
      <c r="O210" s="382" t="str">
        <f t="array" ref="O210">IFERROR(INDEX(UtilityList!K$4:K$251,MATCH('Table 2.3b'!$A210&amp;'Table 2.3b'!$B210&amp;'Table 2.3b'!$C210,UtilityList!$A$4:$A$251&amp;UtilityList!$B$4:$B$251&amp;UtilityList!$C$4:$C$251,0)),INDEX(UtilityList!K$4:K$251,MATCH('Table 2.3b'!$A210&amp;'Table 2.3b'!$C210,UtilityList!$A$4:$A$251&amp;UtilityList!$C$4:$C$251,0)))</f>
        <v>Yukon-Koyukuk (CA)</v>
      </c>
      <c r="P210" s="382" t="str">
        <f t="array" ref="P210">IFERROR(INDEX(UtilityList!L$4:L$251,MATCH('Table 2.3b'!$A210&amp;'Table 2.3b'!$B210&amp;'Table 2.3b'!$C210,UtilityList!$A$4:$A$251&amp;UtilityList!$B$4:$B$251&amp;UtilityList!$C$4:$C$251,0)),INDEX(UtilityList!L$4:L$251,MATCH('Table 2.3b'!$A210&amp;'Table 2.3b'!$C210,UtilityList!$A$4:$A$251&amp;UtilityList!$C$4:$C$251,0)))</f>
        <v>Doyon</v>
      </c>
      <c r="Q210" s="382" t="str">
        <f t="array" ref="Q210">IFERROR(INDEX(UtilityList!M$4:M$251,MATCH('Table 2.3b'!$A210&amp;'Table 2.3b'!$B210&amp;'Table 2.3b'!$C210,UtilityList!$A$4:$A$251&amp;UtilityList!$B$4:$B$251&amp;UtilityList!$C$4:$C$251,0)),INDEX(UtilityList!M$4:M$251,MATCH('Table 2.3b'!$A210&amp;'Table 2.3b'!$C210,UtilityList!$A$4:$A$251&amp;UtilityList!$C$4:$C$251,0)))</f>
        <v>YU</v>
      </c>
    </row>
    <row r="211" spans="1:17" s="169" customFormat="1" x14ac:dyDescent="0.25">
      <c r="A211" s="653" t="s">
        <v>308</v>
      </c>
      <c r="B211" s="452" t="s">
        <v>309</v>
      </c>
      <c r="C211" s="654" t="s">
        <v>309</v>
      </c>
      <c r="D211" s="655">
        <v>420.73200000000003</v>
      </c>
      <c r="E211" s="656">
        <v>0</v>
      </c>
      <c r="F211" s="656">
        <v>0</v>
      </c>
      <c r="G211" s="657">
        <v>0</v>
      </c>
      <c r="H211" s="657">
        <v>0</v>
      </c>
      <c r="I211" s="657">
        <v>35990</v>
      </c>
      <c r="J211" s="656">
        <v>0</v>
      </c>
      <c r="K211" s="656">
        <v>0</v>
      </c>
      <c r="L211" s="658" t="s">
        <v>356</v>
      </c>
      <c r="M211" s="659">
        <f t="array" ref="M211">INDEX(UtilityList!Q$4:Q$251,MATCH('Table 2.3b'!$A211&amp;'Table 2.3b'!$B211&amp;'Table 2.3b'!$C211,UtilityList!$A$4:$A$251&amp;UtilityList!$B$4:$B$251&amp;UtilityList!$C$4:$C$251,0))</f>
        <v>0</v>
      </c>
      <c r="N211" s="382" t="str">
        <f t="array" ref="N211">IFERROR(INDEX(UtilityList!J$4:J$251,MATCH('Table 2.3b'!$A211&amp;'Table 2.3b'!$B211&amp;'Table 2.3b'!$C211,UtilityList!$A$4:$A$251&amp;UtilityList!$B$4:$B$251&amp;UtilityList!$C$4:$C$251,0)),INDEX(UtilityList!J$4:J$251,MATCH('Table 2.3b'!$A211&amp;'Table 2.3b'!$C211,UtilityList!$A$4:$A$251&amp;UtilityList!$C$4:$C$251,0)))</f>
        <v>Aleutians</v>
      </c>
      <c r="O211" s="382" t="str">
        <f t="array" ref="O211">IFERROR(INDEX(UtilityList!K$4:K$251,MATCH('Table 2.3b'!$A211&amp;'Table 2.3b'!$B211&amp;'Table 2.3b'!$C211,UtilityList!$A$4:$A$251&amp;UtilityList!$B$4:$B$251&amp;UtilityList!$C$4:$C$251,0)),INDEX(UtilityList!K$4:K$251,MATCH('Table 2.3b'!$A211&amp;'Table 2.3b'!$C211,UtilityList!$A$4:$A$251&amp;UtilityList!$C$4:$C$251,0)))</f>
        <v>Aleutians West (CA)</v>
      </c>
      <c r="P211" s="382" t="str">
        <f t="array" ref="P211">IFERROR(INDEX(UtilityList!L$4:L$251,MATCH('Table 2.3b'!$A211&amp;'Table 2.3b'!$B211&amp;'Table 2.3b'!$C211,UtilityList!$A$4:$A$251&amp;UtilityList!$B$4:$B$251&amp;UtilityList!$C$4:$C$251,0)),INDEX(UtilityList!L$4:L$251,MATCH('Table 2.3b'!$A211&amp;'Table 2.3b'!$C211,UtilityList!$A$4:$A$251&amp;UtilityList!$C$4:$C$251,0)))</f>
        <v>Aleut</v>
      </c>
      <c r="Q211" s="382" t="str">
        <f t="array" ref="Q211">IFERROR(INDEX(UtilityList!M$4:M$251,MATCH('Table 2.3b'!$A211&amp;'Table 2.3b'!$B211&amp;'Table 2.3b'!$C211,UtilityList!$A$4:$A$251&amp;UtilityList!$B$4:$B$251&amp;UtilityList!$C$4:$C$251,0)),INDEX(UtilityList!M$4:M$251,MATCH('Table 2.3b'!$A211&amp;'Table 2.3b'!$C211,UtilityList!$A$4:$A$251&amp;UtilityList!$C$4:$C$251,0)))</f>
        <v>SW</v>
      </c>
    </row>
    <row r="212" spans="1:17" customFormat="1" ht="30" x14ac:dyDescent="0.25">
      <c r="A212" s="653" t="s">
        <v>633</v>
      </c>
      <c r="B212" s="452" t="s">
        <v>320</v>
      </c>
      <c r="C212" s="654" t="s">
        <v>320</v>
      </c>
      <c r="D212" s="655">
        <v>4295.9750000000004</v>
      </c>
      <c r="E212" s="656">
        <v>0</v>
      </c>
      <c r="F212" s="656">
        <v>0</v>
      </c>
      <c r="G212" s="657">
        <v>0</v>
      </c>
      <c r="H212" s="657">
        <v>0</v>
      </c>
      <c r="I212" s="657">
        <v>316222</v>
      </c>
      <c r="J212" s="656">
        <v>0</v>
      </c>
      <c r="K212" s="656">
        <v>0</v>
      </c>
      <c r="L212" s="658" t="s">
        <v>356</v>
      </c>
      <c r="M212" s="659">
        <f t="array" ref="M212">INDEX(UtilityList!Q$4:Q$251,MATCH('Table 2.3b'!$A212&amp;'Table 2.3b'!$B212&amp;'Table 2.3b'!$C212,UtilityList!$A$4:$A$251&amp;UtilityList!$B$4:$B$251&amp;UtilityList!$C$4:$C$251,0))</f>
        <v>0</v>
      </c>
      <c r="N212" s="382" t="str">
        <f t="array" ref="N212">IFERROR(INDEX(UtilityList!J$4:J$251,MATCH('Table 2.3b'!$A212&amp;'Table 2.3b'!$B212&amp;'Table 2.3b'!$C212,UtilityList!$A$4:$A$251&amp;UtilityList!$B$4:$B$251&amp;UtilityList!$C$4:$C$251,0)),INDEX(UtilityList!J$4:J$251,MATCH('Table 2.3b'!$A212&amp;'Table 2.3b'!$C212,UtilityList!$A$4:$A$251&amp;UtilityList!$C$4:$C$251,0)))</f>
        <v>Aleutians</v>
      </c>
      <c r="O212" s="382" t="str">
        <f t="array" ref="O212">IFERROR(INDEX(UtilityList!K$4:K$251,MATCH('Table 2.3b'!$A212&amp;'Table 2.3b'!$B212&amp;'Table 2.3b'!$C212,UtilityList!$A$4:$A$251&amp;UtilityList!$B$4:$B$251&amp;UtilityList!$C$4:$C$251,0)),INDEX(UtilityList!K$4:K$251,MATCH('Table 2.3b'!$A212&amp;'Table 2.3b'!$C212,UtilityList!$A$4:$A$251&amp;UtilityList!$C$4:$C$251,0)))</f>
        <v>Aleutians West (CA)</v>
      </c>
      <c r="P212" s="382" t="str">
        <f t="array" ref="P212">IFERROR(INDEX(UtilityList!L$4:L$251,MATCH('Table 2.3b'!$A212&amp;'Table 2.3b'!$B212&amp;'Table 2.3b'!$C212,UtilityList!$A$4:$A$251&amp;UtilityList!$B$4:$B$251&amp;UtilityList!$C$4:$C$251,0)),INDEX(UtilityList!L$4:L$251,MATCH('Table 2.3b'!$A212&amp;'Table 2.3b'!$C212,UtilityList!$A$4:$A$251&amp;UtilityList!$C$4:$C$251,0)))</f>
        <v>Aleut</v>
      </c>
      <c r="Q212" s="382" t="str">
        <f t="array" ref="Q212">IFERROR(INDEX(UtilityList!M$4:M$251,MATCH('Table 2.3b'!$A212&amp;'Table 2.3b'!$B212&amp;'Table 2.3b'!$C212,UtilityList!$A$4:$A$251&amp;UtilityList!$B$4:$B$251&amp;UtilityList!$C$4:$C$251,0)),INDEX(UtilityList!M$4:M$251,MATCH('Table 2.3b'!$A212&amp;'Table 2.3b'!$C212,UtilityList!$A$4:$A$251&amp;UtilityList!$C$4:$C$251,0)))</f>
        <v>SW</v>
      </c>
    </row>
    <row r="213" spans="1:17" customFormat="1" x14ac:dyDescent="0.25">
      <c r="A213" s="360" t="s">
        <v>310</v>
      </c>
      <c r="B213" s="452" t="s">
        <v>311</v>
      </c>
      <c r="C213" s="361" t="s">
        <v>311</v>
      </c>
      <c r="D213" s="644">
        <v>44</v>
      </c>
      <c r="E213" s="656">
        <v>0</v>
      </c>
      <c r="F213" s="656">
        <v>0</v>
      </c>
      <c r="G213" s="661">
        <v>0</v>
      </c>
      <c r="H213" s="644">
        <v>0</v>
      </c>
      <c r="I213" s="644">
        <v>2226</v>
      </c>
      <c r="J213" s="656">
        <v>0</v>
      </c>
      <c r="K213" s="656">
        <v>0</v>
      </c>
      <c r="L213" s="658" t="s">
        <v>558</v>
      </c>
      <c r="M213" s="659">
        <f t="array" ref="M213">INDEX(UtilityList!Q$4:Q$251,MATCH('Table 2.3b'!$A213&amp;'Table 2.3b'!$B213&amp;'Table 2.3b'!$C213,UtilityList!$A$4:$A$251&amp;UtilityList!$B$4:$B$251&amp;UtilityList!$C$4:$C$251,0))</f>
        <v>0</v>
      </c>
      <c r="N213" s="382" t="str">
        <f t="array" ref="N213">IFERROR(INDEX(UtilityList!J$4:J$251,MATCH('Table 2.3b'!$A213&amp;'Table 2.3b'!$B213&amp;'Table 2.3b'!$C213,UtilityList!$A$4:$A$251&amp;UtilityList!$B$4:$B$251&amp;UtilityList!$C$4:$C$251,0)),INDEX(UtilityList!J$4:J$251,MATCH('Table 2.3b'!$A213&amp;'Table 2.3b'!$C213,UtilityList!$A$4:$A$251&amp;UtilityList!$C$4:$C$251,0)))</f>
        <v>Railbelt</v>
      </c>
      <c r="O213" s="382" t="str">
        <f t="array" ref="O213">IFERROR(INDEX(UtilityList!K$4:K$251,MATCH('Table 2.3b'!$A213&amp;'Table 2.3b'!$B213&amp;'Table 2.3b'!$C213,UtilityList!$A$4:$A$251&amp;UtilityList!$B$4:$B$251&amp;UtilityList!$C$4:$C$251,0)),INDEX(UtilityList!K$4:K$251,MATCH('Table 2.3b'!$A213&amp;'Table 2.3b'!$C213,UtilityList!$A$4:$A$251&amp;UtilityList!$C$4:$C$251,0)))</f>
        <v>Kenai Peninsula</v>
      </c>
      <c r="P213" s="382" t="str">
        <f t="array" ref="P213">IFERROR(INDEX(UtilityList!L$4:L$251,MATCH('Table 2.3b'!$A213&amp;'Table 2.3b'!$B213&amp;'Table 2.3b'!$C213,UtilityList!$A$4:$A$251&amp;UtilityList!$B$4:$B$251&amp;UtilityList!$C$4:$C$251,0)),INDEX(UtilityList!L$4:L$251,MATCH('Table 2.3b'!$A213&amp;'Table 2.3b'!$C213,UtilityList!$A$4:$A$251&amp;UtilityList!$C$4:$C$251,0)))</f>
        <v>Chugach</v>
      </c>
      <c r="Q213" s="382" t="str">
        <f t="array" ref="Q213">IFERROR(INDEX(UtilityList!M$4:M$251,MATCH('Table 2.3b'!$A213&amp;'Table 2.3b'!$B213&amp;'Table 2.3b'!$C213,UtilityList!$A$4:$A$251&amp;UtilityList!$B$4:$B$251&amp;UtilityList!$C$4:$C$251,0)),INDEX(UtilityList!M$4:M$251,MATCH('Table 2.3b'!$A213&amp;'Table 2.3b'!$C213,UtilityList!$A$4:$A$251&amp;UtilityList!$C$4:$C$251,0)))</f>
        <v>SC</v>
      </c>
    </row>
    <row r="214" spans="1:17" customFormat="1" ht="30" x14ac:dyDescent="0.25">
      <c r="A214" s="360" t="s">
        <v>638</v>
      </c>
      <c r="B214" s="388" t="s">
        <v>313</v>
      </c>
      <c r="C214" s="361" t="s">
        <v>314</v>
      </c>
      <c r="D214" s="644">
        <v>0</v>
      </c>
      <c r="E214" s="656">
        <v>0</v>
      </c>
      <c r="F214" s="656">
        <v>0</v>
      </c>
      <c r="G214" s="644">
        <v>56154</v>
      </c>
      <c r="H214" s="644">
        <v>0</v>
      </c>
      <c r="I214" s="644">
        <v>0</v>
      </c>
      <c r="J214" s="644">
        <v>0</v>
      </c>
      <c r="K214" s="644">
        <v>0</v>
      </c>
      <c r="L214" s="658" t="s">
        <v>558</v>
      </c>
      <c r="M214" s="659">
        <f t="array" ref="M214">INDEX(UtilityList!Q$4:Q$251,MATCH('Table 2.3b'!$A214&amp;'Table 2.3b'!$B214&amp;'Table 2.3b'!$C214,UtilityList!$A$4:$A$251&amp;UtilityList!$B$4:$B$251&amp;UtilityList!$C$4:$C$251,0))</f>
        <v>0</v>
      </c>
      <c r="N214" s="382" t="str">
        <f t="array" ref="N214">IFERROR(INDEX(UtilityList!J$4:J$251,MATCH('Table 2.3b'!$A214&amp;'Table 2.3b'!$B214&amp;'Table 2.3b'!$C214,UtilityList!$A$4:$A$251&amp;UtilityList!$B$4:$B$251&amp;UtilityList!$C$4:$C$251,0)),INDEX(UtilityList!J$4:J$251,MATCH('Table 2.3b'!$A214&amp;'Table 2.3b'!$C214,UtilityList!$A$4:$A$251&amp;UtilityList!$C$4:$C$251,0)))</f>
        <v>Southeast</v>
      </c>
      <c r="O214" s="382" t="str">
        <f t="array" ref="O214">IFERROR(INDEX(UtilityList!K$4:K$251,MATCH('Table 2.3b'!$A214&amp;'Table 2.3b'!$B214&amp;'Table 2.3b'!$C214,UtilityList!$A$4:$A$251&amp;UtilityList!$B$4:$B$251&amp;UtilityList!$C$4:$C$251,0)),INDEX(UtilityList!K$4:K$251,MATCH('Table 2.3b'!$A214&amp;'Table 2.3b'!$C214,UtilityList!$A$4:$A$251&amp;UtilityList!$C$4:$C$251,0)))</f>
        <v>Sitka</v>
      </c>
      <c r="P214" s="382" t="str">
        <f t="array" ref="P214">IFERROR(INDEX(UtilityList!L$4:L$251,MATCH('Table 2.3b'!$A214&amp;'Table 2.3b'!$B214&amp;'Table 2.3b'!$C214,UtilityList!$A$4:$A$251&amp;UtilityList!$B$4:$B$251&amp;UtilityList!$C$4:$C$251,0)),INDEX(UtilityList!L$4:L$251,MATCH('Table 2.3b'!$A214&amp;'Table 2.3b'!$C214,UtilityList!$A$4:$A$251&amp;UtilityList!$C$4:$C$251,0)))</f>
        <v>Sealaska</v>
      </c>
      <c r="Q214" s="382" t="str">
        <f t="array" ref="Q214">IFERROR(INDEX(UtilityList!M$4:M$251,MATCH('Table 2.3b'!$A214&amp;'Table 2.3b'!$B214&amp;'Table 2.3b'!$C214,UtilityList!$A$4:$A$251&amp;UtilityList!$B$4:$B$251&amp;UtilityList!$C$4:$C$251,0)),INDEX(UtilityList!M$4:M$251,MATCH('Table 2.3b'!$A214&amp;'Table 2.3b'!$C214,UtilityList!$A$4:$A$251&amp;UtilityList!$C$4:$C$251,0)))</f>
        <v>SE</v>
      </c>
    </row>
    <row r="215" spans="1:17" customFormat="1" ht="30" x14ac:dyDescent="0.25">
      <c r="A215" s="360" t="s">
        <v>638</v>
      </c>
      <c r="B215" s="388" t="s">
        <v>315</v>
      </c>
      <c r="C215" s="361" t="s">
        <v>314</v>
      </c>
      <c r="D215" s="644">
        <v>0</v>
      </c>
      <c r="E215" s="656">
        <v>0</v>
      </c>
      <c r="F215" s="656">
        <v>0</v>
      </c>
      <c r="G215" s="644">
        <v>58996</v>
      </c>
      <c r="H215" s="644">
        <v>0</v>
      </c>
      <c r="I215" s="644">
        <v>0</v>
      </c>
      <c r="J215" s="644">
        <v>0</v>
      </c>
      <c r="K215" s="644">
        <v>0</v>
      </c>
      <c r="L215" s="658" t="s">
        <v>558</v>
      </c>
      <c r="M215" s="659">
        <f t="array" ref="M215">INDEX(UtilityList!Q$4:Q$251,MATCH('Table 2.3b'!$A215&amp;'Table 2.3b'!$B215&amp;'Table 2.3b'!$C215,UtilityList!$A$4:$A$251&amp;UtilityList!$B$4:$B$251&amp;UtilityList!$C$4:$C$251,0))</f>
        <v>0</v>
      </c>
      <c r="N215" s="382" t="str">
        <f t="array" ref="N215">IFERROR(INDEX(UtilityList!J$4:J$251,MATCH('Table 2.3b'!$A215&amp;'Table 2.3b'!$B215&amp;'Table 2.3b'!$C215,UtilityList!$A$4:$A$251&amp;UtilityList!$B$4:$B$251&amp;UtilityList!$C$4:$C$251,0)),INDEX(UtilityList!J$4:J$251,MATCH('Table 2.3b'!$A215&amp;'Table 2.3b'!$C215,UtilityList!$A$4:$A$251&amp;UtilityList!$C$4:$C$251,0)))</f>
        <v>Southeast</v>
      </c>
      <c r="O215" s="382" t="str">
        <f t="array" ref="O215">IFERROR(INDEX(UtilityList!K$4:K$251,MATCH('Table 2.3b'!$A215&amp;'Table 2.3b'!$B215&amp;'Table 2.3b'!$C215,UtilityList!$A$4:$A$251&amp;UtilityList!$B$4:$B$251&amp;UtilityList!$C$4:$C$251,0)),INDEX(UtilityList!K$4:K$251,MATCH('Table 2.3b'!$A215&amp;'Table 2.3b'!$C215,UtilityList!$A$4:$A$251&amp;UtilityList!$C$4:$C$251,0)))</f>
        <v>Sitka</v>
      </c>
      <c r="P215" s="382" t="str">
        <f t="array" ref="P215">IFERROR(INDEX(UtilityList!L$4:L$251,MATCH('Table 2.3b'!$A215&amp;'Table 2.3b'!$B215&amp;'Table 2.3b'!$C215,UtilityList!$A$4:$A$251&amp;UtilityList!$B$4:$B$251&amp;UtilityList!$C$4:$C$251,0)),INDEX(UtilityList!L$4:L$251,MATCH('Table 2.3b'!$A215&amp;'Table 2.3b'!$C215,UtilityList!$A$4:$A$251&amp;UtilityList!$C$4:$C$251,0)))</f>
        <v>Sealaska</v>
      </c>
      <c r="Q215" s="382" t="str">
        <f t="array" ref="Q215">IFERROR(INDEX(UtilityList!M$4:M$251,MATCH('Table 2.3b'!$A215&amp;'Table 2.3b'!$B215&amp;'Table 2.3b'!$C215,UtilityList!$A$4:$A$251&amp;UtilityList!$B$4:$B$251&amp;UtilityList!$C$4:$C$251,0)),INDEX(UtilityList!M$4:M$251,MATCH('Table 2.3b'!$A215&amp;'Table 2.3b'!$C215,UtilityList!$A$4:$A$251&amp;UtilityList!$C$4:$C$251,0)))</f>
        <v>SE</v>
      </c>
    </row>
    <row r="216" spans="1:17" customFormat="1" ht="30" x14ac:dyDescent="0.25">
      <c r="A216" s="360" t="s">
        <v>638</v>
      </c>
      <c r="B216" s="388" t="s">
        <v>316</v>
      </c>
      <c r="C216" s="361" t="s">
        <v>314</v>
      </c>
      <c r="D216" s="644">
        <v>1386</v>
      </c>
      <c r="E216" s="656">
        <v>0</v>
      </c>
      <c r="F216" s="656">
        <v>0</v>
      </c>
      <c r="G216" s="661">
        <v>0</v>
      </c>
      <c r="H216" s="644">
        <v>0</v>
      </c>
      <c r="I216" s="644">
        <v>161028</v>
      </c>
      <c r="J216" s="656">
        <v>0</v>
      </c>
      <c r="K216" s="656">
        <v>0</v>
      </c>
      <c r="L216" s="658" t="s">
        <v>558</v>
      </c>
      <c r="M216" s="659">
        <f t="array" ref="M216">INDEX(UtilityList!Q$4:Q$251,MATCH('Table 2.3b'!$A216&amp;'Table 2.3b'!$B216&amp;'Table 2.3b'!$C216,UtilityList!$A$4:$A$251&amp;UtilityList!$B$4:$B$251&amp;UtilityList!$C$4:$C$251,0))</f>
        <v>0</v>
      </c>
      <c r="N216" s="382" t="str">
        <f t="array" ref="N216">IFERROR(INDEX(UtilityList!J$4:J$251,MATCH('Table 2.3b'!$A216&amp;'Table 2.3b'!$B216&amp;'Table 2.3b'!$C216,UtilityList!$A$4:$A$251&amp;UtilityList!$B$4:$B$251&amp;UtilityList!$C$4:$C$251,0)),INDEX(UtilityList!J$4:J$251,MATCH('Table 2.3b'!$A216&amp;'Table 2.3b'!$C216,UtilityList!$A$4:$A$251&amp;UtilityList!$C$4:$C$251,0)))</f>
        <v>Southeast</v>
      </c>
      <c r="O216" s="382" t="str">
        <f t="array" ref="O216">IFERROR(INDEX(UtilityList!K$4:K$251,MATCH('Table 2.3b'!$A216&amp;'Table 2.3b'!$B216&amp;'Table 2.3b'!$C216,UtilityList!$A$4:$A$251&amp;UtilityList!$B$4:$B$251&amp;UtilityList!$C$4:$C$251,0)),INDEX(UtilityList!K$4:K$251,MATCH('Table 2.3b'!$A216&amp;'Table 2.3b'!$C216,UtilityList!$A$4:$A$251&amp;UtilityList!$C$4:$C$251,0)))</f>
        <v>Sitka</v>
      </c>
      <c r="P216" s="382" t="str">
        <f t="array" ref="P216">IFERROR(INDEX(UtilityList!L$4:L$251,MATCH('Table 2.3b'!$A216&amp;'Table 2.3b'!$B216&amp;'Table 2.3b'!$C216,UtilityList!$A$4:$A$251&amp;UtilityList!$B$4:$B$251&amp;UtilityList!$C$4:$C$251,0)),INDEX(UtilityList!L$4:L$251,MATCH('Table 2.3b'!$A216&amp;'Table 2.3b'!$C216,UtilityList!$A$4:$A$251&amp;UtilityList!$C$4:$C$251,0)))</f>
        <v>Sealaska</v>
      </c>
      <c r="Q216" s="382" t="str">
        <f t="array" ref="Q216">IFERROR(INDEX(UtilityList!M$4:M$251,MATCH('Table 2.3b'!$A216&amp;'Table 2.3b'!$B216&amp;'Table 2.3b'!$C216,UtilityList!$A$4:$A$251&amp;UtilityList!$B$4:$B$251&amp;UtilityList!$C$4:$C$251,0)),INDEX(UtilityList!M$4:M$251,MATCH('Table 2.3b'!$A216&amp;'Table 2.3b'!$C216,UtilityList!$A$4:$A$251&amp;UtilityList!$C$4:$C$251,0)))</f>
        <v>SE</v>
      </c>
    </row>
    <row r="217" spans="1:17" customFormat="1" ht="30" x14ac:dyDescent="0.25">
      <c r="A217" s="653" t="s">
        <v>323</v>
      </c>
      <c r="B217" s="452" t="s">
        <v>324</v>
      </c>
      <c r="C217" s="654" t="s">
        <v>324</v>
      </c>
      <c r="D217" s="655">
        <v>194.57050000000001</v>
      </c>
      <c r="E217" s="656">
        <v>0</v>
      </c>
      <c r="F217" s="656">
        <v>0</v>
      </c>
      <c r="G217" s="657">
        <v>0</v>
      </c>
      <c r="H217" s="657">
        <v>0</v>
      </c>
      <c r="I217" s="657">
        <v>21799</v>
      </c>
      <c r="J217" s="656">
        <v>0</v>
      </c>
      <c r="K217" s="656">
        <v>0</v>
      </c>
      <c r="L217" s="658" t="s">
        <v>356</v>
      </c>
      <c r="M217" s="659">
        <f t="array" ref="M217">INDEX(UtilityList!Q$4:Q$251,MATCH('Table 2.3b'!$A217&amp;'Table 2.3b'!$B217&amp;'Table 2.3b'!$C217,UtilityList!$A$4:$A$251&amp;UtilityList!$B$4:$B$251&amp;UtilityList!$C$4:$C$251,0))</f>
        <v>0</v>
      </c>
      <c r="N217" s="382" t="str">
        <f t="array" ref="N217">IFERROR(INDEX(UtilityList!J$4:J$251,MATCH('Table 2.3b'!$A217&amp;'Table 2.3b'!$B217&amp;'Table 2.3b'!$C217,UtilityList!$A$4:$A$251&amp;UtilityList!$B$4:$B$251&amp;UtilityList!$C$4:$C$251,0)),INDEX(UtilityList!J$4:J$251,MATCH('Table 2.3b'!$A217&amp;'Table 2.3b'!$C217,UtilityList!$A$4:$A$251&amp;UtilityList!$C$4:$C$251,0)))</f>
        <v>Yukon-Koyukuk/Upper Tanana</v>
      </c>
      <c r="O217" s="382" t="str">
        <f t="array" ref="O217">IFERROR(INDEX(UtilityList!K$4:K$251,MATCH('Table 2.3b'!$A217&amp;'Table 2.3b'!$B217&amp;'Table 2.3b'!$C217,UtilityList!$A$4:$A$251&amp;UtilityList!$B$4:$B$251&amp;UtilityList!$C$4:$C$251,0)),INDEX(UtilityList!K$4:K$251,MATCH('Table 2.3b'!$A217&amp;'Table 2.3b'!$C217,UtilityList!$A$4:$A$251&amp;UtilityList!$C$4:$C$251,0)))</f>
        <v>Yukon-Koyukuk (CA)</v>
      </c>
      <c r="P217" s="382" t="str">
        <f t="array" ref="P217">IFERROR(INDEX(UtilityList!L$4:L$251,MATCH('Table 2.3b'!$A217&amp;'Table 2.3b'!$B217&amp;'Table 2.3b'!$C217,UtilityList!$A$4:$A$251&amp;UtilityList!$B$4:$B$251&amp;UtilityList!$C$4:$C$251,0)),INDEX(UtilityList!L$4:L$251,MATCH('Table 2.3b'!$A217&amp;'Table 2.3b'!$C217,UtilityList!$A$4:$A$251&amp;UtilityList!$C$4:$C$251,0)))</f>
        <v>Doyon</v>
      </c>
      <c r="Q217" s="382" t="str">
        <f t="array" ref="Q217">IFERROR(INDEX(UtilityList!M$4:M$251,MATCH('Table 2.3b'!$A217&amp;'Table 2.3b'!$B217&amp;'Table 2.3b'!$C217,UtilityList!$A$4:$A$251&amp;UtilityList!$B$4:$B$251&amp;UtilityList!$C$4:$C$251,0)),INDEX(UtilityList!M$4:M$251,MATCH('Table 2.3b'!$A217&amp;'Table 2.3b'!$C217,UtilityList!$A$4:$A$251&amp;UtilityList!$C$4:$C$251,0)))</f>
        <v>SW</v>
      </c>
    </row>
    <row r="218" spans="1:17" customFormat="1" ht="30" x14ac:dyDescent="0.25">
      <c r="A218" s="653" t="s">
        <v>325</v>
      </c>
      <c r="B218" s="452" t="s">
        <v>326</v>
      </c>
      <c r="C218" s="654" t="s">
        <v>326</v>
      </c>
      <c r="D218" s="655">
        <v>648.31299999999999</v>
      </c>
      <c r="E218" s="656">
        <v>0</v>
      </c>
      <c r="F218" s="656">
        <v>0</v>
      </c>
      <c r="G218" s="657">
        <v>0</v>
      </c>
      <c r="H218" s="657">
        <v>0</v>
      </c>
      <c r="I218" s="657">
        <v>54661</v>
      </c>
      <c r="J218" s="656">
        <v>0</v>
      </c>
      <c r="K218" s="656">
        <v>0</v>
      </c>
      <c r="L218" s="658" t="s">
        <v>356</v>
      </c>
      <c r="M218" s="659">
        <f t="array" ref="M218">INDEX(UtilityList!Q$4:Q$251,MATCH('Table 2.3b'!$A218&amp;'Table 2.3b'!$B218&amp;'Table 2.3b'!$C218,UtilityList!$A$4:$A$251&amp;UtilityList!$B$4:$B$251&amp;UtilityList!$C$4:$C$251,0))</f>
        <v>0</v>
      </c>
      <c r="N218" s="382" t="str">
        <f t="array" ref="N218">IFERROR(INDEX(UtilityList!J$4:J$251,MATCH('Table 2.3b'!$A218&amp;'Table 2.3b'!$B218&amp;'Table 2.3b'!$C218,UtilityList!$A$4:$A$251&amp;UtilityList!$B$4:$B$251&amp;UtilityList!$C$4:$C$251,0)),INDEX(UtilityList!J$4:J$251,MATCH('Table 2.3b'!$A218&amp;'Table 2.3b'!$C218,UtilityList!$A$4:$A$251&amp;UtilityList!$C$4:$C$251,0)))</f>
        <v>Bristol Bay</v>
      </c>
      <c r="O218" s="382" t="str">
        <f t="array" ref="O218">IFERROR(INDEX(UtilityList!K$4:K$251,MATCH('Table 2.3b'!$A218&amp;'Table 2.3b'!$B218&amp;'Table 2.3b'!$C218,UtilityList!$A$4:$A$251&amp;UtilityList!$B$4:$B$251&amp;UtilityList!$C$4:$C$251,0)),INDEX(UtilityList!K$4:K$251,MATCH('Table 2.3b'!$A218&amp;'Table 2.3b'!$C218,UtilityList!$A$4:$A$251&amp;UtilityList!$C$4:$C$251,0)))</f>
        <v>Lake and Peninsula</v>
      </c>
      <c r="P218" s="382" t="str">
        <f t="array" ref="P218">IFERROR(INDEX(UtilityList!L$4:L$251,MATCH('Table 2.3b'!$A218&amp;'Table 2.3b'!$B218&amp;'Table 2.3b'!$C218,UtilityList!$A$4:$A$251&amp;UtilityList!$B$4:$B$251&amp;UtilityList!$C$4:$C$251,0)),INDEX(UtilityList!L$4:L$251,MATCH('Table 2.3b'!$A218&amp;'Table 2.3b'!$C218,UtilityList!$A$4:$A$251&amp;UtilityList!$C$4:$C$251,0)))</f>
        <v>Cook Inlet</v>
      </c>
      <c r="Q218" s="382" t="str">
        <f t="array" ref="Q218">IFERROR(INDEX(UtilityList!M$4:M$251,MATCH('Table 2.3b'!$A218&amp;'Table 2.3b'!$B218&amp;'Table 2.3b'!$C218,UtilityList!$A$4:$A$251&amp;UtilityList!$B$4:$B$251&amp;UtilityList!$C$4:$C$251,0)),INDEX(UtilityList!M$4:M$251,MATCH('Table 2.3b'!$A218&amp;'Table 2.3b'!$C218,UtilityList!$A$4:$A$251&amp;UtilityList!$C$4:$C$251,0)))</f>
        <v>SW</v>
      </c>
    </row>
    <row r="219" spans="1:17" customFormat="1" ht="30" x14ac:dyDescent="0.25">
      <c r="A219" s="653" t="s">
        <v>510</v>
      </c>
      <c r="B219" s="452" t="s">
        <v>327</v>
      </c>
      <c r="C219" s="654" t="s">
        <v>327</v>
      </c>
      <c r="D219" s="655">
        <v>1146.596</v>
      </c>
      <c r="E219" s="656">
        <v>0</v>
      </c>
      <c r="F219" s="656">
        <v>0</v>
      </c>
      <c r="G219" s="657">
        <v>0</v>
      </c>
      <c r="H219" s="657">
        <v>0</v>
      </c>
      <c r="I219" s="657">
        <v>88911</v>
      </c>
      <c r="J219" s="656">
        <v>0</v>
      </c>
      <c r="K219" s="656">
        <v>0</v>
      </c>
      <c r="L219" s="658" t="s">
        <v>356</v>
      </c>
      <c r="M219" s="659">
        <f t="array" ref="M219">INDEX(UtilityList!Q$4:Q$251,MATCH('Table 2.3b'!$A219&amp;'Table 2.3b'!$B219&amp;'Table 2.3b'!$C219,UtilityList!$A$4:$A$251&amp;UtilityList!$B$4:$B$251&amp;UtilityList!$C$4:$C$251,0))</f>
        <v>0</v>
      </c>
      <c r="N219" s="382" t="str">
        <f t="array" ref="N219">IFERROR(INDEX(UtilityList!J$4:J$251,MATCH('Table 2.3b'!$A219&amp;'Table 2.3b'!$B219&amp;'Table 2.3b'!$C219,UtilityList!$A$4:$A$251&amp;UtilityList!$B$4:$B$251&amp;UtilityList!$C$4:$C$251,0)),INDEX(UtilityList!J$4:J$251,MATCH('Table 2.3b'!$A219&amp;'Table 2.3b'!$C219,UtilityList!$A$4:$A$251&amp;UtilityList!$C$4:$C$251,0)))</f>
        <v>Yukon-Koyukuk/Upper Tanana</v>
      </c>
      <c r="O219" s="382" t="str">
        <f t="array" ref="O219">IFERROR(INDEX(UtilityList!K$4:K$251,MATCH('Table 2.3b'!$A219&amp;'Table 2.3b'!$B219&amp;'Table 2.3b'!$C219,UtilityList!$A$4:$A$251&amp;UtilityList!$B$4:$B$251&amp;UtilityList!$C$4:$C$251,0)),INDEX(UtilityList!K$4:K$251,MATCH('Table 2.3b'!$A219&amp;'Table 2.3b'!$C219,UtilityList!$A$4:$A$251&amp;UtilityList!$C$4:$C$251,0)))</f>
        <v>Yukon-Koyukuk (CA)</v>
      </c>
      <c r="P219" s="382" t="str">
        <f t="array" ref="P219">IFERROR(INDEX(UtilityList!L$4:L$251,MATCH('Table 2.3b'!$A219&amp;'Table 2.3b'!$B219&amp;'Table 2.3b'!$C219,UtilityList!$A$4:$A$251&amp;UtilityList!$B$4:$B$251&amp;UtilityList!$C$4:$C$251,0)),INDEX(UtilityList!L$4:L$251,MATCH('Table 2.3b'!$A219&amp;'Table 2.3b'!$C219,UtilityList!$A$4:$A$251&amp;UtilityList!$C$4:$C$251,0)))</f>
        <v>Doyon</v>
      </c>
      <c r="Q219" s="382" t="str">
        <f t="array" ref="Q219">IFERROR(INDEX(UtilityList!M$4:M$251,MATCH('Table 2.3b'!$A219&amp;'Table 2.3b'!$B219&amp;'Table 2.3b'!$C219,UtilityList!$A$4:$A$251&amp;UtilityList!$B$4:$B$251&amp;UtilityList!$C$4:$C$251,0)),INDEX(UtilityList!M$4:M$251,MATCH('Table 2.3b'!$A219&amp;'Table 2.3b'!$C219,UtilityList!$A$4:$A$251&amp;UtilityList!$C$4:$C$251,0)))</f>
        <v>YU</v>
      </c>
    </row>
    <row r="220" spans="1:17" customFormat="1" ht="30" x14ac:dyDescent="0.25">
      <c r="A220" s="653" t="s">
        <v>328</v>
      </c>
      <c r="B220" s="452" t="s">
        <v>329</v>
      </c>
      <c r="C220" s="654" t="s">
        <v>329</v>
      </c>
      <c r="D220" s="655">
        <v>472.20400000000001</v>
      </c>
      <c r="E220" s="656">
        <v>0</v>
      </c>
      <c r="F220" s="656">
        <v>0</v>
      </c>
      <c r="G220" s="657">
        <v>0</v>
      </c>
      <c r="H220" s="657">
        <v>0</v>
      </c>
      <c r="I220" s="657">
        <v>42599</v>
      </c>
      <c r="J220" s="656">
        <v>0</v>
      </c>
      <c r="K220" s="656">
        <v>0</v>
      </c>
      <c r="L220" s="658" t="s">
        <v>356</v>
      </c>
      <c r="M220" s="659">
        <f t="array" ref="M220">INDEX(UtilityList!Q$4:Q$251,MATCH('Table 2.3b'!$A220&amp;'Table 2.3b'!$B220&amp;'Table 2.3b'!$C220,UtilityList!$A$4:$A$251&amp;UtilityList!$B$4:$B$251&amp;UtilityList!$C$4:$C$251,0))</f>
        <v>0</v>
      </c>
      <c r="N220" s="382" t="str">
        <f t="array" ref="N220">IFERROR(INDEX(UtilityList!J$4:J$251,MATCH('Table 2.3b'!$A220&amp;'Table 2.3b'!$B220&amp;'Table 2.3b'!$C220,UtilityList!$A$4:$A$251&amp;UtilityList!$B$4:$B$251&amp;UtilityList!$C$4:$C$251,0)),INDEX(UtilityList!J$4:J$251,MATCH('Table 2.3b'!$A220&amp;'Table 2.3b'!$C220,UtilityList!$A$4:$A$251&amp;UtilityList!$C$4:$C$251,0)))</f>
        <v>Copper River/Chugach</v>
      </c>
      <c r="O220" s="382" t="str">
        <f t="array" ref="O220">IFERROR(INDEX(UtilityList!K$4:K$251,MATCH('Table 2.3b'!$A220&amp;'Table 2.3b'!$B220&amp;'Table 2.3b'!$C220,UtilityList!$A$4:$A$251&amp;UtilityList!$B$4:$B$251&amp;UtilityList!$C$4:$C$251,0)),INDEX(UtilityList!K$4:K$251,MATCH('Table 2.3b'!$A220&amp;'Table 2.3b'!$C220,UtilityList!$A$4:$A$251&amp;UtilityList!$C$4:$C$251,0)))</f>
        <v>Valdez-Cordova (CA)</v>
      </c>
      <c r="P220" s="382" t="str">
        <f t="array" ref="P220">IFERROR(INDEX(UtilityList!L$4:L$251,MATCH('Table 2.3b'!$A220&amp;'Table 2.3b'!$B220&amp;'Table 2.3b'!$C220,UtilityList!$A$4:$A$251&amp;UtilityList!$B$4:$B$251&amp;UtilityList!$C$4:$C$251,0)),INDEX(UtilityList!L$4:L$251,MATCH('Table 2.3b'!$A220&amp;'Table 2.3b'!$C220,UtilityList!$A$4:$A$251&amp;UtilityList!$C$4:$C$251,0)))</f>
        <v>Chugach</v>
      </c>
      <c r="Q220" s="382" t="str">
        <f t="array" ref="Q220">IFERROR(INDEX(UtilityList!M$4:M$251,MATCH('Table 2.3b'!$A220&amp;'Table 2.3b'!$B220&amp;'Table 2.3b'!$C220,UtilityList!$A$4:$A$251&amp;UtilityList!$B$4:$B$251&amp;UtilityList!$C$4:$C$251,0)),INDEX(UtilityList!M$4:M$251,MATCH('Table 2.3b'!$A220&amp;'Table 2.3b'!$C220,UtilityList!$A$4:$A$251&amp;UtilityList!$C$4:$C$251,0)))</f>
        <v>SC</v>
      </c>
    </row>
    <row r="221" spans="1:17" customFormat="1" ht="30" x14ac:dyDescent="0.25">
      <c r="A221" s="653" t="s">
        <v>1080</v>
      </c>
      <c r="B221" s="452" t="s">
        <v>330</v>
      </c>
      <c r="C221" s="654" t="s">
        <v>330</v>
      </c>
      <c r="D221" s="655">
        <v>1908.4159999999999</v>
      </c>
      <c r="E221" s="656">
        <v>0</v>
      </c>
      <c r="F221" s="656">
        <v>0</v>
      </c>
      <c r="G221" s="657">
        <v>0</v>
      </c>
      <c r="H221" s="657">
        <v>0</v>
      </c>
      <c r="I221" s="657">
        <v>217292.2</v>
      </c>
      <c r="J221" s="656">
        <v>0</v>
      </c>
      <c r="K221" s="656">
        <v>0</v>
      </c>
      <c r="L221" s="658" t="s">
        <v>356</v>
      </c>
      <c r="M221" s="659">
        <f t="array" ref="M221">INDEX(UtilityList!Q$4:Q$251,MATCH('Table 2.3b'!$A221&amp;'Table 2.3b'!$B221&amp;'Table 2.3b'!$C221,UtilityList!$A$4:$A$251&amp;UtilityList!$B$4:$B$251&amp;UtilityList!$C$4:$C$251,0))</f>
        <v>0</v>
      </c>
      <c r="N221" s="382" t="str">
        <f t="array" ref="N221">IFERROR(INDEX(UtilityList!J$4:J$251,MATCH('Table 2.3b'!$A221&amp;'Table 2.3b'!$B221&amp;'Table 2.3b'!$C221,UtilityList!$A$4:$A$251&amp;UtilityList!$B$4:$B$251&amp;UtilityList!$C$4:$C$251,0)),INDEX(UtilityList!J$4:J$251,MATCH('Table 2.3b'!$A221&amp;'Table 2.3b'!$C221,UtilityList!$A$4:$A$251&amp;UtilityList!$C$4:$C$251,0)))</f>
        <v>Aleutians</v>
      </c>
      <c r="O221" s="382" t="str">
        <f t="array" ref="O221">IFERROR(INDEX(UtilityList!K$4:K$251,MATCH('Table 2.3b'!$A221&amp;'Table 2.3b'!$B221&amp;'Table 2.3b'!$C221,UtilityList!$A$4:$A$251&amp;UtilityList!$B$4:$B$251&amp;UtilityList!$C$4:$C$251,0)),INDEX(UtilityList!K$4:K$251,MATCH('Table 2.3b'!$A221&amp;'Table 2.3b'!$C221,UtilityList!$A$4:$A$251&amp;UtilityList!$C$4:$C$251,0)))</f>
        <v>Aleutians West (CA)</v>
      </c>
      <c r="P221" s="382" t="str">
        <f t="array" ref="P221">IFERROR(INDEX(UtilityList!L$4:L$251,MATCH('Table 2.3b'!$A221&amp;'Table 2.3b'!$B221&amp;'Table 2.3b'!$C221,UtilityList!$A$4:$A$251&amp;UtilityList!$B$4:$B$251&amp;UtilityList!$C$4:$C$251,0)),INDEX(UtilityList!L$4:L$251,MATCH('Table 2.3b'!$A221&amp;'Table 2.3b'!$C221,UtilityList!$A$4:$A$251&amp;UtilityList!$C$4:$C$251,0)))</f>
        <v>Aleut</v>
      </c>
      <c r="Q221" s="382" t="str">
        <f t="array" ref="Q221">IFERROR(INDEX(UtilityList!M$4:M$251,MATCH('Table 2.3b'!$A221&amp;'Table 2.3b'!$B221&amp;'Table 2.3b'!$C221,UtilityList!$A$4:$A$251&amp;UtilityList!$B$4:$B$251&amp;UtilityList!$C$4:$C$251,0)),INDEX(UtilityList!M$4:M$251,MATCH('Table 2.3b'!$A221&amp;'Table 2.3b'!$C221,UtilityList!$A$4:$A$251&amp;UtilityList!$C$4:$C$251,0)))</f>
        <v>SW</v>
      </c>
    </row>
    <row r="222" spans="1:17" customFormat="1" x14ac:dyDescent="0.25">
      <c r="A222" s="653" t="s">
        <v>331</v>
      </c>
      <c r="B222" s="452" t="s">
        <v>332</v>
      </c>
      <c r="C222" s="654" t="s">
        <v>332</v>
      </c>
      <c r="D222" s="655">
        <v>4313.7950000000001</v>
      </c>
      <c r="E222" s="656">
        <v>0</v>
      </c>
      <c r="F222" s="656">
        <v>0</v>
      </c>
      <c r="G222" s="657">
        <v>0</v>
      </c>
      <c r="H222" s="657">
        <v>0</v>
      </c>
      <c r="I222" s="657">
        <v>299184</v>
      </c>
      <c r="J222" s="656">
        <v>0</v>
      </c>
      <c r="K222" s="656">
        <v>0</v>
      </c>
      <c r="L222" s="658" t="s">
        <v>356</v>
      </c>
      <c r="M222" s="659">
        <f t="array" ref="M222">INDEX(UtilityList!Q$4:Q$251,MATCH('Table 2.3b'!$A222&amp;'Table 2.3b'!$B222&amp;'Table 2.3b'!$C222,UtilityList!$A$4:$A$251&amp;UtilityList!$B$4:$B$251&amp;UtilityList!$C$4:$C$251,0))</f>
        <v>0</v>
      </c>
      <c r="N222" s="382" t="str">
        <f t="array" ref="N222">IFERROR(INDEX(UtilityList!J$4:J$251,MATCH('Table 2.3b'!$A222&amp;'Table 2.3b'!$B222&amp;'Table 2.3b'!$C222,UtilityList!$A$4:$A$251&amp;UtilityList!$B$4:$B$251&amp;UtilityList!$C$4:$C$251,0)),INDEX(UtilityList!J$4:J$251,MATCH('Table 2.3b'!$A222&amp;'Table 2.3b'!$C222,UtilityList!$A$4:$A$251&amp;UtilityList!$C$4:$C$251,0)))</f>
        <v>Aleutians</v>
      </c>
      <c r="O222" s="382" t="str">
        <f t="array" ref="O222">IFERROR(INDEX(UtilityList!K$4:K$251,MATCH('Table 2.3b'!$A222&amp;'Table 2.3b'!$B222&amp;'Table 2.3b'!$C222,UtilityList!$A$4:$A$251&amp;UtilityList!$B$4:$B$251&amp;UtilityList!$C$4:$C$251,0)),INDEX(UtilityList!K$4:K$251,MATCH('Table 2.3b'!$A222&amp;'Table 2.3b'!$C222,UtilityList!$A$4:$A$251&amp;UtilityList!$C$4:$C$251,0)))</f>
        <v>Aleutians East</v>
      </c>
      <c r="P222" s="382" t="str">
        <f t="array" ref="P222">IFERROR(INDEX(UtilityList!L$4:L$251,MATCH('Table 2.3b'!$A222&amp;'Table 2.3b'!$B222&amp;'Table 2.3b'!$C222,UtilityList!$A$4:$A$251&amp;UtilityList!$B$4:$B$251&amp;UtilityList!$C$4:$C$251,0)),INDEX(UtilityList!L$4:L$251,MATCH('Table 2.3b'!$A222&amp;'Table 2.3b'!$C222,UtilityList!$A$4:$A$251&amp;UtilityList!$C$4:$C$251,0)))</f>
        <v>Aleut</v>
      </c>
      <c r="Q222" s="382" t="str">
        <f t="array" ref="Q222">IFERROR(INDEX(UtilityList!M$4:M$251,MATCH('Table 2.3b'!$A222&amp;'Table 2.3b'!$B222&amp;'Table 2.3b'!$C222,UtilityList!$A$4:$A$251&amp;UtilityList!$B$4:$B$251&amp;UtilityList!$C$4:$C$251,0)),INDEX(UtilityList!M$4:M$251,MATCH('Table 2.3b'!$A222&amp;'Table 2.3b'!$C222,UtilityList!$A$4:$A$251&amp;UtilityList!$C$4:$C$251,0)))</f>
        <v>SW</v>
      </c>
    </row>
    <row r="223" spans="1:17" customFormat="1" ht="30" x14ac:dyDescent="0.25">
      <c r="A223" s="653" t="s">
        <v>333</v>
      </c>
      <c r="B223" s="452" t="s">
        <v>334</v>
      </c>
      <c r="C223" s="654" t="s">
        <v>334</v>
      </c>
      <c r="D223" s="655">
        <v>434.1617</v>
      </c>
      <c r="E223" s="656">
        <v>0</v>
      </c>
      <c r="F223" s="656">
        <v>0</v>
      </c>
      <c r="G223" s="657">
        <v>0</v>
      </c>
      <c r="H223" s="657">
        <v>0</v>
      </c>
      <c r="I223" s="657">
        <v>34534.667000000001</v>
      </c>
      <c r="J223" s="656">
        <v>0</v>
      </c>
      <c r="K223" s="656">
        <v>0</v>
      </c>
      <c r="L223" s="658" t="s">
        <v>356</v>
      </c>
      <c r="M223" s="659">
        <f t="array" ref="M223">INDEX(UtilityList!Q$4:Q$251,MATCH('Table 2.3b'!$A223&amp;'Table 2.3b'!$B223&amp;'Table 2.3b'!$C223,UtilityList!$A$4:$A$251&amp;UtilityList!$B$4:$B$251&amp;UtilityList!$C$4:$C$251,0))</f>
        <v>0</v>
      </c>
      <c r="N223" s="382" t="str">
        <f t="array" ref="N223">IFERROR(INDEX(UtilityList!J$4:J$251,MATCH('Table 2.3b'!$A223&amp;'Table 2.3b'!$B223&amp;'Table 2.3b'!$C223,UtilityList!$A$4:$A$251&amp;UtilityList!$B$4:$B$251&amp;UtilityList!$C$4:$C$251,0)),INDEX(UtilityList!J$4:J$251,MATCH('Table 2.3b'!$A223&amp;'Table 2.3b'!$C223,UtilityList!$A$4:$A$251&amp;UtilityList!$C$4:$C$251,0)))</f>
        <v>Yukon-Koyukuk/Upper Tanana</v>
      </c>
      <c r="O223" s="382" t="str">
        <f t="array" ref="O223">IFERROR(INDEX(UtilityList!K$4:K$251,MATCH('Table 2.3b'!$A223&amp;'Table 2.3b'!$B223&amp;'Table 2.3b'!$C223,UtilityList!$A$4:$A$251&amp;UtilityList!$B$4:$B$251&amp;UtilityList!$C$4:$C$251,0)),INDEX(UtilityList!K$4:K$251,MATCH('Table 2.3b'!$A223&amp;'Table 2.3b'!$C223,UtilityList!$A$4:$A$251&amp;UtilityList!$C$4:$C$251,0)))</f>
        <v>Yukon-Koyukuk (CA)</v>
      </c>
      <c r="P223" s="382" t="str">
        <f t="array" ref="P223">IFERROR(INDEX(UtilityList!L$4:L$251,MATCH('Table 2.3b'!$A223&amp;'Table 2.3b'!$B223&amp;'Table 2.3b'!$C223,UtilityList!$A$4:$A$251&amp;UtilityList!$B$4:$B$251&amp;UtilityList!$C$4:$C$251,0)),INDEX(UtilityList!L$4:L$251,MATCH('Table 2.3b'!$A223&amp;'Table 2.3b'!$C223,UtilityList!$A$4:$A$251&amp;UtilityList!$C$4:$C$251,0)))</f>
        <v>Doyon</v>
      </c>
      <c r="Q223" s="382" t="str">
        <f t="array" ref="Q223">IFERROR(INDEX(UtilityList!M$4:M$251,MATCH('Table 2.3b'!$A223&amp;'Table 2.3b'!$B223&amp;'Table 2.3b'!$C223,UtilityList!$A$4:$A$251&amp;UtilityList!$B$4:$B$251&amp;UtilityList!$C$4:$C$251,0)),INDEX(UtilityList!M$4:M$251,MATCH('Table 2.3b'!$A223&amp;'Table 2.3b'!$C223,UtilityList!$A$4:$A$251&amp;UtilityList!$C$4:$C$251,0)))</f>
        <v>YU</v>
      </c>
    </row>
    <row r="224" spans="1:17" customFormat="1" ht="30" x14ac:dyDescent="0.25">
      <c r="A224" s="653" t="s">
        <v>335</v>
      </c>
      <c r="B224" s="452" t="s">
        <v>336</v>
      </c>
      <c r="C224" s="654" t="s">
        <v>336</v>
      </c>
      <c r="D224" s="655">
        <v>416.31299999999999</v>
      </c>
      <c r="E224" s="656">
        <v>0</v>
      </c>
      <c r="F224" s="656">
        <v>0</v>
      </c>
      <c r="G224" s="657">
        <v>0</v>
      </c>
      <c r="H224" s="657">
        <v>0</v>
      </c>
      <c r="I224" s="657">
        <v>33616</v>
      </c>
      <c r="J224" s="656">
        <v>0</v>
      </c>
      <c r="K224" s="656">
        <v>0</v>
      </c>
      <c r="L224" s="658" t="s">
        <v>356</v>
      </c>
      <c r="M224" s="659">
        <f t="array" ref="M224">INDEX(UtilityList!Q$4:Q$251,MATCH('Table 2.3b'!$A224&amp;'Table 2.3b'!$B224&amp;'Table 2.3b'!$C224,UtilityList!$A$4:$A$251&amp;UtilityList!$B$4:$B$251&amp;UtilityList!$C$4:$C$251,0))</f>
        <v>0</v>
      </c>
      <c r="N224" s="382" t="str">
        <f t="array" ref="N224">IFERROR(INDEX(UtilityList!J$4:J$251,MATCH('Table 2.3b'!$A224&amp;'Table 2.3b'!$B224&amp;'Table 2.3b'!$C224,UtilityList!$A$4:$A$251&amp;UtilityList!$B$4:$B$251&amp;UtilityList!$C$4:$C$251,0)),INDEX(UtilityList!J$4:J$251,MATCH('Table 2.3b'!$A224&amp;'Table 2.3b'!$C224,UtilityList!$A$4:$A$251&amp;UtilityList!$C$4:$C$251,0)))</f>
        <v>Southeast</v>
      </c>
      <c r="O224" s="382" t="str">
        <f t="array" ref="O224">IFERROR(INDEX(UtilityList!K$4:K$251,MATCH('Table 2.3b'!$A224&amp;'Table 2.3b'!$B224&amp;'Table 2.3b'!$C224,UtilityList!$A$4:$A$251&amp;UtilityList!$B$4:$B$251&amp;UtilityList!$C$4:$C$251,0)),INDEX(UtilityList!K$4:K$251,MATCH('Table 2.3b'!$A224&amp;'Table 2.3b'!$C224,UtilityList!$A$4:$A$251&amp;UtilityList!$C$4:$C$251,0)))</f>
        <v>Hoonah-Angoon (CA)</v>
      </c>
      <c r="P224" s="382" t="str">
        <f t="array" ref="P224">IFERROR(INDEX(UtilityList!L$4:L$251,MATCH('Table 2.3b'!$A224&amp;'Table 2.3b'!$B224&amp;'Table 2.3b'!$C224,UtilityList!$A$4:$A$251&amp;UtilityList!$B$4:$B$251&amp;UtilityList!$C$4:$C$251,0)),INDEX(UtilityList!L$4:L$251,MATCH('Table 2.3b'!$A224&amp;'Table 2.3b'!$C224,UtilityList!$A$4:$A$251&amp;UtilityList!$C$4:$C$251,0)))</f>
        <v>Sealaska</v>
      </c>
      <c r="Q224" s="382" t="str">
        <f t="array" ref="Q224">IFERROR(INDEX(UtilityList!M$4:M$251,MATCH('Table 2.3b'!$A224&amp;'Table 2.3b'!$B224&amp;'Table 2.3b'!$C224,UtilityList!$A$4:$A$251&amp;UtilityList!$B$4:$B$251&amp;UtilityList!$C$4:$C$251,0)),INDEX(UtilityList!M$4:M$251,MATCH('Table 2.3b'!$A224&amp;'Table 2.3b'!$C224,UtilityList!$A$4:$A$251&amp;UtilityList!$C$4:$C$251,0)))</f>
        <v>SE</v>
      </c>
    </row>
    <row r="225" spans="1:17" customFormat="1" x14ac:dyDescent="0.25">
      <c r="A225" s="653" t="s">
        <v>337</v>
      </c>
      <c r="B225" s="452" t="s">
        <v>338</v>
      </c>
      <c r="C225" s="654" t="s">
        <v>338</v>
      </c>
      <c r="D225" s="655">
        <v>606.72309999999993</v>
      </c>
      <c r="E225" s="656">
        <v>0</v>
      </c>
      <c r="F225" s="656">
        <v>0</v>
      </c>
      <c r="G225" s="657">
        <v>0</v>
      </c>
      <c r="H225" s="657">
        <v>0</v>
      </c>
      <c r="I225" s="657">
        <v>58214</v>
      </c>
      <c r="J225" s="656">
        <v>0</v>
      </c>
      <c r="K225" s="656">
        <v>0</v>
      </c>
      <c r="L225" s="658" t="s">
        <v>356</v>
      </c>
      <c r="M225" s="659">
        <f t="array" ref="M225">INDEX(UtilityList!Q$4:Q$251,MATCH('Table 2.3b'!$A225&amp;'Table 2.3b'!$B225&amp;'Table 2.3b'!$C225,UtilityList!$A$4:$A$251&amp;UtilityList!$B$4:$B$251&amp;UtilityList!$C$4:$C$251,0))</f>
        <v>0</v>
      </c>
      <c r="N225" s="382" t="str">
        <f t="array" ref="N225">IFERROR(INDEX(UtilityList!J$4:J$251,MATCH('Table 2.3b'!$A225&amp;'Table 2.3b'!$B225&amp;'Table 2.3b'!$C225,UtilityList!$A$4:$A$251&amp;UtilityList!$B$4:$B$251&amp;UtilityList!$C$4:$C$251,0)),INDEX(UtilityList!J$4:J$251,MATCH('Table 2.3b'!$A225&amp;'Table 2.3b'!$C225,UtilityList!$A$4:$A$251&amp;UtilityList!$C$4:$C$251,0)))</f>
        <v>Lower Yukon-Kuskokwim</v>
      </c>
      <c r="O225" s="382" t="str">
        <f t="array" ref="O225">IFERROR(INDEX(UtilityList!K$4:K$251,MATCH('Table 2.3b'!$A225&amp;'Table 2.3b'!$B225&amp;'Table 2.3b'!$C225,UtilityList!$A$4:$A$251&amp;UtilityList!$B$4:$B$251&amp;UtilityList!$C$4:$C$251,0)),INDEX(UtilityList!K$4:K$251,MATCH('Table 2.3b'!$A225&amp;'Table 2.3b'!$C225,UtilityList!$A$4:$A$251&amp;UtilityList!$C$4:$C$251,0)))</f>
        <v>Bethel (CA)</v>
      </c>
      <c r="P225" s="382" t="str">
        <f t="array" ref="P225">IFERROR(INDEX(UtilityList!L$4:L$251,MATCH('Table 2.3b'!$A225&amp;'Table 2.3b'!$B225&amp;'Table 2.3b'!$C225,UtilityList!$A$4:$A$251&amp;UtilityList!$B$4:$B$251&amp;UtilityList!$C$4:$C$251,0)),INDEX(UtilityList!L$4:L$251,MATCH('Table 2.3b'!$A225&amp;'Table 2.3b'!$C225,UtilityList!$A$4:$A$251&amp;UtilityList!$C$4:$C$251,0)))</f>
        <v>Calista</v>
      </c>
      <c r="Q225" s="382" t="str">
        <f t="array" ref="Q225">IFERROR(INDEX(UtilityList!M$4:M$251,MATCH('Table 2.3b'!$A225&amp;'Table 2.3b'!$B225&amp;'Table 2.3b'!$C225,UtilityList!$A$4:$A$251&amp;UtilityList!$B$4:$B$251&amp;UtilityList!$C$4:$C$251,0)),INDEX(UtilityList!M$4:M$251,MATCH('Table 2.3b'!$A225&amp;'Table 2.3b'!$C225,UtilityList!$A$4:$A$251&amp;UtilityList!$C$4:$C$251,0)))</f>
        <v>SW</v>
      </c>
    </row>
    <row r="226" spans="1:17" customFormat="1" ht="30" x14ac:dyDescent="0.25">
      <c r="A226" s="653" t="s">
        <v>339</v>
      </c>
      <c r="B226" s="452" t="s">
        <v>340</v>
      </c>
      <c r="C226" s="654" t="s">
        <v>340</v>
      </c>
      <c r="D226" s="655">
        <v>970.95100000000002</v>
      </c>
      <c r="E226" s="656">
        <v>0</v>
      </c>
      <c r="F226" s="656">
        <v>0</v>
      </c>
      <c r="G226" s="657">
        <v>0</v>
      </c>
      <c r="H226" s="657">
        <v>0</v>
      </c>
      <c r="I226" s="657">
        <v>92280.000000000015</v>
      </c>
      <c r="J226" s="656">
        <v>0</v>
      </c>
      <c r="K226" s="656">
        <v>0</v>
      </c>
      <c r="L226" s="658" t="s">
        <v>356</v>
      </c>
      <c r="M226" s="659">
        <f t="array" ref="M226">INDEX(UtilityList!Q$4:Q$251,MATCH('Table 2.3b'!$A226&amp;'Table 2.3b'!$B226&amp;'Table 2.3b'!$C226,UtilityList!$A$4:$A$251&amp;UtilityList!$B$4:$B$251&amp;UtilityList!$C$4:$C$251,0))</f>
        <v>0</v>
      </c>
      <c r="N226" s="382" t="str">
        <f t="array" ref="N226">IFERROR(INDEX(UtilityList!J$4:J$251,MATCH('Table 2.3b'!$A226&amp;'Table 2.3b'!$B226&amp;'Table 2.3b'!$C226,UtilityList!$A$4:$A$251&amp;UtilityList!$B$4:$B$251&amp;UtilityList!$C$4:$C$251,0)),INDEX(UtilityList!J$4:J$251,MATCH('Table 2.3b'!$A226&amp;'Table 2.3b'!$C226,UtilityList!$A$4:$A$251&amp;UtilityList!$C$4:$C$251,0)))</f>
        <v>Lower Yukon-Kuskokwim</v>
      </c>
      <c r="O226" s="382" t="str">
        <f t="array" ref="O226">IFERROR(INDEX(UtilityList!K$4:K$251,MATCH('Table 2.3b'!$A226&amp;'Table 2.3b'!$B226&amp;'Table 2.3b'!$C226,UtilityList!$A$4:$A$251&amp;UtilityList!$B$4:$B$251&amp;UtilityList!$C$4:$C$251,0)),INDEX(UtilityList!K$4:K$251,MATCH('Table 2.3b'!$A226&amp;'Table 2.3b'!$C226,UtilityList!$A$4:$A$251&amp;UtilityList!$C$4:$C$251,0)))</f>
        <v>Bethel (CA)</v>
      </c>
      <c r="P226" s="382" t="str">
        <f t="array" ref="P226">IFERROR(INDEX(UtilityList!L$4:L$251,MATCH('Table 2.3b'!$A226&amp;'Table 2.3b'!$B226&amp;'Table 2.3b'!$C226,UtilityList!$A$4:$A$251&amp;UtilityList!$B$4:$B$251&amp;UtilityList!$C$4:$C$251,0)),INDEX(UtilityList!L$4:L$251,MATCH('Table 2.3b'!$A226&amp;'Table 2.3b'!$C226,UtilityList!$A$4:$A$251&amp;UtilityList!$C$4:$C$251,0)))</f>
        <v>Calista</v>
      </c>
      <c r="Q226" s="382" t="str">
        <f t="array" ref="Q226">IFERROR(INDEX(UtilityList!M$4:M$251,MATCH('Table 2.3b'!$A226&amp;'Table 2.3b'!$B226&amp;'Table 2.3b'!$C226,UtilityList!$A$4:$A$251&amp;UtilityList!$B$4:$B$251&amp;UtilityList!$C$4:$C$251,0)),INDEX(UtilityList!M$4:M$251,MATCH('Table 2.3b'!$A226&amp;'Table 2.3b'!$C226,UtilityList!$A$4:$A$251&amp;UtilityList!$C$4:$C$251,0)))</f>
        <v>SW</v>
      </c>
    </row>
    <row r="227" spans="1:17" customFormat="1" ht="30" customHeight="1" x14ac:dyDescent="0.25">
      <c r="A227" s="653" t="s">
        <v>341</v>
      </c>
      <c r="B227" s="452" t="s">
        <v>342</v>
      </c>
      <c r="C227" s="654" t="s">
        <v>342</v>
      </c>
      <c r="D227" s="655">
        <v>282.24180000000001</v>
      </c>
      <c r="E227" s="656">
        <v>0</v>
      </c>
      <c r="F227" s="656">
        <v>0</v>
      </c>
      <c r="G227" s="657">
        <v>0</v>
      </c>
      <c r="H227" s="657">
        <v>0</v>
      </c>
      <c r="I227" s="657">
        <v>30161</v>
      </c>
      <c r="J227" s="656">
        <v>0</v>
      </c>
      <c r="K227" s="656">
        <v>0</v>
      </c>
      <c r="L227" s="658" t="s">
        <v>356</v>
      </c>
      <c r="M227" s="659">
        <f t="array" ref="M227">INDEX(UtilityList!Q$4:Q$251,MATCH('Table 2.3b'!$A227&amp;'Table 2.3b'!$B227&amp;'Table 2.3b'!$C227,UtilityList!$A$4:$A$251&amp;UtilityList!$B$4:$B$251&amp;UtilityList!$C$4:$C$251,0))</f>
        <v>0</v>
      </c>
      <c r="N227" s="382" t="str">
        <f t="array" ref="N227">IFERROR(INDEX(UtilityList!J$4:J$251,MATCH('Table 2.3b'!$A227&amp;'Table 2.3b'!$B227&amp;'Table 2.3b'!$C227,UtilityList!$A$4:$A$251&amp;UtilityList!$B$4:$B$251&amp;UtilityList!$C$4:$C$251,0)),INDEX(UtilityList!J$4:J$251,MATCH('Table 2.3b'!$A227&amp;'Table 2.3b'!$C227,UtilityList!$A$4:$A$251&amp;UtilityList!$C$4:$C$251,0)))</f>
        <v>Bristol Bay</v>
      </c>
      <c r="O227" s="382" t="str">
        <f t="array" ref="O227">IFERROR(INDEX(UtilityList!K$4:K$251,MATCH('Table 2.3b'!$A227&amp;'Table 2.3b'!$B227&amp;'Table 2.3b'!$C227,UtilityList!$A$4:$A$251&amp;UtilityList!$B$4:$B$251&amp;UtilityList!$C$4:$C$251,0)),INDEX(UtilityList!K$4:K$251,MATCH('Table 2.3b'!$A227&amp;'Table 2.3b'!$C227,UtilityList!$A$4:$A$251&amp;UtilityList!$C$4:$C$251,0)))</f>
        <v>Dillingham (CA)</v>
      </c>
      <c r="P227" s="382" t="str">
        <f t="array" ref="P227">IFERROR(INDEX(UtilityList!L$4:L$251,MATCH('Table 2.3b'!$A227&amp;'Table 2.3b'!$B227&amp;'Table 2.3b'!$C227,UtilityList!$A$4:$A$251&amp;UtilityList!$B$4:$B$251&amp;UtilityList!$C$4:$C$251,0)),INDEX(UtilityList!L$4:L$251,MATCH('Table 2.3b'!$A227&amp;'Table 2.3b'!$C227,UtilityList!$A$4:$A$251&amp;UtilityList!$C$4:$C$251,0)))</f>
        <v>Bristol Bay</v>
      </c>
      <c r="Q227" s="382" t="str">
        <f t="array" ref="Q227">IFERROR(INDEX(UtilityList!M$4:M$251,MATCH('Table 2.3b'!$A227&amp;'Table 2.3b'!$B227&amp;'Table 2.3b'!$C227,UtilityList!$A$4:$A$251&amp;UtilityList!$B$4:$B$251&amp;UtilityList!$C$4:$C$251,0)),INDEX(UtilityList!M$4:M$251,MATCH('Table 2.3b'!$A227&amp;'Table 2.3b'!$C227,UtilityList!$A$4:$A$251&amp;UtilityList!$C$4:$C$251,0)))</f>
        <v>SW</v>
      </c>
    </row>
    <row r="228" spans="1:17" customFormat="1" ht="30" x14ac:dyDescent="0.25">
      <c r="A228" s="653" t="s">
        <v>343</v>
      </c>
      <c r="B228" s="452" t="s">
        <v>344</v>
      </c>
      <c r="C228" s="654" t="s">
        <v>344</v>
      </c>
      <c r="D228" s="655">
        <v>211.643</v>
      </c>
      <c r="E228" s="656">
        <v>0</v>
      </c>
      <c r="F228" s="656">
        <v>0</v>
      </c>
      <c r="G228" s="657">
        <v>0</v>
      </c>
      <c r="H228" s="657">
        <v>0.66</v>
      </c>
      <c r="I228" s="657">
        <v>24532</v>
      </c>
      <c r="J228" s="656">
        <v>0</v>
      </c>
      <c r="K228" s="656">
        <v>0</v>
      </c>
      <c r="L228" s="658" t="s">
        <v>356</v>
      </c>
      <c r="M228" s="659">
        <f t="array" ref="M228">INDEX(UtilityList!Q$4:Q$251,MATCH('Table 2.3b'!$A228&amp;'Table 2.3b'!$B228&amp;'Table 2.3b'!$C228,UtilityList!$A$4:$A$251&amp;UtilityList!$B$4:$B$251&amp;UtilityList!$C$4:$C$251,0))</f>
        <v>0</v>
      </c>
      <c r="N228" s="382" t="str">
        <f t="array" ref="N228">IFERROR(INDEX(UtilityList!J$4:J$251,MATCH('Table 2.3b'!$A228&amp;'Table 2.3b'!$B228&amp;'Table 2.3b'!$C228,UtilityList!$A$4:$A$251&amp;UtilityList!$B$4:$B$251&amp;UtilityList!$C$4:$C$251,0)),INDEX(UtilityList!J$4:J$251,MATCH('Table 2.3b'!$A228&amp;'Table 2.3b'!$C228,UtilityList!$A$4:$A$251&amp;UtilityList!$C$4:$C$251,0)))</f>
        <v>Aleutians</v>
      </c>
      <c r="O228" s="382" t="str">
        <f t="array" ref="O228">IFERROR(INDEX(UtilityList!K$4:K$251,MATCH('Table 2.3b'!$A228&amp;'Table 2.3b'!$B228&amp;'Table 2.3b'!$C228,UtilityList!$A$4:$A$251&amp;UtilityList!$B$4:$B$251&amp;UtilityList!$C$4:$C$251,0)),INDEX(UtilityList!K$4:K$251,MATCH('Table 2.3b'!$A228&amp;'Table 2.3b'!$C228,UtilityList!$A$4:$A$251&amp;UtilityList!$C$4:$C$251,0)))</f>
        <v>Aleutians West (CA)</v>
      </c>
      <c r="P228" s="382" t="str">
        <f t="array" ref="P228">IFERROR(INDEX(UtilityList!L$4:L$251,MATCH('Table 2.3b'!$A228&amp;'Table 2.3b'!$B228&amp;'Table 2.3b'!$C228,UtilityList!$A$4:$A$251&amp;UtilityList!$B$4:$B$251&amp;UtilityList!$C$4:$C$251,0)),INDEX(UtilityList!L$4:L$251,MATCH('Table 2.3b'!$A228&amp;'Table 2.3b'!$C228,UtilityList!$A$4:$A$251&amp;UtilityList!$C$4:$C$251,0)))</f>
        <v>Aleut</v>
      </c>
      <c r="Q228" s="382" t="str">
        <f t="array" ref="Q228">IFERROR(INDEX(UtilityList!M$4:M$251,MATCH('Table 2.3b'!$A228&amp;'Table 2.3b'!$B228&amp;'Table 2.3b'!$C228,UtilityList!$A$4:$A$251&amp;UtilityList!$B$4:$B$251&amp;UtilityList!$C$4:$C$251,0)),INDEX(UtilityList!M$4:M$251,MATCH('Table 2.3b'!$A228&amp;'Table 2.3b'!$C228,UtilityList!$A$4:$A$251&amp;UtilityList!$C$4:$C$251,0)))</f>
        <v>SW</v>
      </c>
    </row>
    <row r="229" spans="1:17" customFormat="1" ht="30" customHeight="1" x14ac:dyDescent="0.25">
      <c r="A229" s="653" t="s">
        <v>537</v>
      </c>
      <c r="B229" s="452" t="s">
        <v>345</v>
      </c>
      <c r="C229" s="654" t="s">
        <v>345</v>
      </c>
      <c r="D229" s="655">
        <v>3497.944</v>
      </c>
      <c r="E229" s="656">
        <v>0</v>
      </c>
      <c r="F229" s="656">
        <v>0</v>
      </c>
      <c r="G229" s="657">
        <v>0</v>
      </c>
      <c r="H229" s="657">
        <v>921.36699999999996</v>
      </c>
      <c r="I229" s="657">
        <v>233637.00000000003</v>
      </c>
      <c r="J229" s="656">
        <v>0</v>
      </c>
      <c r="K229" s="656">
        <v>0</v>
      </c>
      <c r="L229" s="658" t="s">
        <v>356</v>
      </c>
      <c r="M229" s="659">
        <f t="array" ref="M229">INDEX(UtilityList!Q$4:Q$251,MATCH('Table 2.3b'!$A229&amp;'Table 2.3b'!$B229&amp;'Table 2.3b'!$C229,UtilityList!$A$4:$A$251&amp;UtilityList!$B$4:$B$251&amp;UtilityList!$C$4:$C$251,0))</f>
        <v>0</v>
      </c>
      <c r="N229" s="382" t="str">
        <f t="array" ref="N229">IFERROR(INDEX(UtilityList!J$4:J$251,MATCH('Table 2.3b'!$A229&amp;'Table 2.3b'!$B229&amp;'Table 2.3b'!$C229,UtilityList!$A$4:$A$251&amp;UtilityList!$B$4:$B$251&amp;UtilityList!$C$4:$C$251,0)),INDEX(UtilityList!J$4:J$251,MATCH('Table 2.3b'!$A229&amp;'Table 2.3b'!$C229,UtilityList!$A$4:$A$251&amp;UtilityList!$C$4:$C$251,0)))</f>
        <v>Bering Straits</v>
      </c>
      <c r="O229" s="382" t="str">
        <f t="array" ref="O229">IFERROR(INDEX(UtilityList!K$4:K$251,MATCH('Table 2.3b'!$A229&amp;'Table 2.3b'!$B229&amp;'Table 2.3b'!$C229,UtilityList!$A$4:$A$251&amp;UtilityList!$B$4:$B$251&amp;UtilityList!$C$4:$C$251,0)),INDEX(UtilityList!K$4:K$251,MATCH('Table 2.3b'!$A229&amp;'Table 2.3b'!$C229,UtilityList!$A$4:$A$251&amp;UtilityList!$C$4:$C$251,0)))</f>
        <v>Nome (CA)</v>
      </c>
      <c r="P229" s="382" t="str">
        <f t="array" ref="P229">IFERROR(INDEX(UtilityList!L$4:L$251,MATCH('Table 2.3b'!$A229&amp;'Table 2.3b'!$B229&amp;'Table 2.3b'!$C229,UtilityList!$A$4:$A$251&amp;UtilityList!$B$4:$B$251&amp;UtilityList!$C$4:$C$251,0)),INDEX(UtilityList!L$4:L$251,MATCH('Table 2.3b'!$A229&amp;'Table 2.3b'!$C229,UtilityList!$A$4:$A$251&amp;UtilityList!$C$4:$C$251,0)))</f>
        <v>Bering Straits</v>
      </c>
      <c r="Q229" s="382" t="str">
        <f t="array" ref="Q229">IFERROR(INDEX(UtilityList!M$4:M$251,MATCH('Table 2.3b'!$A229&amp;'Table 2.3b'!$B229&amp;'Table 2.3b'!$C229,UtilityList!$A$4:$A$251&amp;UtilityList!$B$4:$B$251&amp;UtilityList!$C$4:$C$251,0)),INDEX(UtilityList!M$4:M$251,MATCH('Table 2.3b'!$A229&amp;'Table 2.3b'!$C229,UtilityList!$A$4:$A$251&amp;UtilityList!$C$4:$C$251,0)))</f>
        <v>AN</v>
      </c>
    </row>
    <row r="230" spans="1:17" customFormat="1" ht="45" customHeight="1" x14ac:dyDescent="0.25">
      <c r="A230" s="653" t="s">
        <v>637</v>
      </c>
      <c r="B230" s="452"/>
      <c r="C230" s="654" t="s">
        <v>492</v>
      </c>
      <c r="D230" s="655">
        <v>43500</v>
      </c>
      <c r="E230" s="656">
        <v>0</v>
      </c>
      <c r="F230" s="656">
        <v>0</v>
      </c>
      <c r="G230" s="657">
        <v>0</v>
      </c>
      <c r="H230" s="657">
        <v>0</v>
      </c>
      <c r="I230" s="657">
        <v>2794440</v>
      </c>
      <c r="J230" s="656">
        <v>0</v>
      </c>
      <c r="K230" s="656">
        <v>0</v>
      </c>
      <c r="L230" s="658" t="s">
        <v>356</v>
      </c>
      <c r="M230" s="659" t="s">
        <v>721</v>
      </c>
      <c r="N230" s="382" t="str">
        <f t="array" ref="N230">IFERROR(INDEX(UtilityList!J$4:J$251,MATCH('Table 2.3b'!$A230&amp;'Table 2.3b'!$B230&amp;'Table 2.3b'!$C230,UtilityList!$A$4:$A$251&amp;UtilityList!$B$4:$B$251&amp;UtilityList!$C$4:$C$251,0)),INDEX(UtilityList!J$4:J$251,MATCH('Table 2.3b'!$A230&amp;'Table 2.3b'!$C230,UtilityList!$A$4:$A$251&amp;UtilityList!$C$4:$C$251,0)))</f>
        <v>Aleutians</v>
      </c>
      <c r="O230" s="382" t="str">
        <f t="array" ref="O230">IFERROR(INDEX(UtilityList!K$4:K$251,MATCH('Table 2.3b'!$A230&amp;'Table 2.3b'!$B230&amp;'Table 2.3b'!$C230,UtilityList!$A$4:$A$251&amp;UtilityList!$B$4:$B$251&amp;UtilityList!$C$4:$C$251,0)),INDEX(UtilityList!K$4:K$251,MATCH('Table 2.3b'!$A230&amp;'Table 2.3b'!$C230,UtilityList!$A$4:$A$251&amp;UtilityList!$C$4:$C$251,0)))</f>
        <v>Aleutians West (CA)</v>
      </c>
      <c r="P230" s="382" t="str">
        <f t="array" ref="P230">IFERROR(INDEX(UtilityList!L$4:L$251,MATCH('Table 2.3b'!$A230&amp;'Table 2.3b'!$B230&amp;'Table 2.3b'!$C230,UtilityList!$A$4:$A$251&amp;UtilityList!$B$4:$B$251&amp;UtilityList!$C$4:$C$251,0)),INDEX(UtilityList!L$4:L$251,MATCH('Table 2.3b'!$A230&amp;'Table 2.3b'!$C230,UtilityList!$A$4:$A$251&amp;UtilityList!$C$4:$C$251,0)))</f>
        <v>Aleut</v>
      </c>
      <c r="Q230" s="382" t="str">
        <f t="array" ref="Q230">IFERROR(INDEX(UtilityList!M$4:M$251,MATCH('Table 2.3b'!$A230&amp;'Table 2.3b'!$B230&amp;'Table 2.3b'!$C230,UtilityList!$A$4:$A$251&amp;UtilityList!$B$4:$B$251&amp;UtilityList!$C$4:$C$251,0)),INDEX(UtilityList!M$4:M$251,MATCH('Table 2.3b'!$A230&amp;'Table 2.3b'!$C230,UtilityList!$A$4:$A$251&amp;UtilityList!$C$4:$C$251,0)))</f>
        <v>SW</v>
      </c>
    </row>
    <row r="231" spans="1:17" customFormat="1" ht="30" customHeight="1" x14ac:dyDescent="0.25">
      <c r="A231" s="653" t="s">
        <v>346</v>
      </c>
      <c r="B231" s="452" t="s">
        <v>347</v>
      </c>
      <c r="C231" s="654" t="s">
        <v>347</v>
      </c>
      <c r="D231" s="655">
        <v>426.98399999999998</v>
      </c>
      <c r="E231" s="656">
        <v>0</v>
      </c>
      <c r="F231" s="656">
        <v>0</v>
      </c>
      <c r="G231" s="657">
        <v>0</v>
      </c>
      <c r="H231" s="657">
        <v>0</v>
      </c>
      <c r="I231" s="657">
        <v>41159</v>
      </c>
      <c r="J231" s="656">
        <v>0</v>
      </c>
      <c r="K231" s="656">
        <v>0</v>
      </c>
      <c r="L231" s="658" t="s">
        <v>356</v>
      </c>
      <c r="M231" s="659">
        <f t="array" ref="M231">INDEX(UtilityList!Q$4:Q$251,MATCH('Table 2.3b'!$A231&amp;'Table 2.3b'!$B231&amp;'Table 2.3b'!$C231,UtilityList!$A$4:$A$251&amp;UtilityList!$B$4:$B$251&amp;UtilityList!$C$4:$C$251,0))</f>
        <v>0</v>
      </c>
      <c r="N231" s="382" t="str">
        <f t="array" ref="N231">IFERROR(INDEX(UtilityList!J$4:J$251,MATCH('Table 2.3b'!$A231&amp;'Table 2.3b'!$B231&amp;'Table 2.3b'!$C231,UtilityList!$A$4:$A$251&amp;UtilityList!$B$4:$B$251&amp;UtilityList!$C$4:$C$251,0)),INDEX(UtilityList!J$4:J$251,MATCH('Table 2.3b'!$A231&amp;'Table 2.3b'!$C231,UtilityList!$A$4:$A$251&amp;UtilityList!$C$4:$C$251,0)))</f>
        <v>Lower Yukon-Kuskokwim</v>
      </c>
      <c r="O231" s="382" t="str">
        <f t="array" ref="O231">IFERROR(INDEX(UtilityList!K$4:K$251,MATCH('Table 2.3b'!$A231&amp;'Table 2.3b'!$B231&amp;'Table 2.3b'!$C231,UtilityList!$A$4:$A$251&amp;UtilityList!$B$4:$B$251&amp;UtilityList!$C$4:$C$251,0)),INDEX(UtilityList!K$4:K$251,MATCH('Table 2.3b'!$A231&amp;'Table 2.3b'!$C231,UtilityList!$A$4:$A$251&amp;UtilityList!$C$4:$C$251,0)))</f>
        <v>Bethel (CA)</v>
      </c>
      <c r="P231" s="382" t="str">
        <f t="array" ref="P231">IFERROR(INDEX(UtilityList!L$4:L$251,MATCH('Table 2.3b'!$A231&amp;'Table 2.3b'!$B231&amp;'Table 2.3b'!$C231,UtilityList!$A$4:$A$251&amp;UtilityList!$B$4:$B$251&amp;UtilityList!$C$4:$C$251,0)),INDEX(UtilityList!L$4:L$251,MATCH('Table 2.3b'!$A231&amp;'Table 2.3b'!$C231,UtilityList!$A$4:$A$251&amp;UtilityList!$C$4:$C$251,0)))</f>
        <v>Calista</v>
      </c>
      <c r="Q231" s="382" t="str">
        <f t="array" ref="Q231">IFERROR(INDEX(UtilityList!M$4:M$251,MATCH('Table 2.3b'!$A231&amp;'Table 2.3b'!$B231&amp;'Table 2.3b'!$C231,UtilityList!$A$4:$A$251&amp;UtilityList!$B$4:$B$251&amp;UtilityList!$C$4:$C$251,0)),INDEX(UtilityList!M$4:M$251,MATCH('Table 2.3b'!$A231&amp;'Table 2.3b'!$C231,UtilityList!$A$4:$A$251&amp;UtilityList!$C$4:$C$251,0)))</f>
        <v>SW</v>
      </c>
    </row>
    <row r="232" spans="1:17" customFormat="1" ht="30" customHeight="1" x14ac:dyDescent="0.25">
      <c r="A232" s="653" t="s">
        <v>350</v>
      </c>
      <c r="B232" s="452" t="s">
        <v>351</v>
      </c>
      <c r="C232" s="654" t="s">
        <v>351</v>
      </c>
      <c r="D232" s="655">
        <v>369.21600000000001</v>
      </c>
      <c r="E232" s="656">
        <v>0</v>
      </c>
      <c r="F232" s="656">
        <v>0</v>
      </c>
      <c r="G232" s="657">
        <v>0</v>
      </c>
      <c r="H232" s="657">
        <v>0</v>
      </c>
      <c r="I232" s="657">
        <v>29509</v>
      </c>
      <c r="J232" s="656">
        <v>0</v>
      </c>
      <c r="K232" s="656">
        <v>0</v>
      </c>
      <c r="L232" s="658" t="s">
        <v>356</v>
      </c>
      <c r="M232" s="659">
        <f t="array" ref="M232">INDEX(UtilityList!Q$4:Q$251,MATCH('Table 2.3b'!$A232&amp;'Table 2.3b'!$B232&amp;'Table 2.3b'!$C232,UtilityList!$A$4:$A$251&amp;UtilityList!$B$4:$B$251&amp;UtilityList!$C$4:$C$251,0))</f>
        <v>0</v>
      </c>
      <c r="N232" s="382" t="str">
        <f t="array" ref="N232">IFERROR(INDEX(UtilityList!J$4:J$251,MATCH('Table 2.3b'!$A232&amp;'Table 2.3b'!$B232&amp;'Table 2.3b'!$C232,UtilityList!$A$4:$A$251&amp;UtilityList!$B$4:$B$251&amp;UtilityList!$C$4:$C$251,0)),INDEX(UtilityList!J$4:J$251,MATCH('Table 2.3b'!$A232&amp;'Table 2.3b'!$C232,UtilityList!$A$4:$A$251&amp;UtilityList!$C$4:$C$251,0)))</f>
        <v>Bering Straits</v>
      </c>
      <c r="O232" s="382" t="str">
        <f t="array" ref="O232">IFERROR(INDEX(UtilityList!K$4:K$251,MATCH('Table 2.3b'!$A232&amp;'Table 2.3b'!$B232&amp;'Table 2.3b'!$C232,UtilityList!$A$4:$A$251&amp;UtilityList!$B$4:$B$251&amp;UtilityList!$C$4:$C$251,0)),INDEX(UtilityList!K$4:K$251,MATCH('Table 2.3b'!$A232&amp;'Table 2.3b'!$C232,UtilityList!$A$4:$A$251&amp;UtilityList!$C$4:$C$251,0)))</f>
        <v>Nome (CA)</v>
      </c>
      <c r="P232" s="382" t="str">
        <f t="array" ref="P232">IFERROR(INDEX(UtilityList!L$4:L$251,MATCH('Table 2.3b'!$A232&amp;'Table 2.3b'!$B232&amp;'Table 2.3b'!$C232,UtilityList!$A$4:$A$251&amp;UtilityList!$B$4:$B$251&amp;UtilityList!$C$4:$C$251,0)),INDEX(UtilityList!L$4:L$251,MATCH('Table 2.3b'!$A232&amp;'Table 2.3b'!$C232,UtilityList!$A$4:$A$251&amp;UtilityList!$C$4:$C$251,0)))</f>
        <v>Bering Straits</v>
      </c>
      <c r="Q232" s="382" t="str">
        <f t="array" ref="Q232">IFERROR(INDEX(UtilityList!M$4:M$251,MATCH('Table 2.3b'!$A232&amp;'Table 2.3b'!$B232&amp;'Table 2.3b'!$C232,UtilityList!$A$4:$A$251&amp;UtilityList!$B$4:$B$251&amp;UtilityList!$C$4:$C$251,0)),INDEX(UtilityList!M$4:M$251,MATCH('Table 2.3b'!$A232&amp;'Table 2.3b'!$C232,UtilityList!$A$4:$A$251&amp;UtilityList!$C$4:$C$251,0)))</f>
        <v>AN</v>
      </c>
    </row>
    <row r="233" spans="1:17" s="322" customFormat="1" ht="30" customHeight="1" x14ac:dyDescent="0.25">
      <c r="A233" s="360" t="s">
        <v>352</v>
      </c>
      <c r="B233" s="452" t="s">
        <v>353</v>
      </c>
      <c r="C233" s="361" t="s">
        <v>353</v>
      </c>
      <c r="D233" s="644">
        <v>1374</v>
      </c>
      <c r="E233" s="656">
        <v>0</v>
      </c>
      <c r="F233" s="656">
        <v>0</v>
      </c>
      <c r="G233" s="661">
        <v>0</v>
      </c>
      <c r="H233" s="644">
        <v>0</v>
      </c>
      <c r="I233" s="644">
        <v>39816</v>
      </c>
      <c r="J233" s="656">
        <v>0</v>
      </c>
      <c r="K233" s="656">
        <v>0</v>
      </c>
      <c r="L233" s="658" t="s">
        <v>558</v>
      </c>
      <c r="M233" s="659">
        <f t="array" ref="M233">INDEX(UtilityList!Q$4:Q$251,MATCH('Table 2.3b'!$A233&amp;'Table 2.3b'!$B233&amp;'Table 2.3b'!$C233,UtilityList!$A$4:$A$251&amp;UtilityList!$B$4:$B$251&amp;UtilityList!$C$4:$C$251,0))</f>
        <v>0</v>
      </c>
      <c r="N233" s="382" t="str">
        <f t="array" ref="N233">IFERROR(INDEX(UtilityList!J$4:J$251,MATCH('Table 2.3b'!$A233&amp;'Table 2.3b'!$B233&amp;'Table 2.3b'!$C233,UtilityList!$A$4:$A$251&amp;UtilityList!$B$4:$B$251&amp;UtilityList!$C$4:$C$251,0)),INDEX(UtilityList!J$4:J$251,MATCH('Table 2.3b'!$A233&amp;'Table 2.3b'!$C233,UtilityList!$A$4:$A$251&amp;UtilityList!$C$4:$C$251,0)))</f>
        <v>Southeast</v>
      </c>
      <c r="O233" s="382" t="str">
        <f t="array" ref="O233">IFERROR(INDEX(UtilityList!K$4:K$251,MATCH('Table 2.3b'!$A233&amp;'Table 2.3b'!$B233&amp;'Table 2.3b'!$C233,UtilityList!$A$4:$A$251&amp;UtilityList!$B$4:$B$251&amp;UtilityList!$C$4:$C$251,0)),INDEX(UtilityList!K$4:K$251,MATCH('Table 2.3b'!$A233&amp;'Table 2.3b'!$C233,UtilityList!$A$4:$A$251&amp;UtilityList!$C$4:$C$251,0)))</f>
        <v>Wrangell</v>
      </c>
      <c r="P233" s="382" t="str">
        <f t="array" ref="P233">IFERROR(INDEX(UtilityList!L$4:L$251,MATCH('Table 2.3b'!$A233&amp;'Table 2.3b'!$B233&amp;'Table 2.3b'!$C233,UtilityList!$A$4:$A$251&amp;UtilityList!$B$4:$B$251&amp;UtilityList!$C$4:$C$251,0)),INDEX(UtilityList!L$4:L$251,MATCH('Table 2.3b'!$A233&amp;'Table 2.3b'!$C233,UtilityList!$A$4:$A$251&amp;UtilityList!$C$4:$C$251,0)))</f>
        <v>Sealaska</v>
      </c>
      <c r="Q233" s="382" t="str">
        <f t="array" ref="Q233">IFERROR(INDEX(UtilityList!M$4:M$251,MATCH('Table 2.3b'!$A233&amp;'Table 2.3b'!$B233&amp;'Table 2.3b'!$C233,UtilityList!$A$4:$A$251&amp;UtilityList!$B$4:$B$251&amp;UtilityList!$C$4:$C$251,0)),INDEX(UtilityList!M$4:M$251,MATCH('Table 2.3b'!$A233&amp;'Table 2.3b'!$C233,UtilityList!$A$4:$A$251&amp;UtilityList!$C$4:$C$251,0)))</f>
        <v>SE</v>
      </c>
    </row>
    <row r="234" spans="1:17" s="322" customFormat="1" ht="30" customHeight="1" x14ac:dyDescent="0.25">
      <c r="A234" s="653" t="s">
        <v>354</v>
      </c>
      <c r="B234" s="452" t="s">
        <v>355</v>
      </c>
      <c r="C234" s="654" t="s">
        <v>355</v>
      </c>
      <c r="D234" s="655">
        <v>6511.7089999999998</v>
      </c>
      <c r="E234" s="656">
        <v>0</v>
      </c>
      <c r="F234" s="656">
        <v>0</v>
      </c>
      <c r="G234" s="657">
        <v>0</v>
      </c>
      <c r="H234" s="657">
        <v>0</v>
      </c>
      <c r="I234" s="657">
        <v>450578</v>
      </c>
      <c r="J234" s="656">
        <v>0</v>
      </c>
      <c r="K234" s="656">
        <v>0</v>
      </c>
      <c r="L234" s="658" t="s">
        <v>356</v>
      </c>
      <c r="M234" s="659">
        <f t="array" ref="M234">INDEX(UtilityList!Q$4:Q$251,MATCH('Table 2.3b'!$A234&amp;'Table 2.3b'!$B234&amp;'Table 2.3b'!$C234,UtilityList!$A$4:$A$251&amp;UtilityList!$B$4:$B$251&amp;UtilityList!$C$4:$C$251,0))</f>
        <v>0</v>
      </c>
      <c r="N234" s="382" t="str">
        <f t="array" ref="N234">IFERROR(INDEX(UtilityList!J$4:J$251,MATCH('Table 2.3b'!$A234&amp;'Table 2.3b'!$B234&amp;'Table 2.3b'!$C234,UtilityList!$A$4:$A$251&amp;UtilityList!$B$4:$B$251&amp;UtilityList!$C$4:$C$251,0)),INDEX(UtilityList!J$4:J$251,MATCH('Table 2.3b'!$A234&amp;'Table 2.3b'!$C234,UtilityList!$A$4:$A$251&amp;UtilityList!$C$4:$C$251,0)))</f>
        <v>Southeast</v>
      </c>
      <c r="O234" s="382" t="str">
        <f t="array" ref="O234">IFERROR(INDEX(UtilityList!K$4:K$251,MATCH('Table 2.3b'!$A234&amp;'Table 2.3b'!$B234&amp;'Table 2.3b'!$C234,UtilityList!$A$4:$A$251&amp;UtilityList!$B$4:$B$251&amp;UtilityList!$C$4:$C$251,0)),INDEX(UtilityList!K$4:K$251,MATCH('Table 2.3b'!$A234&amp;'Table 2.3b'!$C234,UtilityList!$A$4:$A$251&amp;UtilityList!$C$4:$C$251,0)))</f>
        <v>Yakutat</v>
      </c>
      <c r="P234" s="382" t="str">
        <f t="array" ref="P234">IFERROR(INDEX(UtilityList!L$4:L$251,MATCH('Table 2.3b'!$A234&amp;'Table 2.3b'!$B234&amp;'Table 2.3b'!$C234,UtilityList!$A$4:$A$251&amp;UtilityList!$B$4:$B$251&amp;UtilityList!$C$4:$C$251,0)),INDEX(UtilityList!L$4:L$251,MATCH('Table 2.3b'!$A234&amp;'Table 2.3b'!$C234,UtilityList!$A$4:$A$251&amp;UtilityList!$C$4:$C$251,0)))</f>
        <v>Sealaska</v>
      </c>
      <c r="Q234" s="382" t="str">
        <f t="array" ref="Q234">IFERROR(INDEX(UtilityList!M$4:M$251,MATCH('Table 2.3b'!$A234&amp;'Table 2.3b'!$B234&amp;'Table 2.3b'!$C234,UtilityList!$A$4:$A$251&amp;UtilityList!$B$4:$B$251&amp;UtilityList!$C$4:$C$251,0)),INDEX(UtilityList!M$4:M$251,MATCH('Table 2.3b'!$A234&amp;'Table 2.3b'!$C234,UtilityList!$A$4:$A$251&amp;UtilityList!$C$4:$C$251,0)))</f>
        <v>SE</v>
      </c>
    </row>
    <row r="235" spans="1:17" s="322" customFormat="1" ht="30" customHeight="1" x14ac:dyDescent="0.25">
      <c r="A235" s="69"/>
      <c r="B235" s="69"/>
      <c r="C235" s="123"/>
      <c r="D235" s="158"/>
      <c r="E235" s="68"/>
      <c r="F235" s="68"/>
      <c r="G235" s="158"/>
      <c r="H235" s="68"/>
      <c r="I235" s="68"/>
      <c r="J235" s="68"/>
      <c r="K235" s="68"/>
      <c r="L235" s="65"/>
      <c r="M235" s="99"/>
      <c r="N235" s="343"/>
    </row>
    <row r="236" spans="1:17" s="322" customFormat="1" ht="30" customHeight="1" x14ac:dyDescent="0.25">
      <c r="A236" s="69"/>
      <c r="B236" s="69"/>
      <c r="C236" s="123"/>
      <c r="D236" s="158"/>
      <c r="E236" s="68"/>
      <c r="F236" s="68"/>
      <c r="G236" s="158"/>
      <c r="H236" s="68"/>
      <c r="I236" s="68"/>
      <c r="J236" s="68"/>
      <c r="K236" s="68"/>
      <c r="L236" s="65"/>
      <c r="M236" s="99"/>
      <c r="N236" s="343"/>
    </row>
    <row r="237" spans="1:17" s="322" customFormat="1" ht="30" customHeight="1" x14ac:dyDescent="0.25">
      <c r="A237" s="69"/>
      <c r="B237" s="69"/>
      <c r="C237" s="123"/>
      <c r="D237" s="158"/>
      <c r="E237" s="68"/>
      <c r="F237" s="68"/>
      <c r="G237" s="158"/>
      <c r="H237" s="68"/>
      <c r="I237" s="68"/>
      <c r="J237" s="68"/>
      <c r="K237" s="68"/>
      <c r="L237" s="65"/>
      <c r="M237" s="99"/>
      <c r="N237" s="343"/>
    </row>
    <row r="238" spans="1:17" customFormat="1" ht="30" customHeight="1" x14ac:dyDescent="0.25">
      <c r="A238" s="115"/>
      <c r="B238" s="115"/>
      <c r="C238" s="328"/>
      <c r="D238" s="57"/>
      <c r="E238" s="19"/>
      <c r="F238" s="19"/>
      <c r="G238" s="329"/>
      <c r="H238" s="19"/>
      <c r="I238" s="19"/>
      <c r="J238" s="19"/>
      <c r="K238" s="19"/>
      <c r="L238" s="112"/>
      <c r="M238" s="149"/>
      <c r="N238" s="348"/>
    </row>
    <row r="239" spans="1:17" customFormat="1" ht="30" customHeight="1" x14ac:dyDescent="0.25">
      <c r="A239" s="115"/>
      <c r="B239" s="115"/>
      <c r="C239" s="328"/>
      <c r="D239" s="57"/>
      <c r="E239" s="19"/>
      <c r="F239" s="19"/>
      <c r="G239" s="329"/>
      <c r="H239" s="19"/>
      <c r="I239" s="19"/>
      <c r="J239" s="19"/>
      <c r="K239" s="19"/>
      <c r="L239" s="112"/>
      <c r="M239" s="149"/>
      <c r="N239" s="348"/>
    </row>
    <row r="240" spans="1:17" customFormat="1" ht="30" customHeight="1" x14ac:dyDescent="0.25">
      <c r="A240" s="115"/>
      <c r="B240" s="115"/>
      <c r="C240" s="328"/>
      <c r="D240" s="57"/>
      <c r="E240" s="19"/>
      <c r="F240" s="19"/>
      <c r="G240" s="329"/>
      <c r="H240" s="19"/>
      <c r="I240" s="19"/>
      <c r="J240" s="19"/>
      <c r="K240" s="19"/>
      <c r="L240" s="112"/>
      <c r="M240" s="149"/>
      <c r="N240" s="348"/>
    </row>
    <row r="241" spans="1:14" customFormat="1" ht="30" customHeight="1" x14ac:dyDescent="0.25">
      <c r="A241" s="115"/>
      <c r="B241" s="115"/>
      <c r="C241" s="328"/>
      <c r="D241" s="57"/>
      <c r="E241" s="19"/>
      <c r="F241" s="19"/>
      <c r="G241" s="329"/>
      <c r="H241" s="19"/>
      <c r="I241" s="19"/>
      <c r="J241" s="19"/>
      <c r="K241" s="19"/>
      <c r="L241" s="112"/>
      <c r="M241" s="149"/>
      <c r="N241" s="348"/>
    </row>
    <row r="242" spans="1:14" customFormat="1" ht="30" customHeight="1" x14ac:dyDescent="0.25">
      <c r="A242" s="115"/>
      <c r="B242" s="115"/>
      <c r="C242" s="328"/>
      <c r="D242" s="57"/>
      <c r="E242" s="19"/>
      <c r="F242" s="19"/>
      <c r="G242" s="329"/>
      <c r="H242" s="19"/>
      <c r="I242" s="19"/>
      <c r="J242" s="19"/>
      <c r="K242" s="19"/>
      <c r="L242" s="112"/>
      <c r="M242" s="149"/>
      <c r="N242" s="348"/>
    </row>
    <row r="243" spans="1:14" customFormat="1" ht="30" customHeight="1" x14ac:dyDescent="0.25">
      <c r="A243" s="115"/>
      <c r="B243" s="115"/>
      <c r="C243" s="328"/>
      <c r="D243" s="57"/>
      <c r="E243" s="19"/>
      <c r="F243" s="19"/>
      <c r="G243" s="329"/>
      <c r="H243" s="19"/>
      <c r="I243" s="19"/>
      <c r="J243" s="19"/>
      <c r="K243" s="19"/>
      <c r="L243" s="112"/>
      <c r="M243" s="149"/>
      <c r="N243" s="348"/>
    </row>
    <row r="244" spans="1:14" customFormat="1" ht="30" customHeight="1" x14ac:dyDescent="0.25">
      <c r="A244" s="115"/>
      <c r="B244" s="115"/>
      <c r="C244" s="328"/>
      <c r="D244" s="57"/>
      <c r="E244" s="19"/>
      <c r="F244" s="19"/>
      <c r="G244" s="329"/>
      <c r="H244" s="19"/>
      <c r="I244" s="19"/>
      <c r="J244" s="19"/>
      <c r="K244" s="19"/>
      <c r="L244" s="112"/>
      <c r="M244" s="149"/>
      <c r="N244" s="348"/>
    </row>
    <row r="245" spans="1:14" customFormat="1" ht="30" customHeight="1" x14ac:dyDescent="0.25">
      <c r="A245" s="115"/>
      <c r="B245" s="115"/>
      <c r="C245" s="328"/>
      <c r="D245" s="57"/>
      <c r="E245" s="19"/>
      <c r="F245" s="19"/>
      <c r="G245" s="329"/>
      <c r="H245" s="19"/>
      <c r="I245" s="19"/>
      <c r="J245" s="19"/>
      <c r="K245" s="19"/>
      <c r="L245" s="112"/>
      <c r="M245" s="149"/>
      <c r="N245" s="348"/>
    </row>
    <row r="246" spans="1:14" customFormat="1" ht="30" customHeight="1" x14ac:dyDescent="0.25">
      <c r="A246" s="115"/>
      <c r="B246" s="115"/>
      <c r="C246" s="328"/>
      <c r="D246" s="57"/>
      <c r="E246" s="19"/>
      <c r="F246" s="19"/>
      <c r="G246" s="329"/>
      <c r="H246" s="19"/>
      <c r="I246" s="19"/>
      <c r="J246" s="19"/>
      <c r="K246" s="19"/>
      <c r="L246" s="112"/>
      <c r="M246" s="149"/>
      <c r="N246" s="348"/>
    </row>
    <row r="247" spans="1:14" customFormat="1" ht="30" customHeight="1" x14ac:dyDescent="0.25">
      <c r="A247" s="115"/>
      <c r="B247" s="115"/>
      <c r="C247" s="328"/>
      <c r="D247" s="57"/>
      <c r="E247" s="19"/>
      <c r="F247" s="19"/>
      <c r="G247" s="329"/>
      <c r="H247" s="19"/>
      <c r="I247" s="19"/>
      <c r="J247" s="19"/>
      <c r="K247" s="19"/>
      <c r="L247" s="112"/>
      <c r="M247" s="149"/>
      <c r="N247" s="348"/>
    </row>
    <row r="248" spans="1:14" customFormat="1" ht="30" customHeight="1" x14ac:dyDescent="0.25">
      <c r="A248" s="115"/>
      <c r="B248" s="115"/>
      <c r="C248" s="328"/>
      <c r="D248" s="57"/>
      <c r="E248" s="19"/>
      <c r="F248" s="19"/>
      <c r="G248" s="329"/>
      <c r="H248" s="19"/>
      <c r="I248" s="19"/>
      <c r="J248" s="19"/>
      <c r="K248" s="19"/>
      <c r="L248" s="112"/>
      <c r="M248" s="149"/>
      <c r="N248" s="348"/>
    </row>
    <row r="249" spans="1:14" customFormat="1" ht="30" customHeight="1" x14ac:dyDescent="0.25">
      <c r="A249" s="115"/>
      <c r="B249" s="115"/>
      <c r="C249" s="328"/>
      <c r="D249" s="57"/>
      <c r="E249" s="19"/>
      <c r="F249" s="19"/>
      <c r="G249" s="329"/>
      <c r="H249" s="19"/>
      <c r="I249" s="19"/>
      <c r="J249" s="19"/>
      <c r="K249" s="19"/>
      <c r="L249" s="112"/>
      <c r="M249" s="149"/>
      <c r="N249" s="348"/>
    </row>
    <row r="250" spans="1:14" customFormat="1" ht="30" customHeight="1" x14ac:dyDescent="0.25">
      <c r="A250" s="115"/>
      <c r="B250" s="115"/>
      <c r="C250" s="328"/>
      <c r="D250" s="57"/>
      <c r="E250" s="19"/>
      <c r="F250" s="19"/>
      <c r="G250" s="329"/>
      <c r="H250" s="19"/>
      <c r="I250" s="19"/>
      <c r="J250" s="19"/>
      <c r="K250" s="19"/>
      <c r="L250" s="112"/>
      <c r="M250" s="149"/>
      <c r="N250" s="348"/>
    </row>
    <row r="251" spans="1:14" customFormat="1" ht="30" customHeight="1" x14ac:dyDescent="0.25">
      <c r="A251" s="115"/>
      <c r="B251" s="115"/>
      <c r="C251" s="328"/>
      <c r="D251" s="57"/>
      <c r="E251" s="19"/>
      <c r="F251" s="19"/>
      <c r="G251" s="329"/>
      <c r="H251" s="19"/>
      <c r="I251" s="19"/>
      <c r="J251" s="19"/>
      <c r="K251" s="19"/>
      <c r="L251" s="112"/>
      <c r="M251" s="149"/>
      <c r="N251" s="348"/>
    </row>
    <row r="252" spans="1:14" customFormat="1" ht="30" customHeight="1" x14ac:dyDescent="0.25">
      <c r="A252" s="115"/>
      <c r="B252" s="115"/>
      <c r="C252" s="328"/>
      <c r="D252" s="57"/>
      <c r="E252" s="19"/>
      <c r="F252" s="19"/>
      <c r="G252" s="329"/>
      <c r="H252" s="19"/>
      <c r="I252" s="19"/>
      <c r="J252" s="19"/>
      <c r="K252" s="19"/>
      <c r="L252" s="112"/>
      <c r="M252" s="149"/>
      <c r="N252" s="348"/>
    </row>
    <row r="253" spans="1:14" customFormat="1" ht="30" customHeight="1" x14ac:dyDescent="0.25">
      <c r="A253" s="115"/>
      <c r="B253" s="115"/>
      <c r="C253" s="328"/>
      <c r="D253" s="57"/>
      <c r="E253" s="19"/>
      <c r="F253" s="19"/>
      <c r="G253" s="329"/>
      <c r="H253" s="19"/>
      <c r="I253" s="19"/>
      <c r="J253" s="19"/>
      <c r="K253" s="19"/>
      <c r="L253" s="112"/>
      <c r="M253" s="149"/>
      <c r="N253" s="348"/>
    </row>
    <row r="254" spans="1:14" customFormat="1" ht="30" customHeight="1" x14ac:dyDescent="0.25">
      <c r="A254" s="115"/>
      <c r="B254" s="115"/>
      <c r="C254" s="328"/>
      <c r="D254" s="57"/>
      <c r="E254" s="19"/>
      <c r="F254" s="19"/>
      <c r="G254" s="329"/>
      <c r="H254" s="19"/>
      <c r="I254" s="19"/>
      <c r="J254" s="19"/>
      <c r="K254" s="19"/>
      <c r="L254" s="112"/>
      <c r="M254" s="149"/>
      <c r="N254" s="348"/>
    </row>
    <row r="255" spans="1:14" customFormat="1" ht="30" customHeight="1" x14ac:dyDescent="0.25">
      <c r="A255" s="115"/>
      <c r="B255" s="115"/>
      <c r="C255" s="328"/>
      <c r="D255" s="57"/>
      <c r="E255" s="19"/>
      <c r="F255" s="19"/>
      <c r="G255" s="329"/>
      <c r="H255" s="19"/>
      <c r="I255" s="19"/>
      <c r="J255" s="19"/>
      <c r="K255" s="19"/>
      <c r="L255" s="112"/>
      <c r="M255" s="149"/>
      <c r="N255" s="348"/>
    </row>
    <row r="256" spans="1:14" customFormat="1" ht="30" customHeight="1" x14ac:dyDescent="0.25">
      <c r="A256" s="115"/>
      <c r="B256" s="115"/>
      <c r="C256" s="328"/>
      <c r="D256" s="57"/>
      <c r="E256" s="19"/>
      <c r="F256" s="19"/>
      <c r="G256" s="329"/>
      <c r="H256" s="19"/>
      <c r="I256" s="19"/>
      <c r="J256" s="19"/>
      <c r="K256" s="19"/>
      <c r="L256" s="112"/>
      <c r="M256" s="149"/>
      <c r="N256" s="348"/>
    </row>
    <row r="257" spans="1:14" customFormat="1" ht="30" customHeight="1" x14ac:dyDescent="0.25">
      <c r="A257" s="115"/>
      <c r="B257" s="115"/>
      <c r="C257" s="328"/>
      <c r="D257" s="57"/>
      <c r="E257" s="19"/>
      <c r="F257" s="19"/>
      <c r="G257" s="329"/>
      <c r="H257" s="19"/>
      <c r="I257" s="19"/>
      <c r="J257" s="19"/>
      <c r="K257" s="19"/>
      <c r="L257" s="112"/>
      <c r="M257" s="149"/>
      <c r="N257" s="348"/>
    </row>
    <row r="258" spans="1:14" customFormat="1" ht="30" customHeight="1" x14ac:dyDescent="0.25">
      <c r="A258" s="115"/>
      <c r="B258" s="115"/>
      <c r="C258" s="328"/>
      <c r="D258" s="57"/>
      <c r="E258" s="19"/>
      <c r="F258" s="19"/>
      <c r="G258" s="329"/>
      <c r="H258" s="19"/>
      <c r="I258" s="19"/>
      <c r="J258" s="19"/>
      <c r="K258" s="19"/>
      <c r="L258" s="112"/>
      <c r="M258" s="149"/>
      <c r="N258" s="348"/>
    </row>
    <row r="259" spans="1:14" customFormat="1" ht="30" customHeight="1" x14ac:dyDescent="0.25">
      <c r="A259" s="115"/>
      <c r="B259" s="115"/>
      <c r="C259" s="328"/>
      <c r="D259" s="57"/>
      <c r="E259" s="19"/>
      <c r="F259" s="19"/>
      <c r="G259" s="329"/>
      <c r="H259" s="19"/>
      <c r="I259" s="19"/>
      <c r="J259" s="19"/>
      <c r="K259" s="19"/>
      <c r="L259" s="112"/>
      <c r="M259" s="149"/>
      <c r="N259" s="348"/>
    </row>
    <row r="260" spans="1:14" customFormat="1" ht="30" customHeight="1" x14ac:dyDescent="0.25">
      <c r="A260" s="115"/>
      <c r="B260" s="115"/>
      <c r="C260" s="328"/>
      <c r="D260" s="57"/>
      <c r="E260" s="19"/>
      <c r="F260" s="19"/>
      <c r="G260" s="329"/>
      <c r="H260" s="19"/>
      <c r="I260" s="19"/>
      <c r="J260" s="19"/>
      <c r="K260" s="19"/>
      <c r="L260" s="112"/>
      <c r="M260" s="149"/>
      <c r="N260" s="348"/>
    </row>
    <row r="261" spans="1:14" customFormat="1" ht="30" customHeight="1" x14ac:dyDescent="0.25">
      <c r="A261" s="115"/>
      <c r="B261" s="115"/>
      <c r="C261" s="328"/>
      <c r="D261" s="57"/>
      <c r="E261" s="19"/>
      <c r="F261" s="19"/>
      <c r="G261" s="329"/>
      <c r="H261" s="19"/>
      <c r="I261" s="19"/>
      <c r="J261" s="19"/>
      <c r="K261" s="19"/>
      <c r="L261" s="112"/>
      <c r="M261" s="149"/>
      <c r="N261" s="348"/>
    </row>
    <row r="262" spans="1:14" customFormat="1" ht="30" customHeight="1" x14ac:dyDescent="0.25">
      <c r="A262" s="115"/>
      <c r="B262" s="115"/>
      <c r="C262" s="328"/>
      <c r="D262" s="57"/>
      <c r="E262" s="19"/>
      <c r="F262" s="19"/>
      <c r="G262" s="329"/>
      <c r="H262" s="19"/>
      <c r="I262" s="19"/>
      <c r="J262" s="19"/>
      <c r="K262" s="19"/>
      <c r="L262" s="112"/>
      <c r="M262" s="149"/>
      <c r="N262" s="348"/>
    </row>
    <row r="263" spans="1:14" customFormat="1" ht="30" customHeight="1" x14ac:dyDescent="0.25">
      <c r="A263" s="115"/>
      <c r="B263" s="115"/>
      <c r="C263" s="328"/>
      <c r="D263" s="57"/>
      <c r="E263" s="19"/>
      <c r="F263" s="19"/>
      <c r="G263" s="329"/>
      <c r="H263" s="19"/>
      <c r="I263" s="19"/>
      <c r="J263" s="19"/>
      <c r="K263" s="19"/>
      <c r="L263" s="112"/>
      <c r="M263" s="149"/>
      <c r="N263" s="348"/>
    </row>
    <row r="264" spans="1:14" customFormat="1" ht="30" customHeight="1" x14ac:dyDescent="0.25">
      <c r="A264" s="115"/>
      <c r="B264" s="115"/>
      <c r="C264" s="328"/>
      <c r="D264" s="57"/>
      <c r="E264" s="19"/>
      <c r="F264" s="19"/>
      <c r="G264" s="329"/>
      <c r="H264" s="19"/>
      <c r="I264" s="19"/>
      <c r="J264" s="19"/>
      <c r="K264" s="19"/>
      <c r="L264" s="112"/>
      <c r="M264" s="149"/>
      <c r="N264" s="348"/>
    </row>
    <row r="265" spans="1:14" customFormat="1" ht="30" customHeight="1" x14ac:dyDescent="0.25">
      <c r="A265" s="115"/>
      <c r="B265" s="115"/>
      <c r="C265" s="328"/>
      <c r="D265" s="57"/>
      <c r="E265" s="19"/>
      <c r="F265" s="19"/>
      <c r="G265" s="329"/>
      <c r="H265" s="19"/>
      <c r="I265" s="19"/>
      <c r="J265" s="19"/>
      <c r="K265" s="19"/>
      <c r="L265" s="112"/>
      <c r="M265" s="149"/>
      <c r="N265" s="348"/>
    </row>
    <row r="266" spans="1:14" customFormat="1" ht="30" customHeight="1" x14ac:dyDescent="0.25">
      <c r="A266" s="115"/>
      <c r="B266" s="115"/>
      <c r="C266" s="328"/>
      <c r="D266" s="57"/>
      <c r="E266" s="19"/>
      <c r="F266" s="19"/>
      <c r="G266" s="329"/>
      <c r="H266" s="19"/>
      <c r="I266" s="19"/>
      <c r="J266" s="19"/>
      <c r="K266" s="19"/>
      <c r="L266" s="112"/>
      <c r="M266" s="149"/>
      <c r="N266" s="348"/>
    </row>
    <row r="267" spans="1:14" customFormat="1" ht="30" customHeight="1" x14ac:dyDescent="0.25">
      <c r="A267" s="115"/>
      <c r="B267" s="115"/>
      <c r="C267" s="328"/>
      <c r="D267" s="57"/>
      <c r="E267" s="19"/>
      <c r="F267" s="19"/>
      <c r="G267" s="329"/>
      <c r="H267" s="19"/>
      <c r="I267" s="19"/>
      <c r="J267" s="19"/>
      <c r="K267" s="19"/>
      <c r="L267" s="112"/>
      <c r="M267" s="149"/>
      <c r="N267" s="348"/>
    </row>
    <row r="268" spans="1:14" customFormat="1" ht="30" customHeight="1" x14ac:dyDescent="0.25">
      <c r="A268" s="115"/>
      <c r="B268" s="115"/>
      <c r="C268" s="328"/>
      <c r="D268" s="57"/>
      <c r="E268" s="19"/>
      <c r="F268" s="19"/>
      <c r="G268" s="329"/>
      <c r="H268" s="19"/>
      <c r="I268" s="19"/>
      <c r="J268" s="19"/>
      <c r="K268" s="19"/>
      <c r="L268" s="112"/>
      <c r="M268" s="149"/>
      <c r="N268" s="348"/>
    </row>
    <row r="269" spans="1:14" customFormat="1" ht="30" customHeight="1" x14ac:dyDescent="0.25">
      <c r="A269" s="115"/>
      <c r="B269" s="115"/>
      <c r="C269" s="328"/>
      <c r="D269" s="57"/>
      <c r="E269" s="19"/>
      <c r="F269" s="19"/>
      <c r="G269" s="329"/>
      <c r="H269" s="19"/>
      <c r="I269" s="19"/>
      <c r="J269" s="19"/>
      <c r="K269" s="19"/>
      <c r="L269" s="112"/>
      <c r="M269" s="149"/>
      <c r="N269" s="348"/>
    </row>
    <row r="270" spans="1:14" customFormat="1" ht="30" customHeight="1" x14ac:dyDescent="0.25">
      <c r="A270" s="115"/>
      <c r="B270" s="115"/>
      <c r="C270" s="328"/>
      <c r="D270" s="57"/>
      <c r="E270" s="19"/>
      <c r="F270" s="19"/>
      <c r="G270" s="329"/>
      <c r="H270" s="19"/>
      <c r="I270" s="19"/>
      <c r="J270" s="19"/>
      <c r="K270" s="19"/>
      <c r="L270" s="112"/>
      <c r="M270" s="149"/>
      <c r="N270" s="348"/>
    </row>
    <row r="271" spans="1:14" customFormat="1" ht="30" customHeight="1" x14ac:dyDescent="0.25">
      <c r="A271" s="115"/>
      <c r="B271" s="115"/>
      <c r="C271" s="328"/>
      <c r="D271" s="57"/>
      <c r="E271" s="19"/>
      <c r="F271" s="19"/>
      <c r="G271" s="329"/>
      <c r="H271" s="19"/>
      <c r="I271" s="19"/>
      <c r="J271" s="19"/>
      <c r="K271" s="19"/>
      <c r="L271" s="112"/>
      <c r="M271" s="149"/>
      <c r="N271" s="348"/>
    </row>
    <row r="272" spans="1:14" customFormat="1" ht="30" customHeight="1" x14ac:dyDescent="0.25">
      <c r="A272" s="115"/>
      <c r="B272" s="115"/>
      <c r="C272" s="328"/>
      <c r="D272" s="57"/>
      <c r="E272" s="19"/>
      <c r="F272" s="19"/>
      <c r="G272" s="329"/>
      <c r="H272" s="19"/>
      <c r="I272" s="19"/>
      <c r="J272" s="19"/>
      <c r="K272" s="19"/>
      <c r="L272" s="112"/>
      <c r="M272" s="149"/>
      <c r="N272" s="348"/>
    </row>
    <row r="273" spans="1:14" customFormat="1" ht="30" customHeight="1" x14ac:dyDescent="0.25">
      <c r="A273" s="115"/>
      <c r="B273" s="115"/>
      <c r="C273" s="328"/>
      <c r="D273" s="57"/>
      <c r="E273" s="19"/>
      <c r="F273" s="19"/>
      <c r="G273" s="329"/>
      <c r="H273" s="19"/>
      <c r="I273" s="19"/>
      <c r="J273" s="19"/>
      <c r="K273" s="19"/>
      <c r="L273" s="112"/>
      <c r="M273" s="149"/>
      <c r="N273" s="348"/>
    </row>
    <row r="274" spans="1:14" customFormat="1" ht="30" customHeight="1" x14ac:dyDescent="0.25">
      <c r="A274" s="115"/>
      <c r="B274" s="115"/>
      <c r="C274" s="328"/>
      <c r="D274" s="57"/>
      <c r="E274" s="19"/>
      <c r="F274" s="19"/>
      <c r="G274" s="329"/>
      <c r="H274" s="19"/>
      <c r="I274" s="19"/>
      <c r="J274" s="19"/>
      <c r="K274" s="19"/>
      <c r="L274" s="112"/>
      <c r="M274" s="149"/>
      <c r="N274" s="348"/>
    </row>
    <row r="275" spans="1:14" customFormat="1" ht="30" customHeight="1" x14ac:dyDescent="0.25">
      <c r="A275" s="115"/>
      <c r="B275" s="115"/>
      <c r="C275" s="328"/>
      <c r="D275" s="57"/>
      <c r="E275" s="19"/>
      <c r="F275" s="19"/>
      <c r="G275" s="329"/>
      <c r="H275" s="19"/>
      <c r="I275" s="19"/>
      <c r="J275" s="19"/>
      <c r="K275" s="19"/>
      <c r="L275" s="112"/>
      <c r="M275" s="149"/>
      <c r="N275" s="348"/>
    </row>
    <row r="276" spans="1:14" customFormat="1" ht="30" customHeight="1" x14ac:dyDescent="0.25">
      <c r="A276" s="115"/>
      <c r="B276" s="115"/>
      <c r="C276" s="328"/>
      <c r="D276" s="57"/>
      <c r="E276" s="19"/>
      <c r="F276" s="19"/>
      <c r="G276" s="329"/>
      <c r="H276" s="19"/>
      <c r="I276" s="19"/>
      <c r="J276" s="19"/>
      <c r="K276" s="19"/>
      <c r="L276" s="112"/>
      <c r="M276" s="149"/>
      <c r="N276" s="348"/>
    </row>
    <row r="277" spans="1:14" customFormat="1" ht="30" customHeight="1" x14ac:dyDescent="0.25">
      <c r="A277" s="115"/>
      <c r="B277" s="115"/>
      <c r="C277" s="328"/>
      <c r="D277" s="57"/>
      <c r="E277" s="19"/>
      <c r="F277" s="19"/>
      <c r="G277" s="329"/>
      <c r="H277" s="19"/>
      <c r="I277" s="19"/>
      <c r="J277" s="19"/>
      <c r="K277" s="19"/>
      <c r="L277" s="112"/>
      <c r="M277" s="149"/>
      <c r="N277" s="348"/>
    </row>
    <row r="278" spans="1:14" customFormat="1" ht="30" customHeight="1" x14ac:dyDescent="0.25">
      <c r="A278" s="115"/>
      <c r="B278" s="115"/>
      <c r="C278" s="328"/>
      <c r="D278" s="57"/>
      <c r="E278" s="19"/>
      <c r="F278" s="19"/>
      <c r="G278" s="329"/>
      <c r="H278" s="19"/>
      <c r="I278" s="19"/>
      <c r="J278" s="19"/>
      <c r="K278" s="19"/>
      <c r="L278" s="112"/>
      <c r="M278" s="149"/>
      <c r="N278" s="348"/>
    </row>
    <row r="279" spans="1:14" customFormat="1" ht="30" customHeight="1" x14ac:dyDescent="0.25">
      <c r="A279" s="115"/>
      <c r="B279" s="115"/>
      <c r="C279" s="328"/>
      <c r="D279" s="57"/>
      <c r="E279" s="19"/>
      <c r="F279" s="19"/>
      <c r="G279" s="329"/>
      <c r="H279" s="19"/>
      <c r="I279" s="19"/>
      <c r="J279" s="19"/>
      <c r="K279" s="19"/>
      <c r="L279" s="112"/>
      <c r="M279" s="149"/>
      <c r="N279" s="348"/>
    </row>
    <row r="280" spans="1:14" customFormat="1" ht="30" customHeight="1" x14ac:dyDescent="0.25">
      <c r="A280" s="115"/>
      <c r="B280" s="115"/>
      <c r="C280" s="328"/>
      <c r="D280" s="57"/>
      <c r="E280" s="19"/>
      <c r="F280" s="19"/>
      <c r="G280" s="329"/>
      <c r="H280" s="19"/>
      <c r="I280" s="19"/>
      <c r="J280" s="19"/>
      <c r="K280" s="19"/>
      <c r="L280" s="112"/>
      <c r="M280" s="149"/>
      <c r="N280" s="348"/>
    </row>
    <row r="281" spans="1:14" customFormat="1" ht="30" customHeight="1" x14ac:dyDescent="0.25">
      <c r="A281" s="115"/>
      <c r="B281" s="115"/>
      <c r="C281" s="328"/>
      <c r="D281" s="57"/>
      <c r="E281" s="19"/>
      <c r="F281" s="19"/>
      <c r="G281" s="329"/>
      <c r="H281" s="19"/>
      <c r="I281" s="19"/>
      <c r="J281" s="19"/>
      <c r="K281" s="19"/>
      <c r="L281" s="112"/>
      <c r="M281" s="149"/>
      <c r="N281" s="348"/>
    </row>
    <row r="282" spans="1:14" customFormat="1" ht="30" customHeight="1" x14ac:dyDescent="0.25">
      <c r="A282" s="115"/>
      <c r="B282" s="115"/>
      <c r="C282" s="328"/>
      <c r="D282" s="57"/>
      <c r="E282" s="19"/>
      <c r="F282" s="19"/>
      <c r="G282" s="329"/>
      <c r="H282" s="19"/>
      <c r="I282" s="19"/>
      <c r="J282" s="19"/>
      <c r="K282" s="19"/>
      <c r="L282" s="112"/>
      <c r="M282" s="149"/>
      <c r="N282" s="348"/>
    </row>
    <row r="283" spans="1:14" customFormat="1" ht="30" customHeight="1" x14ac:dyDescent="0.25">
      <c r="A283" s="115"/>
      <c r="B283" s="115"/>
      <c r="C283" s="328"/>
      <c r="D283" s="57"/>
      <c r="E283" s="19"/>
      <c r="F283" s="19"/>
      <c r="G283" s="329"/>
      <c r="H283" s="19"/>
      <c r="I283" s="19"/>
      <c r="J283" s="19"/>
      <c r="K283" s="19"/>
      <c r="L283" s="112"/>
      <c r="M283" s="149"/>
      <c r="N283" s="348"/>
    </row>
    <row r="284" spans="1:14" customFormat="1" ht="30" customHeight="1" x14ac:dyDescent="0.25">
      <c r="A284" s="115"/>
      <c r="B284" s="115"/>
      <c r="C284" s="328"/>
      <c r="D284" s="57"/>
      <c r="E284" s="19"/>
      <c r="F284" s="19"/>
      <c r="G284" s="329"/>
      <c r="H284" s="19"/>
      <c r="I284" s="19"/>
      <c r="J284" s="19"/>
      <c r="K284" s="19"/>
      <c r="L284" s="112"/>
      <c r="M284" s="149"/>
      <c r="N284" s="348"/>
    </row>
    <row r="285" spans="1:14" customFormat="1" ht="30" customHeight="1" x14ac:dyDescent="0.25">
      <c r="A285" s="115"/>
      <c r="B285" s="115"/>
      <c r="C285" s="328"/>
      <c r="D285" s="57"/>
      <c r="E285" s="19"/>
      <c r="F285" s="19"/>
      <c r="G285" s="329"/>
      <c r="H285" s="19"/>
      <c r="I285" s="19"/>
      <c r="J285" s="19"/>
      <c r="K285" s="19"/>
      <c r="L285" s="112"/>
      <c r="M285" s="149"/>
      <c r="N285" s="348"/>
    </row>
    <row r="286" spans="1:14" customFormat="1" ht="30" customHeight="1" x14ac:dyDescent="0.25">
      <c r="A286" s="115"/>
      <c r="B286" s="115"/>
      <c r="C286" s="328"/>
      <c r="D286" s="57"/>
      <c r="E286" s="19"/>
      <c r="F286" s="19"/>
      <c r="G286" s="329"/>
      <c r="H286" s="19"/>
      <c r="I286" s="19"/>
      <c r="J286" s="19"/>
      <c r="K286" s="19"/>
      <c r="L286" s="112"/>
      <c r="M286" s="149"/>
      <c r="N286" s="348"/>
    </row>
    <row r="287" spans="1:14" customFormat="1" ht="30" customHeight="1" x14ac:dyDescent="0.25">
      <c r="A287" s="115"/>
      <c r="B287" s="115"/>
      <c r="C287" s="328"/>
      <c r="D287" s="57"/>
      <c r="E287" s="19"/>
      <c r="F287" s="19"/>
      <c r="G287" s="329"/>
      <c r="H287" s="19"/>
      <c r="I287" s="19"/>
      <c r="J287" s="19"/>
      <c r="K287" s="19"/>
      <c r="L287" s="112"/>
      <c r="M287" s="149"/>
      <c r="N287" s="348"/>
    </row>
    <row r="288" spans="1:14" customFormat="1" ht="30" customHeight="1" x14ac:dyDescent="0.25">
      <c r="A288" s="115"/>
      <c r="B288" s="115"/>
      <c r="C288" s="328"/>
      <c r="D288" s="57"/>
      <c r="E288" s="19"/>
      <c r="F288" s="19"/>
      <c r="G288" s="329"/>
      <c r="H288" s="19"/>
      <c r="I288" s="19"/>
      <c r="J288" s="19"/>
      <c r="K288" s="19"/>
      <c r="L288" s="112"/>
      <c r="M288" s="149"/>
      <c r="N288" s="348"/>
    </row>
    <row r="289" spans="1:14" customFormat="1" ht="30" customHeight="1" x14ac:dyDescent="0.25">
      <c r="A289" s="115"/>
      <c r="B289" s="115"/>
      <c r="C289" s="328"/>
      <c r="D289" s="57"/>
      <c r="E289" s="19"/>
      <c r="F289" s="19"/>
      <c r="G289" s="329"/>
      <c r="H289" s="19"/>
      <c r="I289" s="19"/>
      <c r="J289" s="19"/>
      <c r="K289" s="19"/>
      <c r="L289" s="112"/>
      <c r="M289" s="149"/>
      <c r="N289" s="348"/>
    </row>
    <row r="290" spans="1:14" customFormat="1" ht="30" customHeight="1" x14ac:dyDescent="0.25">
      <c r="A290" s="115"/>
      <c r="B290" s="115"/>
      <c r="C290" s="328"/>
      <c r="D290" s="57"/>
      <c r="E290" s="19"/>
      <c r="F290" s="19"/>
      <c r="G290" s="329"/>
      <c r="H290" s="19"/>
      <c r="I290" s="19"/>
      <c r="J290" s="19"/>
      <c r="K290" s="19"/>
      <c r="L290" s="112"/>
      <c r="M290" s="149"/>
      <c r="N290" s="348"/>
    </row>
    <row r="291" spans="1:14" customFormat="1" ht="30" customHeight="1" x14ac:dyDescent="0.25">
      <c r="A291" s="115"/>
      <c r="B291" s="115"/>
      <c r="C291" s="328"/>
      <c r="D291" s="57"/>
      <c r="E291" s="19"/>
      <c r="F291" s="19"/>
      <c r="G291" s="329"/>
      <c r="H291" s="19"/>
      <c r="I291" s="19"/>
      <c r="J291" s="19"/>
      <c r="K291" s="19"/>
      <c r="L291" s="112"/>
      <c r="M291" s="149"/>
      <c r="N291" s="348"/>
    </row>
    <row r="292" spans="1:14" customFormat="1" ht="30" customHeight="1" x14ac:dyDescent="0.25">
      <c r="A292" s="115"/>
      <c r="B292" s="115"/>
      <c r="C292" s="328"/>
      <c r="D292" s="57"/>
      <c r="E292" s="19"/>
      <c r="F292" s="19"/>
      <c r="G292" s="329"/>
      <c r="H292" s="19"/>
      <c r="I292" s="19"/>
      <c r="J292" s="19"/>
      <c r="K292" s="19"/>
      <c r="L292" s="112"/>
      <c r="M292" s="149"/>
      <c r="N292" s="348"/>
    </row>
    <row r="293" spans="1:14" customFormat="1" ht="30" customHeight="1" x14ac:dyDescent="0.25">
      <c r="A293" s="115"/>
      <c r="B293" s="115"/>
      <c r="C293" s="328"/>
      <c r="D293" s="57"/>
      <c r="E293" s="19"/>
      <c r="F293" s="19"/>
      <c r="G293" s="329"/>
      <c r="H293" s="19"/>
      <c r="I293" s="19"/>
      <c r="J293" s="19"/>
      <c r="K293" s="19"/>
      <c r="L293" s="112"/>
      <c r="M293" s="149"/>
      <c r="N293" s="348"/>
    </row>
    <row r="294" spans="1:14" customFormat="1" ht="30" customHeight="1" x14ac:dyDescent="0.25">
      <c r="A294" s="115"/>
      <c r="B294" s="115"/>
      <c r="C294" s="328"/>
      <c r="D294" s="57"/>
      <c r="E294" s="19"/>
      <c r="F294" s="19"/>
      <c r="G294" s="329"/>
      <c r="H294" s="19"/>
      <c r="I294" s="19"/>
      <c r="J294" s="19"/>
      <c r="K294" s="19"/>
      <c r="L294" s="112"/>
      <c r="M294" s="149"/>
      <c r="N294" s="348"/>
    </row>
  </sheetData>
  <autoFilter ref="A5:Q234"/>
  <sortState ref="A6:Q232">
    <sortCondition ref="A6:A232"/>
    <sortCondition ref="C6:C232"/>
    <sortCondition ref="B6:B232"/>
  </sortState>
  <mergeCells count="4">
    <mergeCell ref="A2:R2"/>
    <mergeCell ref="A3:R3"/>
    <mergeCell ref="A1:R1"/>
    <mergeCell ref="D4:K4"/>
  </mergeCells>
  <conditionalFormatting sqref="B134">
    <cfRule type="duplicateValues" dxfId="12" priority="1"/>
  </conditionalFormatting>
  <printOptions gridLines="1"/>
  <pageMargins left="0.7" right="0.7" top="0.75" bottom="0.75" header="0.3" footer="0.3"/>
  <pageSetup scale="8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249977111117893"/>
    <pageSetUpPr fitToPage="1"/>
  </sheetPr>
  <dimension ref="A1:S345"/>
  <sheetViews>
    <sheetView showGridLines="0" workbookViewId="0">
      <pane xSplit="5" ySplit="9" topLeftCell="F10" activePane="bottomRight" state="frozen"/>
      <selection pane="topRight" activeCell="F1" sqref="F1"/>
      <selection pane="bottomLeft" activeCell="A10" sqref="A10"/>
      <selection pane="bottomRight" activeCell="C226" sqref="C226"/>
    </sheetView>
  </sheetViews>
  <sheetFormatPr defaultRowHeight="15" x14ac:dyDescent="0.2"/>
  <cols>
    <col min="1" max="1" width="15.7109375" style="166" customWidth="1"/>
    <col min="2" max="2" width="15.7109375" style="108" customWidth="1"/>
    <col min="3" max="3" width="17.7109375" style="108" customWidth="1"/>
    <col min="4" max="5" width="10.7109375" style="9" customWidth="1"/>
    <col min="6" max="6" width="12.42578125" style="25" customWidth="1"/>
    <col min="7" max="7" width="13.140625" style="51" customWidth="1"/>
    <col min="8" max="8" width="18.85546875" style="25" bestFit="1" customWidth="1"/>
    <col min="9" max="9" width="13" style="9" customWidth="1"/>
    <col min="10" max="10" width="13.85546875" style="25" customWidth="1"/>
    <col min="11" max="11" width="10.7109375" style="27" customWidth="1"/>
    <col min="12" max="12" width="14.5703125" style="9" customWidth="1"/>
    <col min="13" max="13" width="10.7109375" style="109" customWidth="1"/>
    <col min="14" max="14" width="25.42578125" style="9" customWidth="1"/>
    <col min="15" max="15" width="25.42578125" style="278" customWidth="1"/>
    <col min="16" max="16" width="28.28515625" style="2" bestFit="1" customWidth="1"/>
    <col min="17" max="17" width="25.5703125" style="2" bestFit="1" customWidth="1"/>
    <col min="18" max="18" width="18.140625" style="2" bestFit="1" customWidth="1"/>
    <col min="19" max="19" width="13.28515625" style="2" bestFit="1" customWidth="1"/>
    <col min="20" max="16384" width="9.140625" style="2"/>
  </cols>
  <sheetData>
    <row r="1" spans="1:19" s="64" customFormat="1" x14ac:dyDescent="0.2">
      <c r="A1" s="886" t="s">
        <v>616</v>
      </c>
      <c r="B1" s="886"/>
      <c r="C1" s="886"/>
      <c r="D1" s="886"/>
      <c r="E1" s="886"/>
      <c r="F1" s="886"/>
      <c r="G1" s="886"/>
      <c r="H1" s="886"/>
      <c r="I1" s="886"/>
      <c r="J1" s="886"/>
      <c r="K1" s="886"/>
      <c r="L1" s="886"/>
      <c r="M1" s="886"/>
      <c r="N1" s="886"/>
      <c r="O1" s="886"/>
      <c r="P1" s="886"/>
      <c r="Q1" s="886"/>
      <c r="R1" s="886"/>
      <c r="S1" s="886"/>
    </row>
    <row r="2" spans="1:19" s="64" customFormat="1" x14ac:dyDescent="0.25">
      <c r="A2" s="882" t="s">
        <v>1082</v>
      </c>
      <c r="B2" s="882"/>
      <c r="C2" s="882"/>
      <c r="D2" s="882"/>
      <c r="E2" s="882"/>
      <c r="F2" s="882"/>
      <c r="G2" s="882"/>
      <c r="H2" s="882"/>
      <c r="I2" s="882"/>
      <c r="J2" s="882"/>
      <c r="K2" s="882"/>
      <c r="L2" s="882"/>
      <c r="M2" s="882"/>
      <c r="N2" s="882"/>
      <c r="O2" s="882"/>
      <c r="P2" s="882"/>
      <c r="Q2" s="882"/>
      <c r="R2" s="882"/>
      <c r="S2" s="882"/>
    </row>
    <row r="3" spans="1:19" s="64" customFormat="1" x14ac:dyDescent="0.2">
      <c r="A3" s="858" t="s">
        <v>621</v>
      </c>
      <c r="B3" s="858"/>
      <c r="C3" s="858"/>
      <c r="D3" s="858"/>
      <c r="E3" s="858"/>
      <c r="F3" s="858"/>
      <c r="G3" s="858"/>
      <c r="H3" s="858"/>
      <c r="I3" s="858"/>
      <c r="J3" s="858"/>
      <c r="K3" s="858"/>
      <c r="L3" s="858"/>
      <c r="M3" s="858"/>
      <c r="N3" s="858"/>
      <c r="O3" s="858"/>
      <c r="P3" s="349"/>
      <c r="Q3" s="349"/>
      <c r="R3" s="349"/>
      <c r="S3" s="349"/>
    </row>
    <row r="4" spans="1:19" s="64" customFormat="1" ht="15.75" customHeight="1" x14ac:dyDescent="0.25">
      <c r="A4" s="858" t="s">
        <v>1095</v>
      </c>
      <c r="B4" s="858"/>
      <c r="C4" s="858"/>
      <c r="D4" s="858"/>
      <c r="E4" s="858"/>
      <c r="F4" s="858"/>
      <c r="G4" s="858"/>
      <c r="H4" s="858"/>
      <c r="I4" s="858"/>
      <c r="J4" s="858"/>
      <c r="K4" s="858"/>
      <c r="L4" s="858"/>
      <c r="M4" s="858"/>
      <c r="N4" s="858"/>
      <c r="O4" s="858"/>
      <c r="P4" s="858"/>
      <c r="Q4" s="858"/>
      <c r="R4" s="858"/>
      <c r="S4" s="858"/>
    </row>
    <row r="5" spans="1:19" s="64" customFormat="1" ht="15" customHeight="1" x14ac:dyDescent="0.25">
      <c r="A5" s="858" t="s">
        <v>715</v>
      </c>
      <c r="B5" s="858"/>
      <c r="C5" s="858"/>
      <c r="D5" s="858"/>
      <c r="E5" s="858"/>
      <c r="F5" s="858"/>
      <c r="G5" s="858"/>
      <c r="H5" s="858"/>
      <c r="I5" s="858"/>
      <c r="J5" s="858"/>
      <c r="K5" s="858"/>
      <c r="L5" s="858"/>
      <c r="M5" s="858"/>
      <c r="N5" s="858"/>
    </row>
    <row r="6" spans="1:19" s="64" customFormat="1" ht="32.25" customHeight="1" x14ac:dyDescent="0.2">
      <c r="A6" s="886" t="s">
        <v>1043</v>
      </c>
      <c r="B6" s="886"/>
      <c r="C6" s="886"/>
      <c r="D6" s="886"/>
      <c r="E6" s="886"/>
      <c r="F6" s="886"/>
      <c r="G6" s="886"/>
      <c r="H6" s="886"/>
      <c r="I6" s="886"/>
      <c r="J6" s="886"/>
      <c r="K6" s="886"/>
      <c r="L6" s="886"/>
      <c r="M6" s="886"/>
      <c r="N6" s="886"/>
      <c r="O6" s="886"/>
      <c r="P6" s="886"/>
      <c r="Q6" s="886"/>
      <c r="R6" s="886"/>
      <c r="S6" s="886"/>
    </row>
    <row r="7" spans="1:19" s="64" customFormat="1" ht="15.75" thickBot="1" x14ac:dyDescent="0.3">
      <c r="A7" s="882" t="s">
        <v>623</v>
      </c>
      <c r="B7" s="882"/>
      <c r="C7" s="882"/>
      <c r="D7" s="882"/>
      <c r="E7" s="882"/>
      <c r="F7" s="882"/>
      <c r="G7" s="882"/>
      <c r="H7" s="882"/>
      <c r="I7" s="882"/>
      <c r="J7" s="882"/>
      <c r="K7" s="882"/>
      <c r="L7" s="882"/>
      <c r="M7" s="882"/>
      <c r="N7" s="882"/>
      <c r="O7" s="882"/>
      <c r="P7" s="882"/>
      <c r="Q7" s="882"/>
      <c r="R7" s="882"/>
      <c r="S7" s="882"/>
    </row>
    <row r="8" spans="1:19" s="64" customFormat="1" ht="15.75" thickBot="1" x14ac:dyDescent="0.3">
      <c r="A8" s="141"/>
      <c r="B8" s="123"/>
      <c r="C8" s="123"/>
      <c r="D8" s="890" t="s">
        <v>1143</v>
      </c>
      <c r="E8" s="891"/>
      <c r="F8" s="891"/>
      <c r="G8" s="891"/>
      <c r="H8" s="891"/>
      <c r="I8" s="891"/>
      <c r="J8" s="891"/>
      <c r="K8" s="891"/>
      <c r="L8" s="892"/>
      <c r="M8" s="65"/>
      <c r="N8" s="239"/>
      <c r="O8" s="342"/>
    </row>
    <row r="9" spans="1:19" s="64" customFormat="1" ht="79.5" customHeight="1" thickBot="1" x14ac:dyDescent="0.3">
      <c r="A9" s="161" t="s">
        <v>0</v>
      </c>
      <c r="B9" s="161" t="s">
        <v>1</v>
      </c>
      <c r="C9" s="161" t="s">
        <v>604</v>
      </c>
      <c r="D9" s="259" t="s">
        <v>618</v>
      </c>
      <c r="E9" s="122" t="s">
        <v>620</v>
      </c>
      <c r="F9" s="78" t="s">
        <v>555</v>
      </c>
      <c r="G9" s="122" t="s">
        <v>619</v>
      </c>
      <c r="H9" s="78" t="s">
        <v>21</v>
      </c>
      <c r="I9" s="122" t="s">
        <v>625</v>
      </c>
      <c r="J9" s="78" t="s">
        <v>622</v>
      </c>
      <c r="K9" s="132" t="s">
        <v>624</v>
      </c>
      <c r="L9" s="133" t="s">
        <v>1096</v>
      </c>
      <c r="M9" s="96" t="s">
        <v>4</v>
      </c>
      <c r="N9" s="134" t="s">
        <v>20</v>
      </c>
      <c r="O9" s="255" t="s">
        <v>5</v>
      </c>
      <c r="P9" s="255" t="s">
        <v>6</v>
      </c>
      <c r="Q9" s="255" t="s">
        <v>552</v>
      </c>
      <c r="R9" s="137" t="s">
        <v>553</v>
      </c>
    </row>
    <row r="10" spans="1:19" s="344" customFormat="1" ht="30" x14ac:dyDescent="0.25">
      <c r="A10" s="157" t="s">
        <v>29</v>
      </c>
      <c r="B10" s="347" t="s">
        <v>30</v>
      </c>
      <c r="C10" s="257" t="s">
        <v>30</v>
      </c>
      <c r="D10" s="171" t="s">
        <v>545</v>
      </c>
      <c r="E10" s="171" t="s">
        <v>546</v>
      </c>
      <c r="F10" s="333">
        <v>1851.5340000000001</v>
      </c>
      <c r="G10" s="362">
        <v>141170</v>
      </c>
      <c r="H10" s="333">
        <f>G10*L10</f>
        <v>19763.800000000003</v>
      </c>
      <c r="I10" s="362">
        <v>3.6215332999999998</v>
      </c>
      <c r="J10" s="362">
        <f>IF(F10&gt;0,IFERROR((F10*1000)/G10, " ")," ")</f>
        <v>13.115633633208189</v>
      </c>
      <c r="K10" s="362">
        <f>IF(I10&gt;0,IFERROR(I10/J10, " "), " ")</f>
        <v>0.27612339603863606</v>
      </c>
      <c r="L10" s="362">
        <v>0.14000000000000001</v>
      </c>
      <c r="M10" s="173" t="s">
        <v>356</v>
      </c>
      <c r="N10" s="386">
        <f t="array" ref="N10">INDEX(UtilityList!Q$4:Q$251,MATCH('Table 2.3c'!$A10&amp;'Table 2.3c'!$B10&amp;'Table 2.3c'!$C10,UtilityList!$A$4:$A$251&amp;UtilityList!$B$4:$B$251&amp;UtilityList!$C$4:$C$251,0))</f>
        <v>0</v>
      </c>
      <c r="O10" s="98" t="str">
        <f t="array" ref="O10">IFERROR(INDEX(UtilityList!J$4:J$251,MATCH('Table 2.3c'!$A10&amp;'Table 2.3c'!$B10&amp;'Table 2.3c'!$C10,UtilityList!$A$4:$A$251&amp;UtilityList!$B$4:$B$251&amp;UtilityList!$C$4:$C$251,0)),INDEX(UtilityList!J$4:J$251,MATCH('Table 2.3c'!$A10&amp;'Table 2.3c'!$C10,UtilityList!$A$4:$A$251&amp;UtilityList!$C$5:$C$251,0)))</f>
        <v>Lower Yukon-Kuskokwim</v>
      </c>
      <c r="P10" s="98" t="str">
        <f t="array" ref="P10">IFERROR(INDEX(UtilityList!K$4:K$251,MATCH('Table 2.3c'!$A10&amp;'Table 2.3c'!$B10&amp;'Table 2.3c'!$C10,UtilityList!$A$4:$A$251&amp;UtilityList!$B$4:$B$251&amp;UtilityList!$C$4:$C$251,0)),INDEX(UtilityList!K$4:K$251,MATCH('Table 2.3c'!$A10&amp;'Table 2.3c'!$C10,UtilityList!$A$4:$A$251&amp;UtilityList!$C$5:$C$251,0)))</f>
        <v>Bethel (CA)</v>
      </c>
      <c r="Q10" s="98" t="str">
        <f t="array" ref="Q10">IFERROR(INDEX(UtilityList!L$4:L$251,MATCH('Table 2.3c'!$A10&amp;'Table 2.3c'!$B10&amp;'Table 2.3c'!$C10,UtilityList!$A$4:$A$251&amp;UtilityList!$B$4:$B$251&amp;UtilityList!$C$4:$C$251,0)),INDEX(UtilityList!L$4:L$251,MATCH('Table 2.3c'!$A10&amp;'Table 2.3c'!$C10,UtilityList!$A$4:$A$251&amp;UtilityList!$C$5:$C$251,0)))</f>
        <v>Calista</v>
      </c>
      <c r="R10" s="98" t="str">
        <f t="array" ref="R10">IFERROR(INDEX(UtilityList!M$4:M$251,MATCH('Table 2.3c'!$A10&amp;'Table 2.3c'!$B10&amp;'Table 2.3c'!$C10,UtilityList!$A$4:$A$251&amp;UtilityList!$B$4:$B$251&amp;UtilityList!$C$4:$C$251,0)),INDEX(UtilityList!M$4:M$251,MATCH('Table 2.3c'!$A10&amp;'Table 2.3c'!$C10,UtilityList!$A$4:$A$251&amp;UtilityList!$C$5:$C$251,0)))</f>
        <v>SW</v>
      </c>
    </row>
    <row r="11" spans="1:19" s="344" customFormat="1" ht="30" x14ac:dyDescent="0.25">
      <c r="A11" s="678" t="s">
        <v>31</v>
      </c>
      <c r="B11" s="361" t="s">
        <v>32</v>
      </c>
      <c r="C11" s="679" t="s">
        <v>32</v>
      </c>
      <c r="D11" s="680" t="s">
        <v>545</v>
      </c>
      <c r="E11" s="680" t="s">
        <v>546</v>
      </c>
      <c r="F11" s="681">
        <v>1029.5309999999999</v>
      </c>
      <c r="G11" s="682">
        <v>86993</v>
      </c>
      <c r="H11" s="681">
        <f t="shared" ref="H11:H74" si="0">G11*L11</f>
        <v>12179.02</v>
      </c>
      <c r="I11" s="682">
        <v>4.3407333000000001</v>
      </c>
      <c r="J11" s="682">
        <f t="shared" ref="J11:J74" si="1">IF(F11&gt;0,IFERROR((F11*1000)/G11, " ")," ")</f>
        <v>11.834641867736485</v>
      </c>
      <c r="K11" s="682">
        <f t="shared" ref="K11:K74" si="2">IF(I11&gt;0,IFERROR(I11/J11, " "), " ")</f>
        <v>0.36678197350725716</v>
      </c>
      <c r="L11" s="682">
        <v>0.14000000000000001</v>
      </c>
      <c r="M11" s="658" t="s">
        <v>356</v>
      </c>
      <c r="N11" s="627">
        <f t="array" ref="N11">INDEX(UtilityList!Q$4:Q$251,MATCH('Table 2.3c'!$A11&amp;'Table 2.3c'!$B11&amp;'Table 2.3c'!$C11,UtilityList!$A$4:$A$251&amp;UtilityList!$B$4:$B$251&amp;UtilityList!$C$4:$C$251,0))</f>
        <v>0</v>
      </c>
      <c r="O11" s="452" t="str">
        <f t="array" ref="O11">IFERROR(INDEX(UtilityList!J$4:J$251,MATCH('Table 2.3c'!$A11&amp;'Table 2.3c'!$B11&amp;'Table 2.3c'!$C11,UtilityList!$A$4:$A$251&amp;UtilityList!$B$4:$B$251&amp;UtilityList!$C$4:$C$251,0)),INDEX(UtilityList!J$4:J$251,MATCH('Table 2.3c'!$A11&amp;'Table 2.3c'!$C11,UtilityList!$A$4:$A$251&amp;UtilityList!$C$5:$C$251,0)))</f>
        <v>Lower Yukon-Kuskokwim</v>
      </c>
      <c r="P11" s="452" t="str">
        <f t="array" ref="P11">IFERROR(INDEX(UtilityList!K$4:K$251,MATCH('Table 2.3c'!$A11&amp;'Table 2.3c'!$B11&amp;'Table 2.3c'!$C11,UtilityList!$A$4:$A$251&amp;UtilityList!$B$4:$B$251&amp;UtilityList!$C$4:$C$251,0)),INDEX(UtilityList!K$4:K$251,MATCH('Table 2.3c'!$A11&amp;'Table 2.3c'!$C11,UtilityList!$A$4:$A$251&amp;UtilityList!$C$5:$C$251,0)))</f>
        <v>Bethel (CA)</v>
      </c>
      <c r="Q11" s="452" t="str">
        <f t="array" ref="Q11">IFERROR(INDEX(UtilityList!L$4:L$251,MATCH('Table 2.3c'!$A11&amp;'Table 2.3c'!$B11&amp;'Table 2.3c'!$C11,UtilityList!$A$4:$A$251&amp;UtilityList!$B$4:$B$251&amp;UtilityList!$C$4:$C$251,0)),INDEX(UtilityList!L$4:L$251,MATCH('Table 2.3c'!$A11&amp;'Table 2.3c'!$C11,UtilityList!$A$4:$A$251&amp;UtilityList!$C$5:$C$251,0)))</f>
        <v>Calista</v>
      </c>
      <c r="R11" s="452" t="str">
        <f t="array" ref="R11">IFERROR(INDEX(UtilityList!M$4:M$251,MATCH('Table 2.3c'!$A11&amp;'Table 2.3c'!$B11&amp;'Table 2.3c'!$C11,UtilityList!$A$4:$A$251&amp;UtilityList!$B$4:$B$251&amp;UtilityList!$C$4:$C$251,0)),INDEX(UtilityList!M$4:M$251,MATCH('Table 2.3c'!$A11&amp;'Table 2.3c'!$C11,UtilityList!$A$4:$A$251&amp;UtilityList!$C$5:$C$251,0)))</f>
        <v>SW</v>
      </c>
    </row>
    <row r="12" spans="1:19" s="344" customFormat="1" x14ac:dyDescent="0.25">
      <c r="A12" s="678" t="s">
        <v>33</v>
      </c>
      <c r="B12" s="361" t="s">
        <v>34</v>
      </c>
      <c r="C12" s="679" t="s">
        <v>34</v>
      </c>
      <c r="D12" s="680" t="s">
        <v>545</v>
      </c>
      <c r="E12" s="680" t="s">
        <v>546</v>
      </c>
      <c r="F12" s="681">
        <v>489.57059999999996</v>
      </c>
      <c r="G12" s="682">
        <v>45345</v>
      </c>
      <c r="H12" s="681">
        <f t="shared" si="0"/>
        <v>6348.3</v>
      </c>
      <c r="I12" s="682">
        <v>3.3129</v>
      </c>
      <c r="J12" s="682">
        <f t="shared" si="1"/>
        <v>10.796572940787296</v>
      </c>
      <c r="K12" s="682">
        <f t="shared" si="2"/>
        <v>0.30684736889837749</v>
      </c>
      <c r="L12" s="682">
        <v>0.14000000000000001</v>
      </c>
      <c r="M12" s="658" t="s">
        <v>356</v>
      </c>
      <c r="N12" s="627">
        <f t="array" ref="N12">INDEX(UtilityList!Q$4:Q$251,MATCH('Table 2.3c'!$A12&amp;'Table 2.3c'!$B12&amp;'Table 2.3c'!$C12,UtilityList!$A$4:$A$251&amp;UtilityList!$B$4:$B$251&amp;UtilityList!$C$4:$C$251,0))</f>
        <v>0</v>
      </c>
      <c r="O12" s="452" t="str">
        <f t="array" ref="O12">IFERROR(INDEX(UtilityList!J$4:J$251,MATCH('Table 2.3c'!$A12&amp;'Table 2.3c'!$B12&amp;'Table 2.3c'!$C12,UtilityList!$A$4:$A$251&amp;UtilityList!$B$4:$B$251&amp;UtilityList!$C$4:$C$251,0)),INDEX(UtilityList!J$4:J$251,MATCH('Table 2.3c'!$A12&amp;'Table 2.3c'!$C12,UtilityList!$A$4:$A$251&amp;UtilityList!$C$5:$C$251,0)))</f>
        <v>Aleutians</v>
      </c>
      <c r="P12" s="452" t="str">
        <f t="array" ref="P12">IFERROR(INDEX(UtilityList!K$4:K$251,MATCH('Table 2.3c'!$A12&amp;'Table 2.3c'!$B12&amp;'Table 2.3c'!$C12,UtilityList!$A$4:$A$251&amp;UtilityList!$B$4:$B$251&amp;UtilityList!$C$4:$C$251,0)),INDEX(UtilityList!K$4:K$251,MATCH('Table 2.3c'!$A12&amp;'Table 2.3c'!$C12,UtilityList!$A$4:$A$251&amp;UtilityList!$C$5:$C$251,0)))</f>
        <v>Aleutians East</v>
      </c>
      <c r="Q12" s="452" t="str">
        <f t="array" ref="Q12">IFERROR(INDEX(UtilityList!L$4:L$251,MATCH('Table 2.3c'!$A12&amp;'Table 2.3c'!$B12&amp;'Table 2.3c'!$C12,UtilityList!$A$4:$A$251&amp;UtilityList!$B$4:$B$251&amp;UtilityList!$C$4:$C$251,0)),INDEX(UtilityList!L$4:L$251,MATCH('Table 2.3c'!$A12&amp;'Table 2.3c'!$C12,UtilityList!$A$4:$A$251&amp;UtilityList!$C$5:$C$251,0)))</f>
        <v>Aleut</v>
      </c>
      <c r="R12" s="452" t="str">
        <f t="array" ref="R12">IFERROR(INDEX(UtilityList!M$4:M$251,MATCH('Table 2.3c'!$A12&amp;'Table 2.3c'!$B12&amp;'Table 2.3c'!$C12,UtilityList!$A$4:$A$251&amp;UtilityList!$B$4:$B$251&amp;UtilityList!$C$4:$C$251,0)),INDEX(UtilityList!M$4:M$251,MATCH('Table 2.3c'!$A12&amp;'Table 2.3c'!$C12,UtilityList!$A$4:$A$251&amp;UtilityList!$C$5:$C$251,0)))</f>
        <v>SW</v>
      </c>
    </row>
    <row r="13" spans="1:19" s="344" customFormat="1" ht="45" x14ac:dyDescent="0.25">
      <c r="A13" s="361" t="s">
        <v>523</v>
      </c>
      <c r="B13" s="361" t="s">
        <v>37</v>
      </c>
      <c r="C13" s="361" t="s">
        <v>36</v>
      </c>
      <c r="D13" s="622" t="s">
        <v>545</v>
      </c>
      <c r="E13" s="622" t="s">
        <v>560</v>
      </c>
      <c r="F13" s="642">
        <v>1065</v>
      </c>
      <c r="G13" s="683">
        <v>135996</v>
      </c>
      <c r="H13" s="681">
        <f t="shared" si="0"/>
        <v>19039.440000000002</v>
      </c>
      <c r="I13" s="683"/>
      <c r="J13" s="683">
        <f t="shared" si="1"/>
        <v>7.8311126797846997</v>
      </c>
      <c r="K13" s="682" t="str">
        <f t="shared" si="2"/>
        <v xml:space="preserve"> </v>
      </c>
      <c r="L13" s="682">
        <v>0.14000000000000001</v>
      </c>
      <c r="M13" s="622" t="s">
        <v>558</v>
      </c>
      <c r="N13" s="627">
        <f t="array" ref="N13">INDEX(UtilityList!Q$4:Q$251,MATCH('Table 2.3c'!$A13&amp;'Table 2.3c'!$B13&amp;'Table 2.3c'!$C13,UtilityList!$A$4:$A$251&amp;UtilityList!$B$4:$B$251&amp;UtilityList!$C$4:$C$251,0))</f>
        <v>0</v>
      </c>
      <c r="O13" s="452" t="str">
        <f t="array" ref="O13">IFERROR(INDEX(UtilityList!J$4:J$251,MATCH('Table 2.3c'!$A13&amp;'Table 2.3c'!$B13&amp;'Table 2.3c'!$C13,UtilityList!$A$4:$A$251&amp;UtilityList!$B$4:$B$251&amp;UtilityList!$C$4:$C$251,0)),INDEX(UtilityList!J$4:J$251,MATCH('Table 2.3c'!$A13&amp;'Table 2.3c'!$C13,UtilityList!$A$4:$A$251&amp;UtilityList!$C$5:$C$251,0)))</f>
        <v>Southeast</v>
      </c>
      <c r="P13" s="452" t="str">
        <f t="array" ref="P13">IFERROR(INDEX(UtilityList!K$4:K$251,MATCH('Table 2.3c'!$A13&amp;'Table 2.3c'!$B13&amp;'Table 2.3c'!$C13,UtilityList!$A$4:$A$251&amp;UtilityList!$B$4:$B$251&amp;UtilityList!$C$4:$C$251,0)),INDEX(UtilityList!K$4:K$251,MATCH('Table 2.3c'!$A13&amp;'Table 2.3c'!$C13,UtilityList!$A$4:$A$251&amp;UtilityList!$C$5:$C$251,0)))</f>
        <v>Juneau</v>
      </c>
      <c r="Q13" s="452" t="str">
        <f t="array" ref="Q13">IFERROR(INDEX(UtilityList!L$4:L$251,MATCH('Table 2.3c'!$A13&amp;'Table 2.3c'!$B13&amp;'Table 2.3c'!$C13,UtilityList!$A$4:$A$251&amp;UtilityList!$B$4:$B$251&amp;UtilityList!$C$4:$C$251,0)),INDEX(UtilityList!L$4:L$251,MATCH('Table 2.3c'!$A13&amp;'Table 2.3c'!$C13,UtilityList!$A$4:$A$251&amp;UtilityList!$C$5:$C$251,0)))</f>
        <v>Sealaska</v>
      </c>
      <c r="R13" s="452" t="str">
        <f t="array" ref="R13">IFERROR(INDEX(UtilityList!M$4:M$251,MATCH('Table 2.3c'!$A13&amp;'Table 2.3c'!$B13&amp;'Table 2.3c'!$C13,UtilityList!$A$4:$A$251&amp;UtilityList!$B$4:$B$251&amp;UtilityList!$C$4:$C$251,0)),INDEX(UtilityList!M$4:M$251,MATCH('Table 2.3c'!$A13&amp;'Table 2.3c'!$C13,UtilityList!$A$4:$A$251&amp;UtilityList!$C$5:$C$251,0)))</f>
        <v>SE</v>
      </c>
      <c r="S13" s="126"/>
    </row>
    <row r="14" spans="1:19" s="344" customFormat="1" ht="45" x14ac:dyDescent="0.25">
      <c r="A14" s="361" t="s">
        <v>523</v>
      </c>
      <c r="B14" s="361" t="s">
        <v>37</v>
      </c>
      <c r="C14" s="361" t="s">
        <v>36</v>
      </c>
      <c r="D14" s="622" t="s">
        <v>545</v>
      </c>
      <c r="E14" s="622" t="s">
        <v>546</v>
      </c>
      <c r="F14" s="642">
        <v>54</v>
      </c>
      <c r="G14" s="683">
        <v>4914</v>
      </c>
      <c r="H14" s="681">
        <f t="shared" si="0"/>
        <v>687.96</v>
      </c>
      <c r="I14" s="683"/>
      <c r="J14" s="683">
        <f t="shared" si="1"/>
        <v>10.989010989010989</v>
      </c>
      <c r="K14" s="682" t="str">
        <f t="shared" si="2"/>
        <v xml:space="preserve"> </v>
      </c>
      <c r="L14" s="682">
        <v>0.14000000000000001</v>
      </c>
      <c r="M14" s="622" t="s">
        <v>558</v>
      </c>
      <c r="N14" s="627">
        <f t="array" ref="N14">INDEX(UtilityList!Q$4:Q$251,MATCH('Table 2.3c'!$A14&amp;'Table 2.3c'!$B14&amp;'Table 2.3c'!$C14,UtilityList!$A$4:$A$251&amp;UtilityList!$B$4:$B$251&amp;UtilityList!$C$4:$C$251,0))</f>
        <v>0</v>
      </c>
      <c r="O14" s="452" t="str">
        <f t="array" ref="O14">IFERROR(INDEX(UtilityList!J$4:J$251,MATCH('Table 2.3c'!$A14&amp;'Table 2.3c'!$B14&amp;'Table 2.3c'!$C14,UtilityList!$A$4:$A$251&amp;UtilityList!$B$4:$B$251&amp;UtilityList!$C$4:$C$251,0)),INDEX(UtilityList!J$4:J$251,MATCH('Table 2.3c'!$A14&amp;'Table 2.3c'!$C14,UtilityList!$A$4:$A$251&amp;UtilityList!$C$5:$C$251,0)))</f>
        <v>Southeast</v>
      </c>
      <c r="P14" s="452" t="str">
        <f t="array" ref="P14">IFERROR(INDEX(UtilityList!K$4:K$251,MATCH('Table 2.3c'!$A14&amp;'Table 2.3c'!$B14&amp;'Table 2.3c'!$C14,UtilityList!$A$4:$A$251&amp;UtilityList!$B$4:$B$251&amp;UtilityList!$C$4:$C$251,0)),INDEX(UtilityList!K$4:K$251,MATCH('Table 2.3c'!$A14&amp;'Table 2.3c'!$C14,UtilityList!$A$4:$A$251&amp;UtilityList!$C$5:$C$251,0)))</f>
        <v>Juneau</v>
      </c>
      <c r="Q14" s="452" t="str">
        <f t="array" ref="Q14">IFERROR(INDEX(UtilityList!L$4:L$251,MATCH('Table 2.3c'!$A14&amp;'Table 2.3c'!$B14&amp;'Table 2.3c'!$C14,UtilityList!$A$4:$A$251&amp;UtilityList!$B$4:$B$251&amp;UtilityList!$C$4:$C$251,0)),INDEX(UtilityList!L$4:L$251,MATCH('Table 2.3c'!$A14&amp;'Table 2.3c'!$C14,UtilityList!$A$4:$A$251&amp;UtilityList!$C$5:$C$251,0)))</f>
        <v>Sealaska</v>
      </c>
      <c r="R14" s="452" t="str">
        <f t="array" ref="R14">IFERROR(INDEX(UtilityList!M$4:M$251,MATCH('Table 2.3c'!$A14&amp;'Table 2.3c'!$B14&amp;'Table 2.3c'!$C14,UtilityList!$A$4:$A$251&amp;UtilityList!$B$4:$B$251&amp;UtilityList!$C$4:$C$251,0)),INDEX(UtilityList!M$4:M$251,MATCH('Table 2.3c'!$A14&amp;'Table 2.3c'!$C14,UtilityList!$A$4:$A$251&amp;UtilityList!$C$5:$C$251,0)))</f>
        <v>SE</v>
      </c>
      <c r="S14" s="126"/>
    </row>
    <row r="15" spans="1:19" s="344" customFormat="1" ht="45" x14ac:dyDescent="0.25">
      <c r="A15" s="361" t="s">
        <v>523</v>
      </c>
      <c r="B15" s="361" t="s">
        <v>38</v>
      </c>
      <c r="C15" s="361" t="s">
        <v>36</v>
      </c>
      <c r="D15" s="622" t="s">
        <v>545</v>
      </c>
      <c r="E15" s="622" t="s">
        <v>546</v>
      </c>
      <c r="F15" s="642">
        <v>23</v>
      </c>
      <c r="G15" s="683">
        <v>1218</v>
      </c>
      <c r="H15" s="681">
        <f t="shared" si="0"/>
        <v>170.52</v>
      </c>
      <c r="I15" s="683"/>
      <c r="J15" s="683">
        <f t="shared" si="1"/>
        <v>18.883415435139572</v>
      </c>
      <c r="K15" s="682" t="str">
        <f t="shared" si="2"/>
        <v xml:space="preserve"> </v>
      </c>
      <c r="L15" s="682">
        <v>0.14000000000000001</v>
      </c>
      <c r="M15" s="622" t="s">
        <v>558</v>
      </c>
      <c r="N15" s="627">
        <f t="array" ref="N15">INDEX(UtilityList!Q$4:Q$251,MATCH('Table 2.3c'!$A15&amp;'Table 2.3c'!$B15&amp;'Table 2.3c'!$C15,UtilityList!$A$4:$A$251&amp;UtilityList!$B$4:$B$251&amp;UtilityList!$C$4:$C$251,0))</f>
        <v>0</v>
      </c>
      <c r="O15" s="452" t="str">
        <f t="array" ref="O15">IFERROR(INDEX(UtilityList!J$4:J$251,MATCH('Table 2.3c'!$A15&amp;'Table 2.3c'!$B15&amp;'Table 2.3c'!$C15,UtilityList!$A$4:$A$251&amp;UtilityList!$B$4:$B$251&amp;UtilityList!$C$4:$C$251,0)),INDEX(UtilityList!J$4:J$251,MATCH('Table 2.3c'!$A15&amp;'Table 2.3c'!$C15,UtilityList!$A$4:$A$251&amp;UtilityList!$C$5:$C$251,0)))</f>
        <v>Southeast</v>
      </c>
      <c r="P15" s="452" t="str">
        <f t="array" ref="P15">IFERROR(INDEX(UtilityList!K$4:K$251,MATCH('Table 2.3c'!$A15&amp;'Table 2.3c'!$B15&amp;'Table 2.3c'!$C15,UtilityList!$A$4:$A$251&amp;UtilityList!$B$4:$B$251&amp;UtilityList!$C$4:$C$251,0)),INDEX(UtilityList!K$4:K$251,MATCH('Table 2.3c'!$A15&amp;'Table 2.3c'!$C15,UtilityList!$A$4:$A$251&amp;UtilityList!$C$5:$C$251,0)))</f>
        <v>Juneau</v>
      </c>
      <c r="Q15" s="452" t="str">
        <f t="array" ref="Q15">IFERROR(INDEX(UtilityList!L$4:L$251,MATCH('Table 2.3c'!$A15&amp;'Table 2.3c'!$B15&amp;'Table 2.3c'!$C15,UtilityList!$A$4:$A$251&amp;UtilityList!$B$4:$B$251&amp;UtilityList!$C$4:$C$251,0)),INDEX(UtilityList!L$4:L$251,MATCH('Table 2.3c'!$A15&amp;'Table 2.3c'!$C15,UtilityList!$A$4:$A$251&amp;UtilityList!$C$5:$C$251,0)))</f>
        <v>Sealaska</v>
      </c>
      <c r="R15" s="452" t="str">
        <f t="array" ref="R15">IFERROR(INDEX(UtilityList!M$4:M$251,MATCH('Table 2.3c'!$A15&amp;'Table 2.3c'!$B15&amp;'Table 2.3c'!$C15,UtilityList!$A$4:$A$251&amp;UtilityList!$B$4:$B$251&amp;UtilityList!$C$4:$C$251,0)),INDEX(UtilityList!M$4:M$251,MATCH('Table 2.3c'!$A15&amp;'Table 2.3c'!$C15,UtilityList!$A$4:$A$251&amp;UtilityList!$C$5:$C$251,0)))</f>
        <v>SE</v>
      </c>
    </row>
    <row r="16" spans="1:19" s="344" customFormat="1" ht="45" x14ac:dyDescent="0.25">
      <c r="A16" s="360" t="s">
        <v>523</v>
      </c>
      <c r="B16" s="452" t="s">
        <v>40</v>
      </c>
      <c r="C16" s="452" t="s">
        <v>36</v>
      </c>
      <c r="D16" s="622" t="s">
        <v>545</v>
      </c>
      <c r="E16" s="622" t="s">
        <v>560</v>
      </c>
      <c r="F16" s="638">
        <v>1274</v>
      </c>
      <c r="G16" s="683">
        <v>168126</v>
      </c>
      <c r="H16" s="681">
        <f t="shared" si="0"/>
        <v>23537.640000000003</v>
      </c>
      <c r="I16" s="683"/>
      <c r="J16" s="683">
        <f t="shared" si="1"/>
        <v>7.5776500957615118</v>
      </c>
      <c r="K16" s="682" t="str">
        <f t="shared" si="2"/>
        <v xml:space="preserve"> </v>
      </c>
      <c r="L16" s="682">
        <v>0.14000000000000001</v>
      </c>
      <c r="M16" s="622" t="s">
        <v>558</v>
      </c>
      <c r="N16" s="627">
        <f t="array" ref="N16">INDEX(UtilityList!Q$4:Q$251,MATCH('Table 2.3c'!$A16&amp;'Table 2.3c'!$B16&amp;'Table 2.3c'!$C16,UtilityList!$A$4:$A$251&amp;UtilityList!$B$4:$B$251&amp;UtilityList!$C$4:$C$251,0))</f>
        <v>0</v>
      </c>
      <c r="O16" s="452" t="str">
        <f t="array" ref="O16">IFERROR(INDEX(UtilityList!J$4:J$251,MATCH('Table 2.3c'!$A16&amp;'Table 2.3c'!$B16&amp;'Table 2.3c'!$C16,UtilityList!$A$4:$A$251&amp;UtilityList!$B$4:$B$251&amp;UtilityList!$C$4:$C$251,0)),INDEX(UtilityList!J$4:J$251,MATCH('Table 2.3c'!$A16&amp;'Table 2.3c'!$C16,UtilityList!$A$4:$A$251&amp;UtilityList!$C$5:$C$251,0)))</f>
        <v>Southeast</v>
      </c>
      <c r="P16" s="452" t="str">
        <f t="array" ref="P16">IFERROR(INDEX(UtilityList!K$4:K$251,MATCH('Table 2.3c'!$A16&amp;'Table 2.3c'!$B16&amp;'Table 2.3c'!$C16,UtilityList!$A$4:$A$251&amp;UtilityList!$B$4:$B$251&amp;UtilityList!$C$4:$C$251,0)),INDEX(UtilityList!K$4:K$251,MATCH('Table 2.3c'!$A16&amp;'Table 2.3c'!$C16,UtilityList!$A$4:$A$251&amp;UtilityList!$C$5:$C$251,0)))</f>
        <v>Juneau</v>
      </c>
      <c r="Q16" s="452" t="str">
        <f t="array" ref="Q16">IFERROR(INDEX(UtilityList!L$4:L$251,MATCH('Table 2.3c'!$A16&amp;'Table 2.3c'!$B16&amp;'Table 2.3c'!$C16,UtilityList!$A$4:$A$251&amp;UtilityList!$B$4:$B$251&amp;UtilityList!$C$4:$C$251,0)),INDEX(UtilityList!L$4:L$251,MATCH('Table 2.3c'!$A16&amp;'Table 2.3c'!$C16,UtilityList!$A$4:$A$251&amp;UtilityList!$C$5:$C$251,0)))</f>
        <v>Sealaska</v>
      </c>
      <c r="R16" s="452" t="str">
        <f t="array" ref="R16">IFERROR(INDEX(UtilityList!M$4:M$251,MATCH('Table 2.3c'!$A16&amp;'Table 2.3c'!$B16&amp;'Table 2.3c'!$C16,UtilityList!$A$4:$A$251&amp;UtilityList!$B$4:$B$251&amp;UtilityList!$C$4:$C$251,0)),INDEX(UtilityList!M$4:M$251,MATCH('Table 2.3c'!$A16&amp;'Table 2.3c'!$C16,UtilityList!$A$4:$A$251&amp;UtilityList!$C$5:$C$251,0)))</f>
        <v>SE</v>
      </c>
    </row>
    <row r="17" spans="1:19" s="344" customFormat="1" ht="45" x14ac:dyDescent="0.25">
      <c r="A17" s="360" t="s">
        <v>523</v>
      </c>
      <c r="B17" s="452" t="s">
        <v>40</v>
      </c>
      <c r="C17" s="452" t="s">
        <v>36</v>
      </c>
      <c r="D17" s="622" t="s">
        <v>545</v>
      </c>
      <c r="E17" s="622" t="s">
        <v>546</v>
      </c>
      <c r="F17" s="638">
        <v>1009</v>
      </c>
      <c r="G17" s="683">
        <v>84378</v>
      </c>
      <c r="H17" s="681">
        <f t="shared" si="0"/>
        <v>11812.920000000002</v>
      </c>
      <c r="I17" s="683"/>
      <c r="J17" s="683">
        <f t="shared" si="1"/>
        <v>11.958093341866363</v>
      </c>
      <c r="K17" s="682" t="str">
        <f t="shared" si="2"/>
        <v xml:space="preserve"> </v>
      </c>
      <c r="L17" s="682">
        <v>0.14000000000000001</v>
      </c>
      <c r="M17" s="622" t="s">
        <v>558</v>
      </c>
      <c r="N17" s="627">
        <f t="array" ref="N17">INDEX(UtilityList!Q$4:Q$251,MATCH('Table 2.3c'!$A17&amp;'Table 2.3c'!$B17&amp;'Table 2.3c'!$C17,UtilityList!$A$4:$A$251&amp;UtilityList!$B$4:$B$251&amp;UtilityList!$C$4:$C$251,0))</f>
        <v>0</v>
      </c>
      <c r="O17" s="452" t="str">
        <f t="array" ref="O17">IFERROR(INDEX(UtilityList!J$4:J$251,MATCH('Table 2.3c'!$A17&amp;'Table 2.3c'!$B17&amp;'Table 2.3c'!$C17,UtilityList!$A$4:$A$251&amp;UtilityList!$B$4:$B$251&amp;UtilityList!$C$4:$C$251,0)),INDEX(UtilityList!J$4:J$251,MATCH('Table 2.3c'!$A17&amp;'Table 2.3c'!$C17,UtilityList!$A$4:$A$251&amp;UtilityList!$C$5:$C$251,0)))</f>
        <v>Southeast</v>
      </c>
      <c r="P17" s="452" t="str">
        <f t="array" ref="P17">IFERROR(INDEX(UtilityList!K$4:K$251,MATCH('Table 2.3c'!$A17&amp;'Table 2.3c'!$B17&amp;'Table 2.3c'!$C17,UtilityList!$A$4:$A$251&amp;UtilityList!$B$4:$B$251&amp;UtilityList!$C$4:$C$251,0)),INDEX(UtilityList!K$4:K$251,MATCH('Table 2.3c'!$A17&amp;'Table 2.3c'!$C17,UtilityList!$A$4:$A$251&amp;UtilityList!$C$5:$C$251,0)))</f>
        <v>Juneau</v>
      </c>
      <c r="Q17" s="452" t="str">
        <f t="array" ref="Q17">IFERROR(INDEX(UtilityList!L$4:L$251,MATCH('Table 2.3c'!$A17&amp;'Table 2.3c'!$B17&amp;'Table 2.3c'!$C17,UtilityList!$A$4:$A$251&amp;UtilityList!$B$4:$B$251&amp;UtilityList!$C$4:$C$251,0)),INDEX(UtilityList!L$4:L$251,MATCH('Table 2.3c'!$A17&amp;'Table 2.3c'!$C17,UtilityList!$A$4:$A$251&amp;UtilityList!$C$5:$C$251,0)))</f>
        <v>Sealaska</v>
      </c>
      <c r="R17" s="452" t="str">
        <f t="array" ref="R17">IFERROR(INDEX(UtilityList!M$4:M$251,MATCH('Table 2.3c'!$A17&amp;'Table 2.3c'!$B17&amp;'Table 2.3c'!$C17,UtilityList!$A$4:$A$251&amp;UtilityList!$B$4:$B$251&amp;UtilityList!$C$4:$C$251,0)),INDEX(UtilityList!M$4:M$251,MATCH('Table 2.3c'!$A17&amp;'Table 2.3c'!$C17,UtilityList!$A$4:$A$251&amp;UtilityList!$C$5:$C$251,0)))</f>
        <v>SE</v>
      </c>
    </row>
    <row r="18" spans="1:19" s="344" customFormat="1" ht="45" x14ac:dyDescent="0.25">
      <c r="A18" s="678" t="s">
        <v>43</v>
      </c>
      <c r="B18" s="361" t="s">
        <v>44</v>
      </c>
      <c r="C18" s="679" t="s">
        <v>678</v>
      </c>
      <c r="D18" s="680" t="s">
        <v>545</v>
      </c>
      <c r="E18" s="680" t="s">
        <v>546</v>
      </c>
      <c r="F18" s="681">
        <v>655.36800000000005</v>
      </c>
      <c r="G18" s="682">
        <v>57040</v>
      </c>
      <c r="H18" s="681">
        <f t="shared" si="0"/>
        <v>7985.6</v>
      </c>
      <c r="I18" s="682">
        <v>5.4208333</v>
      </c>
      <c r="J18" s="682">
        <f t="shared" si="1"/>
        <v>11.489621318373072</v>
      </c>
      <c r="K18" s="682">
        <f t="shared" si="2"/>
        <v>0.47180260774404609</v>
      </c>
      <c r="L18" s="682">
        <v>0.14000000000000001</v>
      </c>
      <c r="M18" s="658" t="s">
        <v>356</v>
      </c>
      <c r="N18" s="627" t="str">
        <f t="array" ref="N18">INDEX(UtilityList!Q$4:Q$251,MATCH('Table 2.3c'!$A18&amp;'Table 2.3c'!$B18&amp;'Table 2.3c'!$C18,UtilityList!$A$4:$A$251&amp;UtilityList!$B$4:$B$251&amp;UtilityList!$C$4:$C$251,0))</f>
        <v>Provides power to Alatna via intertie. Data includes Alatna's information.</v>
      </c>
      <c r="O18" s="452" t="str">
        <f t="array" ref="O18">IFERROR(INDEX(UtilityList!J$4:J$251,MATCH('Table 2.3c'!$A18&amp;'Table 2.3c'!$B18&amp;'Table 2.3c'!$C18,UtilityList!$A$4:$A$251&amp;UtilityList!$B$4:$B$251&amp;UtilityList!$C$4:$C$251,0)),INDEX(UtilityList!J$4:J$251,MATCH('Table 2.3c'!$A18&amp;'Table 2.3c'!$C18,UtilityList!$A$4:$A$251&amp;UtilityList!$C$5:$C$251,0)))</f>
        <v>Yukon-Koyukuk/Upper Tanana</v>
      </c>
      <c r="P18" s="452" t="str">
        <f t="array" ref="P18">IFERROR(INDEX(UtilityList!K$4:K$251,MATCH('Table 2.3c'!$A18&amp;'Table 2.3c'!$B18&amp;'Table 2.3c'!$C18,UtilityList!$A$4:$A$251&amp;UtilityList!$B$4:$B$251&amp;UtilityList!$C$4:$C$251,0)),INDEX(UtilityList!K$4:K$251,MATCH('Table 2.3c'!$A18&amp;'Table 2.3c'!$C18,UtilityList!$A$4:$A$251&amp;UtilityList!$C$5:$C$251,0)))</f>
        <v>Yukon-Koyukuk (CA)</v>
      </c>
      <c r="Q18" s="452" t="str">
        <f t="array" ref="Q18">IFERROR(INDEX(UtilityList!L$4:L$251,MATCH('Table 2.3c'!$A18&amp;'Table 2.3c'!$B18&amp;'Table 2.3c'!$C18,UtilityList!$A$4:$A$251&amp;UtilityList!$B$4:$B$251&amp;UtilityList!$C$4:$C$251,0)),INDEX(UtilityList!L$4:L$251,MATCH('Table 2.3c'!$A18&amp;'Table 2.3c'!$C18,UtilityList!$A$4:$A$251&amp;UtilityList!$C$5:$C$251,0)))</f>
        <v>Doyon</v>
      </c>
      <c r="R18" s="452" t="str">
        <f t="array" ref="R18">IFERROR(INDEX(UtilityList!M$4:M$251,MATCH('Table 2.3c'!$A18&amp;'Table 2.3c'!$B18&amp;'Table 2.3c'!$C18,UtilityList!$A$4:$A$251&amp;UtilityList!$B$4:$B$251&amp;UtilityList!$C$4:$C$251,0)),INDEX(UtilityList!M$4:M$251,MATCH('Table 2.3c'!$A18&amp;'Table 2.3c'!$C18,UtilityList!$A$4:$A$251&amp;UtilityList!$C$5:$C$251,0)))</f>
        <v>YU</v>
      </c>
      <c r="S18" s="126"/>
    </row>
    <row r="19" spans="1:19" s="344" customFormat="1" ht="60" x14ac:dyDescent="0.25">
      <c r="A19" s="678" t="s">
        <v>43</v>
      </c>
      <c r="B19" s="361" t="s">
        <v>45</v>
      </c>
      <c r="C19" s="679" t="s">
        <v>680</v>
      </c>
      <c r="D19" s="680" t="s">
        <v>545</v>
      </c>
      <c r="E19" s="680" t="s">
        <v>546</v>
      </c>
      <c r="F19" s="681">
        <v>573.84500000000003</v>
      </c>
      <c r="G19" s="682">
        <v>49487</v>
      </c>
      <c r="H19" s="681">
        <f t="shared" si="0"/>
        <v>6928.18</v>
      </c>
      <c r="I19" s="682">
        <v>4.0125000000000002</v>
      </c>
      <c r="J19" s="682">
        <f t="shared" si="1"/>
        <v>11.59587366379049</v>
      </c>
      <c r="K19" s="682">
        <f t="shared" si="2"/>
        <v>0.34602826111580653</v>
      </c>
      <c r="L19" s="682">
        <v>0.14000000000000001</v>
      </c>
      <c r="M19" s="658" t="s">
        <v>356</v>
      </c>
      <c r="N19" s="627" t="str">
        <f t="array" ref="N19">INDEX(UtilityList!Q$4:Q$251,MATCH('Table 2.3c'!$A19&amp;'Table 2.3c'!$B19&amp;'Table 2.3c'!$C19,UtilityList!$A$4:$A$251&amp;UtilityList!$B$4:$B$251&amp;UtilityList!$C$4:$C$251,0))</f>
        <v>Provides power to Evansville via intertie. Data includes Evansville's information.</v>
      </c>
      <c r="O19" s="452" t="str">
        <f t="array" ref="O19">IFERROR(INDEX(UtilityList!J$4:J$251,MATCH('Table 2.3c'!$A19&amp;'Table 2.3c'!$B19&amp;'Table 2.3c'!$C19,UtilityList!$A$4:$A$251&amp;UtilityList!$B$4:$B$251&amp;UtilityList!$C$4:$C$251,0)),INDEX(UtilityList!J$4:J$251,MATCH('Table 2.3c'!$A19&amp;'Table 2.3c'!$C19,UtilityList!$A$4:$A$251&amp;UtilityList!$C$5:$C$251,0)))</f>
        <v>Yukon-Koyukuk/Upper Tanana</v>
      </c>
      <c r="P19" s="452" t="str">
        <f t="array" ref="P19">IFERROR(INDEX(UtilityList!K$4:K$251,MATCH('Table 2.3c'!$A19&amp;'Table 2.3c'!$B19&amp;'Table 2.3c'!$C19,UtilityList!$A$4:$A$251&amp;UtilityList!$B$4:$B$251&amp;UtilityList!$C$4:$C$251,0)),INDEX(UtilityList!K$4:K$251,MATCH('Table 2.3c'!$A19&amp;'Table 2.3c'!$C19,UtilityList!$A$4:$A$251&amp;UtilityList!$C$5:$C$251,0)))</f>
        <v>Yukon-Koyukuk (CA)</v>
      </c>
      <c r="Q19" s="452" t="str">
        <f t="array" ref="Q19">IFERROR(INDEX(UtilityList!L$4:L$251,MATCH('Table 2.3c'!$A19&amp;'Table 2.3c'!$B19&amp;'Table 2.3c'!$C19,UtilityList!$A$4:$A$251&amp;UtilityList!$B$4:$B$251&amp;UtilityList!$C$4:$C$251,0)),INDEX(UtilityList!L$4:L$251,MATCH('Table 2.3c'!$A19&amp;'Table 2.3c'!$C19,UtilityList!$A$4:$A$251&amp;UtilityList!$C$5:$C$251,0)))</f>
        <v>Doyon</v>
      </c>
      <c r="R19" s="452" t="str">
        <f t="array" ref="R19">IFERROR(INDEX(UtilityList!M$4:M$251,MATCH('Table 2.3c'!$A19&amp;'Table 2.3c'!$B19&amp;'Table 2.3c'!$C19,UtilityList!$A$4:$A$251&amp;UtilityList!$B$4:$B$251&amp;UtilityList!$C$4:$C$251,0)),INDEX(UtilityList!M$4:M$251,MATCH('Table 2.3c'!$A19&amp;'Table 2.3c'!$C19,UtilityList!$A$4:$A$251&amp;UtilityList!$C$5:$C$251,0)))</f>
        <v>YU</v>
      </c>
      <c r="S19" s="126"/>
    </row>
    <row r="20" spans="1:19" s="344" customFormat="1" ht="45" x14ac:dyDescent="0.25">
      <c r="A20" s="678" t="s">
        <v>43</v>
      </c>
      <c r="B20" s="679" t="s">
        <v>46</v>
      </c>
      <c r="C20" s="679" t="s">
        <v>46</v>
      </c>
      <c r="D20" s="680" t="s">
        <v>545</v>
      </c>
      <c r="E20" s="680" t="s">
        <v>546</v>
      </c>
      <c r="F20" s="681">
        <v>-2.1480000000000001</v>
      </c>
      <c r="G20" s="682">
        <v>50.999999999999993</v>
      </c>
      <c r="H20" s="681">
        <f t="shared" si="0"/>
        <v>7.14</v>
      </c>
      <c r="I20" s="682">
        <v>3.7124999999999999</v>
      </c>
      <c r="J20" s="682" t="str">
        <f t="shared" si="1"/>
        <v xml:space="preserve"> </v>
      </c>
      <c r="K20" s="682" t="str">
        <f t="shared" si="2"/>
        <v xml:space="preserve"> </v>
      </c>
      <c r="L20" s="682">
        <v>0.14000000000000001</v>
      </c>
      <c r="M20" s="658" t="s">
        <v>356</v>
      </c>
      <c r="N20" s="627" t="str">
        <f t="array" ref="N20">INDEX(UtilityList!Q$4:Q$251,MATCH('Table 2.3c'!$A20&amp;'Table 2.3c'!$B20&amp;'Table 2.3c'!$C20,UtilityList!$A$4:$A$251&amp;UtilityList!$B$4:$B$251&amp;UtilityList!$C$4:$C$251,0))</f>
        <v>Receives power from Slana via intertie.</v>
      </c>
      <c r="O20" s="452" t="str">
        <f t="array" ref="O20">IFERROR(INDEX(UtilityList!J$4:J$251,MATCH('Table 2.3c'!$A20&amp;'Table 2.3c'!$B20&amp;'Table 2.3c'!$C20,UtilityList!$A$4:$A$251&amp;UtilityList!$B$4:$B$251&amp;UtilityList!$C$4:$C$251,0)),INDEX(UtilityList!J$4:J$251,MATCH('Table 2.3c'!$A20&amp;'Table 2.3c'!$C20,UtilityList!$A$4:$A$251&amp;UtilityList!$C$5:$C$251,0)))</f>
        <v>Copper River/Chugach</v>
      </c>
      <c r="P20" s="452" t="str">
        <f t="array" ref="P20">IFERROR(INDEX(UtilityList!K$4:K$251,MATCH('Table 2.3c'!$A20&amp;'Table 2.3c'!$B20&amp;'Table 2.3c'!$C20,UtilityList!$A$4:$A$251&amp;UtilityList!$B$4:$B$251&amp;UtilityList!$C$4:$C$251,0)),INDEX(UtilityList!K$4:K$251,MATCH('Table 2.3c'!$A20&amp;'Table 2.3c'!$C20,UtilityList!$A$4:$A$251&amp;UtilityList!$C$5:$C$251,0)))</f>
        <v>Valdez-Cordova (CA)</v>
      </c>
      <c r="Q20" s="452" t="str">
        <f t="array" ref="Q20">IFERROR(INDEX(UtilityList!L$4:L$251,MATCH('Table 2.3c'!$A20&amp;'Table 2.3c'!$B20&amp;'Table 2.3c'!$C20,UtilityList!$A$4:$A$251&amp;UtilityList!$B$4:$B$251&amp;UtilityList!$C$4:$C$251,0)),INDEX(UtilityList!L$4:L$251,MATCH('Table 2.3c'!$A20&amp;'Table 2.3c'!$C20,UtilityList!$A$4:$A$251&amp;UtilityList!$C$5:$C$251,0)))</f>
        <v>Ahtna</v>
      </c>
      <c r="R20" s="452" t="str">
        <f t="array" ref="R20">IFERROR(INDEX(UtilityList!M$4:M$251,MATCH('Table 2.3c'!$A20&amp;'Table 2.3c'!$B20&amp;'Table 2.3c'!$C20,UtilityList!$A$4:$A$251&amp;UtilityList!$B$4:$B$251&amp;UtilityList!$C$4:$C$251,0)),INDEX(UtilityList!M$4:M$251,MATCH('Table 2.3c'!$A20&amp;'Table 2.3c'!$C20,UtilityList!$A$4:$A$251&amp;UtilityList!$C$5:$C$251,0)))</f>
        <v>YU</v>
      </c>
      <c r="S20" s="126"/>
    </row>
    <row r="21" spans="1:19" s="344" customFormat="1" ht="45" x14ac:dyDescent="0.25">
      <c r="A21" s="678" t="s">
        <v>43</v>
      </c>
      <c r="B21" s="361" t="s">
        <v>47</v>
      </c>
      <c r="C21" s="679" t="s">
        <v>47</v>
      </c>
      <c r="D21" s="680" t="s">
        <v>545</v>
      </c>
      <c r="E21" s="680" t="s">
        <v>546</v>
      </c>
      <c r="F21" s="681">
        <v>632.58299999999997</v>
      </c>
      <c r="G21" s="682">
        <v>48370</v>
      </c>
      <c r="H21" s="681">
        <f t="shared" si="0"/>
        <v>6771.8000000000011</v>
      </c>
      <c r="I21" s="682">
        <v>3.4691667000000002</v>
      </c>
      <c r="J21" s="682">
        <f t="shared" si="1"/>
        <v>13.078002894356006</v>
      </c>
      <c r="K21" s="682">
        <f t="shared" si="2"/>
        <v>0.26526731397935133</v>
      </c>
      <c r="L21" s="682">
        <v>0.14000000000000001</v>
      </c>
      <c r="M21" s="658" t="s">
        <v>356</v>
      </c>
      <c r="N21" s="627" t="str">
        <f t="array" ref="N21">INDEX(UtilityList!Q$4:Q$251,MATCH('Table 2.3c'!$A21&amp;'Table 2.3c'!$B21&amp;'Table 2.3c'!$C21,UtilityList!$A$4:$A$251&amp;UtilityList!$B$4:$B$251&amp;UtilityList!$C$4:$C$251,0))</f>
        <v>Part of the Alaska Power Company's grid on Prince of Wales Island.</v>
      </c>
      <c r="O21" s="452" t="str">
        <f t="array" ref="O21">IFERROR(INDEX(UtilityList!J$4:J$251,MATCH('Table 2.3c'!$A21&amp;'Table 2.3c'!$B21&amp;'Table 2.3c'!$C21,UtilityList!$A$4:$A$251&amp;UtilityList!$B$4:$B$251&amp;UtilityList!$C$4:$C$251,0)),INDEX(UtilityList!J$4:J$251,MATCH('Table 2.3c'!$A21&amp;'Table 2.3c'!$C21,UtilityList!$A$4:$A$251&amp;UtilityList!$C$5:$C$251,0)))</f>
        <v>Southeast</v>
      </c>
      <c r="P21" s="452" t="str">
        <f t="array" ref="P21">IFERROR(INDEX(UtilityList!K$4:K$251,MATCH('Table 2.3c'!$A21&amp;'Table 2.3c'!$B21&amp;'Table 2.3c'!$C21,UtilityList!$A$4:$A$251&amp;UtilityList!$B$4:$B$251&amp;UtilityList!$C$4:$C$251,0)),INDEX(UtilityList!K$4:K$251,MATCH('Table 2.3c'!$A21&amp;'Table 2.3c'!$C21,UtilityList!$A$4:$A$251&amp;UtilityList!$C$5:$C$251,0)))</f>
        <v>Prince of Wales-Hyder (CA)</v>
      </c>
      <c r="Q21" s="452" t="str">
        <f t="array" ref="Q21">IFERROR(INDEX(UtilityList!L$4:L$251,MATCH('Table 2.3c'!$A21&amp;'Table 2.3c'!$B21&amp;'Table 2.3c'!$C21,UtilityList!$A$4:$A$251&amp;UtilityList!$B$4:$B$251&amp;UtilityList!$C$4:$C$251,0)),INDEX(UtilityList!L$4:L$251,MATCH('Table 2.3c'!$A21&amp;'Table 2.3c'!$C21,UtilityList!$A$4:$A$251&amp;UtilityList!$C$5:$C$251,0)))</f>
        <v>Sealaska</v>
      </c>
      <c r="R21" s="452" t="str">
        <f t="array" ref="R21">IFERROR(INDEX(UtilityList!M$4:M$251,MATCH('Table 2.3c'!$A21&amp;'Table 2.3c'!$B21&amp;'Table 2.3c'!$C21,UtilityList!$A$4:$A$251&amp;UtilityList!$B$4:$B$251&amp;UtilityList!$C$4:$C$251,0)),INDEX(UtilityList!M$4:M$251,MATCH('Table 2.3c'!$A21&amp;'Table 2.3c'!$C21,UtilityList!$A$4:$A$251&amp;UtilityList!$C$5:$C$251,0)))</f>
        <v>SE</v>
      </c>
    </row>
    <row r="22" spans="1:19" s="126" customFormat="1" ht="90" x14ac:dyDescent="0.25">
      <c r="A22" s="684" t="s">
        <v>43</v>
      </c>
      <c r="B22" s="352" t="s">
        <v>48</v>
      </c>
      <c r="C22" s="352" t="s">
        <v>991</v>
      </c>
      <c r="D22" s="685" t="s">
        <v>545</v>
      </c>
      <c r="E22" s="685" t="s">
        <v>546</v>
      </c>
      <c r="F22" s="641">
        <v>2779</v>
      </c>
      <c r="G22" s="686">
        <v>206178</v>
      </c>
      <c r="H22" s="681">
        <f t="shared" si="0"/>
        <v>28864.920000000002</v>
      </c>
      <c r="I22" s="686"/>
      <c r="J22" s="686">
        <f t="shared" si="1"/>
        <v>13.478644666259251</v>
      </c>
      <c r="K22" s="682" t="str">
        <f t="shared" si="2"/>
        <v xml:space="preserve"> </v>
      </c>
      <c r="L22" s="682">
        <v>0.14000000000000001</v>
      </c>
      <c r="M22" s="685" t="s">
        <v>558</v>
      </c>
      <c r="N22" s="627" t="str">
        <f t="array" ref="N22">INDEX(UtilityList!Q$4:Q$251,MATCH('Table 2.3c'!$A22&amp;'Table 2.3c'!$B22&amp;'Table 2.3c'!$C22,UtilityList!$A$4:$A$251&amp;UtilityList!$B$4:$B$251&amp;UtilityList!$C$4:$C$251,0))</f>
        <v>Part of the Alaska Power Company's grid on Prince of Wales Island. Provides to Hollis, Hydaburg, Klawock, Thorne Bay and Kaasan.</v>
      </c>
      <c r="O22" s="452" t="str">
        <f t="array" ref="O22">IFERROR(INDEX(UtilityList!J$4:J$251,MATCH('Table 2.3c'!$A22&amp;'Table 2.3c'!$B22&amp;'Table 2.3c'!$C22,UtilityList!$A$4:$A$251&amp;UtilityList!$B$4:$B$251&amp;UtilityList!$C$4:$C$251,0)),INDEX(UtilityList!J$4:J$251,MATCH('Table 2.3c'!$A22&amp;'Table 2.3c'!$C22,UtilityList!$A$4:$A$251&amp;UtilityList!$C$5:$C$251,0)))</f>
        <v>Southeast</v>
      </c>
      <c r="P22" s="452" t="str">
        <f t="array" ref="P22">IFERROR(INDEX(UtilityList!K$4:K$251,MATCH('Table 2.3c'!$A22&amp;'Table 2.3c'!$B22&amp;'Table 2.3c'!$C22,UtilityList!$A$4:$A$251&amp;UtilityList!$B$4:$B$251&amp;UtilityList!$C$4:$C$251,0)),INDEX(UtilityList!K$4:K$251,MATCH('Table 2.3c'!$A22&amp;'Table 2.3c'!$C22,UtilityList!$A$4:$A$251&amp;UtilityList!$C$5:$C$251,0)))</f>
        <v>Prince of Wales-Hyder (CA)</v>
      </c>
      <c r="Q22" s="452" t="str">
        <f t="array" ref="Q22">IFERROR(INDEX(UtilityList!L$4:L$251,MATCH('Table 2.3c'!$A22&amp;'Table 2.3c'!$B22&amp;'Table 2.3c'!$C22,UtilityList!$A$4:$A$251&amp;UtilityList!$B$4:$B$251&amp;UtilityList!$C$4:$C$251,0)),INDEX(UtilityList!L$4:L$251,MATCH('Table 2.3c'!$A22&amp;'Table 2.3c'!$C22,UtilityList!$A$4:$A$251&amp;UtilityList!$C$5:$C$251,0)))</f>
        <v>Sealaska</v>
      </c>
      <c r="R22" s="452" t="str">
        <f t="array" ref="R22">IFERROR(INDEX(UtilityList!M$4:M$251,MATCH('Table 2.3c'!$A22&amp;'Table 2.3c'!$B22&amp;'Table 2.3c'!$C22,UtilityList!$A$4:$A$251&amp;UtilityList!$B$4:$B$251&amp;UtilityList!$C$4:$C$251,0)),INDEX(UtilityList!M$4:M$251,MATCH('Table 2.3c'!$A22&amp;'Table 2.3c'!$C22,UtilityList!$A$4:$A$251&amp;UtilityList!$C$5:$C$251,0)))</f>
        <v>SE</v>
      </c>
      <c r="S22" s="344"/>
    </row>
    <row r="23" spans="1:19" s="126" customFormat="1" ht="60" x14ac:dyDescent="0.25">
      <c r="A23" s="684" t="s">
        <v>43</v>
      </c>
      <c r="B23" s="352" t="s">
        <v>49</v>
      </c>
      <c r="C23" s="352" t="s">
        <v>48</v>
      </c>
      <c r="D23" s="685" t="s">
        <v>545</v>
      </c>
      <c r="E23" s="685" t="s">
        <v>546</v>
      </c>
      <c r="F23" s="641">
        <v>3604</v>
      </c>
      <c r="G23" s="686">
        <v>230118</v>
      </c>
      <c r="H23" s="681">
        <f t="shared" si="0"/>
        <v>32216.520000000004</v>
      </c>
      <c r="I23" s="686"/>
      <c r="J23" s="686">
        <f t="shared" si="1"/>
        <v>15.661530171477242</v>
      </c>
      <c r="K23" s="682" t="str">
        <f t="shared" si="2"/>
        <v xml:space="preserve"> </v>
      </c>
      <c r="L23" s="682">
        <v>0.14000000000000001</v>
      </c>
      <c r="M23" s="685" t="s">
        <v>558</v>
      </c>
      <c r="N23" s="627" t="str">
        <f t="array" ref="N23">INDEX(UtilityList!Q$4:Q$251,MATCH('Table 2.3c'!$A23&amp;'Table 2.3c'!$B23&amp;'Table 2.3c'!$C23,UtilityList!$A$4:$A$251&amp;UtilityList!$B$4:$B$251&amp;UtilityList!$C$4:$C$251,0))</f>
        <v>Provides power to Hollis, Klawock, Thorne Bay/Kasaan and Hydaburg via intertie.</v>
      </c>
      <c r="O23" s="452" t="str">
        <f t="array" ref="O23">IFERROR(INDEX(UtilityList!J$4:J$251,MATCH('Table 2.3c'!$A23&amp;'Table 2.3c'!$B23&amp;'Table 2.3c'!$C23,UtilityList!$A$4:$A$251&amp;UtilityList!$B$4:$B$251&amp;UtilityList!$C$4:$C$251,0)),INDEX(UtilityList!J$4:J$251,MATCH('Table 2.3c'!$A23&amp;'Table 2.3c'!$C23,UtilityList!$A$4:$A$251&amp;UtilityList!$C$5:$C$251,0)))</f>
        <v>Southeast</v>
      </c>
      <c r="P23" s="452" t="str">
        <f t="array" ref="P23">IFERROR(INDEX(UtilityList!K$4:K$251,MATCH('Table 2.3c'!$A23&amp;'Table 2.3c'!$B23&amp;'Table 2.3c'!$C23,UtilityList!$A$4:$A$251&amp;UtilityList!$B$4:$B$251&amp;UtilityList!$C$4:$C$251,0)),INDEX(UtilityList!K$4:K$251,MATCH('Table 2.3c'!$A23&amp;'Table 2.3c'!$C23,UtilityList!$A$4:$A$251&amp;UtilityList!$C$5:$C$251,0)))</f>
        <v>Prince of Wales-Hyder (CA)</v>
      </c>
      <c r="Q23" s="452" t="str">
        <f t="array" ref="Q23">IFERROR(INDEX(UtilityList!L$4:L$251,MATCH('Table 2.3c'!$A23&amp;'Table 2.3c'!$B23&amp;'Table 2.3c'!$C23,UtilityList!$A$4:$A$251&amp;UtilityList!$B$4:$B$251&amp;UtilityList!$C$4:$C$251,0)),INDEX(UtilityList!L$4:L$251,MATCH('Table 2.3c'!$A23&amp;'Table 2.3c'!$C23,UtilityList!$A$4:$A$251&amp;UtilityList!$C$5:$C$251,0)))</f>
        <v>Sealaska</v>
      </c>
      <c r="R23" s="452" t="str">
        <f t="array" ref="R23">IFERROR(INDEX(UtilityList!M$4:M$251,MATCH('Table 2.3c'!$A23&amp;'Table 2.3c'!$B23&amp;'Table 2.3c'!$C23,UtilityList!$A$4:$A$251&amp;UtilityList!$B$4:$B$251&amp;UtilityList!$C$4:$C$251,0)),INDEX(UtilityList!M$4:M$251,MATCH('Table 2.3c'!$A23&amp;'Table 2.3c'!$C23,UtilityList!$A$4:$A$251&amp;UtilityList!$C$5:$C$251,0)))</f>
        <v>SE</v>
      </c>
      <c r="S23" s="344"/>
    </row>
    <row r="24" spans="1:19" s="344" customFormat="1" ht="90" x14ac:dyDescent="0.25">
      <c r="A24" s="678" t="s">
        <v>43</v>
      </c>
      <c r="B24" s="361" t="s">
        <v>64</v>
      </c>
      <c r="C24" s="679" t="s">
        <v>684</v>
      </c>
      <c r="D24" s="680" t="s">
        <v>545</v>
      </c>
      <c r="E24" s="680" t="s">
        <v>546</v>
      </c>
      <c r="F24" s="681">
        <v>-0.6</v>
      </c>
      <c r="G24" s="682">
        <v>0</v>
      </c>
      <c r="H24" s="681">
        <f t="shared" si="0"/>
        <v>0</v>
      </c>
      <c r="I24" s="682">
        <v>3.9375</v>
      </c>
      <c r="J24" s="682" t="str">
        <f t="shared" si="1"/>
        <v xml:space="preserve"> </v>
      </c>
      <c r="K24" s="682" t="str">
        <f t="shared" si="2"/>
        <v xml:space="preserve"> </v>
      </c>
      <c r="L24" s="682">
        <v>0.14000000000000001</v>
      </c>
      <c r="M24" s="658" t="s">
        <v>356</v>
      </c>
      <c r="N24" s="627" t="str">
        <f t="array" ref="N24">INDEX(UtilityList!Q$4:Q$251,MATCH('Table 2.3c'!$A24&amp;'Table 2.3c'!$B24&amp;'Table 2.3c'!$C24,UtilityList!$A$4:$A$251&amp;UtilityList!$B$4:$B$251&amp;UtilityList!$C$4:$C$251,0))</f>
        <v>Receives power form Tok via intertie. Dot Lake's data includes Dot Lake Village's information. For fuel use and cost information, please refer to Tok.</v>
      </c>
      <c r="O24" s="452" t="str">
        <f t="array" ref="O24">IFERROR(INDEX(UtilityList!J$4:J$251,MATCH('Table 2.3c'!$A24&amp;'Table 2.3c'!$B24&amp;'Table 2.3c'!$C24,UtilityList!$A$4:$A$251&amp;UtilityList!$B$4:$B$251&amp;UtilityList!$C$4:$C$251,0)),INDEX(UtilityList!J$4:J$251,MATCH('Table 2.3c'!$A24&amp;'Table 2.3c'!$C24,UtilityList!$A$4:$A$251&amp;UtilityList!$C$5:$C$251,0)))</f>
        <v>Yukon-Koyukuk/Upper Tanana</v>
      </c>
      <c r="P24" s="452" t="str">
        <f t="array" ref="P24">IFERROR(INDEX(UtilityList!K$4:K$251,MATCH('Table 2.3c'!$A24&amp;'Table 2.3c'!$B24&amp;'Table 2.3c'!$C24,UtilityList!$A$4:$A$251&amp;UtilityList!$B$4:$B$251&amp;UtilityList!$C$4:$C$251,0)),INDEX(UtilityList!K$4:K$251,MATCH('Table 2.3c'!$A24&amp;'Table 2.3c'!$C24,UtilityList!$A$4:$A$251&amp;UtilityList!$C$5:$C$251,0)))</f>
        <v>Southeast Fairbanks (CA)</v>
      </c>
      <c r="Q24" s="452" t="str">
        <f t="array" ref="Q24">IFERROR(INDEX(UtilityList!L$4:L$251,MATCH('Table 2.3c'!$A24&amp;'Table 2.3c'!$B24&amp;'Table 2.3c'!$C24,UtilityList!$A$4:$A$251&amp;UtilityList!$B$4:$B$251&amp;UtilityList!$C$4:$C$251,0)),INDEX(UtilityList!L$4:L$251,MATCH('Table 2.3c'!$A24&amp;'Table 2.3c'!$C24,UtilityList!$A$4:$A$251&amp;UtilityList!$C$5:$C$251,0)))</f>
        <v>Doyon</v>
      </c>
      <c r="R24" s="452" t="str">
        <f t="array" ref="R24">IFERROR(INDEX(UtilityList!M$4:M$251,MATCH('Table 2.3c'!$A24&amp;'Table 2.3c'!$B24&amp;'Table 2.3c'!$C24,UtilityList!$A$4:$A$251&amp;UtilityList!$B$4:$B$251&amp;UtilityList!$C$4:$C$251,0)),INDEX(UtilityList!M$4:M$251,MATCH('Table 2.3c'!$A24&amp;'Table 2.3c'!$C24,UtilityList!$A$4:$A$251&amp;UtilityList!$C$5:$C$251,0)))</f>
        <v>YU</v>
      </c>
    </row>
    <row r="25" spans="1:19" s="344" customFormat="1" ht="60" x14ac:dyDescent="0.25">
      <c r="A25" s="678" t="s">
        <v>43</v>
      </c>
      <c r="B25" s="361" t="s">
        <v>493</v>
      </c>
      <c r="C25" s="679" t="s">
        <v>686</v>
      </c>
      <c r="D25" s="680" t="s">
        <v>545</v>
      </c>
      <c r="E25" s="680" t="s">
        <v>546</v>
      </c>
      <c r="F25" s="681">
        <v>749.74199999999996</v>
      </c>
      <c r="G25" s="682">
        <v>54362</v>
      </c>
      <c r="H25" s="681">
        <f t="shared" si="0"/>
        <v>7610.68</v>
      </c>
      <c r="I25" s="682">
        <v>3.9624999999999999</v>
      </c>
      <c r="J25" s="682">
        <f t="shared" si="1"/>
        <v>13.791655936131857</v>
      </c>
      <c r="K25" s="682">
        <f t="shared" si="2"/>
        <v>0.28731140178888204</v>
      </c>
      <c r="L25" s="682">
        <v>0.14000000000000001</v>
      </c>
      <c r="M25" s="658" t="s">
        <v>356</v>
      </c>
      <c r="N25" s="627" t="str">
        <f t="array" ref="N25">INDEX(UtilityList!Q$4:Q$251,MATCH('Table 2.3c'!$A25&amp;'Table 2.3c'!$B25&amp;'Table 2.3c'!$C25,UtilityList!$A$4:$A$251&amp;UtilityList!$B$4:$B$251&amp;UtilityList!$C$4:$C$251,0))</f>
        <v>Provides power to Eagle Village via intertie. Data includes Eagle Village's information.</v>
      </c>
      <c r="O25" s="452" t="str">
        <f t="array" ref="O25">IFERROR(INDEX(UtilityList!J$4:J$251,MATCH('Table 2.3c'!$A25&amp;'Table 2.3c'!$B25&amp;'Table 2.3c'!$C25,UtilityList!$A$4:$A$251&amp;UtilityList!$B$4:$B$251&amp;UtilityList!$C$4:$C$251,0)),INDEX(UtilityList!J$4:J$251,MATCH('Table 2.3c'!$A25&amp;'Table 2.3c'!$C25,UtilityList!$A$4:$A$251&amp;UtilityList!$C$5:$C$251,0)))</f>
        <v>Yukon-Koyukuk/Upper Tanana</v>
      </c>
      <c r="P25" s="452" t="str">
        <f t="array" ref="P25">IFERROR(INDEX(UtilityList!K$4:K$251,MATCH('Table 2.3c'!$A25&amp;'Table 2.3c'!$B25&amp;'Table 2.3c'!$C25,UtilityList!$A$4:$A$251&amp;UtilityList!$B$4:$B$251&amp;UtilityList!$C$4:$C$251,0)),INDEX(UtilityList!K$4:K$251,MATCH('Table 2.3c'!$A25&amp;'Table 2.3c'!$C25,UtilityList!$A$4:$A$251&amp;UtilityList!$C$5:$C$251,0)))</f>
        <v>Southeast Fairbanks (CA)</v>
      </c>
      <c r="Q25" s="452" t="str">
        <f t="array" ref="Q25">IFERROR(INDEX(UtilityList!L$4:L$251,MATCH('Table 2.3c'!$A25&amp;'Table 2.3c'!$B25&amp;'Table 2.3c'!$C25,UtilityList!$A$4:$A$251&amp;UtilityList!$B$4:$B$251&amp;UtilityList!$C$4:$C$251,0)),INDEX(UtilityList!L$4:L$251,MATCH('Table 2.3c'!$A25&amp;'Table 2.3c'!$C25,UtilityList!$A$4:$A$251&amp;UtilityList!$C$5:$C$251,0)))</f>
        <v>Doyon</v>
      </c>
      <c r="R25" s="452" t="str">
        <f t="array" ref="R25">IFERROR(INDEX(UtilityList!M$4:M$251,MATCH('Table 2.3c'!$A25&amp;'Table 2.3c'!$B25&amp;'Table 2.3c'!$C25,UtilityList!$A$4:$A$251&amp;UtilityList!$B$4:$B$251&amp;UtilityList!$C$4:$C$251,0)),INDEX(UtilityList!M$4:M$251,MATCH('Table 2.3c'!$A25&amp;'Table 2.3c'!$C25,UtilityList!$A$4:$A$251&amp;UtilityList!$C$5:$C$251,0)))</f>
        <v>YU</v>
      </c>
    </row>
    <row r="26" spans="1:19" s="126" customFormat="1" ht="75" x14ac:dyDescent="0.25">
      <c r="A26" s="687" t="s">
        <v>43</v>
      </c>
      <c r="B26" s="352" t="s">
        <v>50</v>
      </c>
      <c r="C26" s="688" t="s">
        <v>50</v>
      </c>
      <c r="D26" s="689" t="s">
        <v>545</v>
      </c>
      <c r="E26" s="689" t="s">
        <v>546</v>
      </c>
      <c r="F26" s="681">
        <v>185</v>
      </c>
      <c r="G26" s="682">
        <v>36885</v>
      </c>
      <c r="H26" s="681">
        <f t="shared" si="0"/>
        <v>5163.9000000000005</v>
      </c>
      <c r="I26" s="682">
        <v>3.4708332999999998</v>
      </c>
      <c r="J26" s="682">
        <f t="shared" si="1"/>
        <v>5.0155889928155073</v>
      </c>
      <c r="K26" s="682">
        <f t="shared" si="2"/>
        <v>0.69200911497567563</v>
      </c>
      <c r="L26" s="682">
        <v>0.14000000000000001</v>
      </c>
      <c r="M26" s="662" t="s">
        <v>722</v>
      </c>
      <c r="N26" s="627" t="str">
        <f t="array" ref="N26">INDEX(UtilityList!Q$4:Q$251,MATCH('Table 2.3c'!$A26&amp;'Table 2.3c'!$B26&amp;'Table 2.3c'!$C26,UtilityList!$A$4:$A$251&amp;UtilityList!$B$4:$B$251&amp;UtilityList!$C$4:$C$251,0))</f>
        <v>Plant is also referred to as Lutak. Part of the Alaska Power Company's grid in the Upper Lynn Canal service area.</v>
      </c>
      <c r="O26" s="452" t="str">
        <f t="array" ref="O26">IFERROR(INDEX(UtilityList!J$4:J$251,MATCH('Table 2.3c'!$A26&amp;'Table 2.3c'!$B26&amp;'Table 2.3c'!$C26,UtilityList!$A$4:$A$251&amp;UtilityList!$B$4:$B$251&amp;UtilityList!$C$4:$C$251,0)),INDEX(UtilityList!J$4:J$251,MATCH('Table 2.3c'!$A26&amp;'Table 2.3c'!$C26,UtilityList!$A$4:$A$251&amp;UtilityList!$C$5:$C$251,0)))</f>
        <v>Southeast</v>
      </c>
      <c r="P26" s="452" t="str">
        <f t="array" ref="P26">IFERROR(INDEX(UtilityList!K$4:K$251,MATCH('Table 2.3c'!$A26&amp;'Table 2.3c'!$B26&amp;'Table 2.3c'!$C26,UtilityList!$A$4:$A$251&amp;UtilityList!$B$4:$B$251&amp;UtilityList!$C$4:$C$251,0)),INDEX(UtilityList!K$4:K$251,MATCH('Table 2.3c'!$A26&amp;'Table 2.3c'!$C26,UtilityList!$A$4:$A$251&amp;UtilityList!$C$5:$C$251,0)))</f>
        <v>Haines</v>
      </c>
      <c r="Q26" s="452" t="str">
        <f t="array" ref="Q26">IFERROR(INDEX(UtilityList!L$4:L$251,MATCH('Table 2.3c'!$A26&amp;'Table 2.3c'!$B26&amp;'Table 2.3c'!$C26,UtilityList!$A$4:$A$251&amp;UtilityList!$B$4:$B$251&amp;UtilityList!$C$4:$C$251,0)),INDEX(UtilityList!L$4:L$251,MATCH('Table 2.3c'!$A26&amp;'Table 2.3c'!$C26,UtilityList!$A$4:$A$251&amp;UtilityList!$C$5:$C$251,0)))</f>
        <v>Sealaska</v>
      </c>
      <c r="R26" s="452" t="str">
        <f t="array" ref="R26">IFERROR(INDEX(UtilityList!M$4:M$251,MATCH('Table 2.3c'!$A26&amp;'Table 2.3c'!$B26&amp;'Table 2.3c'!$C26,UtilityList!$A$4:$A$251&amp;UtilityList!$B$4:$B$251&amp;UtilityList!$C$4:$C$251,0)),INDEX(UtilityList!M$4:M$251,MATCH('Table 2.3c'!$A26&amp;'Table 2.3c'!$C26,UtilityList!$A$4:$A$251&amp;UtilityList!$C$5:$C$251,0)))</f>
        <v>SE</v>
      </c>
      <c r="S26" s="344"/>
    </row>
    <row r="27" spans="1:19" s="344" customFormat="1" ht="75" x14ac:dyDescent="0.25">
      <c r="A27" s="684" t="s">
        <v>43</v>
      </c>
      <c r="B27" s="352" t="s">
        <v>60</v>
      </c>
      <c r="C27" s="690" t="s">
        <v>60</v>
      </c>
      <c r="D27" s="685" t="s">
        <v>545</v>
      </c>
      <c r="E27" s="685" t="s">
        <v>546</v>
      </c>
      <c r="F27" s="681">
        <v>95</v>
      </c>
      <c r="G27" s="682">
        <v>14928</v>
      </c>
      <c r="H27" s="681">
        <f t="shared" si="0"/>
        <v>2089.92</v>
      </c>
      <c r="I27" s="682">
        <v>3.4708332999999998</v>
      </c>
      <c r="J27" s="682">
        <f t="shared" si="1"/>
        <v>6.3638799571275459</v>
      </c>
      <c r="K27" s="682">
        <f t="shared" si="2"/>
        <v>0.54539578423578938</v>
      </c>
      <c r="L27" s="682">
        <v>0.14000000000000001</v>
      </c>
      <c r="M27" s="662" t="s">
        <v>722</v>
      </c>
      <c r="N27" s="627" t="str">
        <f t="array" ref="N27">INDEX(UtilityList!Q$4:Q$251,MATCH('Table 2.3c'!$A27&amp;'Table 2.3c'!$B27&amp;'Table 2.3c'!$C27,UtilityList!$A$4:$A$251&amp;UtilityList!$B$4:$B$251&amp;UtilityList!$C$4:$C$251,0))</f>
        <v>Plant is also referred to as Dewey Lake. Part of the Alaska Power Company's grid in the Upper Lynn Canal service area.</v>
      </c>
      <c r="O27" s="452" t="str">
        <f t="array" ref="O27">IFERROR(INDEX(UtilityList!J$4:J$251,MATCH('Table 2.3c'!$A27&amp;'Table 2.3c'!$B27&amp;'Table 2.3c'!$C27,UtilityList!$A$4:$A$251&amp;UtilityList!$B$4:$B$251&amp;UtilityList!$C$4:$C$251,0)),INDEX(UtilityList!J$4:J$251,MATCH('Table 2.3c'!$A27&amp;'Table 2.3c'!$C27,UtilityList!$A$4:$A$251&amp;UtilityList!$C$5:$C$251,0)))</f>
        <v>Southeast</v>
      </c>
      <c r="P27" s="452" t="str">
        <f t="array" ref="P27">IFERROR(INDEX(UtilityList!K$4:K$251,MATCH('Table 2.3c'!$A27&amp;'Table 2.3c'!$B27&amp;'Table 2.3c'!$C27,UtilityList!$A$4:$A$251&amp;UtilityList!$B$4:$B$251&amp;UtilityList!$C$4:$C$251,0)),INDEX(UtilityList!K$4:K$251,MATCH('Table 2.3c'!$A27&amp;'Table 2.3c'!$C27,UtilityList!$A$4:$A$251&amp;UtilityList!$C$5:$C$251,0)))</f>
        <v>Skagway</v>
      </c>
      <c r="Q27" s="452" t="str">
        <f t="array" ref="Q27">IFERROR(INDEX(UtilityList!L$4:L$251,MATCH('Table 2.3c'!$A27&amp;'Table 2.3c'!$B27&amp;'Table 2.3c'!$C27,UtilityList!$A$4:$A$251&amp;UtilityList!$B$4:$B$251&amp;UtilityList!$C$4:$C$251,0)),INDEX(UtilityList!L$4:L$251,MATCH('Table 2.3c'!$A27&amp;'Table 2.3c'!$C27,UtilityList!$A$4:$A$251&amp;UtilityList!$C$5:$C$251,0)))</f>
        <v>Sealaska</v>
      </c>
      <c r="R27" s="452" t="str">
        <f t="array" ref="R27">IFERROR(INDEX(UtilityList!M$4:M$251,MATCH('Table 2.3c'!$A27&amp;'Table 2.3c'!$B27&amp;'Table 2.3c'!$C27,UtilityList!$A$4:$A$251&amp;UtilityList!$B$4:$B$251&amp;UtilityList!$C$4:$C$251,0)),INDEX(UtilityList!M$4:M$251,MATCH('Table 2.3c'!$A27&amp;'Table 2.3c'!$C27,UtilityList!$A$4:$A$251&amp;UtilityList!$C$5:$C$251,0)))</f>
        <v>SE</v>
      </c>
      <c r="S27" s="342"/>
    </row>
    <row r="28" spans="1:19" s="344" customFormat="1" ht="45" x14ac:dyDescent="0.25">
      <c r="A28" s="678" t="s">
        <v>43</v>
      </c>
      <c r="B28" s="361" t="s">
        <v>51</v>
      </c>
      <c r="C28" s="679" t="s">
        <v>51</v>
      </c>
      <c r="D28" s="680" t="s">
        <v>545</v>
      </c>
      <c r="E28" s="680" t="s">
        <v>546</v>
      </c>
      <c r="F28" s="681">
        <v>83.3</v>
      </c>
      <c r="G28" s="682">
        <v>9100</v>
      </c>
      <c r="H28" s="681">
        <f t="shared" si="0"/>
        <v>1274.0000000000002</v>
      </c>
      <c r="I28" s="682">
        <v>3.6933332999999999</v>
      </c>
      <c r="J28" s="682">
        <f t="shared" si="1"/>
        <v>9.1538461538461533</v>
      </c>
      <c r="K28" s="682">
        <f t="shared" si="2"/>
        <v>0.4034733857142857</v>
      </c>
      <c r="L28" s="682">
        <v>0.14000000000000001</v>
      </c>
      <c r="M28" s="658" t="s">
        <v>356</v>
      </c>
      <c r="N28" s="627">
        <f t="array" ref="N28">INDEX(UtilityList!Q$4:Q$251,MATCH('Table 2.3c'!$A28&amp;'Table 2.3c'!$B28&amp;'Table 2.3c'!$C28,UtilityList!$A$4:$A$251&amp;UtilityList!$B$4:$B$251&amp;UtilityList!$C$4:$C$251,0))</f>
        <v>0</v>
      </c>
      <c r="O28" s="452" t="str">
        <f t="array" ref="O28">IFERROR(INDEX(UtilityList!J$4:J$251,MATCH('Table 2.3c'!$A28&amp;'Table 2.3c'!$B28&amp;'Table 2.3c'!$C28,UtilityList!$A$4:$A$251&amp;UtilityList!$B$4:$B$251&amp;UtilityList!$C$4:$C$251,0)),INDEX(UtilityList!J$4:J$251,MATCH('Table 2.3c'!$A28&amp;'Table 2.3c'!$C28,UtilityList!$A$4:$A$251&amp;UtilityList!$C$5:$C$251,0)))</f>
        <v>Yukon-Koyukuk/Upper Tanana</v>
      </c>
      <c r="P28" s="452" t="str">
        <f t="array" ref="P28">IFERROR(INDEX(UtilityList!K$4:K$251,MATCH('Table 2.3c'!$A28&amp;'Table 2.3c'!$B28&amp;'Table 2.3c'!$C28,UtilityList!$A$4:$A$251&amp;UtilityList!$B$4:$B$251&amp;UtilityList!$C$4:$C$251,0)),INDEX(UtilityList!K$4:K$251,MATCH('Table 2.3c'!$A28&amp;'Table 2.3c'!$C28,UtilityList!$A$4:$A$251&amp;UtilityList!$C$5:$C$251,0)))</f>
        <v>Southeast Fairbanks (CA)</v>
      </c>
      <c r="Q28" s="452" t="str">
        <f t="array" ref="Q28">IFERROR(INDEX(UtilityList!L$4:L$251,MATCH('Table 2.3c'!$A28&amp;'Table 2.3c'!$B28&amp;'Table 2.3c'!$C28,UtilityList!$A$4:$A$251&amp;UtilityList!$B$4:$B$251&amp;UtilityList!$C$4:$C$251,0)),INDEX(UtilityList!L$4:L$251,MATCH('Table 2.3c'!$A28&amp;'Table 2.3c'!$C28,UtilityList!$A$4:$A$251&amp;UtilityList!$C$5:$C$251,0)))</f>
        <v>Doyon</v>
      </c>
      <c r="R28" s="452" t="str">
        <f t="array" ref="R28">IFERROR(INDEX(UtilityList!M$4:M$251,MATCH('Table 2.3c'!$A28&amp;'Table 2.3c'!$B28&amp;'Table 2.3c'!$C28,UtilityList!$A$4:$A$251&amp;UtilityList!$B$4:$B$251&amp;UtilityList!$C$4:$C$251,0)),INDEX(UtilityList!M$4:M$251,MATCH('Table 2.3c'!$A28&amp;'Table 2.3c'!$C28,UtilityList!$A$4:$A$251&amp;UtilityList!$C$5:$C$251,0)))</f>
        <v>YU</v>
      </c>
      <c r="S28" s="342"/>
    </row>
    <row r="29" spans="1:19" s="126" customFormat="1" ht="75" x14ac:dyDescent="0.25">
      <c r="A29" s="678" t="s">
        <v>43</v>
      </c>
      <c r="B29" s="361" t="s">
        <v>52</v>
      </c>
      <c r="C29" s="679" t="s">
        <v>52</v>
      </c>
      <c r="D29" s="680" t="s">
        <v>545</v>
      </c>
      <c r="E29" s="680" t="s">
        <v>546</v>
      </c>
      <c r="F29" s="681">
        <v>-12.348000000000001</v>
      </c>
      <c r="G29" s="682">
        <v>0</v>
      </c>
      <c r="H29" s="681">
        <f t="shared" si="0"/>
        <v>0</v>
      </c>
      <c r="I29" s="682">
        <v>3.5558333000000002</v>
      </c>
      <c r="J29" s="682" t="str">
        <f t="shared" si="1"/>
        <v xml:space="preserve"> </v>
      </c>
      <c r="K29" s="682" t="str">
        <f t="shared" si="2"/>
        <v xml:space="preserve"> </v>
      </c>
      <c r="L29" s="682">
        <v>0.14000000000000001</v>
      </c>
      <c r="M29" s="658" t="s">
        <v>356</v>
      </c>
      <c r="N29" s="627" t="str">
        <f t="array" ref="N29">INDEX(UtilityList!Q$4:Q$251,MATCH('Table 2.3c'!$A29&amp;'Table 2.3c'!$B29&amp;'Table 2.3c'!$C29,UtilityList!$A$4:$A$251&amp;UtilityList!$B$4:$B$251&amp;UtilityList!$C$4:$C$251,0))</f>
        <v>Part of the Alaska Power Company's grid on Prince of Wales Island. Receives power from Craig. Refer to Craig for fuel use and cost.</v>
      </c>
      <c r="O29" s="452" t="str">
        <f t="array" ref="O29">IFERROR(INDEX(UtilityList!J$4:J$251,MATCH('Table 2.3c'!$A29&amp;'Table 2.3c'!$B29&amp;'Table 2.3c'!$C29,UtilityList!$A$4:$A$251&amp;UtilityList!$B$4:$B$251&amp;UtilityList!$C$4:$C$251,0)),INDEX(UtilityList!J$4:J$251,MATCH('Table 2.3c'!$A29&amp;'Table 2.3c'!$C29,UtilityList!$A$4:$A$251&amp;UtilityList!$C$5:$C$251,0)))</f>
        <v>Southeast</v>
      </c>
      <c r="P29" s="452" t="str">
        <f t="array" ref="P29">IFERROR(INDEX(UtilityList!K$4:K$251,MATCH('Table 2.3c'!$A29&amp;'Table 2.3c'!$B29&amp;'Table 2.3c'!$C29,UtilityList!$A$4:$A$251&amp;UtilityList!$B$4:$B$251&amp;UtilityList!$C$4:$C$251,0)),INDEX(UtilityList!K$4:K$251,MATCH('Table 2.3c'!$A29&amp;'Table 2.3c'!$C29,UtilityList!$A$4:$A$251&amp;UtilityList!$C$5:$C$251,0)))</f>
        <v>Prince of Wales-Hyder (CA)</v>
      </c>
      <c r="Q29" s="452" t="str">
        <f t="array" ref="Q29">IFERROR(INDEX(UtilityList!L$4:L$251,MATCH('Table 2.3c'!$A29&amp;'Table 2.3c'!$B29&amp;'Table 2.3c'!$C29,UtilityList!$A$4:$A$251&amp;UtilityList!$B$4:$B$251&amp;UtilityList!$C$4:$C$251,0)),INDEX(UtilityList!L$4:L$251,MATCH('Table 2.3c'!$A29&amp;'Table 2.3c'!$C29,UtilityList!$A$4:$A$251&amp;UtilityList!$C$5:$C$251,0)))</f>
        <v>Sealaska</v>
      </c>
      <c r="R29" s="452" t="str">
        <f t="array" ref="R29">IFERROR(INDEX(UtilityList!M$4:M$251,MATCH('Table 2.3c'!$A29&amp;'Table 2.3c'!$B29&amp;'Table 2.3c'!$C29,UtilityList!$A$4:$A$251&amp;UtilityList!$B$4:$B$251&amp;UtilityList!$C$4:$C$251,0)),INDEX(UtilityList!M$4:M$251,MATCH('Table 2.3c'!$A29&amp;'Table 2.3c'!$C29,UtilityList!$A$4:$A$251&amp;UtilityList!$C$5:$C$251,0)))</f>
        <v>SE</v>
      </c>
      <c r="S29" s="344"/>
    </row>
    <row r="30" spans="1:19" s="344" customFormat="1" ht="75" x14ac:dyDescent="0.25">
      <c r="A30" s="352" t="s">
        <v>43</v>
      </c>
      <c r="B30" s="352" t="s">
        <v>53</v>
      </c>
      <c r="C30" s="352" t="s">
        <v>53</v>
      </c>
      <c r="D30" s="685" t="s">
        <v>545</v>
      </c>
      <c r="E30" s="685" t="s">
        <v>546</v>
      </c>
      <c r="F30" s="641">
        <v>23</v>
      </c>
      <c r="G30" s="686">
        <v>3864</v>
      </c>
      <c r="H30" s="681">
        <f t="shared" si="0"/>
        <v>540.96</v>
      </c>
      <c r="I30" s="686"/>
      <c r="J30" s="686">
        <f t="shared" si="1"/>
        <v>5.9523809523809526</v>
      </c>
      <c r="K30" s="682" t="str">
        <f t="shared" si="2"/>
        <v xml:space="preserve"> </v>
      </c>
      <c r="L30" s="682">
        <v>0.14000000000000001</v>
      </c>
      <c r="M30" s="685" t="s">
        <v>558</v>
      </c>
      <c r="N30" s="627" t="str">
        <f t="array" ref="N30">INDEX(UtilityList!Q$4:Q$251,MATCH('Table 2.3c'!$A30&amp;'Table 2.3c'!$B30&amp;'Table 2.3c'!$C30,UtilityList!$A$4:$A$251&amp;UtilityList!$B$4:$B$251&amp;UtilityList!$C$4:$C$251,0))</f>
        <v>Part of the Alaska Power Company's grid on Prince of Wales Island. Receives power from Craig. Refer to Craig for fuel use and cost.</v>
      </c>
      <c r="O30" s="452" t="str">
        <f t="array" ref="O30">IFERROR(INDEX(UtilityList!J$4:J$251,MATCH('Table 2.3c'!$A30&amp;'Table 2.3c'!$B30&amp;'Table 2.3c'!$C30,UtilityList!$A$4:$A$251&amp;UtilityList!$B$4:$B$251&amp;UtilityList!$C$4:$C$251,0)),INDEX(UtilityList!J$4:J$251,MATCH('Table 2.3c'!$A30&amp;'Table 2.3c'!$C30,UtilityList!$A$4:$A$251&amp;UtilityList!$C$5:$C$251,0)))</f>
        <v>Southeast</v>
      </c>
      <c r="P30" s="452" t="str">
        <f t="array" ref="P30">IFERROR(INDEX(UtilityList!K$4:K$251,MATCH('Table 2.3c'!$A30&amp;'Table 2.3c'!$B30&amp;'Table 2.3c'!$C30,UtilityList!$A$4:$A$251&amp;UtilityList!$B$4:$B$251&amp;UtilityList!$C$4:$C$251,0)),INDEX(UtilityList!K$4:K$251,MATCH('Table 2.3c'!$A30&amp;'Table 2.3c'!$C30,UtilityList!$A$4:$A$251&amp;UtilityList!$C$5:$C$251,0)))</f>
        <v>Prince of Wales-Hyder (CA)</v>
      </c>
      <c r="Q30" s="452" t="str">
        <f t="array" ref="Q30">IFERROR(INDEX(UtilityList!L$4:L$251,MATCH('Table 2.3c'!$A30&amp;'Table 2.3c'!$B30&amp;'Table 2.3c'!$C30,UtilityList!$A$4:$A$251&amp;UtilityList!$B$4:$B$251&amp;UtilityList!$C$4:$C$251,0)),INDEX(UtilityList!L$4:L$251,MATCH('Table 2.3c'!$A30&amp;'Table 2.3c'!$C30,UtilityList!$A$4:$A$251&amp;UtilityList!$C$5:$C$251,0)))</f>
        <v>Sealaska</v>
      </c>
      <c r="R30" s="452" t="str">
        <f t="array" ref="R30">IFERROR(INDEX(UtilityList!M$4:M$251,MATCH('Table 2.3c'!$A30&amp;'Table 2.3c'!$B30&amp;'Table 2.3c'!$C30,UtilityList!$A$4:$A$251&amp;UtilityList!$B$4:$B$251&amp;UtilityList!$C$4:$C$251,0)),INDEX(UtilityList!M$4:M$251,MATCH('Table 2.3c'!$A30&amp;'Table 2.3c'!$C30,UtilityList!$A$4:$A$251&amp;UtilityList!$C$5:$C$251,0)))</f>
        <v>SE</v>
      </c>
    </row>
    <row r="31" spans="1:19" s="344" customFormat="1" ht="75" x14ac:dyDescent="0.25">
      <c r="A31" s="678" t="s">
        <v>43</v>
      </c>
      <c r="B31" s="361" t="s">
        <v>48</v>
      </c>
      <c r="C31" s="679" t="s">
        <v>54</v>
      </c>
      <c r="D31" s="680" t="s">
        <v>545</v>
      </c>
      <c r="E31" s="680" t="s">
        <v>546</v>
      </c>
      <c r="F31" s="681">
        <v>-27.4</v>
      </c>
      <c r="G31" s="682">
        <v>0</v>
      </c>
      <c r="H31" s="681">
        <f t="shared" si="0"/>
        <v>0</v>
      </c>
      <c r="I31" s="682">
        <v>3.5558333000000002</v>
      </c>
      <c r="J31" s="682" t="str">
        <f t="shared" si="1"/>
        <v xml:space="preserve"> </v>
      </c>
      <c r="K31" s="682" t="str">
        <f t="shared" si="2"/>
        <v xml:space="preserve"> </v>
      </c>
      <c r="L31" s="682">
        <v>0.14000000000000001</v>
      </c>
      <c r="M31" s="658" t="s">
        <v>356</v>
      </c>
      <c r="N31" s="627" t="str">
        <f t="array" ref="N31">INDEX(UtilityList!Q$4:Q$251,MATCH('Table 2.3c'!$A31&amp;'Table 2.3c'!$B31&amp;'Table 2.3c'!$C31,UtilityList!$A$4:$A$251&amp;UtilityList!$B$4:$B$251&amp;UtilityList!$C$4:$C$251,0))</f>
        <v>Part of the Alaska Power Company's grid on Prince of Wales Island. Receives power from Craig. Refer to Craig for fuel use and cost.</v>
      </c>
      <c r="O31" s="452" t="str">
        <f t="array" ref="O31">IFERROR(INDEX(UtilityList!J$4:J$251,MATCH('Table 2.3c'!$A31&amp;'Table 2.3c'!$B31&amp;'Table 2.3c'!$C31,UtilityList!$A$4:$A$251&amp;UtilityList!$B$4:$B$251&amp;UtilityList!$C$4:$C$251,0)),INDEX(UtilityList!J$4:J$251,MATCH('Table 2.3c'!$A31&amp;'Table 2.3c'!$C31,UtilityList!$A$4:$A$251&amp;UtilityList!$C$5:$C$251,0)))</f>
        <v>Southeast</v>
      </c>
      <c r="P31" s="452" t="str">
        <f t="array" ref="P31">IFERROR(INDEX(UtilityList!K$4:K$251,MATCH('Table 2.3c'!$A31&amp;'Table 2.3c'!$B31&amp;'Table 2.3c'!$C31,UtilityList!$A$4:$A$251&amp;UtilityList!$B$4:$B$251&amp;UtilityList!$C$4:$C$251,0)),INDEX(UtilityList!K$4:K$251,MATCH('Table 2.3c'!$A31&amp;'Table 2.3c'!$C31,UtilityList!$A$4:$A$251&amp;UtilityList!$C$5:$C$251,0)))</f>
        <v>Prince of Wales-Hyder (CA)</v>
      </c>
      <c r="Q31" s="452" t="str">
        <f t="array" ref="Q31">IFERROR(INDEX(UtilityList!L$4:L$251,MATCH('Table 2.3c'!$A31&amp;'Table 2.3c'!$B31&amp;'Table 2.3c'!$C31,UtilityList!$A$4:$A$251&amp;UtilityList!$B$4:$B$251&amp;UtilityList!$C$4:$C$251,0)),INDEX(UtilityList!L$4:L$251,MATCH('Table 2.3c'!$A31&amp;'Table 2.3c'!$C31,UtilityList!$A$4:$A$251&amp;UtilityList!$C$5:$C$251,0)))</f>
        <v>Sealaska</v>
      </c>
      <c r="R31" s="452" t="str">
        <f t="array" ref="R31">IFERROR(INDEX(UtilityList!M$4:M$251,MATCH('Table 2.3c'!$A31&amp;'Table 2.3c'!$B31&amp;'Table 2.3c'!$C31,UtilityList!$A$4:$A$251&amp;UtilityList!$B$4:$B$251&amp;UtilityList!$C$4:$C$251,0)),INDEX(UtilityList!M$4:M$251,MATCH('Table 2.3c'!$A31&amp;'Table 2.3c'!$C31,UtilityList!$A$4:$A$251&amp;UtilityList!$C$5:$C$251,0)))</f>
        <v>SE</v>
      </c>
    </row>
    <row r="32" spans="1:19" s="344" customFormat="1" ht="45" x14ac:dyDescent="0.25">
      <c r="A32" s="678" t="s">
        <v>43</v>
      </c>
      <c r="B32" s="361" t="s">
        <v>55</v>
      </c>
      <c r="C32" s="679" t="s">
        <v>55</v>
      </c>
      <c r="D32" s="680" t="s">
        <v>545</v>
      </c>
      <c r="E32" s="680" t="s">
        <v>546</v>
      </c>
      <c r="F32" s="681">
        <v>237.108</v>
      </c>
      <c r="G32" s="682">
        <v>19779</v>
      </c>
      <c r="H32" s="681">
        <f t="shared" si="0"/>
        <v>2769.0600000000004</v>
      </c>
      <c r="I32" s="682">
        <v>3.7</v>
      </c>
      <c r="J32" s="682">
        <f t="shared" si="1"/>
        <v>11.987865918398301</v>
      </c>
      <c r="K32" s="682">
        <f t="shared" si="2"/>
        <v>0.30864542740017209</v>
      </c>
      <c r="L32" s="682">
        <v>0.14000000000000001</v>
      </c>
      <c r="M32" s="658" t="s">
        <v>356</v>
      </c>
      <c r="N32" s="627">
        <f t="array" ref="N32">INDEX(UtilityList!Q$4:Q$251,MATCH('Table 2.3c'!$A32&amp;'Table 2.3c'!$B32&amp;'Table 2.3c'!$C32,UtilityList!$A$4:$A$251&amp;UtilityList!$B$4:$B$251&amp;UtilityList!$C$4:$C$251,0))</f>
        <v>0</v>
      </c>
      <c r="O32" s="452" t="str">
        <f t="array" ref="O32">IFERROR(INDEX(UtilityList!J$4:J$251,MATCH('Table 2.3c'!$A32&amp;'Table 2.3c'!$B32&amp;'Table 2.3c'!$C32,UtilityList!$A$4:$A$251&amp;UtilityList!$B$4:$B$251&amp;UtilityList!$C$4:$C$251,0)),INDEX(UtilityList!J$4:J$251,MATCH('Table 2.3c'!$A32&amp;'Table 2.3c'!$C32,UtilityList!$A$4:$A$251&amp;UtilityList!$C$5:$C$251,0)))</f>
        <v>Copper River/Chugach</v>
      </c>
      <c r="P32" s="452" t="str">
        <f t="array" ref="P32">IFERROR(INDEX(UtilityList!K$4:K$251,MATCH('Table 2.3c'!$A32&amp;'Table 2.3c'!$B32&amp;'Table 2.3c'!$C32,UtilityList!$A$4:$A$251&amp;UtilityList!$B$4:$B$251&amp;UtilityList!$C$4:$C$251,0)),INDEX(UtilityList!K$4:K$251,MATCH('Table 2.3c'!$A32&amp;'Table 2.3c'!$C32,UtilityList!$A$4:$A$251&amp;UtilityList!$C$5:$C$251,0)))</f>
        <v>Valdez-Cordova (CA)</v>
      </c>
      <c r="Q32" s="452" t="str">
        <f t="array" ref="Q32">IFERROR(INDEX(UtilityList!L$4:L$251,MATCH('Table 2.3c'!$A32&amp;'Table 2.3c'!$B32&amp;'Table 2.3c'!$C32,UtilityList!$A$4:$A$251&amp;UtilityList!$B$4:$B$251&amp;UtilityList!$C$4:$C$251,0)),INDEX(UtilityList!L$4:L$251,MATCH('Table 2.3c'!$A32&amp;'Table 2.3c'!$C32,UtilityList!$A$4:$A$251&amp;UtilityList!$C$5:$C$251,0)))</f>
        <v>Ahtna</v>
      </c>
      <c r="R32" s="452" t="str">
        <f t="array" ref="R32">IFERROR(INDEX(UtilityList!M$4:M$251,MATCH('Table 2.3c'!$A32&amp;'Table 2.3c'!$B32&amp;'Table 2.3c'!$C32,UtilityList!$A$4:$A$251&amp;UtilityList!$B$4:$B$251&amp;UtilityList!$C$4:$C$251,0)),INDEX(UtilityList!M$4:M$251,MATCH('Table 2.3c'!$A32&amp;'Table 2.3c'!$C32,UtilityList!$A$4:$A$251&amp;UtilityList!$C$5:$C$251,0)))</f>
        <v>YU</v>
      </c>
    </row>
    <row r="33" spans="1:19" s="126" customFormat="1" ht="45" x14ac:dyDescent="0.25">
      <c r="A33" s="678" t="s">
        <v>43</v>
      </c>
      <c r="B33" s="361" t="s">
        <v>56</v>
      </c>
      <c r="C33" s="679" t="s">
        <v>56</v>
      </c>
      <c r="D33" s="680" t="s">
        <v>545</v>
      </c>
      <c r="E33" s="680" t="s">
        <v>546</v>
      </c>
      <c r="F33" s="681">
        <v>449.90800000000002</v>
      </c>
      <c r="G33" s="682">
        <v>37322</v>
      </c>
      <c r="H33" s="681">
        <f t="shared" si="0"/>
        <v>5225.0800000000008</v>
      </c>
      <c r="I33" s="682">
        <v>3.6041666999999999</v>
      </c>
      <c r="J33" s="682">
        <f t="shared" si="1"/>
        <v>12.054766625582767</v>
      </c>
      <c r="K33" s="682">
        <f t="shared" si="2"/>
        <v>0.29898270219111461</v>
      </c>
      <c r="L33" s="682">
        <v>0.14000000000000001</v>
      </c>
      <c r="M33" s="658" t="s">
        <v>356</v>
      </c>
      <c r="N33" s="627">
        <f t="array" ref="N33">INDEX(UtilityList!Q$4:Q$251,MATCH('Table 2.3c'!$A33&amp;'Table 2.3c'!$B33&amp;'Table 2.3c'!$C33,UtilityList!$A$4:$A$251&amp;UtilityList!$B$4:$B$251&amp;UtilityList!$C$4:$C$251,0))</f>
        <v>0</v>
      </c>
      <c r="O33" s="452" t="str">
        <f t="array" ref="O33">IFERROR(INDEX(UtilityList!J$4:J$251,MATCH('Table 2.3c'!$A33&amp;'Table 2.3c'!$B33&amp;'Table 2.3c'!$C33,UtilityList!$A$4:$A$251&amp;UtilityList!$B$4:$B$251&amp;UtilityList!$C$4:$C$251,0)),INDEX(UtilityList!J$4:J$251,MATCH('Table 2.3c'!$A33&amp;'Table 2.3c'!$C33,UtilityList!$A$4:$A$251&amp;UtilityList!$C$5:$C$251,0)))</f>
        <v>Southeast</v>
      </c>
      <c r="P33" s="452" t="str">
        <f t="array" ref="P33">IFERROR(INDEX(UtilityList!K$4:K$251,MATCH('Table 2.3c'!$A33&amp;'Table 2.3c'!$B33&amp;'Table 2.3c'!$C33,UtilityList!$A$4:$A$251&amp;UtilityList!$B$4:$B$251&amp;UtilityList!$C$4:$C$251,0)),INDEX(UtilityList!K$4:K$251,MATCH('Table 2.3c'!$A33&amp;'Table 2.3c'!$C33,UtilityList!$A$4:$A$251&amp;UtilityList!$C$5:$C$251,0)))</f>
        <v>Prince of Wales-Hyder (CA)</v>
      </c>
      <c r="Q33" s="452" t="str">
        <f t="array" ref="Q33">IFERROR(INDEX(UtilityList!L$4:L$251,MATCH('Table 2.3c'!$A33&amp;'Table 2.3c'!$B33&amp;'Table 2.3c'!$C33,UtilityList!$A$4:$A$251&amp;UtilityList!$B$4:$B$251&amp;UtilityList!$C$4:$C$251,0)),INDEX(UtilityList!L$4:L$251,MATCH('Table 2.3c'!$A33&amp;'Table 2.3c'!$C33,UtilityList!$A$4:$A$251&amp;UtilityList!$C$5:$C$251,0)))</f>
        <v>Sealaska</v>
      </c>
      <c r="R33" s="452" t="str">
        <f t="array" ref="R33">IFERROR(INDEX(UtilityList!M$4:M$251,MATCH('Table 2.3c'!$A33&amp;'Table 2.3c'!$B33&amp;'Table 2.3c'!$C33,UtilityList!$A$4:$A$251&amp;UtilityList!$B$4:$B$251&amp;UtilityList!$C$4:$C$251,0)),INDEX(UtilityList!M$4:M$251,MATCH('Table 2.3c'!$A33&amp;'Table 2.3c'!$C33,UtilityList!$A$4:$A$251&amp;UtilityList!$C$5:$C$251,0)))</f>
        <v>SE</v>
      </c>
      <c r="S33" s="344"/>
    </row>
    <row r="34" spans="1:19" s="126" customFormat="1" ht="75" x14ac:dyDescent="0.25">
      <c r="A34" s="352" t="s">
        <v>43</v>
      </c>
      <c r="B34" s="352" t="s">
        <v>57</v>
      </c>
      <c r="C34" s="352" t="s">
        <v>683</v>
      </c>
      <c r="D34" s="685" t="s">
        <v>545</v>
      </c>
      <c r="E34" s="685" t="s">
        <v>546</v>
      </c>
      <c r="F34" s="641">
        <v>4752</v>
      </c>
      <c r="G34" s="691">
        <v>331170</v>
      </c>
      <c r="H34" s="681">
        <f t="shared" si="0"/>
        <v>46363.8</v>
      </c>
      <c r="I34" s="691">
        <v>3.8746809999999998</v>
      </c>
      <c r="J34" s="691">
        <f t="shared" si="1"/>
        <v>14.349125826614729</v>
      </c>
      <c r="K34" s="682">
        <f t="shared" si="2"/>
        <v>0.27002906287247475</v>
      </c>
      <c r="L34" s="682">
        <v>0.14000000000000001</v>
      </c>
      <c r="M34" s="685" t="s">
        <v>558</v>
      </c>
      <c r="N34" s="627" t="str">
        <f t="array" ref="N34">INDEX(UtilityList!Q$4:Q$251,MATCH('Table 2.3c'!$A34&amp;'Table 2.3c'!$B34&amp;'Table 2.3c'!$C34,UtilityList!$A$4:$A$251&amp;UtilityList!$B$4:$B$251&amp;UtilityList!$C$4:$C$251,0))</f>
        <v>Provides power to Northway Village via intertie. Data includes Northway Village's information.</v>
      </c>
      <c r="O34" s="452" t="str">
        <f t="array" ref="O34">IFERROR(INDEX(UtilityList!J$4:J$251,MATCH('Table 2.3c'!$A34&amp;'Table 2.3c'!$B34&amp;'Table 2.3c'!$C34,UtilityList!$A$4:$A$251&amp;UtilityList!$B$4:$B$251&amp;UtilityList!$C$4:$C$251,0)),INDEX(UtilityList!J$4:J$251,MATCH('Table 2.3c'!$A34&amp;'Table 2.3c'!$C34,UtilityList!$A$4:$A$251&amp;UtilityList!$C$5:$C$251,0)))</f>
        <v>Yukon-Koyukuk/Upper Tanana</v>
      </c>
      <c r="P34" s="452" t="str">
        <f t="array" ref="P34">IFERROR(INDEX(UtilityList!K$4:K$251,MATCH('Table 2.3c'!$A34&amp;'Table 2.3c'!$B34&amp;'Table 2.3c'!$C34,UtilityList!$A$4:$A$251&amp;UtilityList!$B$4:$B$251&amp;UtilityList!$C$4:$C$251,0)),INDEX(UtilityList!K$4:K$251,MATCH('Table 2.3c'!$A34&amp;'Table 2.3c'!$C34,UtilityList!$A$4:$A$251&amp;UtilityList!$C$5:$C$251,0)))</f>
        <v>Southeast Fairbanks (CA)</v>
      </c>
      <c r="Q34" s="452" t="str">
        <f t="array" ref="Q34">IFERROR(INDEX(UtilityList!L$4:L$251,MATCH('Table 2.3c'!$A34&amp;'Table 2.3c'!$B34&amp;'Table 2.3c'!$C34,UtilityList!$A$4:$A$251&amp;UtilityList!$B$4:$B$251&amp;UtilityList!$C$4:$C$251,0)),INDEX(UtilityList!L$4:L$251,MATCH('Table 2.3c'!$A34&amp;'Table 2.3c'!$C34,UtilityList!$A$4:$A$251&amp;UtilityList!$C$5:$C$251,0)))</f>
        <v>Doyon</v>
      </c>
      <c r="R34" s="452" t="str">
        <f t="array" ref="R34">IFERROR(INDEX(UtilityList!M$4:M$251,MATCH('Table 2.3c'!$A34&amp;'Table 2.3c'!$B34&amp;'Table 2.3c'!$C34,UtilityList!$A$4:$A$251&amp;UtilityList!$B$4:$B$251&amp;UtilityList!$C$4:$C$251,0)),INDEX(UtilityList!M$4:M$251,MATCH('Table 2.3c'!$A34&amp;'Table 2.3c'!$C34,UtilityList!$A$4:$A$251&amp;UtilityList!$C$5:$C$251,0)))</f>
        <v>YU</v>
      </c>
      <c r="S34" s="344"/>
    </row>
    <row r="35" spans="1:19" s="344" customFormat="1" ht="60" x14ac:dyDescent="0.25">
      <c r="A35" s="678" t="s">
        <v>43</v>
      </c>
      <c r="B35" s="361" t="s">
        <v>61</v>
      </c>
      <c r="C35" s="679" t="s">
        <v>995</v>
      </c>
      <c r="D35" s="680" t="s">
        <v>545</v>
      </c>
      <c r="E35" s="680" t="s">
        <v>546</v>
      </c>
      <c r="F35" s="681">
        <v>1150.4580000000001</v>
      </c>
      <c r="G35" s="682">
        <v>94630</v>
      </c>
      <c r="H35" s="681">
        <f t="shared" si="0"/>
        <v>13248.2</v>
      </c>
      <c r="I35" s="682">
        <v>3.7124999999999999</v>
      </c>
      <c r="J35" s="682">
        <f t="shared" si="1"/>
        <v>12.157434217478601</v>
      </c>
      <c r="K35" s="682">
        <f t="shared" si="2"/>
        <v>0.30536870967910174</v>
      </c>
      <c r="L35" s="682">
        <v>0.14000000000000001</v>
      </c>
      <c r="M35" s="658" t="s">
        <v>356</v>
      </c>
      <c r="N35" s="627" t="str">
        <f t="array" ref="N35">INDEX(UtilityList!Q$4:Q$251,MATCH('Table 2.3c'!$A35&amp;'Table 2.3c'!$B35&amp;'Table 2.3c'!$C35,UtilityList!$A$4:$A$251&amp;UtilityList!$B$4:$B$251&amp;UtilityList!$C$4:$C$251,0))</f>
        <v>Provides power to Chistochina via intertie. Includes Chistochina's fuel use and fuel cost.</v>
      </c>
      <c r="O35" s="452" t="str">
        <f t="array" ref="O35">IFERROR(INDEX(UtilityList!J$4:J$251,MATCH('Table 2.3c'!$A35&amp;'Table 2.3c'!$B35&amp;'Table 2.3c'!$C35,UtilityList!$A$4:$A$251&amp;UtilityList!$B$4:$B$251&amp;UtilityList!$C$4:$C$251,0)),INDEX(UtilityList!J$4:J$251,MATCH('Table 2.3c'!$A35&amp;'Table 2.3c'!$C35,UtilityList!$A$4:$A$251&amp;UtilityList!$C$5:$C$251,0)))</f>
        <v>Copper River/Chugach</v>
      </c>
      <c r="P35" s="452" t="str">
        <f t="array" ref="P35">IFERROR(INDEX(UtilityList!K$4:K$251,MATCH('Table 2.3c'!$A35&amp;'Table 2.3c'!$B35&amp;'Table 2.3c'!$C35,UtilityList!$A$4:$A$251&amp;UtilityList!$B$4:$B$251&amp;UtilityList!$C$4:$C$251,0)),INDEX(UtilityList!K$4:K$251,MATCH('Table 2.3c'!$A35&amp;'Table 2.3c'!$C35,UtilityList!$A$4:$A$251&amp;UtilityList!$C$5:$C$251,0)))</f>
        <v>Valdez-Cordova (CA)</v>
      </c>
      <c r="Q35" s="452" t="str">
        <f t="array" ref="Q35">IFERROR(INDEX(UtilityList!L$4:L$251,MATCH('Table 2.3c'!$A35&amp;'Table 2.3c'!$B35&amp;'Table 2.3c'!$C35,UtilityList!$A$4:$A$251&amp;UtilityList!$B$4:$B$251&amp;UtilityList!$C$4:$C$251,0)),INDEX(UtilityList!L$4:L$251,MATCH('Table 2.3c'!$A35&amp;'Table 2.3c'!$C35,UtilityList!$A$4:$A$251&amp;UtilityList!$C$5:$C$251,0)))</f>
        <v>Ahtna</v>
      </c>
      <c r="R35" s="452" t="str">
        <f t="array" ref="R35">IFERROR(INDEX(UtilityList!M$4:M$251,MATCH('Table 2.3c'!$A35&amp;'Table 2.3c'!$B35&amp;'Table 2.3c'!$C35,UtilityList!$A$4:$A$251&amp;UtilityList!$B$4:$B$251&amp;UtilityList!$C$4:$C$251,0)),INDEX(UtilityList!M$4:M$251,MATCH('Table 2.3c'!$A35&amp;'Table 2.3c'!$C35,UtilityList!$A$4:$A$251&amp;UtilityList!$C$5:$C$251,0)))</f>
        <v>YU</v>
      </c>
    </row>
    <row r="36" spans="1:19" s="344" customFormat="1" ht="60" x14ac:dyDescent="0.25">
      <c r="A36" s="678" t="s">
        <v>43</v>
      </c>
      <c r="B36" s="361" t="s">
        <v>64</v>
      </c>
      <c r="C36" s="679" t="s">
        <v>62</v>
      </c>
      <c r="D36" s="680" t="s">
        <v>545</v>
      </c>
      <c r="E36" s="680" t="s">
        <v>546</v>
      </c>
      <c r="F36" s="681">
        <v>0</v>
      </c>
      <c r="G36" s="682">
        <v>0</v>
      </c>
      <c r="H36" s="681">
        <f t="shared" si="0"/>
        <v>0</v>
      </c>
      <c r="I36" s="682">
        <v>3.9375</v>
      </c>
      <c r="J36" s="682" t="str">
        <f t="shared" si="1"/>
        <v xml:space="preserve"> </v>
      </c>
      <c r="K36" s="682" t="str">
        <f t="shared" si="2"/>
        <v xml:space="preserve"> </v>
      </c>
      <c r="L36" s="682">
        <v>0.14000000000000001</v>
      </c>
      <c r="M36" s="658" t="s">
        <v>356</v>
      </c>
      <c r="N36" s="627" t="str">
        <f t="array" ref="N36">INDEX(UtilityList!Q$4:Q$251,MATCH('Table 2.3c'!$A36&amp;'Table 2.3c'!$B36&amp;'Table 2.3c'!$C36,UtilityList!$A$4:$A$251&amp;UtilityList!$B$4:$B$251&amp;UtilityList!$C$4:$C$251,0))</f>
        <v>Receives power from Tok via intertie. For fuel use and cost information please refer to Tok.</v>
      </c>
      <c r="O36" s="452" t="str">
        <f t="array" ref="O36">IFERROR(INDEX(UtilityList!J$4:J$251,MATCH('Table 2.3c'!$A36&amp;'Table 2.3c'!$B36&amp;'Table 2.3c'!$C36,UtilityList!$A$4:$A$251&amp;UtilityList!$B$4:$B$251&amp;UtilityList!$C$4:$C$251,0)),INDEX(UtilityList!J$4:J$251,MATCH('Table 2.3c'!$A36&amp;'Table 2.3c'!$C36,UtilityList!$A$4:$A$251&amp;UtilityList!$C$5:$C$251,0)))</f>
        <v>Yukon-Koyukuk/Upper Tanana</v>
      </c>
      <c r="P36" s="452" t="str">
        <f t="array" ref="P36">IFERROR(INDEX(UtilityList!K$4:K$251,MATCH('Table 2.3c'!$A36&amp;'Table 2.3c'!$B36&amp;'Table 2.3c'!$C36,UtilityList!$A$4:$A$251&amp;UtilityList!$B$4:$B$251&amp;UtilityList!$C$4:$C$251,0)),INDEX(UtilityList!K$4:K$251,MATCH('Table 2.3c'!$A36&amp;'Table 2.3c'!$C36,UtilityList!$A$4:$A$251&amp;UtilityList!$C$5:$C$251,0)))</f>
        <v>Southeast Fairbanks (CA)</v>
      </c>
      <c r="Q36" s="452" t="str">
        <f t="array" ref="Q36">IFERROR(INDEX(UtilityList!L$4:L$251,MATCH('Table 2.3c'!$A36&amp;'Table 2.3c'!$B36&amp;'Table 2.3c'!$C36,UtilityList!$A$4:$A$251&amp;UtilityList!$B$4:$B$251&amp;UtilityList!$C$4:$C$251,0)),INDEX(UtilityList!L$4:L$251,MATCH('Table 2.3c'!$A36&amp;'Table 2.3c'!$C36,UtilityList!$A$4:$A$251&amp;UtilityList!$C$5:$C$251,0)))</f>
        <v>Dyon</v>
      </c>
      <c r="R36" s="452" t="str">
        <f t="array" ref="R36">IFERROR(INDEX(UtilityList!M$4:M$251,MATCH('Table 2.3c'!$A36&amp;'Table 2.3c'!$B36&amp;'Table 2.3c'!$C36,UtilityList!$A$4:$A$251&amp;UtilityList!$B$4:$B$251&amp;UtilityList!$C$4:$C$251,0)),INDEX(UtilityList!M$4:M$251,MATCH('Table 2.3c'!$A36&amp;'Table 2.3c'!$C36,UtilityList!$A$4:$A$251&amp;UtilityList!$C$5:$C$251,0)))</f>
        <v>YU</v>
      </c>
    </row>
    <row r="37" spans="1:19" s="126" customFormat="1" ht="90" x14ac:dyDescent="0.25">
      <c r="A37" s="352" t="s">
        <v>43</v>
      </c>
      <c r="B37" s="352" t="s">
        <v>63</v>
      </c>
      <c r="C37" s="352" t="s">
        <v>681</v>
      </c>
      <c r="D37" s="685" t="s">
        <v>545</v>
      </c>
      <c r="E37" s="685" t="s">
        <v>546</v>
      </c>
      <c r="F37" s="641">
        <v>929</v>
      </c>
      <c r="G37" s="686">
        <v>67956</v>
      </c>
      <c r="H37" s="681">
        <f t="shared" si="0"/>
        <v>9513.84</v>
      </c>
      <c r="I37" s="686"/>
      <c r="J37" s="686">
        <f t="shared" si="1"/>
        <v>13.670610394961445</v>
      </c>
      <c r="K37" s="682" t="str">
        <f t="shared" si="2"/>
        <v xml:space="preserve"> </v>
      </c>
      <c r="L37" s="682">
        <v>0.14000000000000001</v>
      </c>
      <c r="M37" s="685" t="s">
        <v>558</v>
      </c>
      <c r="N37" s="627" t="str">
        <f t="array" ref="N37">INDEX(UtilityList!Q$4:Q$251,MATCH('Table 2.3c'!$A37&amp;'Table 2.3c'!$B37&amp;'Table 2.3c'!$C37,UtilityList!$A$4:$A$251&amp;UtilityList!$B$4:$B$251&amp;UtilityList!$C$4:$C$251,0))</f>
        <v>Part of the Alaska Power Company's grid on Prince of Wales Island. Receives power from Craig. Refer to Craig for fuel use and cost. Includes data for Kaasan.</v>
      </c>
      <c r="O37" s="452" t="str">
        <f t="array" ref="O37">IFERROR(INDEX(UtilityList!J$4:J$251,MATCH('Table 2.3c'!$A37&amp;'Table 2.3c'!$B37&amp;'Table 2.3c'!$C37,UtilityList!$A$4:$A$251&amp;UtilityList!$B$4:$B$251&amp;UtilityList!$C$4:$C$251,0)),INDEX(UtilityList!J$4:J$251,MATCH('Table 2.3c'!$A37&amp;'Table 2.3c'!$C37,UtilityList!$A$4:$A$251&amp;UtilityList!$C$5:$C$251,0)))</f>
        <v>Southeast</v>
      </c>
      <c r="P37" s="452" t="str">
        <f t="array" ref="P37">IFERROR(INDEX(UtilityList!K$4:K$251,MATCH('Table 2.3c'!$A37&amp;'Table 2.3c'!$B37&amp;'Table 2.3c'!$C37,UtilityList!$A$4:$A$251&amp;UtilityList!$B$4:$B$251&amp;UtilityList!$C$4:$C$251,0)),INDEX(UtilityList!K$4:K$251,MATCH('Table 2.3c'!$A37&amp;'Table 2.3c'!$C37,UtilityList!$A$4:$A$251&amp;UtilityList!$C$5:$C$251,0)))</f>
        <v>Prince of Wales-Hyder (CA)</v>
      </c>
      <c r="Q37" s="452" t="str">
        <f t="array" ref="Q37">IFERROR(INDEX(UtilityList!L$4:L$251,MATCH('Table 2.3c'!$A37&amp;'Table 2.3c'!$B37&amp;'Table 2.3c'!$C37,UtilityList!$A$4:$A$251&amp;UtilityList!$B$4:$B$251&amp;UtilityList!$C$4:$C$251,0)),INDEX(UtilityList!L$4:L$251,MATCH('Table 2.3c'!$A37&amp;'Table 2.3c'!$C37,UtilityList!$A$4:$A$251&amp;UtilityList!$C$5:$C$251,0)))</f>
        <v>Sealaska</v>
      </c>
      <c r="R37" s="452" t="str">
        <f t="array" ref="R37">IFERROR(INDEX(UtilityList!M$4:M$251,MATCH('Table 2.3c'!$A37&amp;'Table 2.3c'!$B37&amp;'Table 2.3c'!$C37,UtilityList!$A$4:$A$251&amp;UtilityList!$B$4:$B$251&amp;UtilityList!$C$4:$C$251,0)),INDEX(UtilityList!M$4:M$251,MATCH('Table 2.3c'!$A37&amp;'Table 2.3c'!$C37,UtilityList!$A$4:$A$251&amp;UtilityList!$C$5:$C$251,0)))</f>
        <v>SE</v>
      </c>
      <c r="S37" s="344"/>
    </row>
    <row r="38" spans="1:19" s="126" customFormat="1" ht="90" x14ac:dyDescent="0.25">
      <c r="A38" s="352" t="s">
        <v>43</v>
      </c>
      <c r="B38" s="352" t="s">
        <v>559</v>
      </c>
      <c r="C38" s="352" t="s">
        <v>681</v>
      </c>
      <c r="D38" s="685" t="s">
        <v>545</v>
      </c>
      <c r="E38" s="685" t="s">
        <v>546</v>
      </c>
      <c r="F38" s="641">
        <v>119</v>
      </c>
      <c r="G38" s="691">
        <v>13692</v>
      </c>
      <c r="H38" s="681">
        <f t="shared" si="0"/>
        <v>1916.88</v>
      </c>
      <c r="I38" s="691">
        <v>3.5558329999999998</v>
      </c>
      <c r="J38" s="691">
        <f t="shared" si="1"/>
        <v>8.6912065439672794</v>
      </c>
      <c r="K38" s="682">
        <f t="shared" si="2"/>
        <v>0.40912996164705884</v>
      </c>
      <c r="L38" s="682">
        <v>0.14000000000000001</v>
      </c>
      <c r="M38" s="685" t="s">
        <v>558</v>
      </c>
      <c r="N38" s="627" t="str">
        <f t="array" ref="N38">INDEX(UtilityList!Q$4:Q$251,MATCH('Table 2.3c'!$A38&amp;'Table 2.3c'!$B38&amp;'Table 2.3c'!$C38,UtilityList!$A$4:$A$251&amp;UtilityList!$B$4:$B$251&amp;UtilityList!$C$4:$C$251,0))</f>
        <v>Part of the Alaska Power Company's grid on Prince of Wales Island. Receives power from Craig. Refer to Craig for fuel use and cost. Includes data for Kaasan.</v>
      </c>
      <c r="O38" s="452" t="str">
        <f t="array" ref="O38">IFERROR(INDEX(UtilityList!J$4:J$251,MATCH('Table 2.3c'!$A38&amp;'Table 2.3c'!$B38&amp;'Table 2.3c'!$C38,UtilityList!$A$4:$A$251&amp;UtilityList!$B$4:$B$251&amp;UtilityList!$C$4:$C$251,0)),INDEX(UtilityList!J$4:J$251,MATCH('Table 2.3c'!$A38&amp;'Table 2.3c'!$C38,UtilityList!$A$4:$A$251&amp;UtilityList!$C$5:$C$251,0)))</f>
        <v>Southeast</v>
      </c>
      <c r="P38" s="452" t="str">
        <f t="array" ref="P38">IFERROR(INDEX(UtilityList!K$4:K$251,MATCH('Table 2.3c'!$A38&amp;'Table 2.3c'!$B38&amp;'Table 2.3c'!$C38,UtilityList!$A$4:$A$251&amp;UtilityList!$B$4:$B$251&amp;UtilityList!$C$4:$C$251,0)),INDEX(UtilityList!K$4:K$251,MATCH('Table 2.3c'!$A38&amp;'Table 2.3c'!$C38,UtilityList!$A$4:$A$251&amp;UtilityList!$C$5:$C$251,0)))</f>
        <v>Prince of Wales-Hyder (CA)</v>
      </c>
      <c r="Q38" s="452" t="str">
        <f t="array" ref="Q38">IFERROR(INDEX(UtilityList!L$4:L$251,MATCH('Table 2.3c'!$A38&amp;'Table 2.3c'!$B38&amp;'Table 2.3c'!$C38,UtilityList!$A$4:$A$251&amp;UtilityList!$B$4:$B$251&amp;UtilityList!$C$4:$C$251,0)),INDEX(UtilityList!L$4:L$251,MATCH('Table 2.3c'!$A38&amp;'Table 2.3c'!$C38,UtilityList!$A$4:$A$251&amp;UtilityList!$C$5:$C$251,0)))</f>
        <v>Sealaska</v>
      </c>
      <c r="R38" s="452" t="str">
        <f t="array" ref="R38">IFERROR(INDEX(UtilityList!M$4:M$251,MATCH('Table 2.3c'!$A38&amp;'Table 2.3c'!$B38&amp;'Table 2.3c'!$C38,UtilityList!$A$4:$A$251&amp;UtilityList!$B$4:$B$251&amp;UtilityList!$C$4:$C$251,0)),INDEX(UtilityList!M$4:M$251,MATCH('Table 2.3c'!$A38&amp;'Table 2.3c'!$C38,UtilityList!$A$4:$A$251&amp;UtilityList!$C$5:$C$251,0)))</f>
        <v>SE</v>
      </c>
      <c r="S38" s="342"/>
    </row>
    <row r="39" spans="1:19" s="126" customFormat="1" ht="105" x14ac:dyDescent="0.25">
      <c r="A39" s="687" t="s">
        <v>43</v>
      </c>
      <c r="B39" s="352" t="s">
        <v>64</v>
      </c>
      <c r="C39" s="688" t="s">
        <v>685</v>
      </c>
      <c r="D39" s="689" t="s">
        <v>545</v>
      </c>
      <c r="E39" s="689" t="s">
        <v>546</v>
      </c>
      <c r="F39" s="681">
        <v>10400</v>
      </c>
      <c r="G39" s="682">
        <v>751919</v>
      </c>
      <c r="H39" s="681">
        <f t="shared" si="0"/>
        <v>105268.66</v>
      </c>
      <c r="I39" s="682">
        <v>3.9375</v>
      </c>
      <c r="J39" s="682">
        <f t="shared" si="1"/>
        <v>13.831277039149164</v>
      </c>
      <c r="K39" s="682">
        <f t="shared" si="2"/>
        <v>0.28468087139423076</v>
      </c>
      <c r="L39" s="682">
        <v>0.14000000000000001</v>
      </c>
      <c r="M39" s="662" t="s">
        <v>356</v>
      </c>
      <c r="N39" s="627" t="str">
        <f t="array" ref="N39">INDEX(UtilityList!Q$4:Q$251,MATCH('Table 2.3c'!$A39&amp;'Table 2.3c'!$B39&amp;'Table 2.3c'!$C39,UtilityList!$A$4:$A$251&amp;UtilityList!$B$4:$B$251&amp;UtilityList!$C$4:$C$251,0))</f>
        <v>Provides power to Tanacross, Tetlin and Dot Lake via intertie. Includes Tanacross' information. Fuel use and cost also includes Tetlin's and Dot Lake's information.</v>
      </c>
      <c r="O39" s="452" t="str">
        <f t="array" ref="O39">IFERROR(INDEX(UtilityList!J$4:J$251,MATCH('Table 2.3c'!$A39&amp;'Table 2.3c'!$B39&amp;'Table 2.3c'!$C39,UtilityList!$A$4:$A$251&amp;UtilityList!$B$4:$B$251&amp;UtilityList!$C$4:$C$251,0)),INDEX(UtilityList!J$4:J$251,MATCH('Table 2.3c'!$A39&amp;'Table 2.3c'!$C39,UtilityList!$A$4:$A$251&amp;UtilityList!$C$5:$C$251,0)))</f>
        <v>Yukon-Koyukuk/Upper Tanana</v>
      </c>
      <c r="P39" s="452" t="str">
        <f t="array" ref="P39">IFERROR(INDEX(UtilityList!K$4:K$251,MATCH('Table 2.3c'!$A39&amp;'Table 2.3c'!$B39&amp;'Table 2.3c'!$C39,UtilityList!$A$4:$A$251&amp;UtilityList!$B$4:$B$251&amp;UtilityList!$C$4:$C$251,0)),INDEX(UtilityList!K$4:K$251,MATCH('Table 2.3c'!$A39&amp;'Table 2.3c'!$C39,UtilityList!$A$4:$A$251&amp;UtilityList!$C$5:$C$251,0)))</f>
        <v>Southeast Fairbanks (CA)</v>
      </c>
      <c r="Q39" s="452" t="str">
        <f t="array" ref="Q39">IFERROR(INDEX(UtilityList!L$4:L$251,MATCH('Table 2.3c'!$A39&amp;'Table 2.3c'!$B39&amp;'Table 2.3c'!$C39,UtilityList!$A$4:$A$251&amp;UtilityList!$B$4:$B$251&amp;UtilityList!$C$4:$C$251,0)),INDEX(UtilityList!L$4:L$251,MATCH('Table 2.3c'!$A39&amp;'Table 2.3c'!$C39,UtilityList!$A$4:$A$251&amp;UtilityList!$C$5:$C$251,0)))</f>
        <v>Doyon</v>
      </c>
      <c r="R39" s="452" t="str">
        <f t="array" ref="R39">IFERROR(INDEX(UtilityList!M$4:M$251,MATCH('Table 2.3c'!$A39&amp;'Table 2.3c'!$B39&amp;'Table 2.3c'!$C39,UtilityList!$A$4:$A$251&amp;UtilityList!$B$4:$B$251&amp;UtilityList!$C$4:$C$251,0)),INDEX(UtilityList!M$4:M$251,MATCH('Table 2.3c'!$A39&amp;'Table 2.3c'!$C39,UtilityList!$A$4:$A$251&amp;UtilityList!$C$5:$C$251,0)))</f>
        <v>YU</v>
      </c>
      <c r="S39" s="344"/>
    </row>
    <row r="40" spans="1:19" s="344" customFormat="1" ht="45" x14ac:dyDescent="0.25">
      <c r="A40" s="678" t="s">
        <v>43</v>
      </c>
      <c r="B40" s="361" t="s">
        <v>65</v>
      </c>
      <c r="C40" s="679" t="s">
        <v>65</v>
      </c>
      <c r="D40" s="680" t="s">
        <v>545</v>
      </c>
      <c r="E40" s="680" t="s">
        <v>546</v>
      </c>
      <c r="F40" s="681">
        <v>267.04199999999997</v>
      </c>
      <c r="G40" s="682">
        <v>23384.000000000004</v>
      </c>
      <c r="H40" s="681">
        <f t="shared" si="0"/>
        <v>3273.7600000000007</v>
      </c>
      <c r="I40" s="682">
        <v>3.4750000000000001</v>
      </c>
      <c r="J40" s="682">
        <f t="shared" si="1"/>
        <v>11.41985973315087</v>
      </c>
      <c r="K40" s="682">
        <f t="shared" si="2"/>
        <v>0.30429445555380807</v>
      </c>
      <c r="L40" s="682">
        <v>0.14000000000000001</v>
      </c>
      <c r="M40" s="658" t="s">
        <v>356</v>
      </c>
      <c r="N40" s="627">
        <f t="array" ref="N40">INDEX(UtilityList!Q$4:Q$251,MATCH('Table 2.3c'!$A40&amp;'Table 2.3c'!$B40&amp;'Table 2.3c'!$C40,UtilityList!$A$4:$A$251&amp;UtilityList!$B$4:$B$251&amp;UtilityList!$C$4:$C$251,0))</f>
        <v>0</v>
      </c>
      <c r="O40" s="452" t="str">
        <f t="array" ref="O40">IFERROR(INDEX(UtilityList!J$4:J$251,MATCH('Table 2.3c'!$A40&amp;'Table 2.3c'!$B40&amp;'Table 2.3c'!$C40,UtilityList!$A$4:$A$251&amp;UtilityList!$B$4:$B$251&amp;UtilityList!$C$4:$C$251,0)),INDEX(UtilityList!J$4:J$251,MATCH('Table 2.3c'!$A40&amp;'Table 2.3c'!$C40,UtilityList!$A$4:$A$251&amp;UtilityList!$C$5:$C$251,0)))</f>
        <v>Southeast</v>
      </c>
      <c r="P40" s="452" t="str">
        <f t="array" ref="P40">IFERROR(INDEX(UtilityList!K$4:K$251,MATCH('Table 2.3c'!$A40&amp;'Table 2.3c'!$B40&amp;'Table 2.3c'!$C40,UtilityList!$A$4:$A$251&amp;UtilityList!$B$4:$B$251&amp;UtilityList!$C$4:$C$251,0)),INDEX(UtilityList!K$4:K$251,MATCH('Table 2.3c'!$A40&amp;'Table 2.3c'!$C40,UtilityList!$A$4:$A$251&amp;UtilityList!$C$5:$C$251,0)))</f>
        <v>Prince of Wales-Hyder (CA)</v>
      </c>
      <c r="Q40" s="452" t="str">
        <f t="array" ref="Q40">IFERROR(INDEX(UtilityList!L$4:L$251,MATCH('Table 2.3c'!$A40&amp;'Table 2.3c'!$B40&amp;'Table 2.3c'!$C40,UtilityList!$A$4:$A$251&amp;UtilityList!$B$4:$B$251&amp;UtilityList!$C$4:$C$251,0)),INDEX(UtilityList!L$4:L$251,MATCH('Table 2.3c'!$A40&amp;'Table 2.3c'!$C40,UtilityList!$A$4:$A$251&amp;UtilityList!$C$5:$C$251,0)))</f>
        <v>Sealaska</v>
      </c>
      <c r="R40" s="452" t="str">
        <f t="array" ref="R40">IFERROR(INDEX(UtilityList!M$4:M$251,MATCH('Table 2.3c'!$A40&amp;'Table 2.3c'!$B40&amp;'Table 2.3c'!$C40,UtilityList!$A$4:$A$251&amp;UtilityList!$B$4:$B$251&amp;UtilityList!$C$4:$C$251,0)),INDEX(UtilityList!M$4:M$251,MATCH('Table 2.3c'!$A40&amp;'Table 2.3c'!$C40,UtilityList!$A$4:$A$251&amp;UtilityList!$C$5:$C$251,0)))</f>
        <v>SE</v>
      </c>
    </row>
    <row r="41" spans="1:19" s="344" customFormat="1" ht="45" x14ac:dyDescent="0.25">
      <c r="A41" s="678" t="s">
        <v>524</v>
      </c>
      <c r="B41" s="361" t="s">
        <v>66</v>
      </c>
      <c r="C41" s="679" t="s">
        <v>66</v>
      </c>
      <c r="D41" s="680" t="s">
        <v>545</v>
      </c>
      <c r="E41" s="680" t="s">
        <v>546</v>
      </c>
      <c r="F41" s="681">
        <v>1946.2080000000001</v>
      </c>
      <c r="G41" s="682">
        <v>152732</v>
      </c>
      <c r="H41" s="681">
        <f t="shared" si="0"/>
        <v>21382.480000000003</v>
      </c>
      <c r="I41" s="682">
        <v>3.3300667000000002</v>
      </c>
      <c r="J41" s="682">
        <f t="shared" si="1"/>
        <v>12.74263415656182</v>
      </c>
      <c r="K41" s="682">
        <f t="shared" si="2"/>
        <v>0.26133267730088461</v>
      </c>
      <c r="L41" s="682">
        <v>0.14000000000000001</v>
      </c>
      <c r="M41" s="658" t="s">
        <v>356</v>
      </c>
      <c r="N41" s="627">
        <f t="array" ref="N41">INDEX(UtilityList!Q$4:Q$251,MATCH('Table 2.3c'!$A41&amp;'Table 2.3c'!$B41&amp;'Table 2.3c'!$C41,UtilityList!$A$4:$A$251&amp;UtilityList!$B$4:$B$251&amp;UtilityList!$C$4:$C$251,0))</f>
        <v>0</v>
      </c>
      <c r="O41" s="452" t="str">
        <f t="array" ref="O41">IFERROR(INDEX(UtilityList!J$4:J$251,MATCH('Table 2.3c'!$A41&amp;'Table 2.3c'!$B41&amp;'Table 2.3c'!$C41,UtilityList!$A$4:$A$251&amp;UtilityList!$B$4:$B$251&amp;UtilityList!$C$4:$C$251,0)),INDEX(UtilityList!J$4:J$251,MATCH('Table 2.3c'!$A41&amp;'Table 2.3c'!$C41,UtilityList!$A$4:$A$251&amp;UtilityList!$C$5:$C$251,0)))</f>
        <v>Lower Yukon-Kuskokwim</v>
      </c>
      <c r="P41" s="452" t="str">
        <f t="array" ref="P41">IFERROR(INDEX(UtilityList!K$4:K$251,MATCH('Table 2.3c'!$A41&amp;'Table 2.3c'!$B41&amp;'Table 2.3c'!$C41,UtilityList!$A$4:$A$251&amp;UtilityList!$B$4:$B$251&amp;UtilityList!$C$4:$C$251,0)),INDEX(UtilityList!K$4:K$251,MATCH('Table 2.3c'!$A41&amp;'Table 2.3c'!$C41,UtilityList!$A$4:$A$251&amp;UtilityList!$C$5:$C$251,0)))</f>
        <v>Wade Hampton (CA)</v>
      </c>
      <c r="Q41" s="452" t="str">
        <f t="array" ref="Q41">IFERROR(INDEX(UtilityList!L$4:L$251,MATCH('Table 2.3c'!$A41&amp;'Table 2.3c'!$B41&amp;'Table 2.3c'!$C41,UtilityList!$A$4:$A$251&amp;UtilityList!$B$4:$B$251&amp;UtilityList!$C$4:$C$251,0)),INDEX(UtilityList!L$4:L$251,MATCH('Table 2.3c'!$A41&amp;'Table 2.3c'!$C41,UtilityList!$A$4:$A$251&amp;UtilityList!$C$5:$C$251,0)))</f>
        <v>Calista</v>
      </c>
      <c r="R41" s="452" t="str">
        <f t="array" ref="R41">IFERROR(INDEX(UtilityList!M$4:M$251,MATCH('Table 2.3c'!$A41&amp;'Table 2.3c'!$B41&amp;'Table 2.3c'!$C41,UtilityList!$A$4:$A$251&amp;UtilityList!$B$4:$B$251&amp;UtilityList!$C$4:$C$251,0)),INDEX(UtilityList!M$4:M$251,MATCH('Table 2.3c'!$A41&amp;'Table 2.3c'!$C41,UtilityList!$A$4:$A$251&amp;UtilityList!$C$5:$C$251,0)))</f>
        <v>YU</v>
      </c>
    </row>
    <row r="42" spans="1:19" s="344" customFormat="1" ht="45" x14ac:dyDescent="0.25">
      <c r="A42" s="678" t="s">
        <v>524</v>
      </c>
      <c r="B42" s="361" t="s">
        <v>67</v>
      </c>
      <c r="C42" s="679" t="s">
        <v>67</v>
      </c>
      <c r="D42" s="680" t="s">
        <v>545</v>
      </c>
      <c r="E42" s="680" t="s">
        <v>546</v>
      </c>
      <c r="F42" s="681">
        <v>1277.7739999999999</v>
      </c>
      <c r="G42" s="682">
        <v>95531.000000000015</v>
      </c>
      <c r="H42" s="681">
        <f t="shared" si="0"/>
        <v>13374.340000000004</v>
      </c>
      <c r="I42" s="682">
        <v>5.6824000000000003</v>
      </c>
      <c r="J42" s="682">
        <f t="shared" si="1"/>
        <v>13.375490678418522</v>
      </c>
      <c r="K42" s="682">
        <f t="shared" si="2"/>
        <v>0.42483675078691546</v>
      </c>
      <c r="L42" s="682">
        <v>0.14000000000000001</v>
      </c>
      <c r="M42" s="658" t="s">
        <v>356</v>
      </c>
      <c r="N42" s="627">
        <f t="array" ref="N42">INDEX(UtilityList!Q$4:Q$251,MATCH('Table 2.3c'!$A42&amp;'Table 2.3c'!$B42&amp;'Table 2.3c'!$C42,UtilityList!$A$4:$A$251&amp;UtilityList!$B$4:$B$251&amp;UtilityList!$C$4:$C$251,0))</f>
        <v>0</v>
      </c>
      <c r="O42" s="452" t="str">
        <f t="array" ref="O42">IFERROR(INDEX(UtilityList!J$4:J$251,MATCH('Table 2.3c'!$A42&amp;'Table 2.3c'!$B42&amp;'Table 2.3c'!$C42,UtilityList!$A$4:$A$251&amp;UtilityList!$B$4:$B$251&amp;UtilityList!$C$4:$C$251,0)),INDEX(UtilityList!J$4:J$251,MATCH('Table 2.3c'!$A42&amp;'Table 2.3c'!$C42,UtilityList!$A$4:$A$251&amp;UtilityList!$C$5:$C$251,0)))</f>
        <v>Northwest Arctic</v>
      </c>
      <c r="P42" s="452" t="str">
        <f t="array" ref="P42">IFERROR(INDEX(UtilityList!K$4:K$251,MATCH('Table 2.3c'!$A42&amp;'Table 2.3c'!$B42&amp;'Table 2.3c'!$C42,UtilityList!$A$4:$A$251&amp;UtilityList!$B$4:$B$251&amp;UtilityList!$C$4:$C$251,0)),INDEX(UtilityList!K$4:K$251,MATCH('Table 2.3c'!$A42&amp;'Table 2.3c'!$C42,UtilityList!$A$4:$A$251&amp;UtilityList!$C$5:$C$251,0)))</f>
        <v>Northwest Arctic</v>
      </c>
      <c r="Q42" s="452" t="str">
        <f t="array" ref="Q42">IFERROR(INDEX(UtilityList!L$4:L$251,MATCH('Table 2.3c'!$A42&amp;'Table 2.3c'!$B42&amp;'Table 2.3c'!$C42,UtilityList!$A$4:$A$251&amp;UtilityList!$B$4:$B$251&amp;UtilityList!$C$4:$C$251,0)),INDEX(UtilityList!L$4:L$251,MATCH('Table 2.3c'!$A42&amp;'Table 2.3c'!$C42,UtilityList!$A$4:$A$251&amp;UtilityList!$C$5:$C$251,0)))</f>
        <v>NANA</v>
      </c>
      <c r="R42" s="452" t="str">
        <f t="array" ref="R42">IFERROR(INDEX(UtilityList!M$4:M$251,MATCH('Table 2.3c'!$A42&amp;'Table 2.3c'!$B42&amp;'Table 2.3c'!$C42,UtilityList!$A$4:$A$251&amp;UtilityList!$B$4:$B$251&amp;UtilityList!$C$4:$C$251,0)),INDEX(UtilityList!M$4:M$251,MATCH('Table 2.3c'!$A42&amp;'Table 2.3c'!$C42,UtilityList!$A$4:$A$251&amp;UtilityList!$C$5:$C$251,0)))</f>
        <v>AN</v>
      </c>
    </row>
    <row r="43" spans="1:19" s="344" customFormat="1" ht="45" x14ac:dyDescent="0.25">
      <c r="A43" s="678" t="s">
        <v>524</v>
      </c>
      <c r="B43" s="361" t="s">
        <v>68</v>
      </c>
      <c r="C43" s="679" t="s">
        <v>68</v>
      </c>
      <c r="D43" s="680" t="s">
        <v>545</v>
      </c>
      <c r="E43" s="680" t="s">
        <v>546</v>
      </c>
      <c r="F43" s="681">
        <v>405.42</v>
      </c>
      <c r="G43" s="682">
        <v>33807</v>
      </c>
      <c r="H43" s="681">
        <f t="shared" si="0"/>
        <v>4732.9800000000005</v>
      </c>
      <c r="I43" s="682">
        <v>2.7342</v>
      </c>
      <c r="J43" s="682">
        <f t="shared" si="1"/>
        <v>11.992190966367913</v>
      </c>
      <c r="K43" s="682">
        <f t="shared" si="2"/>
        <v>0.22799837057865915</v>
      </c>
      <c r="L43" s="682">
        <v>0.14000000000000001</v>
      </c>
      <c r="M43" s="658" t="s">
        <v>356</v>
      </c>
      <c r="N43" s="627">
        <f t="array" ref="N43">INDEX(UtilityList!Q$4:Q$251,MATCH('Table 2.3c'!$A43&amp;'Table 2.3c'!$B43&amp;'Table 2.3c'!$C43,UtilityList!$A$4:$A$251&amp;UtilityList!$B$4:$B$251&amp;UtilityList!$C$4:$C$251,0))</f>
        <v>0</v>
      </c>
      <c r="O43" s="452" t="str">
        <f t="array" ref="O43">IFERROR(INDEX(UtilityList!J$4:J$251,MATCH('Table 2.3c'!$A43&amp;'Table 2.3c'!$B43&amp;'Table 2.3c'!$C43,UtilityList!$A$4:$A$251&amp;UtilityList!$B$4:$B$251&amp;UtilityList!$C$4:$C$251,0)),INDEX(UtilityList!J$4:J$251,MATCH('Table 2.3c'!$A43&amp;'Table 2.3c'!$C43,UtilityList!$A$4:$A$251&amp;UtilityList!$C$5:$C$251,0)))</f>
        <v>Yukon-Koyukuk/Upper Tanana</v>
      </c>
      <c r="P43" s="452" t="str">
        <f t="array" ref="P43">IFERROR(INDEX(UtilityList!K$4:K$251,MATCH('Table 2.3c'!$A43&amp;'Table 2.3c'!$B43&amp;'Table 2.3c'!$C43,UtilityList!$A$4:$A$251&amp;UtilityList!$B$4:$B$251&amp;UtilityList!$C$4:$C$251,0)),INDEX(UtilityList!K$4:K$251,MATCH('Table 2.3c'!$A43&amp;'Table 2.3c'!$C43,UtilityList!$A$4:$A$251&amp;UtilityList!$C$5:$C$251,0)))</f>
        <v>Yukon-Koyukuk (CA)</v>
      </c>
      <c r="Q43" s="452" t="str">
        <f t="array" ref="Q43">IFERROR(INDEX(UtilityList!L$4:L$251,MATCH('Table 2.3c'!$A43&amp;'Table 2.3c'!$B43&amp;'Table 2.3c'!$C43,UtilityList!$A$4:$A$251&amp;UtilityList!$B$4:$B$251&amp;UtilityList!$C$4:$C$251,0)),INDEX(UtilityList!L$4:L$251,MATCH('Table 2.3c'!$A43&amp;'Table 2.3c'!$C43,UtilityList!$A$4:$A$251&amp;UtilityList!$C$5:$C$251,0)))</f>
        <v>Doyon</v>
      </c>
      <c r="R43" s="452" t="str">
        <f t="array" ref="R43">IFERROR(INDEX(UtilityList!M$4:M$251,MATCH('Table 2.3c'!$A43&amp;'Table 2.3c'!$B43&amp;'Table 2.3c'!$C43,UtilityList!$A$4:$A$251&amp;UtilityList!$B$4:$B$251&amp;UtilityList!$C$4:$C$251,0)),INDEX(UtilityList!M$4:M$251,MATCH('Table 2.3c'!$A43&amp;'Table 2.3c'!$C43,UtilityList!$A$4:$A$251&amp;UtilityList!$C$5:$C$251,0)))</f>
        <v>YU</v>
      </c>
    </row>
    <row r="44" spans="1:19" s="344" customFormat="1" ht="45" x14ac:dyDescent="0.25">
      <c r="A44" s="678" t="s">
        <v>524</v>
      </c>
      <c r="B44" s="361" t="s">
        <v>69</v>
      </c>
      <c r="C44" s="679" t="s">
        <v>69</v>
      </c>
      <c r="D44" s="680" t="s">
        <v>545</v>
      </c>
      <c r="E44" s="680" t="s">
        <v>546</v>
      </c>
      <c r="F44" s="681">
        <v>1176.3320000000001</v>
      </c>
      <c r="G44" s="682">
        <v>89023</v>
      </c>
      <c r="H44" s="681">
        <f t="shared" si="0"/>
        <v>12463.220000000001</v>
      </c>
      <c r="I44" s="682">
        <v>2.4157999999999999</v>
      </c>
      <c r="J44" s="682">
        <f t="shared" si="1"/>
        <v>13.21379868123968</v>
      </c>
      <c r="K44" s="682">
        <f t="shared" si="2"/>
        <v>0.18282403556138913</v>
      </c>
      <c r="L44" s="682">
        <v>0.14000000000000001</v>
      </c>
      <c r="M44" s="658" t="s">
        <v>356</v>
      </c>
      <c r="N44" s="627">
        <f t="array" ref="N44">INDEX(UtilityList!Q$4:Q$251,MATCH('Table 2.3c'!$A44&amp;'Table 2.3c'!$B44&amp;'Table 2.3c'!$C44,UtilityList!$A$4:$A$251&amp;UtilityList!$B$4:$B$251&amp;UtilityList!$C$4:$C$251,0))</f>
        <v>0</v>
      </c>
      <c r="O44" s="452" t="str">
        <f t="array" ref="O44">IFERROR(INDEX(UtilityList!J$4:J$251,MATCH('Table 2.3c'!$A44&amp;'Table 2.3c'!$B44&amp;'Table 2.3c'!$C44,UtilityList!$A$4:$A$251&amp;UtilityList!$B$4:$B$251&amp;UtilityList!$C$4:$C$251,0)),INDEX(UtilityList!J$4:J$251,MATCH('Table 2.3c'!$A44&amp;'Table 2.3c'!$C44,UtilityList!$A$4:$A$251&amp;UtilityList!$C$5:$C$251,0)))</f>
        <v>Bering Straits</v>
      </c>
      <c r="P44" s="452" t="str">
        <f t="array" ref="P44">IFERROR(INDEX(UtilityList!K$4:K$251,MATCH('Table 2.3c'!$A44&amp;'Table 2.3c'!$B44&amp;'Table 2.3c'!$C44,UtilityList!$A$4:$A$251&amp;UtilityList!$B$4:$B$251&amp;UtilityList!$C$4:$C$251,0)),INDEX(UtilityList!K$4:K$251,MATCH('Table 2.3c'!$A44&amp;'Table 2.3c'!$C44,UtilityList!$A$4:$A$251&amp;UtilityList!$C$5:$C$251,0)))</f>
        <v>Nome (CA)</v>
      </c>
      <c r="Q44" s="452" t="str">
        <f t="array" ref="Q44">IFERROR(INDEX(UtilityList!L$4:L$251,MATCH('Table 2.3c'!$A44&amp;'Table 2.3c'!$B44&amp;'Table 2.3c'!$C44,UtilityList!$A$4:$A$251&amp;UtilityList!$B$4:$B$251&amp;UtilityList!$C$4:$C$251,0)),INDEX(UtilityList!L$4:L$251,MATCH('Table 2.3c'!$A44&amp;'Table 2.3c'!$C44,UtilityList!$A$4:$A$251&amp;UtilityList!$C$5:$C$251,0)))</f>
        <v>Bering Straits</v>
      </c>
      <c r="R44" s="452" t="str">
        <f t="array" ref="R44">IFERROR(INDEX(UtilityList!M$4:M$251,MATCH('Table 2.3c'!$A44&amp;'Table 2.3c'!$B44&amp;'Table 2.3c'!$C44,UtilityList!$A$4:$A$251&amp;UtilityList!$B$4:$B$251&amp;UtilityList!$C$4:$C$251,0)),INDEX(UtilityList!M$4:M$251,MATCH('Table 2.3c'!$A44&amp;'Table 2.3c'!$C44,UtilityList!$A$4:$A$251&amp;UtilityList!$C$5:$C$251,0)))</f>
        <v>AN</v>
      </c>
    </row>
    <row r="45" spans="1:19" s="344" customFormat="1" ht="45" x14ac:dyDescent="0.25">
      <c r="A45" s="678" t="s">
        <v>524</v>
      </c>
      <c r="B45" s="361" t="s">
        <v>70</v>
      </c>
      <c r="C45" s="679" t="s">
        <v>70</v>
      </c>
      <c r="D45" s="680" t="s">
        <v>545</v>
      </c>
      <c r="E45" s="680" t="s">
        <v>546</v>
      </c>
      <c r="F45" s="681">
        <v>1657.2670000000001</v>
      </c>
      <c r="G45" s="682">
        <v>132277</v>
      </c>
      <c r="H45" s="681">
        <f t="shared" si="0"/>
        <v>18518.780000000002</v>
      </c>
      <c r="I45" s="682">
        <v>3.0063</v>
      </c>
      <c r="J45" s="682">
        <f t="shared" si="1"/>
        <v>12.528761613886012</v>
      </c>
      <c r="K45" s="682">
        <f t="shared" si="2"/>
        <v>0.23995188771634263</v>
      </c>
      <c r="L45" s="682">
        <v>0.14000000000000001</v>
      </c>
      <c r="M45" s="658" t="s">
        <v>356</v>
      </c>
      <c r="N45" s="627">
        <f t="array" ref="N45">INDEX(UtilityList!Q$4:Q$251,MATCH('Table 2.3c'!$A45&amp;'Table 2.3c'!$B45&amp;'Table 2.3c'!$C45,UtilityList!$A$4:$A$251&amp;UtilityList!$B$4:$B$251&amp;UtilityList!$C$4:$C$251,0))</f>
        <v>0</v>
      </c>
      <c r="O45" s="452" t="str">
        <f t="array" ref="O45">IFERROR(INDEX(UtilityList!J$4:J$251,MATCH('Table 2.3c'!$A45&amp;'Table 2.3c'!$B45&amp;'Table 2.3c'!$C45,UtilityList!$A$4:$A$251&amp;UtilityList!$B$4:$B$251&amp;UtilityList!$C$4:$C$251,0)),INDEX(UtilityList!J$4:J$251,MATCH('Table 2.3c'!$A45&amp;'Table 2.3c'!$C45,UtilityList!$A$4:$A$251&amp;UtilityList!$C$5:$C$251,0)))</f>
        <v>Lower Yukon-Kuskokwim</v>
      </c>
      <c r="P45" s="452" t="str">
        <f t="array" ref="P45">IFERROR(INDEX(UtilityList!K$4:K$251,MATCH('Table 2.3c'!$A45&amp;'Table 2.3c'!$B45&amp;'Table 2.3c'!$C45,UtilityList!$A$4:$A$251&amp;UtilityList!$B$4:$B$251&amp;UtilityList!$C$4:$C$251,0)),INDEX(UtilityList!K$4:K$251,MATCH('Table 2.3c'!$A45&amp;'Table 2.3c'!$C45,UtilityList!$A$4:$A$251&amp;UtilityList!$C$5:$C$251,0)))</f>
        <v>Wade Hampton (CA)</v>
      </c>
      <c r="Q45" s="452" t="str">
        <f t="array" ref="Q45">IFERROR(INDEX(UtilityList!L$4:L$251,MATCH('Table 2.3c'!$A45&amp;'Table 2.3c'!$B45&amp;'Table 2.3c'!$C45,UtilityList!$A$4:$A$251&amp;UtilityList!$B$4:$B$251&amp;UtilityList!$C$4:$C$251,0)),INDEX(UtilityList!L$4:L$251,MATCH('Table 2.3c'!$A45&amp;'Table 2.3c'!$C45,UtilityList!$A$4:$A$251&amp;UtilityList!$C$5:$C$251,0)))</f>
        <v>Calista</v>
      </c>
      <c r="R45" s="452" t="str">
        <f t="array" ref="R45">IFERROR(INDEX(UtilityList!M$4:M$251,MATCH('Table 2.3c'!$A45&amp;'Table 2.3c'!$B45&amp;'Table 2.3c'!$C45,UtilityList!$A$4:$A$251&amp;UtilityList!$B$4:$B$251&amp;UtilityList!$C$4:$C$251,0)),INDEX(UtilityList!M$4:M$251,MATCH('Table 2.3c'!$A45&amp;'Table 2.3c'!$C45,UtilityList!$A$4:$A$251&amp;UtilityList!$C$5:$C$251,0)))</f>
        <v>YU</v>
      </c>
    </row>
    <row r="46" spans="1:19" s="344" customFormat="1" ht="45" x14ac:dyDescent="0.25">
      <c r="A46" s="678" t="s">
        <v>524</v>
      </c>
      <c r="B46" s="361" t="s">
        <v>71</v>
      </c>
      <c r="C46" s="679" t="s">
        <v>71</v>
      </c>
      <c r="D46" s="680" t="s">
        <v>545</v>
      </c>
      <c r="E46" s="680" t="s">
        <v>546</v>
      </c>
      <c r="F46" s="681">
        <v>800.57799999999997</v>
      </c>
      <c r="G46" s="682">
        <v>58323</v>
      </c>
      <c r="H46" s="681">
        <f t="shared" si="0"/>
        <v>8165.2200000000012</v>
      </c>
      <c r="I46" s="682">
        <v>2.7899332999999999</v>
      </c>
      <c r="J46" s="682">
        <f t="shared" si="1"/>
        <v>13.726625859437958</v>
      </c>
      <c r="K46" s="682">
        <f t="shared" si="2"/>
        <v>0.20324975187414593</v>
      </c>
      <c r="L46" s="682">
        <v>0.14000000000000001</v>
      </c>
      <c r="M46" s="658" t="s">
        <v>356</v>
      </c>
      <c r="N46" s="627">
        <f t="array" ref="N46">INDEX(UtilityList!Q$4:Q$251,MATCH('Table 2.3c'!$A46&amp;'Table 2.3c'!$B46&amp;'Table 2.3c'!$C46,UtilityList!$A$4:$A$251&amp;UtilityList!$B$4:$B$251&amp;UtilityList!$C$4:$C$251,0))</f>
        <v>0</v>
      </c>
      <c r="O46" s="452" t="str">
        <f t="array" ref="O46">IFERROR(INDEX(UtilityList!J$4:J$251,MATCH('Table 2.3c'!$A46&amp;'Table 2.3c'!$B46&amp;'Table 2.3c'!$C46,UtilityList!$A$4:$A$251&amp;UtilityList!$B$4:$B$251&amp;UtilityList!$C$4:$C$251,0)),INDEX(UtilityList!J$4:J$251,MATCH('Table 2.3c'!$A46&amp;'Table 2.3c'!$C46,UtilityList!$A$4:$A$251&amp;UtilityList!$C$5:$C$251,0)))</f>
        <v>Lower Yukon-Kuskokwim</v>
      </c>
      <c r="P46" s="452" t="str">
        <f t="array" ref="P46">IFERROR(INDEX(UtilityList!K$4:K$251,MATCH('Table 2.3c'!$A46&amp;'Table 2.3c'!$B46&amp;'Table 2.3c'!$C46,UtilityList!$A$4:$A$251&amp;UtilityList!$B$4:$B$251&amp;UtilityList!$C$4:$C$251,0)),INDEX(UtilityList!K$4:K$251,MATCH('Table 2.3c'!$A46&amp;'Table 2.3c'!$C46,UtilityList!$A$4:$A$251&amp;UtilityList!$C$5:$C$251,0)))</f>
        <v>Bethel (CA)</v>
      </c>
      <c r="Q46" s="452" t="str">
        <f t="array" ref="Q46">IFERROR(INDEX(UtilityList!L$4:L$251,MATCH('Table 2.3c'!$A46&amp;'Table 2.3c'!$B46&amp;'Table 2.3c'!$C46,UtilityList!$A$4:$A$251&amp;UtilityList!$B$4:$B$251&amp;UtilityList!$C$4:$C$251,0)),INDEX(UtilityList!L$4:L$251,MATCH('Table 2.3c'!$A46&amp;'Table 2.3c'!$C46,UtilityList!$A$4:$A$251&amp;UtilityList!$C$5:$C$251,0)))</f>
        <v>Calista</v>
      </c>
      <c r="R46" s="452" t="str">
        <f t="array" ref="R46">IFERROR(INDEX(UtilityList!M$4:M$251,MATCH('Table 2.3c'!$A46&amp;'Table 2.3c'!$B46&amp;'Table 2.3c'!$C46,UtilityList!$A$4:$A$251&amp;UtilityList!$B$4:$B$251&amp;UtilityList!$C$4:$C$251,0)),INDEX(UtilityList!M$4:M$251,MATCH('Table 2.3c'!$A46&amp;'Table 2.3c'!$C46,UtilityList!$A$4:$A$251&amp;UtilityList!$C$5:$C$251,0)))</f>
        <v>SW</v>
      </c>
    </row>
    <row r="47" spans="1:19" s="344" customFormat="1" ht="45" x14ac:dyDescent="0.25">
      <c r="A47" s="678" t="s">
        <v>524</v>
      </c>
      <c r="B47" s="361" t="s">
        <v>173</v>
      </c>
      <c r="C47" s="654" t="s">
        <v>173</v>
      </c>
      <c r="D47" s="680" t="s">
        <v>545</v>
      </c>
      <c r="E47" s="680" t="s">
        <v>546</v>
      </c>
      <c r="F47" s="638">
        <v>261.51549999999997</v>
      </c>
      <c r="G47" s="692">
        <v>23205.817999999999</v>
      </c>
      <c r="H47" s="681">
        <f t="shared" si="0"/>
        <v>3248.8145200000004</v>
      </c>
      <c r="I47" s="692">
        <v>4.8301356000000002</v>
      </c>
      <c r="J47" s="692">
        <f t="shared" si="1"/>
        <v>11.269393735657152</v>
      </c>
      <c r="K47" s="682">
        <f t="shared" si="2"/>
        <v>0.4286065172003985</v>
      </c>
      <c r="L47" s="682">
        <v>0.14000000000000001</v>
      </c>
      <c r="M47" s="658" t="s">
        <v>356</v>
      </c>
      <c r="N47" s="627">
        <f t="array" ref="N47">INDEX(UtilityList!Q$4:Q$251,MATCH('Table 2.3c'!$A47&amp;'Table 2.3c'!$B47&amp;'Table 2.3c'!$C47,UtilityList!$A$4:$A$251&amp;UtilityList!$B$4:$B$251&amp;UtilityList!$C$4:$C$251,0))</f>
        <v>0</v>
      </c>
      <c r="O47" s="452" t="str">
        <f t="array" ref="O47">IFERROR(INDEX(UtilityList!J$4:J$251,MATCH('Table 2.3c'!$A47&amp;'Table 2.3c'!$B47&amp;'Table 2.3c'!$C47,UtilityList!$A$4:$A$251&amp;UtilityList!$B$4:$B$251&amp;UtilityList!$C$4:$C$251,0)),INDEX(UtilityList!J$4:J$251,MATCH('Table 2.3c'!$A47&amp;'Table 2.3c'!$C47,UtilityList!$A$4:$A$251&amp;UtilityList!$C$5:$C$251,0)))</f>
        <v>Bristol Bay</v>
      </c>
      <c r="P47" s="452" t="str">
        <f t="array" ref="P47">IFERROR(INDEX(UtilityList!K$4:K$251,MATCH('Table 2.3c'!$A47&amp;'Table 2.3c'!$B47&amp;'Table 2.3c'!$C47,UtilityList!$A$4:$A$251&amp;UtilityList!$B$4:$B$251&amp;UtilityList!$C$4:$C$251,0)),INDEX(UtilityList!K$4:K$251,MATCH('Table 2.3c'!$A47&amp;'Table 2.3c'!$C47,UtilityList!$A$4:$A$251&amp;UtilityList!$C$5:$C$251,0)))</f>
        <v>Dillingham (CA)</v>
      </c>
      <c r="Q47" s="452" t="str">
        <f t="array" ref="Q47">IFERROR(INDEX(UtilityList!L$4:L$251,MATCH('Table 2.3c'!$A47&amp;'Table 2.3c'!$B47&amp;'Table 2.3c'!$C47,UtilityList!$A$4:$A$251&amp;UtilityList!$B$4:$B$251&amp;UtilityList!$C$4:$C$251,0)),INDEX(UtilityList!L$4:L$251,MATCH('Table 2.3c'!$A47&amp;'Table 2.3c'!$C47,UtilityList!$A$4:$A$251&amp;UtilityList!$C$5:$C$251,0)))</f>
        <v>Bristol Bay</v>
      </c>
      <c r="R47" s="452" t="str">
        <f t="array" ref="R47">IFERROR(INDEX(UtilityList!M$4:M$251,MATCH('Table 2.3c'!$A47&amp;'Table 2.3c'!$B47&amp;'Table 2.3c'!$C47,UtilityList!$A$4:$A$251&amp;UtilityList!$B$4:$B$251&amp;UtilityList!$C$4:$C$251,0)),INDEX(UtilityList!M$4:M$251,MATCH('Table 2.3c'!$A47&amp;'Table 2.3c'!$C47,UtilityList!$A$4:$A$251&amp;UtilityList!$C$5:$C$251,0)))</f>
        <v>SW</v>
      </c>
    </row>
    <row r="48" spans="1:19" s="344" customFormat="1" ht="45" x14ac:dyDescent="0.25">
      <c r="A48" s="678" t="s">
        <v>524</v>
      </c>
      <c r="B48" s="361" t="s">
        <v>72</v>
      </c>
      <c r="C48" s="679" t="s">
        <v>72</v>
      </c>
      <c r="D48" s="680" t="s">
        <v>545</v>
      </c>
      <c r="E48" s="680" t="s">
        <v>546</v>
      </c>
      <c r="F48" s="681">
        <v>1159.4449999999999</v>
      </c>
      <c r="G48" s="682">
        <v>81625</v>
      </c>
      <c r="H48" s="681">
        <f t="shared" si="0"/>
        <v>11427.500000000002</v>
      </c>
      <c r="I48" s="682">
        <v>3.0799333</v>
      </c>
      <c r="J48" s="682">
        <f t="shared" si="1"/>
        <v>14.204532924961715</v>
      </c>
      <c r="K48" s="682">
        <f t="shared" si="2"/>
        <v>0.2168274955797817</v>
      </c>
      <c r="L48" s="682">
        <v>0.14000000000000001</v>
      </c>
      <c r="M48" s="658" t="s">
        <v>356</v>
      </c>
      <c r="N48" s="627">
        <f t="array" ref="N48">INDEX(UtilityList!Q$4:Q$251,MATCH('Table 2.3c'!$A48&amp;'Table 2.3c'!$B48&amp;'Table 2.3c'!$C48,UtilityList!$A$4:$A$251&amp;UtilityList!$B$4:$B$251&amp;UtilityList!$C$4:$C$251,0))</f>
        <v>0</v>
      </c>
      <c r="O48" s="452" t="str">
        <f t="array" ref="O48">IFERROR(INDEX(UtilityList!J$4:J$251,MATCH('Table 2.3c'!$A48&amp;'Table 2.3c'!$B48&amp;'Table 2.3c'!$C48,UtilityList!$A$4:$A$251&amp;UtilityList!$B$4:$B$251&amp;UtilityList!$C$4:$C$251,0)),INDEX(UtilityList!J$4:J$251,MATCH('Table 2.3c'!$A48&amp;'Table 2.3c'!$C48,UtilityList!$A$4:$A$251&amp;UtilityList!$C$5:$C$251,0)))</f>
        <v>Bering Straits</v>
      </c>
      <c r="P48" s="452" t="str">
        <f t="array" ref="P48">IFERROR(INDEX(UtilityList!K$4:K$251,MATCH('Table 2.3c'!$A48&amp;'Table 2.3c'!$B48&amp;'Table 2.3c'!$C48,UtilityList!$A$4:$A$251&amp;UtilityList!$B$4:$B$251&amp;UtilityList!$C$4:$C$251,0)),INDEX(UtilityList!K$4:K$251,MATCH('Table 2.3c'!$A48&amp;'Table 2.3c'!$C48,UtilityList!$A$4:$A$251&amp;UtilityList!$C$5:$C$251,0)))</f>
        <v>Nome (CA)</v>
      </c>
      <c r="Q48" s="452" t="str">
        <f t="array" ref="Q48">IFERROR(INDEX(UtilityList!L$4:L$251,MATCH('Table 2.3c'!$A48&amp;'Table 2.3c'!$B48&amp;'Table 2.3c'!$C48,UtilityList!$A$4:$A$251&amp;UtilityList!$B$4:$B$251&amp;UtilityList!$C$4:$C$251,0)),INDEX(UtilityList!L$4:L$251,MATCH('Table 2.3c'!$A48&amp;'Table 2.3c'!$C48,UtilityList!$A$4:$A$251&amp;UtilityList!$C$5:$C$251,0)))</f>
        <v>Bering Straits</v>
      </c>
      <c r="R48" s="452" t="str">
        <f t="array" ref="R48">IFERROR(INDEX(UtilityList!M$4:M$251,MATCH('Table 2.3c'!$A48&amp;'Table 2.3c'!$B48&amp;'Table 2.3c'!$C48,UtilityList!$A$4:$A$251&amp;UtilityList!$B$4:$B$251&amp;UtilityList!$C$4:$C$251,0)),INDEX(UtilityList!M$4:M$251,MATCH('Table 2.3c'!$A48&amp;'Table 2.3c'!$C48,UtilityList!$A$4:$A$251&amp;UtilityList!$C$5:$C$251,0)))</f>
        <v>AN</v>
      </c>
      <c r="S48" s="342"/>
    </row>
    <row r="49" spans="1:19" s="344" customFormat="1" ht="45" x14ac:dyDescent="0.25">
      <c r="A49" s="678" t="s">
        <v>524</v>
      </c>
      <c r="B49" s="361" t="s">
        <v>73</v>
      </c>
      <c r="C49" s="679" t="s">
        <v>73</v>
      </c>
      <c r="D49" s="680" t="s">
        <v>545</v>
      </c>
      <c r="E49" s="680" t="s">
        <v>546</v>
      </c>
      <c r="F49" s="681">
        <v>3089.884</v>
      </c>
      <c r="G49" s="682">
        <v>226911</v>
      </c>
      <c r="H49" s="681">
        <f t="shared" si="0"/>
        <v>31767.540000000005</v>
      </c>
      <c r="I49" s="682">
        <v>3.2986667000000001</v>
      </c>
      <c r="J49" s="682">
        <f t="shared" si="1"/>
        <v>13.617162676115305</v>
      </c>
      <c r="K49" s="682">
        <f t="shared" si="2"/>
        <v>0.2422433203200185</v>
      </c>
      <c r="L49" s="682">
        <v>0.14000000000000001</v>
      </c>
      <c r="M49" s="658" t="s">
        <v>356</v>
      </c>
      <c r="N49" s="627">
        <f t="array" ref="N49">INDEX(UtilityList!Q$4:Q$251,MATCH('Table 2.3c'!$A49&amp;'Table 2.3c'!$B49&amp;'Table 2.3c'!$C49,UtilityList!$A$4:$A$251&amp;UtilityList!$B$4:$B$251&amp;UtilityList!$C$4:$C$251,0))</f>
        <v>0</v>
      </c>
      <c r="O49" s="452" t="str">
        <f t="array" ref="O49">IFERROR(INDEX(UtilityList!J$4:J$251,MATCH('Table 2.3c'!$A49&amp;'Table 2.3c'!$B49&amp;'Table 2.3c'!$C49,UtilityList!$A$4:$A$251&amp;UtilityList!$B$4:$B$251&amp;UtilityList!$C$4:$C$251,0)),INDEX(UtilityList!J$4:J$251,MATCH('Table 2.3c'!$A49&amp;'Table 2.3c'!$C49,UtilityList!$A$4:$A$251&amp;UtilityList!$C$5:$C$251,0)))</f>
        <v>Lower Yukon-Kuskokwim</v>
      </c>
      <c r="P49" s="452" t="str">
        <f t="array" ref="P49">IFERROR(INDEX(UtilityList!K$4:K$251,MATCH('Table 2.3c'!$A49&amp;'Table 2.3c'!$B49&amp;'Table 2.3c'!$C49,UtilityList!$A$4:$A$251&amp;UtilityList!$B$4:$B$251&amp;UtilityList!$C$4:$C$251,0)),INDEX(UtilityList!K$4:K$251,MATCH('Table 2.3c'!$A49&amp;'Table 2.3c'!$C49,UtilityList!$A$4:$A$251&amp;UtilityList!$C$5:$C$251,0)))</f>
        <v>Wade Hampton (CA)</v>
      </c>
      <c r="Q49" s="452" t="str">
        <f t="array" ref="Q49">IFERROR(INDEX(UtilityList!L$4:L$251,MATCH('Table 2.3c'!$A49&amp;'Table 2.3c'!$B49&amp;'Table 2.3c'!$C49,UtilityList!$A$4:$A$251&amp;UtilityList!$B$4:$B$251&amp;UtilityList!$C$4:$C$251,0)),INDEX(UtilityList!L$4:L$251,MATCH('Table 2.3c'!$A49&amp;'Table 2.3c'!$C49,UtilityList!$A$4:$A$251&amp;UtilityList!$C$5:$C$251,0)))</f>
        <v>Calista</v>
      </c>
      <c r="R49" s="452" t="str">
        <f t="array" ref="R49">IFERROR(INDEX(UtilityList!M$4:M$251,MATCH('Table 2.3c'!$A49&amp;'Table 2.3c'!$B49&amp;'Table 2.3c'!$C49,UtilityList!$A$4:$A$251&amp;UtilityList!$B$4:$B$251&amp;UtilityList!$C$4:$C$251,0)),INDEX(UtilityList!M$4:M$251,MATCH('Table 2.3c'!$A49&amp;'Table 2.3c'!$C49,UtilityList!$A$4:$A$251&amp;UtilityList!$C$5:$C$251,0)))</f>
        <v>YU</v>
      </c>
    </row>
    <row r="50" spans="1:19" s="344" customFormat="1" ht="45" x14ac:dyDescent="0.25">
      <c r="A50" s="678" t="s">
        <v>524</v>
      </c>
      <c r="B50" s="361" t="s">
        <v>74</v>
      </c>
      <c r="C50" s="679" t="s">
        <v>74</v>
      </c>
      <c r="D50" s="680" t="s">
        <v>545</v>
      </c>
      <c r="E50" s="680" t="s">
        <v>546</v>
      </c>
      <c r="F50" s="681">
        <v>1495.8810000000001</v>
      </c>
      <c r="G50" s="682">
        <v>125869</v>
      </c>
      <c r="H50" s="681">
        <f t="shared" si="0"/>
        <v>17621.660000000003</v>
      </c>
      <c r="I50" s="682">
        <v>3.0799333</v>
      </c>
      <c r="J50" s="682">
        <f t="shared" si="1"/>
        <v>11.884427460296022</v>
      </c>
      <c r="K50" s="682">
        <f t="shared" si="2"/>
        <v>0.25915706164975688</v>
      </c>
      <c r="L50" s="682">
        <v>0.14000000000000001</v>
      </c>
      <c r="M50" s="658" t="s">
        <v>356</v>
      </c>
      <c r="N50" s="627">
        <f t="array" ref="N50">INDEX(UtilityList!Q$4:Q$251,MATCH('Table 2.3c'!$A50&amp;'Table 2.3c'!$B50&amp;'Table 2.3c'!$C50,UtilityList!$A$4:$A$251&amp;UtilityList!$B$4:$B$251&amp;UtilityList!$C$4:$C$251,0))</f>
        <v>0</v>
      </c>
      <c r="O50" s="452" t="str">
        <f t="array" ref="O50">IFERROR(INDEX(UtilityList!J$4:J$251,MATCH('Table 2.3c'!$A50&amp;'Table 2.3c'!$B50&amp;'Table 2.3c'!$C50,UtilityList!$A$4:$A$251&amp;UtilityList!$B$4:$B$251&amp;UtilityList!$C$4:$C$251,0)),INDEX(UtilityList!J$4:J$251,MATCH('Table 2.3c'!$A50&amp;'Table 2.3c'!$C50,UtilityList!$A$4:$A$251&amp;UtilityList!$C$5:$C$251,0)))</f>
        <v>Bering Straits</v>
      </c>
      <c r="P50" s="452" t="str">
        <f t="array" ref="P50">IFERROR(INDEX(UtilityList!K$4:K$251,MATCH('Table 2.3c'!$A50&amp;'Table 2.3c'!$B50&amp;'Table 2.3c'!$C50,UtilityList!$A$4:$A$251&amp;UtilityList!$B$4:$B$251&amp;UtilityList!$C$4:$C$251,0)),INDEX(UtilityList!K$4:K$251,MATCH('Table 2.3c'!$A50&amp;'Table 2.3c'!$C50,UtilityList!$A$4:$A$251&amp;UtilityList!$C$5:$C$251,0)))</f>
        <v>Nome (CA)</v>
      </c>
      <c r="Q50" s="452" t="str">
        <f t="array" ref="Q50">IFERROR(INDEX(UtilityList!L$4:L$251,MATCH('Table 2.3c'!$A50&amp;'Table 2.3c'!$B50&amp;'Table 2.3c'!$C50,UtilityList!$A$4:$A$251&amp;UtilityList!$B$4:$B$251&amp;UtilityList!$C$4:$C$251,0)),INDEX(UtilityList!L$4:L$251,MATCH('Table 2.3c'!$A50&amp;'Table 2.3c'!$C50,UtilityList!$A$4:$A$251&amp;UtilityList!$C$5:$C$251,0)))</f>
        <v>Bering Straits</v>
      </c>
      <c r="R50" s="452" t="str">
        <f t="array" ref="R50">IFERROR(INDEX(UtilityList!M$4:M$251,MATCH('Table 2.3c'!$A50&amp;'Table 2.3c'!$B50&amp;'Table 2.3c'!$C50,UtilityList!$A$4:$A$251&amp;UtilityList!$B$4:$B$251&amp;UtilityList!$C$4:$C$251,0)),INDEX(UtilityList!M$4:M$251,MATCH('Table 2.3c'!$A50&amp;'Table 2.3c'!$C50,UtilityList!$A$4:$A$251&amp;UtilityList!$C$5:$C$251,0)))</f>
        <v>AN</v>
      </c>
      <c r="S50" s="342"/>
    </row>
    <row r="51" spans="1:19" s="344" customFormat="1" ht="45" x14ac:dyDescent="0.25">
      <c r="A51" s="678" t="s">
        <v>524</v>
      </c>
      <c r="B51" s="361" t="s">
        <v>75</v>
      </c>
      <c r="C51" s="679" t="s">
        <v>75</v>
      </c>
      <c r="D51" s="680" t="s">
        <v>545</v>
      </c>
      <c r="E51" s="680" t="s">
        <v>546</v>
      </c>
      <c r="F51" s="681">
        <v>773.07299999999998</v>
      </c>
      <c r="G51" s="682">
        <v>58888</v>
      </c>
      <c r="H51" s="681">
        <f t="shared" si="0"/>
        <v>8244.3200000000015</v>
      </c>
      <c r="I51" s="682">
        <v>3.0612667</v>
      </c>
      <c r="J51" s="682">
        <f t="shared" si="1"/>
        <v>13.127852873250918</v>
      </c>
      <c r="K51" s="682">
        <f t="shared" si="2"/>
        <v>0.23318868131418377</v>
      </c>
      <c r="L51" s="682">
        <v>0.14000000000000001</v>
      </c>
      <c r="M51" s="658" t="s">
        <v>356</v>
      </c>
      <c r="N51" s="627">
        <f t="array" ref="N51">INDEX(UtilityList!Q$4:Q$251,MATCH('Table 2.3c'!$A51&amp;'Table 2.3c'!$B51&amp;'Table 2.3c'!$C51,UtilityList!$A$4:$A$251&amp;UtilityList!$B$4:$B$251&amp;UtilityList!$C$4:$C$251,0))</f>
        <v>0</v>
      </c>
      <c r="O51" s="452" t="str">
        <f t="array" ref="O51">IFERROR(INDEX(UtilityList!J$4:J$251,MATCH('Table 2.3c'!$A51&amp;'Table 2.3c'!$B51&amp;'Table 2.3c'!$C51,UtilityList!$A$4:$A$251&amp;UtilityList!$B$4:$B$251&amp;UtilityList!$C$4:$C$251,0)),INDEX(UtilityList!J$4:J$251,MATCH('Table 2.3c'!$A51&amp;'Table 2.3c'!$C51,UtilityList!$A$4:$A$251&amp;UtilityList!$C$5:$C$251,0)))</f>
        <v>Lower Yukon-Kuskokwim</v>
      </c>
      <c r="P51" s="452" t="str">
        <f t="array" ref="P51">IFERROR(INDEX(UtilityList!K$4:K$251,MATCH('Table 2.3c'!$A51&amp;'Table 2.3c'!$B51&amp;'Table 2.3c'!$C51,UtilityList!$A$4:$A$251&amp;UtilityList!$B$4:$B$251&amp;UtilityList!$C$4:$C$251,0)),INDEX(UtilityList!K$4:K$251,MATCH('Table 2.3c'!$A51&amp;'Table 2.3c'!$C51,UtilityList!$A$4:$A$251&amp;UtilityList!$C$5:$C$251,0)))</f>
        <v>Bethel (CA)</v>
      </c>
      <c r="Q51" s="452" t="str">
        <f t="array" ref="Q51">IFERROR(INDEX(UtilityList!L$4:L$251,MATCH('Table 2.3c'!$A51&amp;'Table 2.3c'!$B51&amp;'Table 2.3c'!$C51,UtilityList!$A$4:$A$251&amp;UtilityList!$B$4:$B$251&amp;UtilityList!$C$4:$C$251,0)),INDEX(UtilityList!L$4:L$251,MATCH('Table 2.3c'!$A51&amp;'Table 2.3c'!$C51,UtilityList!$A$4:$A$251&amp;UtilityList!$C$5:$C$251,0)))</f>
        <v>Calista</v>
      </c>
      <c r="R51" s="452" t="str">
        <f t="array" ref="R51">IFERROR(INDEX(UtilityList!M$4:M$251,MATCH('Table 2.3c'!$A51&amp;'Table 2.3c'!$B51&amp;'Table 2.3c'!$C51,UtilityList!$A$4:$A$251&amp;UtilityList!$B$4:$B$251&amp;UtilityList!$C$4:$C$251,0)),INDEX(UtilityList!M$4:M$251,MATCH('Table 2.3c'!$A51&amp;'Table 2.3c'!$C51,UtilityList!$A$4:$A$251&amp;UtilityList!$C$5:$C$251,0)))</f>
        <v>SW</v>
      </c>
      <c r="S51" s="342"/>
    </row>
    <row r="52" spans="1:19" s="344" customFormat="1" ht="45" x14ac:dyDescent="0.25">
      <c r="A52" s="678" t="s">
        <v>524</v>
      </c>
      <c r="B52" s="361" t="s">
        <v>76</v>
      </c>
      <c r="C52" s="679" t="s">
        <v>76</v>
      </c>
      <c r="D52" s="680" t="s">
        <v>545</v>
      </c>
      <c r="E52" s="680" t="s">
        <v>546</v>
      </c>
      <c r="F52" s="681">
        <v>569.04700000000003</v>
      </c>
      <c r="G52" s="682">
        <v>48789</v>
      </c>
      <c r="H52" s="681">
        <f t="shared" si="0"/>
        <v>6830.4600000000009</v>
      </c>
      <c r="I52" s="682">
        <v>2.7342</v>
      </c>
      <c r="J52" s="682">
        <f t="shared" si="1"/>
        <v>11.663428231773555</v>
      </c>
      <c r="K52" s="682">
        <f t="shared" si="2"/>
        <v>0.2344250717427559</v>
      </c>
      <c r="L52" s="682">
        <v>0.14000000000000001</v>
      </c>
      <c r="M52" s="658" t="s">
        <v>356</v>
      </c>
      <c r="N52" s="627">
        <f t="array" ref="N52">INDEX(UtilityList!Q$4:Q$251,MATCH('Table 2.3c'!$A52&amp;'Table 2.3c'!$B52&amp;'Table 2.3c'!$C52,UtilityList!$A$4:$A$251&amp;UtilityList!$B$4:$B$251&amp;UtilityList!$C$4:$C$251,0))</f>
        <v>0</v>
      </c>
      <c r="O52" s="452" t="str">
        <f t="array" ref="O52">IFERROR(INDEX(UtilityList!J$4:J$251,MATCH('Table 2.3c'!$A52&amp;'Table 2.3c'!$B52&amp;'Table 2.3c'!$C52,UtilityList!$A$4:$A$251&amp;UtilityList!$B$4:$B$251&amp;UtilityList!$C$4:$C$251,0)),INDEX(UtilityList!J$4:J$251,MATCH('Table 2.3c'!$A52&amp;'Table 2.3c'!$C52,UtilityList!$A$4:$A$251&amp;UtilityList!$C$5:$C$251,0)))</f>
        <v>Yukon-Koyukuk/Upper Tanana</v>
      </c>
      <c r="P52" s="452" t="str">
        <f t="array" ref="P52">IFERROR(INDEX(UtilityList!K$4:K$251,MATCH('Table 2.3c'!$A52&amp;'Table 2.3c'!$B52&amp;'Table 2.3c'!$C52,UtilityList!$A$4:$A$251&amp;UtilityList!$B$4:$B$251&amp;UtilityList!$C$4:$C$251,0)),INDEX(UtilityList!K$4:K$251,MATCH('Table 2.3c'!$A52&amp;'Table 2.3c'!$C52,UtilityList!$A$4:$A$251&amp;UtilityList!$C$5:$C$251,0)))</f>
        <v>Yukon-Koyukuk (CA)</v>
      </c>
      <c r="Q52" s="452" t="str">
        <f t="array" ref="Q52">IFERROR(INDEX(UtilityList!L$4:L$251,MATCH('Table 2.3c'!$A52&amp;'Table 2.3c'!$B52&amp;'Table 2.3c'!$C52,UtilityList!$A$4:$A$251&amp;UtilityList!$B$4:$B$251&amp;UtilityList!$C$4:$C$251,0)),INDEX(UtilityList!L$4:L$251,MATCH('Table 2.3c'!$A52&amp;'Table 2.3c'!$C52,UtilityList!$A$4:$A$251&amp;UtilityList!$C$5:$C$251,0)))</f>
        <v>Doyon</v>
      </c>
      <c r="R52" s="452" t="str">
        <f t="array" ref="R52">IFERROR(INDEX(UtilityList!M$4:M$251,MATCH('Table 2.3c'!$A52&amp;'Table 2.3c'!$B52&amp;'Table 2.3c'!$C52,UtilityList!$A$4:$A$251&amp;UtilityList!$B$4:$B$251&amp;UtilityList!$C$4:$C$251,0)),INDEX(UtilityList!M$4:M$251,MATCH('Table 2.3c'!$A52&amp;'Table 2.3c'!$C52,UtilityList!$A$4:$A$251&amp;UtilityList!$C$5:$C$251,0)))</f>
        <v>YU</v>
      </c>
    </row>
    <row r="53" spans="1:19" s="344" customFormat="1" ht="45" x14ac:dyDescent="0.25">
      <c r="A53" s="678" t="s">
        <v>524</v>
      </c>
      <c r="B53" s="361" t="s">
        <v>77</v>
      </c>
      <c r="C53" s="679" t="s">
        <v>77</v>
      </c>
      <c r="D53" s="680" t="s">
        <v>545</v>
      </c>
      <c r="E53" s="680" t="s">
        <v>546</v>
      </c>
      <c r="F53" s="681">
        <v>594.37199999999996</v>
      </c>
      <c r="G53" s="682">
        <v>47496</v>
      </c>
      <c r="H53" s="681">
        <f t="shared" si="0"/>
        <v>6649.4400000000005</v>
      </c>
      <c r="I53" s="682">
        <v>2.7342</v>
      </c>
      <c r="J53" s="682">
        <f t="shared" si="1"/>
        <v>12.514148559878727</v>
      </c>
      <c r="K53" s="682">
        <f t="shared" si="2"/>
        <v>0.21848869596818155</v>
      </c>
      <c r="L53" s="682">
        <v>0.14000000000000001</v>
      </c>
      <c r="M53" s="658" t="s">
        <v>356</v>
      </c>
      <c r="N53" s="627">
        <f t="array" ref="N53">INDEX(UtilityList!Q$4:Q$251,MATCH('Table 2.3c'!$A53&amp;'Table 2.3c'!$B53&amp;'Table 2.3c'!$C53,UtilityList!$A$4:$A$251&amp;UtilityList!$B$4:$B$251&amp;UtilityList!$C$4:$C$251,0))</f>
        <v>0</v>
      </c>
      <c r="O53" s="452" t="str">
        <f t="array" ref="O53">IFERROR(INDEX(UtilityList!J$4:J$251,MATCH('Table 2.3c'!$A53&amp;'Table 2.3c'!$B53&amp;'Table 2.3c'!$C53,UtilityList!$A$4:$A$251&amp;UtilityList!$B$4:$B$251&amp;UtilityList!$C$4:$C$251,0)),INDEX(UtilityList!J$4:J$251,MATCH('Table 2.3c'!$A53&amp;'Table 2.3c'!$C53,UtilityList!$A$4:$A$251&amp;UtilityList!$C$5:$C$251,0)))</f>
        <v>Yukon-Koyukuk/Upper Tanana</v>
      </c>
      <c r="P53" s="452" t="str">
        <f t="array" ref="P53">IFERROR(INDEX(UtilityList!K$4:K$251,MATCH('Table 2.3c'!$A53&amp;'Table 2.3c'!$B53&amp;'Table 2.3c'!$C53,UtilityList!$A$4:$A$251&amp;UtilityList!$B$4:$B$251&amp;UtilityList!$C$4:$C$251,0)),INDEX(UtilityList!K$4:K$251,MATCH('Table 2.3c'!$A53&amp;'Table 2.3c'!$C53,UtilityList!$A$4:$A$251&amp;UtilityList!$C$5:$C$251,0)))</f>
        <v>Yukon-Koyukuk (CA)</v>
      </c>
      <c r="Q53" s="452" t="str">
        <f t="array" ref="Q53">IFERROR(INDEX(UtilityList!L$4:L$251,MATCH('Table 2.3c'!$A53&amp;'Table 2.3c'!$B53&amp;'Table 2.3c'!$C53,UtilityList!$A$4:$A$251&amp;UtilityList!$B$4:$B$251&amp;UtilityList!$C$4:$C$251,0)),INDEX(UtilityList!L$4:L$251,MATCH('Table 2.3c'!$A53&amp;'Table 2.3c'!$C53,UtilityList!$A$4:$A$251&amp;UtilityList!$C$5:$C$251,0)))</f>
        <v>Doyon</v>
      </c>
      <c r="R53" s="452" t="str">
        <f t="array" ref="R53">IFERROR(INDEX(UtilityList!M$4:M$251,MATCH('Table 2.3c'!$A53&amp;'Table 2.3c'!$B53&amp;'Table 2.3c'!$C53,UtilityList!$A$4:$A$251&amp;UtilityList!$B$4:$B$251&amp;UtilityList!$C$4:$C$251,0)),INDEX(UtilityList!M$4:M$251,MATCH('Table 2.3c'!$A53&amp;'Table 2.3c'!$C53,UtilityList!$A$4:$A$251&amp;UtilityList!$C$5:$C$251,0)))</f>
        <v>YU</v>
      </c>
    </row>
    <row r="54" spans="1:19" s="344" customFormat="1" ht="45" x14ac:dyDescent="0.25">
      <c r="A54" s="678" t="s">
        <v>524</v>
      </c>
      <c r="B54" s="361" t="s">
        <v>78</v>
      </c>
      <c r="C54" s="679" t="s">
        <v>78</v>
      </c>
      <c r="D54" s="680" t="s">
        <v>545</v>
      </c>
      <c r="E54" s="680" t="s">
        <v>546</v>
      </c>
      <c r="F54" s="681">
        <v>2711.4679999999998</v>
      </c>
      <c r="G54" s="682">
        <v>205933</v>
      </c>
      <c r="H54" s="681">
        <f t="shared" si="0"/>
        <v>28830.620000000003</v>
      </c>
      <c r="I54" s="682">
        <v>3.0265667000000001</v>
      </c>
      <c r="J54" s="682">
        <f t="shared" si="1"/>
        <v>13.166748408462947</v>
      </c>
      <c r="K54" s="682">
        <f t="shared" si="2"/>
        <v>0.22986439826363431</v>
      </c>
      <c r="L54" s="682">
        <v>0.14000000000000001</v>
      </c>
      <c r="M54" s="658" t="s">
        <v>356</v>
      </c>
      <c r="N54" s="627">
        <f t="array" ref="N54">INDEX(UtilityList!Q$4:Q$251,MATCH('Table 2.3c'!$A54&amp;'Table 2.3c'!$B54&amp;'Table 2.3c'!$C54,UtilityList!$A$4:$A$251&amp;UtilityList!$B$4:$B$251&amp;UtilityList!$C$4:$C$251,0))</f>
        <v>0</v>
      </c>
      <c r="O54" s="452" t="str">
        <f t="array" ref="O54">IFERROR(INDEX(UtilityList!J$4:J$251,MATCH('Table 2.3c'!$A54&amp;'Table 2.3c'!$B54&amp;'Table 2.3c'!$C54,UtilityList!$A$4:$A$251&amp;UtilityList!$B$4:$B$251&amp;UtilityList!$C$4:$C$251,0)),INDEX(UtilityList!J$4:J$251,MATCH('Table 2.3c'!$A54&amp;'Table 2.3c'!$C54,UtilityList!$A$4:$A$251&amp;UtilityList!$C$5:$C$251,0)))</f>
        <v>Lower Yukon-Kuskokwim</v>
      </c>
      <c r="P54" s="452" t="str">
        <f t="array" ref="P54">IFERROR(INDEX(UtilityList!K$4:K$251,MATCH('Table 2.3c'!$A54&amp;'Table 2.3c'!$B54&amp;'Table 2.3c'!$C54,UtilityList!$A$4:$A$251&amp;UtilityList!$B$4:$B$251&amp;UtilityList!$C$4:$C$251,0)),INDEX(UtilityList!K$4:K$251,MATCH('Table 2.3c'!$A54&amp;'Table 2.3c'!$C54,UtilityList!$A$4:$A$251&amp;UtilityList!$C$5:$C$251,0)))</f>
        <v>Wade Hampton (CA)</v>
      </c>
      <c r="Q54" s="452" t="str">
        <f t="array" ref="Q54">IFERROR(INDEX(UtilityList!L$4:L$251,MATCH('Table 2.3c'!$A54&amp;'Table 2.3c'!$B54&amp;'Table 2.3c'!$C54,UtilityList!$A$4:$A$251&amp;UtilityList!$B$4:$B$251&amp;UtilityList!$C$4:$C$251,0)),INDEX(UtilityList!L$4:L$251,MATCH('Table 2.3c'!$A54&amp;'Table 2.3c'!$C54,UtilityList!$A$4:$A$251&amp;UtilityList!$C$5:$C$251,0)))</f>
        <v>Calista</v>
      </c>
      <c r="R54" s="452" t="str">
        <f t="array" ref="R54">IFERROR(INDEX(UtilityList!M$4:M$251,MATCH('Table 2.3c'!$A54&amp;'Table 2.3c'!$B54&amp;'Table 2.3c'!$C54,UtilityList!$A$4:$A$251&amp;UtilityList!$B$4:$B$251&amp;UtilityList!$C$4:$C$251,0)),INDEX(UtilityList!M$4:M$251,MATCH('Table 2.3c'!$A54&amp;'Table 2.3c'!$C54,UtilityList!$A$4:$A$251&amp;UtilityList!$C$5:$C$251,0)))</f>
        <v>YU</v>
      </c>
      <c r="S54" s="342"/>
    </row>
    <row r="55" spans="1:19" s="344" customFormat="1" ht="45" x14ac:dyDescent="0.25">
      <c r="A55" s="678" t="s">
        <v>524</v>
      </c>
      <c r="B55" s="361" t="s">
        <v>79</v>
      </c>
      <c r="C55" s="679" t="s">
        <v>79</v>
      </c>
      <c r="D55" s="680" t="s">
        <v>545</v>
      </c>
      <c r="E55" s="680" t="s">
        <v>546</v>
      </c>
      <c r="F55" s="681">
        <v>1005.8</v>
      </c>
      <c r="G55" s="682">
        <v>75045</v>
      </c>
      <c r="H55" s="681">
        <f t="shared" si="0"/>
        <v>10506.300000000001</v>
      </c>
      <c r="I55" s="682">
        <v>3.0566333000000001</v>
      </c>
      <c r="J55" s="682">
        <f t="shared" si="1"/>
        <v>13.4026250916117</v>
      </c>
      <c r="K55" s="682">
        <f t="shared" si="2"/>
        <v>0.2280622847469676</v>
      </c>
      <c r="L55" s="682">
        <v>0.14000000000000001</v>
      </c>
      <c r="M55" s="658" t="s">
        <v>356</v>
      </c>
      <c r="N55" s="627">
        <f t="array" ref="N55">INDEX(UtilityList!Q$4:Q$251,MATCH('Table 2.3c'!$A55&amp;'Table 2.3c'!$B55&amp;'Table 2.3c'!$C55,UtilityList!$A$4:$A$251&amp;UtilityList!$B$4:$B$251&amp;UtilityList!$C$4:$C$251,0))</f>
        <v>0</v>
      </c>
      <c r="O55" s="452" t="str">
        <f t="array" ref="O55">IFERROR(INDEX(UtilityList!J$4:J$251,MATCH('Table 2.3c'!$A55&amp;'Table 2.3c'!$B55&amp;'Table 2.3c'!$C55,UtilityList!$A$4:$A$251&amp;UtilityList!$B$4:$B$251&amp;UtilityList!$C$4:$C$251,0)),INDEX(UtilityList!J$4:J$251,MATCH('Table 2.3c'!$A55&amp;'Table 2.3c'!$C55,UtilityList!$A$4:$A$251&amp;UtilityList!$C$5:$C$251,0)))</f>
        <v>Yukon-Koyukuk/Upper Tanana</v>
      </c>
      <c r="P55" s="452" t="str">
        <f t="array" ref="P55">IFERROR(INDEX(UtilityList!K$4:K$251,MATCH('Table 2.3c'!$A55&amp;'Table 2.3c'!$B55&amp;'Table 2.3c'!$C55,UtilityList!$A$4:$A$251&amp;UtilityList!$B$4:$B$251&amp;UtilityList!$C$4:$C$251,0)),INDEX(UtilityList!K$4:K$251,MATCH('Table 2.3c'!$A55&amp;'Table 2.3c'!$C55,UtilityList!$A$4:$A$251&amp;UtilityList!$C$5:$C$251,0)))</f>
        <v>Yukon-Koyukuk (CA)</v>
      </c>
      <c r="Q55" s="452" t="str">
        <f t="array" ref="Q55">IFERROR(INDEX(UtilityList!L$4:L$251,MATCH('Table 2.3c'!$A55&amp;'Table 2.3c'!$B55&amp;'Table 2.3c'!$C55,UtilityList!$A$4:$A$251&amp;UtilityList!$B$4:$B$251&amp;UtilityList!$C$4:$C$251,0)),INDEX(UtilityList!L$4:L$251,MATCH('Table 2.3c'!$A55&amp;'Table 2.3c'!$C55,UtilityList!$A$4:$A$251&amp;UtilityList!$C$5:$C$251,0)))</f>
        <v>Doyon</v>
      </c>
      <c r="R55" s="452" t="str">
        <f t="array" ref="R55">IFERROR(INDEX(UtilityList!M$4:M$251,MATCH('Table 2.3c'!$A55&amp;'Table 2.3c'!$B55&amp;'Table 2.3c'!$C55,UtilityList!$A$4:$A$251&amp;UtilityList!$B$4:$B$251&amp;UtilityList!$C$4:$C$251,0)),INDEX(UtilityList!M$4:M$251,MATCH('Table 2.3c'!$A55&amp;'Table 2.3c'!$C55,UtilityList!$A$4:$A$251&amp;UtilityList!$C$5:$C$251,0)))</f>
        <v>YU</v>
      </c>
      <c r="S55" s="126"/>
    </row>
    <row r="56" spans="1:19" s="344" customFormat="1" ht="75" x14ac:dyDescent="0.25">
      <c r="A56" s="678" t="s">
        <v>524</v>
      </c>
      <c r="B56" s="361" t="s">
        <v>115</v>
      </c>
      <c r="C56" s="679" t="s">
        <v>997</v>
      </c>
      <c r="D56" s="680" t="s">
        <v>545</v>
      </c>
      <c r="E56" s="680" t="s">
        <v>546</v>
      </c>
      <c r="F56" s="681">
        <v>1472.2059999999999</v>
      </c>
      <c r="G56" s="682">
        <v>107113</v>
      </c>
      <c r="H56" s="681">
        <f t="shared" si="0"/>
        <v>14995.820000000002</v>
      </c>
      <c r="I56" s="682">
        <v>3.0444333000000001</v>
      </c>
      <c r="J56" s="682">
        <f t="shared" si="1"/>
        <v>13.744419444885308</v>
      </c>
      <c r="K56" s="682">
        <f t="shared" si="2"/>
        <v>0.22150322988963503</v>
      </c>
      <c r="L56" s="682">
        <v>0.14000000000000001</v>
      </c>
      <c r="M56" s="658" t="s">
        <v>356</v>
      </c>
      <c r="N56" s="627" t="str">
        <f t="array" ref="N56">INDEX(UtilityList!Q$4:Q$251,MATCH('Table 2.3c'!$A56&amp;'Table 2.3c'!$B56&amp;'Table 2.3c'!$C56,UtilityList!$A$4:$A$251&amp;UtilityList!$B$4:$B$251&amp;UtilityList!$C$4:$C$251,0))</f>
        <v>Provides power to Lower Kalskag via intertie. Fuel use and cost data includes information for Lower Kalskag.</v>
      </c>
      <c r="O56" s="452" t="str">
        <f t="array" ref="O56">IFERROR(INDEX(UtilityList!J$4:J$251,MATCH('Table 2.3c'!$A56&amp;'Table 2.3c'!$B56&amp;'Table 2.3c'!$C56,UtilityList!$A$4:$A$251&amp;UtilityList!$B$4:$B$251&amp;UtilityList!$C$4:$C$251,0)),INDEX(UtilityList!J$4:J$251,MATCH('Table 2.3c'!$A56&amp;'Table 2.3c'!$C56,UtilityList!$A$4:$A$251&amp;UtilityList!$C$5:$C$251,0)))</f>
        <v>Lower Yukon-Kuskokwim</v>
      </c>
      <c r="P56" s="452" t="str">
        <f t="array" ref="P56">IFERROR(INDEX(UtilityList!K$4:K$251,MATCH('Table 2.3c'!$A56&amp;'Table 2.3c'!$B56&amp;'Table 2.3c'!$C56,UtilityList!$A$4:$A$251&amp;UtilityList!$B$4:$B$251&amp;UtilityList!$C$4:$C$251,0)),INDEX(UtilityList!K$4:K$251,MATCH('Table 2.3c'!$A56&amp;'Table 2.3c'!$C56,UtilityList!$A$4:$A$251&amp;UtilityList!$C$5:$C$251,0)))</f>
        <v>Bethel (CA)</v>
      </c>
      <c r="Q56" s="452" t="str">
        <f t="array" ref="Q56">IFERROR(INDEX(UtilityList!L$4:L$251,MATCH('Table 2.3c'!$A56&amp;'Table 2.3c'!$B56&amp;'Table 2.3c'!$C56,UtilityList!$A$4:$A$251&amp;UtilityList!$B$4:$B$251&amp;UtilityList!$C$4:$C$251,0)),INDEX(UtilityList!L$4:L$251,MATCH('Table 2.3c'!$A56&amp;'Table 2.3c'!$C56,UtilityList!$A$4:$A$251&amp;UtilityList!$C$5:$C$251,0)))</f>
        <v>Calista</v>
      </c>
      <c r="R56" s="452" t="str">
        <f t="array" ref="R56">IFERROR(INDEX(UtilityList!M$4:M$251,MATCH('Table 2.3c'!$A56&amp;'Table 2.3c'!$B56&amp;'Table 2.3c'!$C56,UtilityList!$A$4:$A$251&amp;UtilityList!$B$4:$B$251&amp;UtilityList!$C$4:$C$251,0)),INDEX(UtilityList!M$4:M$251,MATCH('Table 2.3c'!$A56&amp;'Table 2.3c'!$C56,UtilityList!$A$4:$A$251&amp;UtilityList!$C$5:$C$251,0)))</f>
        <v>SW</v>
      </c>
      <c r="S56" s="126"/>
    </row>
    <row r="57" spans="1:19" s="344" customFormat="1" ht="45" x14ac:dyDescent="0.25">
      <c r="A57" s="678" t="s">
        <v>524</v>
      </c>
      <c r="B57" s="361" t="s">
        <v>80</v>
      </c>
      <c r="C57" s="679" t="s">
        <v>80</v>
      </c>
      <c r="D57" s="680" t="s">
        <v>545</v>
      </c>
      <c r="E57" s="680" t="s">
        <v>546</v>
      </c>
      <c r="F57" s="681">
        <v>727.03800000000001</v>
      </c>
      <c r="G57" s="682">
        <v>53499</v>
      </c>
      <c r="H57" s="681">
        <f t="shared" si="0"/>
        <v>7489.8600000000006</v>
      </c>
      <c r="I57" s="682">
        <v>2.7211333</v>
      </c>
      <c r="J57" s="682">
        <f t="shared" si="1"/>
        <v>13.589749341109179</v>
      </c>
      <c r="K57" s="682">
        <f t="shared" si="2"/>
        <v>0.20023425242793361</v>
      </c>
      <c r="L57" s="682">
        <v>0.14000000000000001</v>
      </c>
      <c r="M57" s="658" t="s">
        <v>356</v>
      </c>
      <c r="N57" s="627">
        <f t="array" ref="N57">INDEX(UtilityList!Q$4:Q$251,MATCH('Table 2.3c'!$A57&amp;'Table 2.3c'!$B57&amp;'Table 2.3c'!$C57,UtilityList!$A$4:$A$251&amp;UtilityList!$B$4:$B$251&amp;UtilityList!$C$4:$C$251,0))</f>
        <v>0</v>
      </c>
      <c r="O57" s="452" t="str">
        <f t="array" ref="O57">IFERROR(INDEX(UtilityList!J$4:J$251,MATCH('Table 2.3c'!$A57&amp;'Table 2.3c'!$B57&amp;'Table 2.3c'!$C57,UtilityList!$A$4:$A$251&amp;UtilityList!$B$4:$B$251&amp;UtilityList!$C$4:$C$251,0)),INDEX(UtilityList!J$4:J$251,MATCH('Table 2.3c'!$A57&amp;'Table 2.3c'!$C57,UtilityList!$A$4:$A$251&amp;UtilityList!$C$5:$C$251,0)))</f>
        <v>Yukon-Koyukuk/Upper Tanana</v>
      </c>
      <c r="P57" s="452" t="str">
        <f t="array" ref="P57">IFERROR(INDEX(UtilityList!K$4:K$251,MATCH('Table 2.3c'!$A57&amp;'Table 2.3c'!$B57&amp;'Table 2.3c'!$C57,UtilityList!$A$4:$A$251&amp;UtilityList!$B$4:$B$251&amp;UtilityList!$C$4:$C$251,0)),INDEX(UtilityList!K$4:K$251,MATCH('Table 2.3c'!$A57&amp;'Table 2.3c'!$C57,UtilityList!$A$4:$A$251&amp;UtilityList!$C$5:$C$251,0)))</f>
        <v>Yukon-Koyukuk (CA)</v>
      </c>
      <c r="Q57" s="452" t="str">
        <f t="array" ref="Q57">IFERROR(INDEX(UtilityList!L$4:L$251,MATCH('Table 2.3c'!$A57&amp;'Table 2.3c'!$B57&amp;'Table 2.3c'!$C57,UtilityList!$A$4:$A$251&amp;UtilityList!$B$4:$B$251&amp;UtilityList!$C$4:$C$251,0)),INDEX(UtilityList!L$4:L$251,MATCH('Table 2.3c'!$A57&amp;'Table 2.3c'!$C57,UtilityList!$A$4:$A$251&amp;UtilityList!$C$5:$C$251,0)))</f>
        <v>Doyon</v>
      </c>
      <c r="R57" s="452" t="str">
        <f t="array" ref="R57">IFERROR(INDEX(UtilityList!M$4:M$251,MATCH('Table 2.3c'!$A57&amp;'Table 2.3c'!$B57&amp;'Table 2.3c'!$C57,UtilityList!$A$4:$A$251&amp;UtilityList!$B$4:$B$251&amp;UtilityList!$C$4:$C$251,0)),INDEX(UtilityList!M$4:M$251,MATCH('Table 2.3c'!$A57&amp;'Table 2.3c'!$C57,UtilityList!$A$4:$A$251&amp;UtilityList!$C$5:$C$251,0)))</f>
        <v>YU</v>
      </c>
      <c r="S57" s="126"/>
    </row>
    <row r="58" spans="1:19" s="344" customFormat="1" ht="75" x14ac:dyDescent="0.25">
      <c r="A58" s="678" t="s">
        <v>524</v>
      </c>
      <c r="B58" s="361" t="s">
        <v>81</v>
      </c>
      <c r="C58" s="679" t="s">
        <v>992</v>
      </c>
      <c r="D58" s="680" t="s">
        <v>545</v>
      </c>
      <c r="E58" s="680" t="s">
        <v>546</v>
      </c>
      <c r="F58" s="681">
        <v>2286.42</v>
      </c>
      <c r="G58" s="682">
        <v>168858</v>
      </c>
      <c r="H58" s="681">
        <f t="shared" si="0"/>
        <v>23640.120000000003</v>
      </c>
      <c r="I58" s="682">
        <v>3.45</v>
      </c>
      <c r="J58" s="682">
        <f t="shared" si="1"/>
        <v>13.540489642184557</v>
      </c>
      <c r="K58" s="682">
        <f t="shared" si="2"/>
        <v>0.2547913769123783</v>
      </c>
      <c r="L58" s="682">
        <v>0.14000000000000001</v>
      </c>
      <c r="M58" s="658" t="s">
        <v>356</v>
      </c>
      <c r="N58" s="627" t="str">
        <f t="array" ref="N58">INDEX(UtilityList!Q$4:Q$251,MATCH('Table 2.3c'!$A58&amp;'Table 2.3c'!$B58&amp;'Table 2.3c'!$C58,UtilityList!$A$4:$A$251&amp;UtilityList!$B$4:$B$251&amp;UtilityList!$C$4:$C$251,0))</f>
        <v>Provides power to Nunapitchuk via intertie.  Fuel use and cost includes Nunapitchuk's information.</v>
      </c>
      <c r="O58" s="452" t="str">
        <f t="array" ref="O58">IFERROR(INDEX(UtilityList!J$4:J$251,MATCH('Table 2.3c'!$A58&amp;'Table 2.3c'!$B58&amp;'Table 2.3c'!$C58,UtilityList!$A$4:$A$251&amp;UtilityList!$B$4:$B$251&amp;UtilityList!$C$4:$C$251,0)),INDEX(UtilityList!J$4:J$251,MATCH('Table 2.3c'!$A58&amp;'Table 2.3c'!$C58,UtilityList!$A$4:$A$251&amp;UtilityList!$C$5:$C$251,0)))</f>
        <v>Lower Yukon-Kuskokwim</v>
      </c>
      <c r="P58" s="452" t="str">
        <f t="array" ref="P58">IFERROR(INDEX(UtilityList!K$4:K$251,MATCH('Table 2.3c'!$A58&amp;'Table 2.3c'!$B58&amp;'Table 2.3c'!$C58,UtilityList!$A$4:$A$251&amp;UtilityList!$B$4:$B$251&amp;UtilityList!$C$4:$C$251,0)),INDEX(UtilityList!K$4:K$251,MATCH('Table 2.3c'!$A58&amp;'Table 2.3c'!$C58,UtilityList!$A$4:$A$251&amp;UtilityList!$C$5:$C$251,0)))</f>
        <v>Bethel (CA)</v>
      </c>
      <c r="Q58" s="452" t="str">
        <f t="array" ref="Q58">IFERROR(INDEX(UtilityList!L$4:L$251,MATCH('Table 2.3c'!$A58&amp;'Table 2.3c'!$B58&amp;'Table 2.3c'!$C58,UtilityList!$A$4:$A$251&amp;UtilityList!$B$4:$B$251&amp;UtilityList!$C$4:$C$251,0)),INDEX(UtilityList!L$4:L$251,MATCH('Table 2.3c'!$A58&amp;'Table 2.3c'!$C58,UtilityList!$A$4:$A$251&amp;UtilityList!$C$5:$C$251,0)))</f>
        <v>Calista</v>
      </c>
      <c r="R58" s="452" t="str">
        <f t="array" ref="R58">IFERROR(INDEX(UtilityList!M$4:M$251,MATCH('Table 2.3c'!$A58&amp;'Table 2.3c'!$B58&amp;'Table 2.3c'!$C58,UtilityList!$A$4:$A$251&amp;UtilityList!$B$4:$B$251&amp;UtilityList!$C$4:$C$251,0)),INDEX(UtilityList!M$4:M$251,MATCH('Table 2.3c'!$A58&amp;'Table 2.3c'!$C58,UtilityList!$A$4:$A$251&amp;UtilityList!$C$5:$C$251,0)))</f>
        <v>SW</v>
      </c>
      <c r="S58" s="126"/>
    </row>
    <row r="59" spans="1:19" s="344" customFormat="1" ht="45" x14ac:dyDescent="0.25">
      <c r="A59" s="678" t="s">
        <v>524</v>
      </c>
      <c r="B59" s="361" t="s">
        <v>82</v>
      </c>
      <c r="C59" s="679" t="s">
        <v>82</v>
      </c>
      <c r="D59" s="680" t="s">
        <v>545</v>
      </c>
      <c r="E59" s="680" t="s">
        <v>546</v>
      </c>
      <c r="F59" s="681">
        <v>1511.732</v>
      </c>
      <c r="G59" s="682">
        <v>120902.09</v>
      </c>
      <c r="H59" s="681">
        <f t="shared" si="0"/>
        <v>16926.292600000001</v>
      </c>
      <c r="I59" s="682">
        <v>3.6971333</v>
      </c>
      <c r="J59" s="682">
        <f t="shared" si="1"/>
        <v>12.503770613063844</v>
      </c>
      <c r="K59" s="682">
        <f t="shared" si="2"/>
        <v>0.29568147196632538</v>
      </c>
      <c r="L59" s="682">
        <v>0.14000000000000001</v>
      </c>
      <c r="M59" s="658" t="s">
        <v>356</v>
      </c>
      <c r="N59" s="627">
        <f t="array" ref="N59">INDEX(UtilityList!Q$4:Q$251,MATCH('Table 2.3c'!$A59&amp;'Table 2.3c'!$B59&amp;'Table 2.3c'!$C59,UtilityList!$A$4:$A$251&amp;UtilityList!$B$4:$B$251&amp;UtilityList!$C$4:$C$251,0))</f>
        <v>0</v>
      </c>
      <c r="O59" s="452" t="str">
        <f t="array" ref="O59">IFERROR(INDEX(UtilityList!J$4:J$251,MATCH('Table 2.3c'!$A59&amp;'Table 2.3c'!$B59&amp;'Table 2.3c'!$C59,UtilityList!$A$4:$A$251&amp;UtilityList!$B$4:$B$251&amp;UtilityList!$C$4:$C$251,0)),INDEX(UtilityList!J$4:J$251,MATCH('Table 2.3c'!$A59&amp;'Table 2.3c'!$C59,UtilityList!$A$4:$A$251&amp;UtilityList!$C$5:$C$251,0)))</f>
        <v>Northwest Arctic</v>
      </c>
      <c r="P59" s="452" t="str">
        <f t="array" ref="P59">IFERROR(INDEX(UtilityList!K$4:K$251,MATCH('Table 2.3c'!$A59&amp;'Table 2.3c'!$B59&amp;'Table 2.3c'!$C59,UtilityList!$A$4:$A$251&amp;UtilityList!$B$4:$B$251&amp;UtilityList!$C$4:$C$251,0)),INDEX(UtilityList!K$4:K$251,MATCH('Table 2.3c'!$A59&amp;'Table 2.3c'!$C59,UtilityList!$A$4:$A$251&amp;UtilityList!$C$5:$C$251,0)))</f>
        <v>Northwest Arctic</v>
      </c>
      <c r="Q59" s="452" t="str">
        <f t="array" ref="Q59">IFERROR(INDEX(UtilityList!L$4:L$251,MATCH('Table 2.3c'!$A59&amp;'Table 2.3c'!$B59&amp;'Table 2.3c'!$C59,UtilityList!$A$4:$A$251&amp;UtilityList!$B$4:$B$251&amp;UtilityList!$C$4:$C$251,0)),INDEX(UtilityList!L$4:L$251,MATCH('Table 2.3c'!$A59&amp;'Table 2.3c'!$C59,UtilityList!$A$4:$A$251&amp;UtilityList!$C$5:$C$251,0)))</f>
        <v>NANA</v>
      </c>
      <c r="R59" s="452" t="str">
        <f t="array" ref="R59">IFERROR(INDEX(UtilityList!M$4:M$251,MATCH('Table 2.3c'!$A59&amp;'Table 2.3c'!$B59&amp;'Table 2.3c'!$C59,UtilityList!$A$4:$A$251&amp;UtilityList!$B$4:$B$251&amp;UtilityList!$C$4:$C$251,0)),INDEX(UtilityList!M$4:M$251,MATCH('Table 2.3c'!$A59&amp;'Table 2.3c'!$C59,UtilityList!$A$4:$A$251&amp;UtilityList!$C$5:$C$251,0)))</f>
        <v>AN</v>
      </c>
      <c r="S59" s="126"/>
    </row>
    <row r="60" spans="1:19" s="344" customFormat="1" ht="45" x14ac:dyDescent="0.25">
      <c r="A60" s="678" t="s">
        <v>524</v>
      </c>
      <c r="B60" s="361" t="s">
        <v>83</v>
      </c>
      <c r="C60" s="679" t="s">
        <v>83</v>
      </c>
      <c r="D60" s="680" t="s">
        <v>545</v>
      </c>
      <c r="E60" s="680" t="s">
        <v>546</v>
      </c>
      <c r="F60" s="681">
        <v>1212.085</v>
      </c>
      <c r="G60" s="682">
        <v>94027</v>
      </c>
      <c r="H60" s="681">
        <f t="shared" si="0"/>
        <v>13163.78</v>
      </c>
      <c r="I60" s="682">
        <v>3.3707666999999999</v>
      </c>
      <c r="J60" s="682">
        <f t="shared" si="1"/>
        <v>12.890818594658981</v>
      </c>
      <c r="K60" s="682">
        <f t="shared" si="2"/>
        <v>0.26148585330310992</v>
      </c>
      <c r="L60" s="682">
        <v>0.14000000000000001</v>
      </c>
      <c r="M60" s="658" t="s">
        <v>356</v>
      </c>
      <c r="N60" s="627">
        <f t="array" ref="N60">INDEX(UtilityList!Q$4:Q$251,MATCH('Table 2.3c'!$A60&amp;'Table 2.3c'!$B60&amp;'Table 2.3c'!$C60,UtilityList!$A$4:$A$251&amp;UtilityList!$B$4:$B$251&amp;UtilityList!$C$4:$C$251,0))</f>
        <v>0</v>
      </c>
      <c r="O60" s="452" t="str">
        <f t="array" ref="O60">IFERROR(INDEX(UtilityList!J$4:J$251,MATCH('Table 2.3c'!$A60&amp;'Table 2.3c'!$B60&amp;'Table 2.3c'!$C60,UtilityList!$A$4:$A$251&amp;UtilityList!$B$4:$B$251&amp;UtilityList!$C$4:$C$251,0)),INDEX(UtilityList!J$4:J$251,MATCH('Table 2.3c'!$A60&amp;'Table 2.3c'!$C60,UtilityList!$A$4:$A$251&amp;UtilityList!$C$5:$C$251,0)))</f>
        <v>Northwest Arctic</v>
      </c>
      <c r="P60" s="452" t="str">
        <f t="array" ref="P60">IFERROR(INDEX(UtilityList!K$4:K$251,MATCH('Table 2.3c'!$A60&amp;'Table 2.3c'!$B60&amp;'Table 2.3c'!$C60,UtilityList!$A$4:$A$251&amp;UtilityList!$B$4:$B$251&amp;UtilityList!$C$4:$C$251,0)),INDEX(UtilityList!K$4:K$251,MATCH('Table 2.3c'!$A60&amp;'Table 2.3c'!$C60,UtilityList!$A$4:$A$251&amp;UtilityList!$C$5:$C$251,0)))</f>
        <v>Northwest Arctic</v>
      </c>
      <c r="Q60" s="452" t="str">
        <f t="array" ref="Q60">IFERROR(INDEX(UtilityList!L$4:L$251,MATCH('Table 2.3c'!$A60&amp;'Table 2.3c'!$B60&amp;'Table 2.3c'!$C60,UtilityList!$A$4:$A$251&amp;UtilityList!$B$4:$B$251&amp;UtilityList!$C$4:$C$251,0)),INDEX(UtilityList!L$4:L$251,MATCH('Table 2.3c'!$A60&amp;'Table 2.3c'!$C60,UtilityList!$A$4:$A$251&amp;UtilityList!$C$5:$C$251,0)))</f>
        <v>NANA</v>
      </c>
      <c r="R60" s="452" t="str">
        <f t="array" ref="R60">IFERROR(INDEX(UtilityList!M$4:M$251,MATCH('Table 2.3c'!$A60&amp;'Table 2.3c'!$B60&amp;'Table 2.3c'!$C60,UtilityList!$A$4:$A$251&amp;UtilityList!$B$4:$B$251&amp;UtilityList!$C$4:$C$251,0)),INDEX(UtilityList!M$4:M$251,MATCH('Table 2.3c'!$A60&amp;'Table 2.3c'!$C60,UtilityList!$A$4:$A$251&amp;UtilityList!$C$5:$C$251,0)))</f>
        <v>AN</v>
      </c>
      <c r="S60" s="126"/>
    </row>
    <row r="61" spans="1:19" s="344" customFormat="1" ht="45" x14ac:dyDescent="0.25">
      <c r="A61" s="678" t="s">
        <v>524</v>
      </c>
      <c r="B61" s="361" t="s">
        <v>84</v>
      </c>
      <c r="C61" s="679" t="s">
        <v>84</v>
      </c>
      <c r="D61" s="680" t="s">
        <v>545</v>
      </c>
      <c r="E61" s="680" t="s">
        <v>546</v>
      </c>
      <c r="F61" s="681">
        <v>1966.4570000000001</v>
      </c>
      <c r="G61" s="682">
        <v>151421</v>
      </c>
      <c r="H61" s="681">
        <f t="shared" si="0"/>
        <v>21198.940000000002</v>
      </c>
      <c r="I61" s="682">
        <v>3.0814667</v>
      </c>
      <c r="J61" s="682">
        <f t="shared" si="1"/>
        <v>12.986686126759167</v>
      </c>
      <c r="K61" s="682">
        <f t="shared" si="2"/>
        <v>0.23727890779239008</v>
      </c>
      <c r="L61" s="682">
        <v>0.14000000000000001</v>
      </c>
      <c r="M61" s="658" t="s">
        <v>356</v>
      </c>
      <c r="N61" s="627">
        <f t="array" ref="N61">INDEX(UtilityList!Q$4:Q$251,MATCH('Table 2.3c'!$A61&amp;'Table 2.3c'!$B61&amp;'Table 2.3c'!$C61,UtilityList!$A$4:$A$251&amp;UtilityList!$B$4:$B$251&amp;UtilityList!$C$4:$C$251,0))</f>
        <v>0</v>
      </c>
      <c r="O61" s="452" t="str">
        <f t="array" ref="O61">IFERROR(INDEX(UtilityList!J$4:J$251,MATCH('Table 2.3c'!$A61&amp;'Table 2.3c'!$B61&amp;'Table 2.3c'!$C61,UtilityList!$A$4:$A$251&amp;UtilityList!$B$4:$B$251&amp;UtilityList!$C$4:$C$251,0)),INDEX(UtilityList!J$4:J$251,MATCH('Table 2.3c'!$A61&amp;'Table 2.3c'!$C61,UtilityList!$A$4:$A$251&amp;UtilityList!$C$5:$C$251,0)))</f>
        <v>Lower Yukon-Kuskokwim</v>
      </c>
      <c r="P61" s="452" t="str">
        <f t="array" ref="P61">IFERROR(INDEX(UtilityList!K$4:K$251,MATCH('Table 2.3c'!$A61&amp;'Table 2.3c'!$B61&amp;'Table 2.3c'!$C61,UtilityList!$A$4:$A$251&amp;UtilityList!$B$4:$B$251&amp;UtilityList!$C$4:$C$251,0)),INDEX(UtilityList!K$4:K$251,MATCH('Table 2.3c'!$A61&amp;'Table 2.3c'!$C61,UtilityList!$A$4:$A$251&amp;UtilityList!$C$5:$C$251,0)))</f>
        <v>Wade Hampton (CA)</v>
      </c>
      <c r="Q61" s="452" t="str">
        <f t="array" ref="Q61">IFERROR(INDEX(UtilityList!L$4:L$251,MATCH('Table 2.3c'!$A61&amp;'Table 2.3c'!$B61&amp;'Table 2.3c'!$C61,UtilityList!$A$4:$A$251&amp;UtilityList!$B$4:$B$251&amp;UtilityList!$C$4:$C$251,0)),INDEX(UtilityList!L$4:L$251,MATCH('Table 2.3c'!$A61&amp;'Table 2.3c'!$C61,UtilityList!$A$4:$A$251&amp;UtilityList!$C$5:$C$251,0)))</f>
        <v>Calista</v>
      </c>
      <c r="R61" s="452" t="str">
        <f t="array" ref="R61">IFERROR(INDEX(UtilityList!M$4:M$251,MATCH('Table 2.3c'!$A61&amp;'Table 2.3c'!$B61&amp;'Table 2.3c'!$C61,UtilityList!$A$4:$A$251&amp;UtilityList!$B$4:$B$251&amp;UtilityList!$C$4:$C$251,0)),INDEX(UtilityList!M$4:M$251,MATCH('Table 2.3c'!$A61&amp;'Table 2.3c'!$C61,UtilityList!$A$4:$A$251&amp;UtilityList!$C$5:$C$251,0)))</f>
        <v>YU</v>
      </c>
      <c r="S61" s="126"/>
    </row>
    <row r="62" spans="1:19" s="344" customFormat="1" ht="45" x14ac:dyDescent="0.25">
      <c r="A62" s="678" t="s">
        <v>524</v>
      </c>
      <c r="B62" s="361" t="s">
        <v>85</v>
      </c>
      <c r="C62" s="679" t="s">
        <v>85</v>
      </c>
      <c r="D62" s="680" t="s">
        <v>545</v>
      </c>
      <c r="E62" s="680" t="s">
        <v>546</v>
      </c>
      <c r="F62" s="681">
        <v>1315.9179999999999</v>
      </c>
      <c r="G62" s="682">
        <v>96030.999999999985</v>
      </c>
      <c r="H62" s="681">
        <f t="shared" si="0"/>
        <v>13444.34</v>
      </c>
      <c r="I62" s="682">
        <v>3.0799333</v>
      </c>
      <c r="J62" s="682">
        <f t="shared" si="1"/>
        <v>13.703054222074124</v>
      </c>
      <c r="K62" s="682">
        <f t="shared" si="2"/>
        <v>0.22476254199144624</v>
      </c>
      <c r="L62" s="682">
        <v>0.14000000000000001</v>
      </c>
      <c r="M62" s="658" t="s">
        <v>356</v>
      </c>
      <c r="N62" s="627">
        <f t="array" ref="N62">INDEX(UtilityList!Q$4:Q$251,MATCH('Table 2.3c'!$A62&amp;'Table 2.3c'!$B62&amp;'Table 2.3c'!$C62,UtilityList!$A$4:$A$251&amp;UtilityList!$B$4:$B$251&amp;UtilityList!$C$4:$C$251,0))</f>
        <v>0</v>
      </c>
      <c r="O62" s="452" t="str">
        <f t="array" ref="O62">IFERROR(INDEX(UtilityList!J$4:J$251,MATCH('Table 2.3c'!$A62&amp;'Table 2.3c'!$B62&amp;'Table 2.3c'!$C62,UtilityList!$A$4:$A$251&amp;UtilityList!$B$4:$B$251&amp;UtilityList!$C$4:$C$251,0)),INDEX(UtilityList!J$4:J$251,MATCH('Table 2.3c'!$A62&amp;'Table 2.3c'!$C62,UtilityList!$A$4:$A$251&amp;UtilityList!$C$5:$C$251,0)))</f>
        <v>Bering Straits</v>
      </c>
      <c r="P62" s="452" t="str">
        <f t="array" ref="P62">IFERROR(INDEX(UtilityList!K$4:K$251,MATCH('Table 2.3c'!$A62&amp;'Table 2.3c'!$B62&amp;'Table 2.3c'!$C62,UtilityList!$A$4:$A$251&amp;UtilityList!$B$4:$B$251&amp;UtilityList!$C$4:$C$251,0)),INDEX(UtilityList!K$4:K$251,MATCH('Table 2.3c'!$A62&amp;'Table 2.3c'!$C62,UtilityList!$A$4:$A$251&amp;UtilityList!$C$5:$C$251,0)))</f>
        <v>Nome (CA)</v>
      </c>
      <c r="Q62" s="452" t="str">
        <f t="array" ref="Q62">IFERROR(INDEX(UtilityList!L$4:L$251,MATCH('Table 2.3c'!$A62&amp;'Table 2.3c'!$B62&amp;'Table 2.3c'!$C62,UtilityList!$A$4:$A$251&amp;UtilityList!$B$4:$B$251&amp;UtilityList!$C$4:$C$251,0)),INDEX(UtilityList!L$4:L$251,MATCH('Table 2.3c'!$A62&amp;'Table 2.3c'!$C62,UtilityList!$A$4:$A$251&amp;UtilityList!$C$5:$C$251,0)))</f>
        <v>Bering Straits</v>
      </c>
      <c r="R62" s="452" t="str">
        <f t="array" ref="R62">IFERROR(INDEX(UtilityList!M$4:M$251,MATCH('Table 2.3c'!$A62&amp;'Table 2.3c'!$B62&amp;'Table 2.3c'!$C62,UtilityList!$A$4:$A$251&amp;UtilityList!$B$4:$B$251&amp;UtilityList!$C$4:$C$251,0)),INDEX(UtilityList!M$4:M$251,MATCH('Table 2.3c'!$A62&amp;'Table 2.3c'!$C62,UtilityList!$A$4:$A$251&amp;UtilityList!$C$5:$C$251,0)))</f>
        <v>AN</v>
      </c>
      <c r="S62" s="126"/>
    </row>
    <row r="63" spans="1:19" s="344" customFormat="1" ht="75" x14ac:dyDescent="0.25">
      <c r="A63" s="678" t="s">
        <v>524</v>
      </c>
      <c r="B63" s="361" t="s">
        <v>115</v>
      </c>
      <c r="C63" s="679" t="s">
        <v>86</v>
      </c>
      <c r="D63" s="680" t="s">
        <v>545</v>
      </c>
      <c r="E63" s="680" t="s">
        <v>546</v>
      </c>
      <c r="F63" s="681">
        <v>0</v>
      </c>
      <c r="G63" s="682">
        <v>0</v>
      </c>
      <c r="H63" s="681">
        <f t="shared" si="0"/>
        <v>0</v>
      </c>
      <c r="I63" s="682">
        <v>3.0444333000000001</v>
      </c>
      <c r="J63" s="682" t="str">
        <f t="shared" si="1"/>
        <v xml:space="preserve"> </v>
      </c>
      <c r="K63" s="682" t="str">
        <f t="shared" si="2"/>
        <v xml:space="preserve"> </v>
      </c>
      <c r="L63" s="682">
        <v>0.14000000000000001</v>
      </c>
      <c r="M63" s="658" t="s">
        <v>356</v>
      </c>
      <c r="N63" s="627" t="str">
        <f t="array" ref="N63">INDEX(UtilityList!Q$4:Q$251,MATCH('Table 2.3c'!$A63&amp;'Table 2.3c'!$B63&amp;'Table 2.3c'!$C63,UtilityList!$A$4:$A$251&amp;UtilityList!$B$4:$B$251&amp;UtilityList!$C$4:$C$251,0))</f>
        <v>Receives power from (Upper) Kalskag via intertie. For fuel use and cost, please refer to (Upper) Kalskag.</v>
      </c>
      <c r="O63" s="452" t="str">
        <f t="array" ref="O63">IFERROR(INDEX(UtilityList!J$4:J$251,MATCH('Table 2.3c'!$A63&amp;'Table 2.3c'!$B63&amp;'Table 2.3c'!$C63,UtilityList!$A$4:$A$251&amp;UtilityList!$B$4:$B$251&amp;UtilityList!$C$4:$C$251,0)),INDEX(UtilityList!J$4:J$251,MATCH('Table 2.3c'!$A63&amp;'Table 2.3c'!$C63,UtilityList!$A$4:$A$251&amp;UtilityList!$C$5:$C$251,0)))</f>
        <v>Lower Yukon-Kuskokwim</v>
      </c>
      <c r="P63" s="452" t="str">
        <f t="array" ref="P63">IFERROR(INDEX(UtilityList!K$4:K$251,MATCH('Table 2.3c'!$A63&amp;'Table 2.3c'!$B63&amp;'Table 2.3c'!$C63,UtilityList!$A$4:$A$251&amp;UtilityList!$B$4:$B$251&amp;UtilityList!$C$4:$C$251,0)),INDEX(UtilityList!K$4:K$251,MATCH('Table 2.3c'!$A63&amp;'Table 2.3c'!$C63,UtilityList!$A$4:$A$251&amp;UtilityList!$C$5:$C$251,0)))</f>
        <v>Bethel (CA)</v>
      </c>
      <c r="Q63" s="452" t="str">
        <f t="array" ref="Q63">IFERROR(INDEX(UtilityList!L$4:L$251,MATCH('Table 2.3c'!$A63&amp;'Table 2.3c'!$B63&amp;'Table 2.3c'!$C63,UtilityList!$A$4:$A$251&amp;UtilityList!$B$4:$B$251&amp;UtilityList!$C$4:$C$251,0)),INDEX(UtilityList!L$4:L$251,MATCH('Table 2.3c'!$A63&amp;'Table 2.3c'!$C63,UtilityList!$A$4:$A$251&amp;UtilityList!$C$5:$C$251,0)))</f>
        <v>Calista</v>
      </c>
      <c r="R63" s="452" t="str">
        <f t="array" ref="R63">IFERROR(INDEX(UtilityList!M$4:M$251,MATCH('Table 2.3c'!$A63&amp;'Table 2.3c'!$B63&amp;'Table 2.3c'!$C63,UtilityList!$A$4:$A$251&amp;UtilityList!$B$4:$B$251&amp;UtilityList!$C$4:$C$251,0)),INDEX(UtilityList!M$4:M$251,MATCH('Table 2.3c'!$A63&amp;'Table 2.3c'!$C63,UtilityList!$A$4:$A$251&amp;UtilityList!$C$5:$C$251,0)))</f>
        <v>SW</v>
      </c>
    </row>
    <row r="64" spans="1:19" s="344" customFormat="1" ht="45" x14ac:dyDescent="0.25">
      <c r="A64" s="678" t="s">
        <v>524</v>
      </c>
      <c r="B64" s="361" t="s">
        <v>87</v>
      </c>
      <c r="C64" s="679" t="s">
        <v>87</v>
      </c>
      <c r="D64" s="680" t="s">
        <v>545</v>
      </c>
      <c r="E64" s="680" t="s">
        <v>546</v>
      </c>
      <c r="F64" s="681">
        <v>1644.1759999999999</v>
      </c>
      <c r="G64" s="682">
        <v>123515</v>
      </c>
      <c r="H64" s="681">
        <f t="shared" si="0"/>
        <v>17292.100000000002</v>
      </c>
      <c r="I64" s="682">
        <v>2.9537333000000001</v>
      </c>
      <c r="J64" s="682">
        <f t="shared" si="1"/>
        <v>13.311549204550055</v>
      </c>
      <c r="K64" s="682">
        <f t="shared" si="2"/>
        <v>0.2218925276548861</v>
      </c>
      <c r="L64" s="682">
        <v>0.14000000000000001</v>
      </c>
      <c r="M64" s="658" t="s">
        <v>356</v>
      </c>
      <c r="N64" s="627">
        <f t="array" ref="N64">INDEX(UtilityList!Q$4:Q$251,MATCH('Table 2.3c'!$A64&amp;'Table 2.3c'!$B64&amp;'Table 2.3c'!$C64,UtilityList!$A$4:$A$251&amp;UtilityList!$B$4:$B$251&amp;UtilityList!$C$4:$C$251,0))</f>
        <v>0</v>
      </c>
      <c r="O64" s="452" t="str">
        <f t="array" ref="O64">IFERROR(INDEX(UtilityList!J$4:J$251,MATCH('Table 2.3c'!$A64&amp;'Table 2.3c'!$B64&amp;'Table 2.3c'!$C64,UtilityList!$A$4:$A$251&amp;UtilityList!$B$4:$B$251&amp;UtilityList!$C$4:$C$251,0)),INDEX(UtilityList!J$4:J$251,MATCH('Table 2.3c'!$A64&amp;'Table 2.3c'!$C64,UtilityList!$A$4:$A$251&amp;UtilityList!$C$5:$C$251,0)))</f>
        <v>Lower Yukon-Kuskokwim</v>
      </c>
      <c r="P64" s="452" t="str">
        <f t="array" ref="P64">IFERROR(INDEX(UtilityList!K$4:K$251,MATCH('Table 2.3c'!$A64&amp;'Table 2.3c'!$B64&amp;'Table 2.3c'!$C64,UtilityList!$A$4:$A$251&amp;UtilityList!$B$4:$B$251&amp;UtilityList!$C$4:$C$251,0)),INDEX(UtilityList!K$4:K$251,MATCH('Table 2.3c'!$A64&amp;'Table 2.3c'!$C64,UtilityList!$A$4:$A$251&amp;UtilityList!$C$5:$C$251,0)))</f>
        <v>Wade Hampton (CA)</v>
      </c>
      <c r="Q64" s="452" t="str">
        <f t="array" ref="Q64">IFERROR(INDEX(UtilityList!L$4:L$251,MATCH('Table 2.3c'!$A64&amp;'Table 2.3c'!$B64&amp;'Table 2.3c'!$C64,UtilityList!$A$4:$A$251&amp;UtilityList!$B$4:$B$251&amp;UtilityList!$C$4:$C$251,0)),INDEX(UtilityList!L$4:L$251,MATCH('Table 2.3c'!$A64&amp;'Table 2.3c'!$C64,UtilityList!$A$4:$A$251&amp;UtilityList!$C$5:$C$251,0)))</f>
        <v>Calista</v>
      </c>
      <c r="R64" s="452" t="str">
        <f t="array" ref="R64">IFERROR(INDEX(UtilityList!M$4:M$251,MATCH('Table 2.3c'!$A64&amp;'Table 2.3c'!$B64&amp;'Table 2.3c'!$C64,UtilityList!$A$4:$A$251&amp;UtilityList!$B$4:$B$251&amp;UtilityList!$C$4:$C$251,0)),INDEX(UtilityList!M$4:M$251,MATCH('Table 2.3c'!$A64&amp;'Table 2.3c'!$C64,UtilityList!$A$4:$A$251&amp;UtilityList!$C$5:$C$251,0)))</f>
        <v>YU</v>
      </c>
    </row>
    <row r="65" spans="1:19" s="344" customFormat="1" ht="45" x14ac:dyDescent="0.25">
      <c r="A65" s="678" t="s">
        <v>524</v>
      </c>
      <c r="B65" s="361" t="s">
        <v>88</v>
      </c>
      <c r="C65" s="679" t="s">
        <v>88</v>
      </c>
      <c r="D65" s="680" t="s">
        <v>545</v>
      </c>
      <c r="E65" s="680" t="s">
        <v>546</v>
      </c>
      <c r="F65" s="681">
        <v>708.83100000000002</v>
      </c>
      <c r="G65" s="682">
        <v>58222</v>
      </c>
      <c r="H65" s="681">
        <f t="shared" si="0"/>
        <v>8151.0800000000008</v>
      </c>
      <c r="I65" s="682">
        <v>3.0558333000000002</v>
      </c>
      <c r="J65" s="682">
        <f t="shared" si="1"/>
        <v>12.174624712308063</v>
      </c>
      <c r="K65" s="682">
        <f t="shared" si="2"/>
        <v>0.25100020511602905</v>
      </c>
      <c r="L65" s="682">
        <v>0.14000000000000001</v>
      </c>
      <c r="M65" s="658" t="s">
        <v>356</v>
      </c>
      <c r="N65" s="627">
        <f t="array" ref="N65">INDEX(UtilityList!Q$4:Q$251,MATCH('Table 2.3c'!$A65&amp;'Table 2.3c'!$B65&amp;'Table 2.3c'!$C65,UtilityList!$A$4:$A$251&amp;UtilityList!$B$4:$B$251&amp;UtilityList!$C$4:$C$251,0))</f>
        <v>0</v>
      </c>
      <c r="O65" s="452" t="str">
        <f t="array" ref="O65">IFERROR(INDEX(UtilityList!J$4:J$251,MATCH('Table 2.3c'!$A65&amp;'Table 2.3c'!$B65&amp;'Table 2.3c'!$C65,UtilityList!$A$4:$A$251&amp;UtilityList!$B$4:$B$251&amp;UtilityList!$C$4:$C$251,0)),INDEX(UtilityList!J$4:J$251,MATCH('Table 2.3c'!$A65&amp;'Table 2.3c'!$C65,UtilityList!$A$4:$A$251&amp;UtilityList!$C$5:$C$251,0)))</f>
        <v>Lower Yukon-Kuskokwim</v>
      </c>
      <c r="P65" s="452" t="str">
        <f t="array" ref="P65">IFERROR(INDEX(UtilityList!K$4:K$251,MATCH('Table 2.3c'!$A65&amp;'Table 2.3c'!$B65&amp;'Table 2.3c'!$C65,UtilityList!$A$4:$A$251&amp;UtilityList!$B$4:$B$251&amp;UtilityList!$C$4:$C$251,0)),INDEX(UtilityList!K$4:K$251,MATCH('Table 2.3c'!$A65&amp;'Table 2.3c'!$C65,UtilityList!$A$4:$A$251&amp;UtilityList!$C$5:$C$251,0)))</f>
        <v>Bethel (CA)</v>
      </c>
      <c r="Q65" s="452" t="str">
        <f t="array" ref="Q65">IFERROR(INDEX(UtilityList!L$4:L$251,MATCH('Table 2.3c'!$A65&amp;'Table 2.3c'!$B65&amp;'Table 2.3c'!$C65,UtilityList!$A$4:$A$251&amp;UtilityList!$B$4:$B$251&amp;UtilityList!$C$4:$C$251,0)),INDEX(UtilityList!L$4:L$251,MATCH('Table 2.3c'!$A65&amp;'Table 2.3c'!$C65,UtilityList!$A$4:$A$251&amp;UtilityList!$C$5:$C$251,0)))</f>
        <v>Calista</v>
      </c>
      <c r="R65" s="452" t="str">
        <f t="array" ref="R65">IFERROR(INDEX(UtilityList!M$4:M$251,MATCH('Table 2.3c'!$A65&amp;'Table 2.3c'!$B65&amp;'Table 2.3c'!$C65,UtilityList!$A$4:$A$251&amp;UtilityList!$B$4:$B$251&amp;UtilityList!$C$4:$C$251,0)),INDEX(UtilityList!M$4:M$251,MATCH('Table 2.3c'!$A65&amp;'Table 2.3c'!$C65,UtilityList!$A$4:$A$251&amp;UtilityList!$C$5:$C$251,0)))</f>
        <v>SW</v>
      </c>
      <c r="S65" s="342"/>
    </row>
    <row r="66" spans="1:19" s="344" customFormat="1" ht="45" x14ac:dyDescent="0.25">
      <c r="A66" s="678" t="s">
        <v>524</v>
      </c>
      <c r="B66" s="361" t="s">
        <v>89</v>
      </c>
      <c r="C66" s="679" t="s">
        <v>89</v>
      </c>
      <c r="D66" s="680" t="s">
        <v>545</v>
      </c>
      <c r="E66" s="680" t="s">
        <v>546</v>
      </c>
      <c r="F66" s="681">
        <v>652.66300000000001</v>
      </c>
      <c r="G66" s="682">
        <v>48155</v>
      </c>
      <c r="H66" s="681">
        <f t="shared" si="0"/>
        <v>6741.7000000000007</v>
      </c>
      <c r="I66" s="682">
        <v>2.9676667000000001</v>
      </c>
      <c r="J66" s="682">
        <f t="shared" si="1"/>
        <v>13.55337971134877</v>
      </c>
      <c r="K66" s="682">
        <f t="shared" si="2"/>
        <v>0.21896137813618974</v>
      </c>
      <c r="L66" s="682">
        <v>0.14000000000000001</v>
      </c>
      <c r="M66" s="658" t="s">
        <v>356</v>
      </c>
      <c r="N66" s="627">
        <f t="array" ref="N66">INDEX(UtilityList!Q$4:Q$251,MATCH('Table 2.3c'!$A66&amp;'Table 2.3c'!$B66&amp;'Table 2.3c'!$C66,UtilityList!$A$4:$A$251&amp;UtilityList!$B$4:$B$251&amp;UtilityList!$C$4:$C$251,0))</f>
        <v>0</v>
      </c>
      <c r="O66" s="452" t="str">
        <f t="array" ref="O66">IFERROR(INDEX(UtilityList!J$4:J$251,MATCH('Table 2.3c'!$A66&amp;'Table 2.3c'!$B66&amp;'Table 2.3c'!$C66,UtilityList!$A$4:$A$251&amp;UtilityList!$B$4:$B$251&amp;UtilityList!$C$4:$C$251,0)),INDEX(UtilityList!J$4:J$251,MATCH('Table 2.3c'!$A66&amp;'Table 2.3c'!$C66,UtilityList!$A$4:$A$251&amp;UtilityList!$C$5:$C$251,0)))</f>
        <v>Yukon-Koyukuk/Upper Tanana</v>
      </c>
      <c r="P66" s="452" t="str">
        <f t="array" ref="P66">IFERROR(INDEX(UtilityList!K$4:K$251,MATCH('Table 2.3c'!$A66&amp;'Table 2.3c'!$B66&amp;'Table 2.3c'!$C66,UtilityList!$A$4:$A$251&amp;UtilityList!$B$4:$B$251&amp;UtilityList!$C$4:$C$251,0)),INDEX(UtilityList!K$4:K$251,MATCH('Table 2.3c'!$A66&amp;'Table 2.3c'!$C66,UtilityList!$A$4:$A$251&amp;UtilityList!$C$5:$C$251,0)))</f>
        <v>Yukon-Koyukuk (CA)</v>
      </c>
      <c r="Q66" s="452" t="str">
        <f t="array" ref="Q66">IFERROR(INDEX(UtilityList!L$4:L$251,MATCH('Table 2.3c'!$A66&amp;'Table 2.3c'!$B66&amp;'Table 2.3c'!$C66,UtilityList!$A$4:$A$251&amp;UtilityList!$B$4:$B$251&amp;UtilityList!$C$4:$C$251,0)),INDEX(UtilityList!L$4:L$251,MATCH('Table 2.3c'!$A66&amp;'Table 2.3c'!$C66,UtilityList!$A$4:$A$251&amp;UtilityList!$C$5:$C$251,0)))</f>
        <v>Doyon</v>
      </c>
      <c r="R66" s="452" t="str">
        <f t="array" ref="R66">IFERROR(INDEX(UtilityList!M$4:M$251,MATCH('Table 2.3c'!$A66&amp;'Table 2.3c'!$B66&amp;'Table 2.3c'!$C66,UtilityList!$A$4:$A$251&amp;UtilityList!$B$4:$B$251&amp;UtilityList!$C$4:$C$251,0)),INDEX(UtilityList!M$4:M$251,MATCH('Table 2.3c'!$A66&amp;'Table 2.3c'!$C66,UtilityList!$A$4:$A$251&amp;UtilityList!$C$5:$C$251,0)))</f>
        <v>YU</v>
      </c>
    </row>
    <row r="67" spans="1:19" s="239" customFormat="1" ht="45" x14ac:dyDescent="0.25">
      <c r="A67" s="678" t="s">
        <v>524</v>
      </c>
      <c r="B67" s="361" t="s">
        <v>90</v>
      </c>
      <c r="C67" s="679" t="s">
        <v>90</v>
      </c>
      <c r="D67" s="680" t="s">
        <v>545</v>
      </c>
      <c r="E67" s="680" t="s">
        <v>546</v>
      </c>
      <c r="F67" s="681">
        <v>2796.866</v>
      </c>
      <c r="G67" s="682">
        <v>205079</v>
      </c>
      <c r="H67" s="681">
        <f t="shared" si="0"/>
        <v>28711.06</v>
      </c>
      <c r="I67" s="682">
        <v>3.3750667000000001</v>
      </c>
      <c r="J67" s="682">
        <f t="shared" si="1"/>
        <v>13.637993163610121</v>
      </c>
      <c r="K67" s="682">
        <f t="shared" si="2"/>
        <v>0.24747531836323228</v>
      </c>
      <c r="L67" s="682">
        <v>0.14000000000000001</v>
      </c>
      <c r="M67" s="658" t="s">
        <v>356</v>
      </c>
      <c r="N67" s="627">
        <f t="array" ref="N67">INDEX(UtilityList!Q$4:Q$251,MATCH('Table 2.3c'!$A67&amp;'Table 2.3c'!$B67&amp;'Table 2.3c'!$C67,UtilityList!$A$4:$A$251&amp;UtilityList!$B$4:$B$251&amp;UtilityList!$C$4:$C$251,0))</f>
        <v>0</v>
      </c>
      <c r="O67" s="452" t="str">
        <f t="array" ref="O67">IFERROR(INDEX(UtilityList!J$4:J$251,MATCH('Table 2.3c'!$A67&amp;'Table 2.3c'!$B67&amp;'Table 2.3c'!$C67,UtilityList!$A$4:$A$251&amp;UtilityList!$B$4:$B$251&amp;UtilityList!$C$4:$C$251,0)),INDEX(UtilityList!J$4:J$251,MATCH('Table 2.3c'!$A67&amp;'Table 2.3c'!$C67,UtilityList!$A$4:$A$251&amp;UtilityList!$C$5:$C$251,0)))</f>
        <v>Lower Yukon-Kuskokwim</v>
      </c>
      <c r="P67" s="452" t="str">
        <f t="array" ref="P67">IFERROR(INDEX(UtilityList!K$4:K$251,MATCH('Table 2.3c'!$A67&amp;'Table 2.3c'!$B67&amp;'Table 2.3c'!$C67,UtilityList!$A$4:$A$251&amp;UtilityList!$B$4:$B$251&amp;UtilityList!$C$4:$C$251,0)),INDEX(UtilityList!K$4:K$251,MATCH('Table 2.3c'!$A67&amp;'Table 2.3c'!$C67,UtilityList!$A$4:$A$251&amp;UtilityList!$C$5:$C$251,0)))</f>
        <v>Wade Hampton (CA)</v>
      </c>
      <c r="Q67" s="452" t="str">
        <f t="array" ref="Q67">IFERROR(INDEX(UtilityList!L$4:L$251,MATCH('Table 2.3c'!$A67&amp;'Table 2.3c'!$B67&amp;'Table 2.3c'!$C67,UtilityList!$A$4:$A$251&amp;UtilityList!$B$4:$B$251&amp;UtilityList!$C$4:$C$251,0)),INDEX(UtilityList!L$4:L$251,MATCH('Table 2.3c'!$A67&amp;'Table 2.3c'!$C67,UtilityList!$A$4:$A$251&amp;UtilityList!$C$5:$C$251,0)))</f>
        <v>Calista</v>
      </c>
      <c r="R67" s="452" t="str">
        <f t="array" ref="R67">IFERROR(INDEX(UtilityList!M$4:M$251,MATCH('Table 2.3c'!$A67&amp;'Table 2.3c'!$B67&amp;'Table 2.3c'!$C67,UtilityList!$A$4:$A$251&amp;UtilityList!$B$4:$B$251&amp;UtilityList!$C$4:$C$251,0)),INDEX(UtilityList!M$4:M$251,MATCH('Table 2.3c'!$A67&amp;'Table 2.3c'!$C67,UtilityList!$A$4:$A$251&amp;UtilityList!$C$5:$C$251,0)))</f>
        <v>YU</v>
      </c>
      <c r="S67" s="344"/>
    </row>
    <row r="68" spans="1:19" s="239" customFormat="1" ht="45" x14ac:dyDescent="0.25">
      <c r="A68" s="678" t="s">
        <v>524</v>
      </c>
      <c r="B68" s="361" t="s">
        <v>91</v>
      </c>
      <c r="C68" s="679" t="s">
        <v>91</v>
      </c>
      <c r="D68" s="680" t="s">
        <v>545</v>
      </c>
      <c r="E68" s="680" t="s">
        <v>546</v>
      </c>
      <c r="F68" s="681">
        <v>1466.3779999999999</v>
      </c>
      <c r="G68" s="682">
        <v>114321</v>
      </c>
      <c r="H68" s="681">
        <f t="shared" si="0"/>
        <v>16004.940000000002</v>
      </c>
      <c r="I68" s="682">
        <v>5.0526333000000001</v>
      </c>
      <c r="J68" s="682">
        <f t="shared" si="1"/>
        <v>12.826847210923628</v>
      </c>
      <c r="K68" s="682">
        <f t="shared" si="2"/>
        <v>0.39391077299939031</v>
      </c>
      <c r="L68" s="682">
        <v>0.14000000000000001</v>
      </c>
      <c r="M68" s="658" t="s">
        <v>356</v>
      </c>
      <c r="N68" s="627">
        <f t="array" ref="N68">INDEX(UtilityList!Q$4:Q$251,MATCH('Table 2.3c'!$A68&amp;'Table 2.3c'!$B68&amp;'Table 2.3c'!$C68,UtilityList!$A$4:$A$251&amp;UtilityList!$B$4:$B$251&amp;UtilityList!$C$4:$C$251,0))</f>
        <v>0</v>
      </c>
      <c r="O68" s="452" t="str">
        <f t="array" ref="O68">IFERROR(INDEX(UtilityList!J$4:J$251,MATCH('Table 2.3c'!$A68&amp;'Table 2.3c'!$B68&amp;'Table 2.3c'!$C68,UtilityList!$A$4:$A$251&amp;UtilityList!$B$4:$B$251&amp;UtilityList!$C$4:$C$251,0)),INDEX(UtilityList!J$4:J$251,MATCH('Table 2.3c'!$A68&amp;'Table 2.3c'!$C68,UtilityList!$A$4:$A$251&amp;UtilityList!$C$5:$C$251,0)))</f>
        <v>Bristol Bay</v>
      </c>
      <c r="P68" s="452" t="str">
        <f t="array" ref="P68">IFERROR(INDEX(UtilityList!K$4:K$251,MATCH('Table 2.3c'!$A68&amp;'Table 2.3c'!$B68&amp;'Table 2.3c'!$C68,UtilityList!$A$4:$A$251&amp;UtilityList!$B$4:$B$251&amp;UtilityList!$C$4:$C$251,0)),INDEX(UtilityList!K$4:K$251,MATCH('Table 2.3c'!$A68&amp;'Table 2.3c'!$C68,UtilityList!$A$4:$A$251&amp;UtilityList!$C$5:$C$251,0)))</f>
        <v>Dillingham (CA)</v>
      </c>
      <c r="Q68" s="452" t="str">
        <f t="array" ref="Q68">IFERROR(INDEX(UtilityList!L$4:L$251,MATCH('Table 2.3c'!$A68&amp;'Table 2.3c'!$B68&amp;'Table 2.3c'!$C68,UtilityList!$A$4:$A$251&amp;UtilityList!$B$4:$B$251&amp;UtilityList!$C$4:$C$251,0)),INDEX(UtilityList!L$4:L$251,MATCH('Table 2.3c'!$A68&amp;'Table 2.3c'!$C68,UtilityList!$A$4:$A$251&amp;UtilityList!$C$5:$C$251,0)))</f>
        <v>Bristol Bay</v>
      </c>
      <c r="R68" s="452" t="str">
        <f t="array" ref="R68">IFERROR(INDEX(UtilityList!M$4:M$251,MATCH('Table 2.3c'!$A68&amp;'Table 2.3c'!$B68&amp;'Table 2.3c'!$C68,UtilityList!$A$4:$A$251&amp;UtilityList!$B$4:$B$251&amp;UtilityList!$C$4:$C$251,0)),INDEX(UtilityList!M$4:M$251,MATCH('Table 2.3c'!$A68&amp;'Table 2.3c'!$C68,UtilityList!$A$4:$A$251&amp;UtilityList!$C$5:$C$251,0)))</f>
        <v>SW</v>
      </c>
      <c r="S68" s="344"/>
    </row>
    <row r="69" spans="1:19" s="239" customFormat="1" ht="75" x14ac:dyDescent="0.25">
      <c r="A69" s="678" t="s">
        <v>524</v>
      </c>
      <c r="B69" s="361" t="s">
        <v>92</v>
      </c>
      <c r="C69" s="679" t="s">
        <v>92</v>
      </c>
      <c r="D69" s="680" t="s">
        <v>545</v>
      </c>
      <c r="E69" s="680" t="s">
        <v>546</v>
      </c>
      <c r="F69" s="681">
        <v>0</v>
      </c>
      <c r="G69" s="682">
        <v>0</v>
      </c>
      <c r="H69" s="681">
        <f t="shared" si="0"/>
        <v>0</v>
      </c>
      <c r="I69" s="682">
        <v>3.0348332999999998</v>
      </c>
      <c r="J69" s="682" t="str">
        <f t="shared" si="1"/>
        <v xml:space="preserve"> </v>
      </c>
      <c r="K69" s="682" t="str">
        <f t="shared" si="2"/>
        <v xml:space="preserve"> </v>
      </c>
      <c r="L69" s="682">
        <v>0.14000000000000001</v>
      </c>
      <c r="M69" s="658" t="s">
        <v>356</v>
      </c>
      <c r="N69" s="627" t="str">
        <f t="array" ref="N69">INDEX(UtilityList!Q$4:Q$251,MATCH('Table 2.3c'!$A69&amp;'Table 2.3c'!$B69&amp;'Table 2.3c'!$C69,UtilityList!$A$4:$A$251&amp;UtilityList!$B$4:$B$251&amp;UtilityList!$C$4:$C$251,0))</f>
        <v>Receives power from Toksook Bay via intertie. For fuel use and cost, please refer to Toksook Bay.</v>
      </c>
      <c r="O69" s="452" t="str">
        <f t="array" ref="O69">IFERROR(INDEX(UtilityList!J$4:J$251,MATCH('Table 2.3c'!$A69&amp;'Table 2.3c'!$B69&amp;'Table 2.3c'!$C69,UtilityList!$A$4:$A$251&amp;UtilityList!$B$4:$B$251&amp;UtilityList!$C$4:$C$251,0)),INDEX(UtilityList!J$4:J$251,MATCH('Table 2.3c'!$A69&amp;'Table 2.3c'!$C69,UtilityList!$A$4:$A$251&amp;UtilityList!$C$5:$C$251,0)))</f>
        <v>Lower Yukon-Kuskokwim</v>
      </c>
      <c r="P69" s="452" t="str">
        <f t="array" ref="P69">IFERROR(INDEX(UtilityList!K$4:K$251,MATCH('Table 2.3c'!$A69&amp;'Table 2.3c'!$B69&amp;'Table 2.3c'!$C69,UtilityList!$A$4:$A$251&amp;UtilityList!$B$4:$B$251&amp;UtilityList!$C$4:$C$251,0)),INDEX(UtilityList!K$4:K$251,MATCH('Table 2.3c'!$A69&amp;'Table 2.3c'!$C69,UtilityList!$A$4:$A$251&amp;UtilityList!$C$5:$C$251,0)))</f>
        <v>Bethel (CA)</v>
      </c>
      <c r="Q69" s="452" t="str">
        <f t="array" ref="Q69">IFERROR(INDEX(UtilityList!L$4:L$251,MATCH('Table 2.3c'!$A69&amp;'Table 2.3c'!$B69&amp;'Table 2.3c'!$C69,UtilityList!$A$4:$A$251&amp;UtilityList!$B$4:$B$251&amp;UtilityList!$C$4:$C$251,0)),INDEX(UtilityList!L$4:L$251,MATCH('Table 2.3c'!$A69&amp;'Table 2.3c'!$C69,UtilityList!$A$4:$A$251&amp;UtilityList!$C$5:$C$251,0)))</f>
        <v>Calista</v>
      </c>
      <c r="R69" s="452" t="str">
        <f t="array" ref="R69">IFERROR(INDEX(UtilityList!M$4:M$251,MATCH('Table 2.3c'!$A69&amp;'Table 2.3c'!$B69&amp;'Table 2.3c'!$C69,UtilityList!$A$4:$A$251&amp;UtilityList!$B$4:$B$251&amp;UtilityList!$C$4:$C$251,0)),INDEX(UtilityList!M$4:M$251,MATCH('Table 2.3c'!$A69&amp;'Table 2.3c'!$C69,UtilityList!$A$4:$A$251&amp;UtilityList!$C$5:$C$251,0)))</f>
        <v>SW</v>
      </c>
      <c r="S69" s="344"/>
    </row>
    <row r="70" spans="1:19" s="239" customFormat="1" ht="45" x14ac:dyDescent="0.25">
      <c r="A70" s="678" t="s">
        <v>524</v>
      </c>
      <c r="B70" s="361" t="s">
        <v>93</v>
      </c>
      <c r="C70" s="679" t="s">
        <v>93</v>
      </c>
      <c r="D70" s="680" t="s">
        <v>545</v>
      </c>
      <c r="E70" s="680" t="s">
        <v>546</v>
      </c>
      <c r="F70" s="681">
        <v>1800.64</v>
      </c>
      <c r="G70" s="682">
        <v>127333</v>
      </c>
      <c r="H70" s="681">
        <f t="shared" si="0"/>
        <v>17826.620000000003</v>
      </c>
      <c r="I70" s="682">
        <v>6.7892000000000001</v>
      </c>
      <c r="J70" s="682">
        <f t="shared" si="1"/>
        <v>14.141188851279715</v>
      </c>
      <c r="K70" s="682">
        <f t="shared" si="2"/>
        <v>0.4801010771725609</v>
      </c>
      <c r="L70" s="682">
        <v>0.14000000000000001</v>
      </c>
      <c r="M70" s="658" t="s">
        <v>356</v>
      </c>
      <c r="N70" s="627">
        <f t="array" ref="N70">INDEX(UtilityList!Q$4:Q$251,MATCH('Table 2.3c'!$A70&amp;'Table 2.3c'!$B70&amp;'Table 2.3c'!$C70,UtilityList!$A$4:$A$251&amp;UtilityList!$B$4:$B$251&amp;UtilityList!$C$4:$C$251,0))</f>
        <v>0</v>
      </c>
      <c r="O70" s="452" t="str">
        <f t="array" ref="O70">IFERROR(INDEX(UtilityList!J$4:J$251,MATCH('Table 2.3c'!$A70&amp;'Table 2.3c'!$B70&amp;'Table 2.3c'!$C70,UtilityList!$A$4:$A$251&amp;UtilityList!$B$4:$B$251&amp;UtilityList!$C$4:$C$251,0)),INDEX(UtilityList!J$4:J$251,MATCH('Table 2.3c'!$A70&amp;'Table 2.3c'!$C70,UtilityList!$A$4:$A$251&amp;UtilityList!$C$5:$C$251,0)))</f>
        <v>Northwest Arctic</v>
      </c>
      <c r="P70" s="452" t="str">
        <f t="array" ref="P70">IFERROR(INDEX(UtilityList!K$4:K$251,MATCH('Table 2.3c'!$A70&amp;'Table 2.3c'!$B70&amp;'Table 2.3c'!$C70,UtilityList!$A$4:$A$251&amp;UtilityList!$B$4:$B$251&amp;UtilityList!$C$4:$C$251,0)),INDEX(UtilityList!K$4:K$251,MATCH('Table 2.3c'!$A70&amp;'Table 2.3c'!$C70,UtilityList!$A$4:$A$251&amp;UtilityList!$C$5:$C$251,0)))</f>
        <v>Northwest Arctic</v>
      </c>
      <c r="Q70" s="452" t="str">
        <f t="array" ref="Q70">IFERROR(INDEX(UtilityList!L$4:L$251,MATCH('Table 2.3c'!$A70&amp;'Table 2.3c'!$B70&amp;'Table 2.3c'!$C70,UtilityList!$A$4:$A$251&amp;UtilityList!$B$4:$B$251&amp;UtilityList!$C$4:$C$251,0)),INDEX(UtilityList!L$4:L$251,MATCH('Table 2.3c'!$A70&amp;'Table 2.3c'!$C70,UtilityList!$A$4:$A$251&amp;UtilityList!$C$5:$C$251,0)))</f>
        <v>NANA</v>
      </c>
      <c r="R70" s="452" t="str">
        <f t="array" ref="R70">IFERROR(INDEX(UtilityList!M$4:M$251,MATCH('Table 2.3c'!$A70&amp;'Table 2.3c'!$B70&amp;'Table 2.3c'!$C70,UtilityList!$A$4:$A$251&amp;UtilityList!$B$4:$B$251&amp;UtilityList!$C$4:$C$251,0)),INDEX(UtilityList!M$4:M$251,MATCH('Table 2.3c'!$A70&amp;'Table 2.3c'!$C70,UtilityList!$A$4:$A$251&amp;UtilityList!$C$5:$C$251,0)))</f>
        <v>AN</v>
      </c>
      <c r="S70" s="344"/>
    </row>
    <row r="71" spans="1:19" s="239" customFormat="1" ht="45" x14ac:dyDescent="0.25">
      <c r="A71" s="678" t="s">
        <v>524</v>
      </c>
      <c r="B71" s="361" t="s">
        <v>94</v>
      </c>
      <c r="C71" s="679" t="s">
        <v>94</v>
      </c>
      <c r="D71" s="680" t="s">
        <v>545</v>
      </c>
      <c r="E71" s="680" t="s">
        <v>546</v>
      </c>
      <c r="F71" s="681">
        <v>2001.4739999999999</v>
      </c>
      <c r="G71" s="682">
        <v>153358</v>
      </c>
      <c r="H71" s="681">
        <f t="shared" si="0"/>
        <v>21470.120000000003</v>
      </c>
      <c r="I71" s="682">
        <v>3.6521333</v>
      </c>
      <c r="J71" s="682">
        <f t="shared" si="1"/>
        <v>13.050991796971791</v>
      </c>
      <c r="K71" s="682">
        <f t="shared" si="2"/>
        <v>0.27983569040687012</v>
      </c>
      <c r="L71" s="682">
        <v>0.14000000000000001</v>
      </c>
      <c r="M71" s="658" t="s">
        <v>356</v>
      </c>
      <c r="N71" s="627">
        <f t="array" ref="N71">INDEX(UtilityList!Q$4:Q$251,MATCH('Table 2.3c'!$A71&amp;'Table 2.3c'!$B71&amp;'Table 2.3c'!$C71,UtilityList!$A$4:$A$251&amp;UtilityList!$B$4:$B$251&amp;UtilityList!$C$4:$C$251,0))</f>
        <v>0</v>
      </c>
      <c r="O71" s="452" t="str">
        <f t="array" ref="O71">IFERROR(INDEX(UtilityList!J$4:J$251,MATCH('Table 2.3c'!$A71&amp;'Table 2.3c'!$B71&amp;'Table 2.3c'!$C71,UtilityList!$A$4:$A$251&amp;UtilityList!$B$4:$B$251&amp;UtilityList!$C$4:$C$251,0)),INDEX(UtilityList!J$4:J$251,MATCH('Table 2.3c'!$A71&amp;'Table 2.3c'!$C71,UtilityList!$A$4:$A$251&amp;UtilityList!$C$5:$C$251,0)))</f>
        <v>Northwest Arctic</v>
      </c>
      <c r="P71" s="452" t="str">
        <f t="array" ref="P71">IFERROR(INDEX(UtilityList!K$4:K$251,MATCH('Table 2.3c'!$A71&amp;'Table 2.3c'!$B71&amp;'Table 2.3c'!$C71,UtilityList!$A$4:$A$251&amp;UtilityList!$B$4:$B$251&amp;UtilityList!$C$4:$C$251,0)),INDEX(UtilityList!K$4:K$251,MATCH('Table 2.3c'!$A71&amp;'Table 2.3c'!$C71,UtilityList!$A$4:$A$251&amp;UtilityList!$C$5:$C$251,0)))</f>
        <v>Northwest Arctic</v>
      </c>
      <c r="Q71" s="452" t="str">
        <f t="array" ref="Q71">IFERROR(INDEX(UtilityList!L$4:L$251,MATCH('Table 2.3c'!$A71&amp;'Table 2.3c'!$B71&amp;'Table 2.3c'!$C71,UtilityList!$A$4:$A$251&amp;UtilityList!$B$4:$B$251&amp;UtilityList!$C$4:$C$251,0)),INDEX(UtilityList!L$4:L$251,MATCH('Table 2.3c'!$A71&amp;'Table 2.3c'!$C71,UtilityList!$A$4:$A$251&amp;UtilityList!$C$5:$C$251,0)))</f>
        <v>NANA</v>
      </c>
      <c r="R71" s="452" t="str">
        <f t="array" ref="R71">IFERROR(INDEX(UtilityList!M$4:M$251,MATCH('Table 2.3c'!$A71&amp;'Table 2.3c'!$B71&amp;'Table 2.3c'!$C71,UtilityList!$A$4:$A$251&amp;UtilityList!$B$4:$B$251&amp;UtilityList!$C$4:$C$251,0)),INDEX(UtilityList!M$4:M$251,MATCH('Table 2.3c'!$A71&amp;'Table 2.3c'!$C71,UtilityList!$A$4:$A$251&amp;UtilityList!$C$5:$C$251,0)))</f>
        <v>AN</v>
      </c>
      <c r="S71" s="344"/>
    </row>
    <row r="72" spans="1:19" s="239" customFormat="1" ht="45" x14ac:dyDescent="0.25">
      <c r="A72" s="678" t="s">
        <v>524</v>
      </c>
      <c r="B72" s="361" t="s">
        <v>95</v>
      </c>
      <c r="C72" s="679" t="s">
        <v>95</v>
      </c>
      <c r="D72" s="680" t="s">
        <v>545</v>
      </c>
      <c r="E72" s="680" t="s">
        <v>546</v>
      </c>
      <c r="F72" s="681">
        <v>1110.2139999999999</v>
      </c>
      <c r="G72" s="682">
        <v>83771</v>
      </c>
      <c r="H72" s="681">
        <f t="shared" si="0"/>
        <v>11727.94</v>
      </c>
      <c r="I72" s="682">
        <v>2.5381999999999998</v>
      </c>
      <c r="J72" s="682">
        <f t="shared" si="1"/>
        <v>13.25296343603395</v>
      </c>
      <c r="K72" s="682">
        <f t="shared" si="2"/>
        <v>0.19151942976759434</v>
      </c>
      <c r="L72" s="682">
        <v>0.14000000000000001</v>
      </c>
      <c r="M72" s="658" t="s">
        <v>356</v>
      </c>
      <c r="N72" s="627">
        <f t="array" ref="N72">INDEX(UtilityList!Q$4:Q$251,MATCH('Table 2.3c'!$A72&amp;'Table 2.3c'!$B72&amp;'Table 2.3c'!$C72,UtilityList!$A$4:$A$251&amp;UtilityList!$B$4:$B$251&amp;UtilityList!$C$4:$C$251,0))</f>
        <v>0</v>
      </c>
      <c r="O72" s="452" t="str">
        <f t="array" ref="O72">IFERROR(INDEX(UtilityList!J$4:J$251,MATCH('Table 2.3c'!$A72&amp;'Table 2.3c'!$B72&amp;'Table 2.3c'!$C72,UtilityList!$A$4:$A$251&amp;UtilityList!$B$4:$B$251&amp;UtilityList!$C$4:$C$251,0)),INDEX(UtilityList!J$4:J$251,MATCH('Table 2.3c'!$A72&amp;'Table 2.3c'!$C72,UtilityList!$A$4:$A$251&amp;UtilityList!$C$5:$C$251,0)))</f>
        <v>Yukon-Koyukuk/Upper Tanana</v>
      </c>
      <c r="P72" s="452" t="str">
        <f t="array" ref="P72">IFERROR(INDEX(UtilityList!K$4:K$251,MATCH('Table 2.3c'!$A72&amp;'Table 2.3c'!$B72&amp;'Table 2.3c'!$C72,UtilityList!$A$4:$A$251&amp;UtilityList!$B$4:$B$251&amp;UtilityList!$C$4:$C$251,0)),INDEX(UtilityList!K$4:K$251,MATCH('Table 2.3c'!$A72&amp;'Table 2.3c'!$C72,UtilityList!$A$4:$A$251&amp;UtilityList!$C$5:$C$251,0)))</f>
        <v>Yukon-Koyukuk (CA)</v>
      </c>
      <c r="Q72" s="452" t="str">
        <f t="array" ref="Q72">IFERROR(INDEX(UtilityList!L$4:L$251,MATCH('Table 2.3c'!$A72&amp;'Table 2.3c'!$B72&amp;'Table 2.3c'!$C72,UtilityList!$A$4:$A$251&amp;UtilityList!$B$4:$B$251&amp;UtilityList!$C$4:$C$251,0)),INDEX(UtilityList!L$4:L$251,MATCH('Table 2.3c'!$A72&amp;'Table 2.3c'!$C72,UtilityList!$A$4:$A$251&amp;UtilityList!$C$5:$C$251,0)))</f>
        <v>Doyon</v>
      </c>
      <c r="R72" s="452" t="str">
        <f t="array" ref="R72">IFERROR(INDEX(UtilityList!M$4:M$251,MATCH('Table 2.3c'!$A72&amp;'Table 2.3c'!$B72&amp;'Table 2.3c'!$C72,UtilityList!$A$4:$A$251&amp;UtilityList!$B$4:$B$251&amp;UtilityList!$C$4:$C$251,0)),INDEX(UtilityList!M$4:M$251,MATCH('Table 2.3c'!$A72&amp;'Table 2.3c'!$C72,UtilityList!$A$4:$A$251&amp;UtilityList!$C$5:$C$251,0)))</f>
        <v>YU</v>
      </c>
      <c r="S72" s="344"/>
    </row>
    <row r="73" spans="1:19" s="239" customFormat="1" ht="60" x14ac:dyDescent="0.25">
      <c r="A73" s="678" t="s">
        <v>524</v>
      </c>
      <c r="B73" s="361" t="s">
        <v>96</v>
      </c>
      <c r="C73" s="679" t="s">
        <v>96</v>
      </c>
      <c r="D73" s="680" t="s">
        <v>545</v>
      </c>
      <c r="E73" s="680" t="s">
        <v>546</v>
      </c>
      <c r="F73" s="681">
        <v>0</v>
      </c>
      <c r="G73" s="682">
        <v>0</v>
      </c>
      <c r="H73" s="681">
        <f t="shared" si="0"/>
        <v>0</v>
      </c>
      <c r="I73" s="682">
        <v>3.45</v>
      </c>
      <c r="J73" s="682" t="str">
        <f t="shared" si="1"/>
        <v xml:space="preserve"> </v>
      </c>
      <c r="K73" s="682" t="str">
        <f t="shared" si="2"/>
        <v xml:space="preserve"> </v>
      </c>
      <c r="L73" s="682">
        <v>0.14000000000000001</v>
      </c>
      <c r="M73" s="658" t="s">
        <v>356</v>
      </c>
      <c r="N73" s="627" t="str">
        <f t="array" ref="N73">INDEX(UtilityList!Q$4:Q$251,MATCH('Table 2.3c'!$A73&amp;'Table 2.3c'!$B73&amp;'Table 2.3c'!$C73,UtilityList!$A$4:$A$251&amp;UtilityList!$B$4:$B$251&amp;UtilityList!$C$4:$C$251,0))</f>
        <v>Receives power from Kasigluk. Please refer to Kasigluk for fuel use and cost.</v>
      </c>
      <c r="O73" s="452" t="str">
        <f t="array" ref="O73">IFERROR(INDEX(UtilityList!J$4:J$251,MATCH('Table 2.3c'!$A73&amp;'Table 2.3c'!$B73&amp;'Table 2.3c'!$C73,UtilityList!$A$4:$A$251&amp;UtilityList!$B$4:$B$251&amp;UtilityList!$C$4:$C$251,0)),INDEX(UtilityList!J$4:J$251,MATCH('Table 2.3c'!$A73&amp;'Table 2.3c'!$C73,UtilityList!$A$4:$A$251&amp;UtilityList!$C$5:$C$251,0)))</f>
        <v>Lower Yukon-Kuskokwim</v>
      </c>
      <c r="P73" s="452" t="str">
        <f t="array" ref="P73">IFERROR(INDEX(UtilityList!K$4:K$251,MATCH('Table 2.3c'!$A73&amp;'Table 2.3c'!$B73&amp;'Table 2.3c'!$C73,UtilityList!$A$4:$A$251&amp;UtilityList!$B$4:$B$251&amp;UtilityList!$C$4:$C$251,0)),INDEX(UtilityList!K$4:K$251,MATCH('Table 2.3c'!$A73&amp;'Table 2.3c'!$C73,UtilityList!$A$4:$A$251&amp;UtilityList!$C$5:$C$251,0)))</f>
        <v>Bethel (CA)</v>
      </c>
      <c r="Q73" s="452" t="str">
        <f t="array" ref="Q73">IFERROR(INDEX(UtilityList!L$4:L$251,MATCH('Table 2.3c'!$A73&amp;'Table 2.3c'!$B73&amp;'Table 2.3c'!$C73,UtilityList!$A$4:$A$251&amp;UtilityList!$B$4:$B$251&amp;UtilityList!$C$4:$C$251,0)),INDEX(UtilityList!L$4:L$251,MATCH('Table 2.3c'!$A73&amp;'Table 2.3c'!$C73,UtilityList!$A$4:$A$251&amp;UtilityList!$C$5:$C$251,0)))</f>
        <v>Calista</v>
      </c>
      <c r="R73" s="452" t="str">
        <f t="array" ref="R73">IFERROR(INDEX(UtilityList!M$4:M$251,MATCH('Table 2.3c'!$A73&amp;'Table 2.3c'!$B73&amp;'Table 2.3c'!$C73,UtilityList!$A$4:$A$251&amp;UtilityList!$B$4:$B$251&amp;UtilityList!$C$4:$C$251,0)),INDEX(UtilityList!M$4:M$251,MATCH('Table 2.3c'!$A73&amp;'Table 2.3c'!$C73,UtilityList!$A$4:$A$251&amp;UtilityList!$C$5:$C$251,0)))</f>
        <v>SW</v>
      </c>
      <c r="S73" s="344"/>
    </row>
    <row r="74" spans="1:19" s="239" customFormat="1" ht="45" x14ac:dyDescent="0.25">
      <c r="A74" s="678" t="s">
        <v>524</v>
      </c>
      <c r="B74" s="361" t="s">
        <v>97</v>
      </c>
      <c r="C74" s="679" t="s">
        <v>97</v>
      </c>
      <c r="D74" s="680" t="s">
        <v>545</v>
      </c>
      <c r="E74" s="680" t="s">
        <v>546</v>
      </c>
      <c r="F74" s="681">
        <v>788.01900000000001</v>
      </c>
      <c r="G74" s="682">
        <v>56390</v>
      </c>
      <c r="H74" s="681">
        <f t="shared" si="0"/>
        <v>7894.6</v>
      </c>
      <c r="I74" s="682">
        <v>3.51</v>
      </c>
      <c r="J74" s="682">
        <f t="shared" si="1"/>
        <v>13.974445823727612</v>
      </c>
      <c r="K74" s="682">
        <f t="shared" si="2"/>
        <v>0.25117275091082825</v>
      </c>
      <c r="L74" s="682">
        <v>0.14000000000000001</v>
      </c>
      <c r="M74" s="658" t="s">
        <v>356</v>
      </c>
      <c r="N74" s="627">
        <f t="array" ref="N74">INDEX(UtilityList!Q$4:Q$251,MATCH('Table 2.3c'!$A74&amp;'Table 2.3c'!$B74&amp;'Table 2.3c'!$C74,UtilityList!$A$4:$A$251&amp;UtilityList!$B$4:$B$251&amp;UtilityList!$C$4:$C$251,0))</f>
        <v>0</v>
      </c>
      <c r="O74" s="452" t="str">
        <f t="array" ref="O74">IFERROR(INDEX(UtilityList!J$4:J$251,MATCH('Table 2.3c'!$A74&amp;'Table 2.3c'!$B74&amp;'Table 2.3c'!$C74,UtilityList!$A$4:$A$251&amp;UtilityList!$B$4:$B$251&amp;UtilityList!$C$4:$C$251,0)),INDEX(UtilityList!J$4:J$251,MATCH('Table 2.3c'!$A74&amp;'Table 2.3c'!$C74,UtilityList!$A$4:$A$251&amp;UtilityList!$C$5:$C$251,0)))</f>
        <v>Kodiak</v>
      </c>
      <c r="P74" s="452" t="str">
        <f t="array" ref="P74">IFERROR(INDEX(UtilityList!K$4:K$251,MATCH('Table 2.3c'!$A74&amp;'Table 2.3c'!$B74&amp;'Table 2.3c'!$C74,UtilityList!$A$4:$A$251&amp;UtilityList!$B$4:$B$251&amp;UtilityList!$C$4:$C$251,0)),INDEX(UtilityList!K$4:K$251,MATCH('Table 2.3c'!$A74&amp;'Table 2.3c'!$C74,UtilityList!$A$4:$A$251&amp;UtilityList!$C$5:$C$251,0)))</f>
        <v>Kodiak Island</v>
      </c>
      <c r="Q74" s="452" t="str">
        <f t="array" ref="Q74">IFERROR(INDEX(UtilityList!L$4:L$251,MATCH('Table 2.3c'!$A74&amp;'Table 2.3c'!$B74&amp;'Table 2.3c'!$C74,UtilityList!$A$4:$A$251&amp;UtilityList!$B$4:$B$251&amp;UtilityList!$C$4:$C$251,0)),INDEX(UtilityList!L$4:L$251,MATCH('Table 2.3c'!$A74&amp;'Table 2.3c'!$C74,UtilityList!$A$4:$A$251&amp;UtilityList!$C$5:$C$251,0)))</f>
        <v>Koniag</v>
      </c>
      <c r="R74" s="452" t="str">
        <f t="array" ref="R74">IFERROR(INDEX(UtilityList!M$4:M$251,MATCH('Table 2.3c'!$A74&amp;'Table 2.3c'!$B74&amp;'Table 2.3c'!$C74,UtilityList!$A$4:$A$251&amp;UtilityList!$B$4:$B$251&amp;UtilityList!$C$4:$C$251,0)),INDEX(UtilityList!M$4:M$251,MATCH('Table 2.3c'!$A74&amp;'Table 2.3c'!$C74,UtilityList!$A$4:$A$251&amp;UtilityList!$C$5:$C$251,0)))</f>
        <v>SC</v>
      </c>
      <c r="S74" s="344"/>
    </row>
    <row r="75" spans="1:19" s="239" customFormat="1" ht="45" x14ac:dyDescent="0.25">
      <c r="A75" s="678" t="s">
        <v>524</v>
      </c>
      <c r="B75" s="361" t="s">
        <v>98</v>
      </c>
      <c r="C75" s="679" t="s">
        <v>98</v>
      </c>
      <c r="D75" s="680" t="s">
        <v>545</v>
      </c>
      <c r="E75" s="680" t="s">
        <v>546</v>
      </c>
      <c r="F75" s="681">
        <v>1750.671</v>
      </c>
      <c r="G75" s="682">
        <v>133531</v>
      </c>
      <c r="H75" s="681">
        <f t="shared" ref="H75:H138" si="3">G75*L75</f>
        <v>18694.34</v>
      </c>
      <c r="I75" s="682">
        <v>2.6819332999999999</v>
      </c>
      <c r="J75" s="682">
        <f t="shared" ref="J75:J95" si="4">IF(F75&gt;0,IFERROR((F75*1000)/G75, " ")," ")</f>
        <v>13.110596041368671</v>
      </c>
      <c r="K75" s="682">
        <f t="shared" ref="K75:K138" si="5">IF(I75&gt;0,IFERROR(I75/J75, " "), " ")</f>
        <v>0.20456227097055926</v>
      </c>
      <c r="L75" s="682">
        <v>0.14000000000000001</v>
      </c>
      <c r="M75" s="658" t="s">
        <v>356</v>
      </c>
      <c r="N75" s="627">
        <f t="array" ref="N75">INDEX(UtilityList!Q$4:Q$251,MATCH('Table 2.3c'!$A75&amp;'Table 2.3c'!$B75&amp;'Table 2.3c'!$C75,UtilityList!$A$4:$A$251&amp;UtilityList!$B$4:$B$251&amp;UtilityList!$C$4:$C$251,0))</f>
        <v>0</v>
      </c>
      <c r="O75" s="452" t="str">
        <f t="array" ref="O75">IFERROR(INDEX(UtilityList!J$4:J$251,MATCH('Table 2.3c'!$A75&amp;'Table 2.3c'!$B75&amp;'Table 2.3c'!$C75,UtilityList!$A$4:$A$251&amp;UtilityList!$B$4:$B$251&amp;UtilityList!$C$4:$C$251,0)),INDEX(UtilityList!J$4:J$251,MATCH('Table 2.3c'!$A75&amp;'Table 2.3c'!$C75,UtilityList!$A$4:$A$251&amp;UtilityList!$C$5:$C$251,0)))</f>
        <v>Lower Yukon-Kuskokwim</v>
      </c>
      <c r="P75" s="452" t="str">
        <f t="array" ref="P75">IFERROR(INDEX(UtilityList!K$4:K$251,MATCH('Table 2.3c'!$A75&amp;'Table 2.3c'!$B75&amp;'Table 2.3c'!$C75,UtilityList!$A$4:$A$251&amp;UtilityList!$B$4:$B$251&amp;UtilityList!$C$4:$C$251,0)),INDEX(UtilityList!K$4:K$251,MATCH('Table 2.3c'!$A75&amp;'Table 2.3c'!$C75,UtilityList!$A$4:$A$251&amp;UtilityList!$C$5:$C$251,0)))</f>
        <v>Wade Hampton (CA)</v>
      </c>
      <c r="Q75" s="452" t="str">
        <f t="array" ref="Q75">IFERROR(INDEX(UtilityList!L$4:L$251,MATCH('Table 2.3c'!$A75&amp;'Table 2.3c'!$B75&amp;'Table 2.3c'!$C75,UtilityList!$A$4:$A$251&amp;UtilityList!$B$4:$B$251&amp;UtilityList!$C$4:$C$251,0)),INDEX(UtilityList!L$4:L$251,MATCH('Table 2.3c'!$A75&amp;'Table 2.3c'!$C75,UtilityList!$A$4:$A$251&amp;UtilityList!$C$5:$C$251,0)))</f>
        <v>Calista</v>
      </c>
      <c r="R75" s="452" t="str">
        <f t="array" ref="R75">IFERROR(INDEX(UtilityList!M$4:M$251,MATCH('Table 2.3c'!$A75&amp;'Table 2.3c'!$B75&amp;'Table 2.3c'!$C75,UtilityList!$A$4:$A$251&amp;UtilityList!$B$4:$B$251&amp;UtilityList!$C$4:$C$251,0)),INDEX(UtilityList!M$4:M$251,MATCH('Table 2.3c'!$A75&amp;'Table 2.3c'!$C75,UtilityList!$A$4:$A$251&amp;UtilityList!$C$5:$C$251,0)))</f>
        <v>YU</v>
      </c>
      <c r="S75" s="344"/>
    </row>
    <row r="76" spans="1:19" s="239" customFormat="1" ht="60" x14ac:dyDescent="0.25">
      <c r="A76" s="678" t="s">
        <v>524</v>
      </c>
      <c r="B76" s="361" t="s">
        <v>538</v>
      </c>
      <c r="C76" s="679" t="s">
        <v>99</v>
      </c>
      <c r="D76" s="680" t="s">
        <v>545</v>
      </c>
      <c r="E76" s="680" t="s">
        <v>546</v>
      </c>
      <c r="F76" s="681">
        <v>0</v>
      </c>
      <c r="G76" s="682">
        <v>0</v>
      </c>
      <c r="H76" s="681">
        <f t="shared" si="3"/>
        <v>0</v>
      </c>
      <c r="I76" s="682">
        <v>2.5708666999999998</v>
      </c>
      <c r="J76" s="682" t="str">
        <f t="shared" si="4"/>
        <v xml:space="preserve"> </v>
      </c>
      <c r="K76" s="682" t="str">
        <f t="shared" si="5"/>
        <v xml:space="preserve"> </v>
      </c>
      <c r="L76" s="682">
        <v>0.14000000000000001</v>
      </c>
      <c r="M76" s="658" t="s">
        <v>356</v>
      </c>
      <c r="N76" s="627" t="str">
        <f t="array" ref="N76">INDEX(UtilityList!Q$4:Q$251,MATCH('Table 2.3c'!$A76&amp;'Table 2.3c'!$B76&amp;'Table 2.3c'!$C76,UtilityList!$A$4:$A$251&amp;UtilityList!$B$4:$B$251&amp;UtilityList!$C$4:$C$251,0))</f>
        <v>Receives power from Saint Mary's via intertie. For fuel use and cost, please refer to Saint Mary's.</v>
      </c>
      <c r="O76" s="452" t="str">
        <f t="array" ref="O76">IFERROR(INDEX(UtilityList!J$4:J$251,MATCH('Table 2.3c'!$A76&amp;'Table 2.3c'!$B76&amp;'Table 2.3c'!$C76,UtilityList!$A$4:$A$251&amp;UtilityList!$B$4:$B$251&amp;UtilityList!$C$4:$C$251,0)),INDEX(UtilityList!J$4:J$251,MATCH('Table 2.3c'!$A76&amp;'Table 2.3c'!$C76,UtilityList!$A$4:$A$251&amp;UtilityList!$C$5:$C$251,0)))</f>
        <v>Lower Yukon-Kuskokwim</v>
      </c>
      <c r="P76" s="452" t="str">
        <f t="array" ref="P76">IFERROR(INDEX(UtilityList!K$4:K$251,MATCH('Table 2.3c'!$A76&amp;'Table 2.3c'!$B76&amp;'Table 2.3c'!$C76,UtilityList!$A$4:$A$251&amp;UtilityList!$B$4:$B$251&amp;UtilityList!$C$4:$C$251,0)),INDEX(UtilityList!K$4:K$251,MATCH('Table 2.3c'!$A76&amp;'Table 2.3c'!$C76,UtilityList!$A$4:$A$251&amp;UtilityList!$C$5:$C$251,0)))</f>
        <v>Wade Hampton (CA)</v>
      </c>
      <c r="Q76" s="452" t="str">
        <f t="array" ref="Q76">IFERROR(INDEX(UtilityList!L$4:L$251,MATCH('Table 2.3c'!$A76&amp;'Table 2.3c'!$B76&amp;'Table 2.3c'!$C76,UtilityList!$A$4:$A$251&amp;UtilityList!$B$4:$B$251&amp;UtilityList!$C$4:$C$251,0)),INDEX(UtilityList!L$4:L$251,MATCH('Table 2.3c'!$A76&amp;'Table 2.3c'!$C76,UtilityList!$A$4:$A$251&amp;UtilityList!$C$5:$C$251,0)))</f>
        <v>Calista</v>
      </c>
      <c r="R76" s="452" t="str">
        <f t="array" ref="R76">IFERROR(INDEX(UtilityList!M$4:M$251,MATCH('Table 2.3c'!$A76&amp;'Table 2.3c'!$B76&amp;'Table 2.3c'!$C76,UtilityList!$A$4:$A$251&amp;UtilityList!$B$4:$B$251&amp;UtilityList!$C$4:$C$251,0)),INDEX(UtilityList!M$4:M$251,MATCH('Table 2.3c'!$A76&amp;'Table 2.3c'!$C76,UtilityList!$A$4:$A$251&amp;UtilityList!$C$5:$C$251,0)))</f>
        <v>YU</v>
      </c>
      <c r="S76" s="126"/>
    </row>
    <row r="77" spans="1:19" s="239" customFormat="1" ht="45" x14ac:dyDescent="0.25">
      <c r="A77" s="678" t="s">
        <v>524</v>
      </c>
      <c r="B77" s="361" t="s">
        <v>100</v>
      </c>
      <c r="C77" s="679" t="s">
        <v>100</v>
      </c>
      <c r="D77" s="680" t="s">
        <v>545</v>
      </c>
      <c r="E77" s="680" t="s">
        <v>546</v>
      </c>
      <c r="F77" s="681">
        <v>1415.165</v>
      </c>
      <c r="G77" s="682">
        <v>113432</v>
      </c>
      <c r="H77" s="681">
        <f t="shared" si="3"/>
        <v>15880.480000000001</v>
      </c>
      <c r="I77" s="682">
        <v>2.8051667</v>
      </c>
      <c r="J77" s="682">
        <f t="shared" si="4"/>
        <v>12.475888638126808</v>
      </c>
      <c r="K77" s="682">
        <f t="shared" si="5"/>
        <v>0.22484704547837178</v>
      </c>
      <c r="L77" s="682">
        <v>0.14000000000000001</v>
      </c>
      <c r="M77" s="658" t="s">
        <v>356</v>
      </c>
      <c r="N77" s="627">
        <f t="array" ref="N77">INDEX(UtilityList!Q$4:Q$251,MATCH('Table 2.3c'!$A77&amp;'Table 2.3c'!$B77&amp;'Table 2.3c'!$C77,UtilityList!$A$4:$A$251&amp;UtilityList!$B$4:$B$251&amp;UtilityList!$C$4:$C$251,0))</f>
        <v>0</v>
      </c>
      <c r="O77" s="452" t="str">
        <f t="array" ref="O77">IFERROR(INDEX(UtilityList!J$4:J$251,MATCH('Table 2.3c'!$A77&amp;'Table 2.3c'!$B77&amp;'Table 2.3c'!$C77,UtilityList!$A$4:$A$251&amp;UtilityList!$B$4:$B$251&amp;UtilityList!$C$4:$C$251,0)),INDEX(UtilityList!J$4:J$251,MATCH('Table 2.3c'!$A77&amp;'Table 2.3c'!$C77,UtilityList!$A$4:$A$251&amp;UtilityList!$C$5:$C$251,0)))</f>
        <v>Lower Yukon-Kuskokwim</v>
      </c>
      <c r="P77" s="452" t="str">
        <f t="array" ref="P77">IFERROR(INDEX(UtilityList!K$4:K$251,MATCH('Table 2.3c'!$A77&amp;'Table 2.3c'!$B77&amp;'Table 2.3c'!$C77,UtilityList!$A$4:$A$251&amp;UtilityList!$B$4:$B$251&amp;UtilityList!$C$4:$C$251,0)),INDEX(UtilityList!K$4:K$251,MATCH('Table 2.3c'!$A77&amp;'Table 2.3c'!$C77,UtilityList!$A$4:$A$251&amp;UtilityList!$C$5:$C$251,0)))</f>
        <v>Bethel (CA)</v>
      </c>
      <c r="Q77" s="452" t="str">
        <f t="array" ref="Q77">IFERROR(INDEX(UtilityList!L$4:L$251,MATCH('Table 2.3c'!$A77&amp;'Table 2.3c'!$B77&amp;'Table 2.3c'!$C77,UtilityList!$A$4:$A$251&amp;UtilityList!$B$4:$B$251&amp;UtilityList!$C$4:$C$251,0)),INDEX(UtilityList!L$4:L$251,MATCH('Table 2.3c'!$A77&amp;'Table 2.3c'!$C77,UtilityList!$A$4:$A$251&amp;UtilityList!$C$5:$C$251,0)))</f>
        <v>Calista</v>
      </c>
      <c r="R77" s="452" t="str">
        <f t="array" ref="R77">IFERROR(INDEX(UtilityList!M$4:M$251,MATCH('Table 2.3c'!$A77&amp;'Table 2.3c'!$B77&amp;'Table 2.3c'!$C77,UtilityList!$A$4:$A$251&amp;UtilityList!$B$4:$B$251&amp;UtilityList!$C$4:$C$251,0)),INDEX(UtilityList!M$4:M$251,MATCH('Table 2.3c'!$A77&amp;'Table 2.3c'!$C77,UtilityList!$A$4:$A$251&amp;UtilityList!$C$5:$C$251,0)))</f>
        <v>SW</v>
      </c>
      <c r="S77" s="344"/>
    </row>
    <row r="78" spans="1:19" s="239" customFormat="1" ht="45" x14ac:dyDescent="0.25">
      <c r="A78" s="678" t="s">
        <v>524</v>
      </c>
      <c r="B78" s="361" t="s">
        <v>101</v>
      </c>
      <c r="C78" s="679" t="s">
        <v>101</v>
      </c>
      <c r="D78" s="680" t="s">
        <v>545</v>
      </c>
      <c r="E78" s="680" t="s">
        <v>546</v>
      </c>
      <c r="F78" s="681">
        <v>1123.7860000000001</v>
      </c>
      <c r="G78" s="682">
        <v>80202</v>
      </c>
      <c r="H78" s="681">
        <f t="shared" si="3"/>
        <v>11228.28</v>
      </c>
      <c r="I78" s="682">
        <v>2.9341333000000001</v>
      </c>
      <c r="J78" s="682">
        <f t="shared" si="4"/>
        <v>14.011944839280815</v>
      </c>
      <c r="K78" s="682">
        <f t="shared" si="5"/>
        <v>0.20940228738087147</v>
      </c>
      <c r="L78" s="682">
        <v>0.14000000000000001</v>
      </c>
      <c r="M78" s="658" t="s">
        <v>356</v>
      </c>
      <c r="N78" s="627">
        <f t="array" ref="N78">INDEX(UtilityList!Q$4:Q$251,MATCH('Table 2.3c'!$A78&amp;'Table 2.3c'!$B78&amp;'Table 2.3c'!$C78,UtilityList!$A$4:$A$251&amp;UtilityList!$B$4:$B$251&amp;UtilityList!$C$4:$C$251,0))</f>
        <v>0</v>
      </c>
      <c r="O78" s="452" t="str">
        <f t="array" ref="O78">IFERROR(INDEX(UtilityList!J$4:J$251,MATCH('Table 2.3c'!$A78&amp;'Table 2.3c'!$B78&amp;'Table 2.3c'!$C78,UtilityList!$A$4:$A$251&amp;UtilityList!$B$4:$B$251&amp;UtilityList!$C$4:$C$251,0)),INDEX(UtilityList!J$4:J$251,MATCH('Table 2.3c'!$A78&amp;'Table 2.3c'!$C78,UtilityList!$A$4:$A$251&amp;UtilityList!$C$5:$C$251,0)))</f>
        <v>Lower Yukon-Kuskokwim</v>
      </c>
      <c r="P78" s="452" t="str">
        <f t="array" ref="P78">IFERROR(INDEX(UtilityList!K$4:K$251,MATCH('Table 2.3c'!$A78&amp;'Table 2.3c'!$B78&amp;'Table 2.3c'!$C78,UtilityList!$A$4:$A$251&amp;UtilityList!$B$4:$B$251&amp;UtilityList!$C$4:$C$251,0)),INDEX(UtilityList!K$4:K$251,MATCH('Table 2.3c'!$A78&amp;'Table 2.3c'!$C78,UtilityList!$A$4:$A$251&amp;UtilityList!$C$5:$C$251,0)))</f>
        <v>Wade Hampton (CA)</v>
      </c>
      <c r="Q78" s="452" t="str">
        <f t="array" ref="Q78">IFERROR(INDEX(UtilityList!L$4:L$251,MATCH('Table 2.3c'!$A78&amp;'Table 2.3c'!$B78&amp;'Table 2.3c'!$C78,UtilityList!$A$4:$A$251&amp;UtilityList!$B$4:$B$251&amp;UtilityList!$C$4:$C$251,0)),INDEX(UtilityList!L$4:L$251,MATCH('Table 2.3c'!$A78&amp;'Table 2.3c'!$C78,UtilityList!$A$4:$A$251&amp;UtilityList!$C$5:$C$251,0)))</f>
        <v>Calista</v>
      </c>
      <c r="R78" s="452" t="str">
        <f t="array" ref="R78">IFERROR(INDEX(UtilityList!M$4:M$251,MATCH('Table 2.3c'!$A78&amp;'Table 2.3c'!$B78&amp;'Table 2.3c'!$C78,UtilityList!$A$4:$A$251&amp;UtilityList!$B$4:$B$251&amp;UtilityList!$C$4:$C$251,0)),INDEX(UtilityList!M$4:M$251,MATCH('Table 2.3c'!$A78&amp;'Table 2.3c'!$C78,UtilityList!$A$4:$A$251&amp;UtilityList!$C$5:$C$251,0)))</f>
        <v>YU</v>
      </c>
      <c r="S78" s="344"/>
    </row>
    <row r="79" spans="1:19" s="239" customFormat="1" ht="90" x14ac:dyDescent="0.25">
      <c r="A79" s="678" t="s">
        <v>524</v>
      </c>
      <c r="B79" s="361" t="s">
        <v>538</v>
      </c>
      <c r="C79" s="679" t="s">
        <v>993</v>
      </c>
      <c r="D79" s="680" t="s">
        <v>545</v>
      </c>
      <c r="E79" s="680" t="s">
        <v>546</v>
      </c>
      <c r="F79" s="681">
        <v>3172.4340000000002</v>
      </c>
      <c r="G79" s="682">
        <v>241899</v>
      </c>
      <c r="H79" s="681">
        <f t="shared" si="3"/>
        <v>33865.86</v>
      </c>
      <c r="I79" s="682">
        <v>2.5708666999999998</v>
      </c>
      <c r="J79" s="682">
        <f t="shared" si="4"/>
        <v>13.114704897498543</v>
      </c>
      <c r="K79" s="682">
        <f t="shared" si="5"/>
        <v>0.19602932129188502</v>
      </c>
      <c r="L79" s="682">
        <v>0.14000000000000001</v>
      </c>
      <c r="M79" s="658" t="s">
        <v>356</v>
      </c>
      <c r="N79" s="627" t="str">
        <f t="array" ref="N79">INDEX(UtilityList!Q$4:Q$251,MATCH('Table 2.3c'!$A79&amp;'Table 2.3c'!$B79&amp;'Table 2.3c'!$C79,UtilityList!$A$4:$A$251&amp;UtilityList!$B$4:$B$251&amp;UtilityList!$C$4:$C$251,0))</f>
        <v>Provides power to Andreafsky and Pitkas Point via intertie. Includes Andreafsky's information. Fuel use and cost also includes Pitkas Point.</v>
      </c>
      <c r="O79" s="452" t="str">
        <f t="array" ref="O79">IFERROR(INDEX(UtilityList!J$4:J$251,MATCH('Table 2.3c'!$A79&amp;'Table 2.3c'!$B79&amp;'Table 2.3c'!$C79,UtilityList!$A$4:$A$251&amp;UtilityList!$B$4:$B$251&amp;UtilityList!$C$4:$C$251,0)),INDEX(UtilityList!J$4:J$251,MATCH('Table 2.3c'!$A79&amp;'Table 2.3c'!$C79,UtilityList!$A$4:$A$251&amp;UtilityList!$C$5:$C$251,0)))</f>
        <v>Lower Yukon-Kuskokwim</v>
      </c>
      <c r="P79" s="452" t="str">
        <f t="array" ref="P79">IFERROR(INDEX(UtilityList!K$4:K$251,MATCH('Table 2.3c'!$A79&amp;'Table 2.3c'!$B79&amp;'Table 2.3c'!$C79,UtilityList!$A$4:$A$251&amp;UtilityList!$B$4:$B$251&amp;UtilityList!$C$4:$C$251,0)),INDEX(UtilityList!K$4:K$251,MATCH('Table 2.3c'!$A79&amp;'Table 2.3c'!$C79,UtilityList!$A$4:$A$251&amp;UtilityList!$C$5:$C$251,0)))</f>
        <v>Wade Hampton (CA)</v>
      </c>
      <c r="Q79" s="452" t="str">
        <f t="array" ref="Q79">IFERROR(INDEX(UtilityList!L$4:L$251,MATCH('Table 2.3c'!$A79&amp;'Table 2.3c'!$B79&amp;'Table 2.3c'!$C79,UtilityList!$A$4:$A$251&amp;UtilityList!$B$4:$B$251&amp;UtilityList!$C$4:$C$251,0)),INDEX(UtilityList!L$4:L$251,MATCH('Table 2.3c'!$A79&amp;'Table 2.3c'!$C79,UtilityList!$A$4:$A$251&amp;UtilityList!$C$5:$C$251,0)))</f>
        <v>Calista</v>
      </c>
      <c r="R79" s="452" t="str">
        <f t="array" ref="R79">IFERROR(INDEX(UtilityList!M$4:M$251,MATCH('Table 2.3c'!$A79&amp;'Table 2.3c'!$B79&amp;'Table 2.3c'!$C79,UtilityList!$A$4:$A$251&amp;UtilityList!$B$4:$B$251&amp;UtilityList!$C$4:$C$251,0)),INDEX(UtilityList!M$4:M$251,MATCH('Table 2.3c'!$A79&amp;'Table 2.3c'!$C79,UtilityList!$A$4:$A$251&amp;UtilityList!$C$5:$C$251,0)))</f>
        <v>YU</v>
      </c>
      <c r="S79" s="126"/>
    </row>
    <row r="80" spans="1:19" s="239" customFormat="1" ht="45" x14ac:dyDescent="0.25">
      <c r="A80" s="678" t="s">
        <v>524</v>
      </c>
      <c r="B80" s="361" t="s">
        <v>102</v>
      </c>
      <c r="C80" s="679" t="s">
        <v>102</v>
      </c>
      <c r="D80" s="680" t="s">
        <v>545</v>
      </c>
      <c r="E80" s="680" t="s">
        <v>546</v>
      </c>
      <c r="F80" s="681">
        <v>1734.962</v>
      </c>
      <c r="G80" s="682">
        <v>126431</v>
      </c>
      <c r="H80" s="681">
        <f t="shared" si="3"/>
        <v>17700.34</v>
      </c>
      <c r="I80" s="682">
        <v>3.0548666999999998</v>
      </c>
      <c r="J80" s="682">
        <f t="shared" si="4"/>
        <v>13.722599678876225</v>
      </c>
      <c r="K80" s="682">
        <f t="shared" si="5"/>
        <v>0.22261574129444908</v>
      </c>
      <c r="L80" s="682">
        <v>0.14000000000000001</v>
      </c>
      <c r="M80" s="658" t="s">
        <v>356</v>
      </c>
      <c r="N80" s="627">
        <f t="array" ref="N80">INDEX(UtilityList!Q$4:Q$251,MATCH('Table 2.3c'!$A80&amp;'Table 2.3c'!$B80&amp;'Table 2.3c'!$C80,UtilityList!$A$4:$A$251&amp;UtilityList!$B$4:$B$251&amp;UtilityList!$C$4:$C$251,0))</f>
        <v>0</v>
      </c>
      <c r="O80" s="452" t="str">
        <f t="array" ref="O80">IFERROR(INDEX(UtilityList!J$4:J$251,MATCH('Table 2.3c'!$A80&amp;'Table 2.3c'!$B80&amp;'Table 2.3c'!$C80,UtilityList!$A$4:$A$251&amp;UtilityList!$B$4:$B$251&amp;UtilityList!$C$4:$C$251,0)),INDEX(UtilityList!J$4:J$251,MATCH('Table 2.3c'!$A80&amp;'Table 2.3c'!$C80,UtilityList!$A$4:$A$251&amp;UtilityList!$C$5:$C$251,0)))</f>
        <v>Bering Straits</v>
      </c>
      <c r="P80" s="452" t="str">
        <f t="array" ref="P80">IFERROR(INDEX(UtilityList!K$4:K$251,MATCH('Table 2.3c'!$A80&amp;'Table 2.3c'!$B80&amp;'Table 2.3c'!$C80,UtilityList!$A$4:$A$251&amp;UtilityList!$B$4:$B$251&amp;UtilityList!$C$4:$C$251,0)),INDEX(UtilityList!K$4:K$251,MATCH('Table 2.3c'!$A80&amp;'Table 2.3c'!$C80,UtilityList!$A$4:$A$251&amp;UtilityList!$C$5:$C$251,0)))</f>
        <v>Nome (CA)</v>
      </c>
      <c r="Q80" s="452" t="str">
        <f t="array" ref="Q80">IFERROR(INDEX(UtilityList!L$4:L$251,MATCH('Table 2.3c'!$A80&amp;'Table 2.3c'!$B80&amp;'Table 2.3c'!$C80,UtilityList!$A$4:$A$251&amp;UtilityList!$B$4:$B$251&amp;UtilityList!$C$4:$C$251,0)),INDEX(UtilityList!L$4:L$251,MATCH('Table 2.3c'!$A80&amp;'Table 2.3c'!$C80,UtilityList!$A$4:$A$251&amp;UtilityList!$C$5:$C$251,0)))</f>
        <v>Bering Straits</v>
      </c>
      <c r="R80" s="452" t="str">
        <f t="array" ref="R80">IFERROR(INDEX(UtilityList!M$4:M$251,MATCH('Table 2.3c'!$A80&amp;'Table 2.3c'!$B80&amp;'Table 2.3c'!$C80,UtilityList!$A$4:$A$251&amp;UtilityList!$B$4:$B$251&amp;UtilityList!$C$4:$C$251,0)),INDEX(UtilityList!M$4:M$251,MATCH('Table 2.3c'!$A80&amp;'Table 2.3c'!$C80,UtilityList!$A$4:$A$251&amp;UtilityList!$C$5:$C$251,0)))</f>
        <v>AN</v>
      </c>
      <c r="S80" s="344"/>
    </row>
    <row r="81" spans="1:19" s="239" customFormat="1" ht="45" x14ac:dyDescent="0.25">
      <c r="A81" s="678" t="s">
        <v>524</v>
      </c>
      <c r="B81" s="361" t="s">
        <v>103</v>
      </c>
      <c r="C81" s="679" t="s">
        <v>103</v>
      </c>
      <c r="D81" s="680" t="s">
        <v>545</v>
      </c>
      <c r="E81" s="680" t="s">
        <v>546</v>
      </c>
      <c r="F81" s="681">
        <v>1753.6369999999999</v>
      </c>
      <c r="G81" s="682">
        <v>141602</v>
      </c>
      <c r="H81" s="681">
        <f t="shared" si="3"/>
        <v>19824.280000000002</v>
      </c>
      <c r="I81" s="682">
        <v>3.0799333</v>
      </c>
      <c r="J81" s="682">
        <f t="shared" si="4"/>
        <v>12.384267171367636</v>
      </c>
      <c r="K81" s="682">
        <f t="shared" si="5"/>
        <v>0.24869725898039333</v>
      </c>
      <c r="L81" s="682">
        <v>0.14000000000000001</v>
      </c>
      <c r="M81" s="658" t="s">
        <v>356</v>
      </c>
      <c r="N81" s="627">
        <f t="array" ref="N81">INDEX(UtilityList!Q$4:Q$251,MATCH('Table 2.3c'!$A81&amp;'Table 2.3c'!$B81&amp;'Table 2.3c'!$C81,UtilityList!$A$4:$A$251&amp;UtilityList!$B$4:$B$251&amp;UtilityList!$C$4:$C$251,0))</f>
        <v>0</v>
      </c>
      <c r="O81" s="452" t="str">
        <f t="array" ref="O81">IFERROR(INDEX(UtilityList!J$4:J$251,MATCH('Table 2.3c'!$A81&amp;'Table 2.3c'!$B81&amp;'Table 2.3c'!$C81,UtilityList!$A$4:$A$251&amp;UtilityList!$B$4:$B$251&amp;UtilityList!$C$4:$C$251,0)),INDEX(UtilityList!J$4:J$251,MATCH('Table 2.3c'!$A81&amp;'Table 2.3c'!$C81,UtilityList!$A$4:$A$251&amp;UtilityList!$C$5:$C$251,0)))</f>
        <v>Bering Straits</v>
      </c>
      <c r="P81" s="452" t="str">
        <f t="array" ref="P81">IFERROR(INDEX(UtilityList!K$4:K$251,MATCH('Table 2.3c'!$A81&amp;'Table 2.3c'!$B81&amp;'Table 2.3c'!$C81,UtilityList!$A$4:$A$251&amp;UtilityList!$B$4:$B$251&amp;UtilityList!$C$4:$C$251,0)),INDEX(UtilityList!K$4:K$251,MATCH('Table 2.3c'!$A81&amp;'Table 2.3c'!$C81,UtilityList!$A$4:$A$251&amp;UtilityList!$C$5:$C$251,0)))</f>
        <v>Nome (CA)</v>
      </c>
      <c r="Q81" s="452" t="str">
        <f t="array" ref="Q81">IFERROR(INDEX(UtilityList!L$4:L$251,MATCH('Table 2.3c'!$A81&amp;'Table 2.3c'!$B81&amp;'Table 2.3c'!$C81,UtilityList!$A$4:$A$251&amp;UtilityList!$B$4:$B$251&amp;UtilityList!$C$4:$C$251,0)),INDEX(UtilityList!L$4:L$251,MATCH('Table 2.3c'!$A81&amp;'Table 2.3c'!$C81,UtilityList!$A$4:$A$251&amp;UtilityList!$C$5:$C$251,0)))</f>
        <v>Bering Straits</v>
      </c>
      <c r="R81" s="452" t="str">
        <f t="array" ref="R81">IFERROR(INDEX(UtilityList!M$4:M$251,MATCH('Table 2.3c'!$A81&amp;'Table 2.3c'!$B81&amp;'Table 2.3c'!$C81,UtilityList!$A$4:$A$251&amp;UtilityList!$B$4:$B$251&amp;UtilityList!$C$4:$C$251,0)),INDEX(UtilityList!M$4:M$251,MATCH('Table 2.3c'!$A81&amp;'Table 2.3c'!$C81,UtilityList!$A$4:$A$251&amp;UtilityList!$C$5:$C$251,0)))</f>
        <v>AN</v>
      </c>
      <c r="S81" s="344"/>
    </row>
    <row r="82" spans="1:19" s="239" customFormat="1" ht="45" x14ac:dyDescent="0.25">
      <c r="A82" s="678" t="s">
        <v>524</v>
      </c>
      <c r="B82" s="361" t="s">
        <v>104</v>
      </c>
      <c r="C82" s="679" t="s">
        <v>104</v>
      </c>
      <c r="D82" s="680" t="s">
        <v>545</v>
      </c>
      <c r="E82" s="680" t="s">
        <v>546</v>
      </c>
      <c r="F82" s="681">
        <v>1735.5519999999999</v>
      </c>
      <c r="G82" s="682">
        <v>132746</v>
      </c>
      <c r="H82" s="681">
        <f t="shared" si="3"/>
        <v>18584.440000000002</v>
      </c>
      <c r="I82" s="682">
        <v>3.0453000000000001</v>
      </c>
      <c r="J82" s="682">
        <f t="shared" si="4"/>
        <v>13.074231991924426</v>
      </c>
      <c r="K82" s="682">
        <f t="shared" si="5"/>
        <v>0.232923815477727</v>
      </c>
      <c r="L82" s="682">
        <v>0.14000000000000001</v>
      </c>
      <c r="M82" s="658" t="s">
        <v>356</v>
      </c>
      <c r="N82" s="627">
        <f t="array" ref="N82">INDEX(UtilityList!Q$4:Q$251,MATCH('Table 2.3c'!$A82&amp;'Table 2.3c'!$B82&amp;'Table 2.3c'!$C82,UtilityList!$A$4:$A$251&amp;UtilityList!$B$4:$B$251&amp;UtilityList!$C$4:$C$251,0))</f>
        <v>0</v>
      </c>
      <c r="O82" s="452" t="str">
        <f t="array" ref="O82">IFERROR(INDEX(UtilityList!J$4:J$251,MATCH('Table 2.3c'!$A82&amp;'Table 2.3c'!$B82&amp;'Table 2.3c'!$C82,UtilityList!$A$4:$A$251&amp;UtilityList!$B$4:$B$251&amp;UtilityList!$C$4:$C$251,0)),INDEX(UtilityList!J$4:J$251,MATCH('Table 2.3c'!$A82&amp;'Table 2.3c'!$C82,UtilityList!$A$4:$A$251&amp;UtilityList!$C$5:$C$251,0)))</f>
        <v>Lower Yukon-Kuskokwim</v>
      </c>
      <c r="P82" s="452" t="str">
        <f t="array" ref="P82">IFERROR(INDEX(UtilityList!K$4:K$251,MATCH('Table 2.3c'!$A82&amp;'Table 2.3c'!$B82&amp;'Table 2.3c'!$C82,UtilityList!$A$4:$A$251&amp;UtilityList!$B$4:$B$251&amp;UtilityList!$C$4:$C$251,0)),INDEX(UtilityList!K$4:K$251,MATCH('Table 2.3c'!$A82&amp;'Table 2.3c'!$C82,UtilityList!$A$4:$A$251&amp;UtilityList!$C$5:$C$251,0)))</f>
        <v>Wade Hampton (CA)</v>
      </c>
      <c r="Q82" s="452" t="str">
        <f t="array" ref="Q82">IFERROR(INDEX(UtilityList!L$4:L$251,MATCH('Table 2.3c'!$A82&amp;'Table 2.3c'!$B82&amp;'Table 2.3c'!$C82,UtilityList!$A$4:$A$251&amp;UtilityList!$B$4:$B$251&amp;UtilityList!$C$4:$C$251,0)),INDEX(UtilityList!L$4:L$251,MATCH('Table 2.3c'!$A82&amp;'Table 2.3c'!$C82,UtilityList!$A$4:$A$251&amp;UtilityList!$C$5:$C$251,0)))</f>
        <v>Calista</v>
      </c>
      <c r="R82" s="452" t="str">
        <f t="array" ref="R82">IFERROR(INDEX(UtilityList!M$4:M$251,MATCH('Table 2.3c'!$A82&amp;'Table 2.3c'!$B82&amp;'Table 2.3c'!$C82,UtilityList!$A$4:$A$251&amp;UtilityList!$B$4:$B$251&amp;UtilityList!$C$4:$C$251,0)),INDEX(UtilityList!M$4:M$251,MATCH('Table 2.3c'!$A82&amp;'Table 2.3c'!$C82,UtilityList!$A$4:$A$251&amp;UtilityList!$C$5:$C$251,0)))</f>
        <v>YU</v>
      </c>
      <c r="S82" s="126"/>
    </row>
    <row r="83" spans="1:19" s="239" customFormat="1" ht="45" x14ac:dyDescent="0.25">
      <c r="A83" s="678" t="s">
        <v>524</v>
      </c>
      <c r="B83" s="361" t="s">
        <v>105</v>
      </c>
      <c r="C83" s="679" t="s">
        <v>105</v>
      </c>
      <c r="D83" s="680" t="s">
        <v>545</v>
      </c>
      <c r="E83" s="680" t="s">
        <v>546</v>
      </c>
      <c r="F83" s="681">
        <v>2745.7550000000001</v>
      </c>
      <c r="G83" s="682">
        <v>206729</v>
      </c>
      <c r="H83" s="681">
        <f t="shared" si="3"/>
        <v>28942.06</v>
      </c>
      <c r="I83" s="682">
        <v>3.3809</v>
      </c>
      <c r="J83" s="682">
        <f t="shared" si="4"/>
        <v>13.281905296305792</v>
      </c>
      <c r="K83" s="682">
        <f t="shared" si="5"/>
        <v>0.25454932290025872</v>
      </c>
      <c r="L83" s="682">
        <v>0.14000000000000001</v>
      </c>
      <c r="M83" s="658" t="s">
        <v>356</v>
      </c>
      <c r="N83" s="627">
        <f t="array" ref="N83">INDEX(UtilityList!Q$4:Q$251,MATCH('Table 2.3c'!$A83&amp;'Table 2.3c'!$B83&amp;'Table 2.3c'!$C83,UtilityList!$A$4:$A$251&amp;UtilityList!$B$4:$B$251&amp;UtilityList!$C$4:$C$251,0))</f>
        <v>0</v>
      </c>
      <c r="O83" s="452" t="str">
        <f t="array" ref="O83">IFERROR(INDEX(UtilityList!J$4:J$251,MATCH('Table 2.3c'!$A83&amp;'Table 2.3c'!$B83&amp;'Table 2.3c'!$C83,UtilityList!$A$4:$A$251&amp;UtilityList!$B$4:$B$251&amp;UtilityList!$C$4:$C$251,0)),INDEX(UtilityList!J$4:J$251,MATCH('Table 2.3c'!$A83&amp;'Table 2.3c'!$C83,UtilityList!$A$4:$A$251&amp;UtilityList!$C$5:$C$251,0)))</f>
        <v>Northwest Arctic</v>
      </c>
      <c r="P83" s="452" t="str">
        <f t="array" ref="P83">IFERROR(INDEX(UtilityList!K$4:K$251,MATCH('Table 2.3c'!$A83&amp;'Table 2.3c'!$B83&amp;'Table 2.3c'!$C83,UtilityList!$A$4:$A$251&amp;UtilityList!$B$4:$B$251&amp;UtilityList!$C$4:$C$251,0)),INDEX(UtilityList!K$4:K$251,MATCH('Table 2.3c'!$A83&amp;'Table 2.3c'!$C83,UtilityList!$A$4:$A$251&amp;UtilityList!$C$5:$C$251,0)))</f>
        <v>Northwest Arctic</v>
      </c>
      <c r="Q83" s="452" t="str">
        <f t="array" ref="Q83">IFERROR(INDEX(UtilityList!L$4:L$251,MATCH('Table 2.3c'!$A83&amp;'Table 2.3c'!$B83&amp;'Table 2.3c'!$C83,UtilityList!$A$4:$A$251&amp;UtilityList!$B$4:$B$251&amp;UtilityList!$C$4:$C$251,0)),INDEX(UtilityList!L$4:L$251,MATCH('Table 2.3c'!$A83&amp;'Table 2.3c'!$C83,UtilityList!$A$4:$A$251&amp;UtilityList!$C$5:$C$251,0)))</f>
        <v>NANA</v>
      </c>
      <c r="R83" s="452" t="str">
        <f t="array" ref="R83">IFERROR(INDEX(UtilityList!M$4:M$251,MATCH('Table 2.3c'!$A83&amp;'Table 2.3c'!$B83&amp;'Table 2.3c'!$C83,UtilityList!$A$4:$A$251&amp;UtilityList!$B$4:$B$251&amp;UtilityList!$C$4:$C$251,0)),INDEX(UtilityList!M$4:M$251,MATCH('Table 2.3c'!$A83&amp;'Table 2.3c'!$C83,UtilityList!$A$4:$A$251&amp;UtilityList!$C$5:$C$251,0)))</f>
        <v>AN</v>
      </c>
      <c r="S83" s="344"/>
    </row>
    <row r="84" spans="1:19" s="239" customFormat="1" ht="45" x14ac:dyDescent="0.25">
      <c r="A84" s="678" t="s">
        <v>524</v>
      </c>
      <c r="B84" s="361" t="s">
        <v>106</v>
      </c>
      <c r="C84" s="679" t="s">
        <v>106</v>
      </c>
      <c r="D84" s="680" t="s">
        <v>545</v>
      </c>
      <c r="E84" s="680" t="s">
        <v>546</v>
      </c>
      <c r="F84" s="681">
        <v>369.01499999999999</v>
      </c>
      <c r="G84" s="682">
        <v>31328</v>
      </c>
      <c r="H84" s="681">
        <f t="shared" si="3"/>
        <v>4385.92</v>
      </c>
      <c r="I84" s="682">
        <v>3.0595667</v>
      </c>
      <c r="J84" s="682">
        <f t="shared" si="4"/>
        <v>11.779079417773238</v>
      </c>
      <c r="K84" s="682">
        <f t="shared" si="5"/>
        <v>0.25974582490576265</v>
      </c>
      <c r="L84" s="682">
        <v>0.14000000000000001</v>
      </c>
      <c r="M84" s="658" t="s">
        <v>356</v>
      </c>
      <c r="N84" s="627">
        <f t="array" ref="N84">INDEX(UtilityList!Q$4:Q$251,MATCH('Table 2.3c'!$A84&amp;'Table 2.3c'!$B84&amp;'Table 2.3c'!$C84,UtilityList!$A$4:$A$251&amp;UtilityList!$B$4:$B$251&amp;UtilityList!$C$4:$C$251,0))</f>
        <v>0</v>
      </c>
      <c r="O84" s="452" t="str">
        <f t="array" ref="O84">IFERROR(INDEX(UtilityList!J$4:J$251,MATCH('Table 2.3c'!$A84&amp;'Table 2.3c'!$B84&amp;'Table 2.3c'!$C84,UtilityList!$A$4:$A$251&amp;UtilityList!$B$4:$B$251&amp;UtilityList!$C$4:$C$251,0)),INDEX(UtilityList!J$4:J$251,MATCH('Table 2.3c'!$A84&amp;'Table 2.3c'!$C84,UtilityList!$A$4:$A$251&amp;UtilityList!$C$5:$C$251,0)))</f>
        <v>Yukon-Koyukuk/Upper Tanana</v>
      </c>
      <c r="P84" s="452" t="str">
        <f t="array" ref="P84">IFERROR(INDEX(UtilityList!K$4:K$251,MATCH('Table 2.3c'!$A84&amp;'Table 2.3c'!$B84&amp;'Table 2.3c'!$C84,UtilityList!$A$4:$A$251&amp;UtilityList!$B$4:$B$251&amp;UtilityList!$C$4:$C$251,0)),INDEX(UtilityList!K$4:K$251,MATCH('Table 2.3c'!$A84&amp;'Table 2.3c'!$C84,UtilityList!$A$4:$A$251&amp;UtilityList!$C$5:$C$251,0)))</f>
        <v>Yukon-Koyukuk (CA)</v>
      </c>
      <c r="Q84" s="452" t="str">
        <f t="array" ref="Q84">IFERROR(INDEX(UtilityList!L$4:L$251,MATCH('Table 2.3c'!$A84&amp;'Table 2.3c'!$B84&amp;'Table 2.3c'!$C84,UtilityList!$A$4:$A$251&amp;UtilityList!$B$4:$B$251&amp;UtilityList!$C$4:$C$251,0)),INDEX(UtilityList!L$4:L$251,MATCH('Table 2.3c'!$A84&amp;'Table 2.3c'!$C84,UtilityList!$A$4:$A$251&amp;UtilityList!$C$5:$C$251,0)))</f>
        <v>Doyon</v>
      </c>
      <c r="R84" s="452" t="str">
        <f t="array" ref="R84">IFERROR(INDEX(UtilityList!M$4:M$251,MATCH('Table 2.3c'!$A84&amp;'Table 2.3c'!$B84&amp;'Table 2.3c'!$C84,UtilityList!$A$4:$A$251&amp;UtilityList!$B$4:$B$251&amp;UtilityList!$C$4:$C$251,0)),INDEX(UtilityList!M$4:M$251,MATCH('Table 2.3c'!$A84&amp;'Table 2.3c'!$C84,UtilityList!$A$4:$A$251&amp;UtilityList!$C$5:$C$251,0)))</f>
        <v>YU</v>
      </c>
      <c r="S84" s="344"/>
    </row>
    <row r="85" spans="1:19" s="239" customFormat="1" ht="45" x14ac:dyDescent="0.25">
      <c r="A85" s="678" t="s">
        <v>524</v>
      </c>
      <c r="B85" s="361" t="s">
        <v>107</v>
      </c>
      <c r="C85" s="679" t="s">
        <v>107</v>
      </c>
      <c r="D85" s="680" t="s">
        <v>545</v>
      </c>
      <c r="E85" s="680" t="s">
        <v>546</v>
      </c>
      <c r="F85" s="681">
        <v>903.83900000000006</v>
      </c>
      <c r="G85" s="682">
        <v>70025</v>
      </c>
      <c r="H85" s="681">
        <f t="shared" si="3"/>
        <v>9803.5000000000018</v>
      </c>
      <c r="I85" s="682">
        <v>3.0799333</v>
      </c>
      <c r="J85" s="682">
        <f t="shared" si="4"/>
        <v>12.907375937165298</v>
      </c>
      <c r="K85" s="682">
        <f t="shared" si="5"/>
        <v>0.23861808279184676</v>
      </c>
      <c r="L85" s="682">
        <v>0.14000000000000001</v>
      </c>
      <c r="M85" s="658" t="s">
        <v>356</v>
      </c>
      <c r="N85" s="627">
        <f t="array" ref="N85">INDEX(UtilityList!Q$4:Q$251,MATCH('Table 2.3c'!$A85&amp;'Table 2.3c'!$B85&amp;'Table 2.3c'!$C85,UtilityList!$A$4:$A$251&amp;UtilityList!$B$4:$B$251&amp;UtilityList!$C$4:$C$251,0))</f>
        <v>0</v>
      </c>
      <c r="O85" s="452" t="str">
        <f t="array" ref="O85">IFERROR(INDEX(UtilityList!J$4:J$251,MATCH('Table 2.3c'!$A85&amp;'Table 2.3c'!$B85&amp;'Table 2.3c'!$C85,UtilityList!$A$4:$A$251&amp;UtilityList!$B$4:$B$251&amp;UtilityList!$C$4:$C$251,0)),INDEX(UtilityList!J$4:J$251,MATCH('Table 2.3c'!$A85&amp;'Table 2.3c'!$C85,UtilityList!$A$4:$A$251&amp;UtilityList!$C$5:$C$251,0)))</f>
        <v>Bering Straits</v>
      </c>
      <c r="P85" s="452" t="str">
        <f t="array" ref="P85">IFERROR(INDEX(UtilityList!K$4:K$251,MATCH('Table 2.3c'!$A85&amp;'Table 2.3c'!$B85&amp;'Table 2.3c'!$C85,UtilityList!$A$4:$A$251&amp;UtilityList!$B$4:$B$251&amp;UtilityList!$C$4:$C$251,0)),INDEX(UtilityList!K$4:K$251,MATCH('Table 2.3c'!$A85&amp;'Table 2.3c'!$C85,UtilityList!$A$4:$A$251&amp;UtilityList!$C$5:$C$251,0)))</f>
        <v>Nome (CA)</v>
      </c>
      <c r="Q85" s="452" t="str">
        <f t="array" ref="Q85">IFERROR(INDEX(UtilityList!L$4:L$251,MATCH('Table 2.3c'!$A85&amp;'Table 2.3c'!$B85&amp;'Table 2.3c'!$C85,UtilityList!$A$4:$A$251&amp;UtilityList!$B$4:$B$251&amp;UtilityList!$C$4:$C$251,0)),INDEX(UtilityList!L$4:L$251,MATCH('Table 2.3c'!$A85&amp;'Table 2.3c'!$C85,UtilityList!$A$4:$A$251&amp;UtilityList!$C$5:$C$251,0)))</f>
        <v>Bering Straits</v>
      </c>
      <c r="R85" s="452" t="str">
        <f t="array" ref="R85">IFERROR(INDEX(UtilityList!M$4:M$251,MATCH('Table 2.3c'!$A85&amp;'Table 2.3c'!$B85&amp;'Table 2.3c'!$C85,UtilityList!$A$4:$A$251&amp;UtilityList!$B$4:$B$251&amp;UtilityList!$C$4:$C$251,0)),INDEX(UtilityList!M$4:M$251,MATCH('Table 2.3c'!$A85&amp;'Table 2.3c'!$C85,UtilityList!$A$4:$A$251&amp;UtilityList!$C$5:$C$251,0)))</f>
        <v>AN</v>
      </c>
      <c r="S85" s="126"/>
    </row>
    <row r="86" spans="1:19" s="239" customFormat="1" ht="45" x14ac:dyDescent="0.25">
      <c r="A86" s="678" t="s">
        <v>524</v>
      </c>
      <c r="B86" s="361" t="s">
        <v>108</v>
      </c>
      <c r="C86" s="679" t="s">
        <v>108</v>
      </c>
      <c r="D86" s="680" t="s">
        <v>545</v>
      </c>
      <c r="E86" s="680" t="s">
        <v>546</v>
      </c>
      <c r="F86" s="681">
        <v>1593.91</v>
      </c>
      <c r="G86" s="682">
        <v>116751</v>
      </c>
      <c r="H86" s="681">
        <f t="shared" si="3"/>
        <v>16345.140000000001</v>
      </c>
      <c r="I86" s="682">
        <v>3.5921666999999999</v>
      </c>
      <c r="J86" s="682">
        <f t="shared" si="4"/>
        <v>13.652217111630735</v>
      </c>
      <c r="K86" s="682">
        <f t="shared" si="5"/>
        <v>0.26311965819381272</v>
      </c>
      <c r="L86" s="682">
        <v>0.14000000000000001</v>
      </c>
      <c r="M86" s="658" t="s">
        <v>356</v>
      </c>
      <c r="N86" s="627">
        <f t="array" ref="N86">INDEX(UtilityList!Q$4:Q$251,MATCH('Table 2.3c'!$A86&amp;'Table 2.3c'!$B86&amp;'Table 2.3c'!$C86,UtilityList!$A$4:$A$251&amp;UtilityList!$B$4:$B$251&amp;UtilityList!$C$4:$C$251,0))</f>
        <v>0</v>
      </c>
      <c r="O86" s="452" t="str">
        <f t="array" ref="O86">IFERROR(INDEX(UtilityList!J$4:J$251,MATCH('Table 2.3c'!$A86&amp;'Table 2.3c'!$B86&amp;'Table 2.3c'!$C86,UtilityList!$A$4:$A$251&amp;UtilityList!$B$4:$B$251&amp;UtilityList!$C$4:$C$251,0)),INDEX(UtilityList!J$4:J$251,MATCH('Table 2.3c'!$A86&amp;'Table 2.3c'!$C86,UtilityList!$A$4:$A$251&amp;UtilityList!$C$5:$C$251,0)))</f>
        <v>Bering Straits</v>
      </c>
      <c r="P86" s="452" t="str">
        <f t="array" ref="P86">IFERROR(INDEX(UtilityList!K$4:K$251,MATCH('Table 2.3c'!$A86&amp;'Table 2.3c'!$B86&amp;'Table 2.3c'!$C86,UtilityList!$A$4:$A$251&amp;UtilityList!$B$4:$B$251&amp;UtilityList!$C$4:$C$251,0)),INDEX(UtilityList!K$4:K$251,MATCH('Table 2.3c'!$A86&amp;'Table 2.3c'!$C86,UtilityList!$A$4:$A$251&amp;UtilityList!$C$5:$C$251,0)))</f>
        <v>Nome (CA)</v>
      </c>
      <c r="Q86" s="452" t="str">
        <f t="array" ref="Q86">IFERROR(INDEX(UtilityList!L$4:L$251,MATCH('Table 2.3c'!$A86&amp;'Table 2.3c'!$B86&amp;'Table 2.3c'!$C86,UtilityList!$A$4:$A$251&amp;UtilityList!$B$4:$B$251&amp;UtilityList!$C$4:$C$251,0)),INDEX(UtilityList!L$4:L$251,MATCH('Table 2.3c'!$A86&amp;'Table 2.3c'!$C86,UtilityList!$A$4:$A$251&amp;UtilityList!$C$5:$C$251,0)))</f>
        <v>Bering Straits</v>
      </c>
      <c r="R86" s="452" t="str">
        <f t="array" ref="R86">IFERROR(INDEX(UtilityList!M$4:M$251,MATCH('Table 2.3c'!$A86&amp;'Table 2.3c'!$B86&amp;'Table 2.3c'!$C86,UtilityList!$A$4:$A$251&amp;UtilityList!$B$4:$B$251&amp;UtilityList!$C$4:$C$251,0)),INDEX(UtilityList!M$4:M$251,MATCH('Table 2.3c'!$A86&amp;'Table 2.3c'!$C86,UtilityList!$A$4:$A$251&amp;UtilityList!$C$5:$C$251,0)))</f>
        <v>AN</v>
      </c>
      <c r="S86" s="344"/>
    </row>
    <row r="87" spans="1:19" s="239" customFormat="1" ht="60" x14ac:dyDescent="0.25">
      <c r="A87" s="678" t="s">
        <v>524</v>
      </c>
      <c r="B87" s="361" t="s">
        <v>109</v>
      </c>
      <c r="C87" s="679" t="s">
        <v>994</v>
      </c>
      <c r="D87" s="680" t="s">
        <v>545</v>
      </c>
      <c r="E87" s="680" t="s">
        <v>546</v>
      </c>
      <c r="F87" s="681">
        <v>1527.3440000000001</v>
      </c>
      <c r="G87" s="682">
        <v>113831</v>
      </c>
      <c r="H87" s="681">
        <f t="shared" si="3"/>
        <v>15936.340000000002</v>
      </c>
      <c r="I87" s="682">
        <v>6.0893332999999998</v>
      </c>
      <c r="J87" s="682">
        <f t="shared" si="4"/>
        <v>13.417645456861488</v>
      </c>
      <c r="K87" s="682">
        <f t="shared" si="5"/>
        <v>0.45383024313599291</v>
      </c>
      <c r="L87" s="682">
        <v>0.14000000000000001</v>
      </c>
      <c r="M87" s="658" t="s">
        <v>356</v>
      </c>
      <c r="N87" s="627" t="str">
        <f t="array" ref="N87">INDEX(UtilityList!Q$4:Q$251,MATCH('Table 2.3c'!$A87&amp;'Table 2.3c'!$B87&amp;'Table 2.3c'!$C87,UtilityList!$A$4:$A$251&amp;UtilityList!$B$4:$B$251&amp;UtilityList!$C$4:$C$251,0))</f>
        <v>Provides power to Kobuk via intertie. Fuel use and cost includes Kobuk's information.</v>
      </c>
      <c r="O87" s="452" t="str">
        <f t="array" ref="O87">IFERROR(INDEX(UtilityList!J$4:J$251,MATCH('Table 2.3c'!$A87&amp;'Table 2.3c'!$B87&amp;'Table 2.3c'!$C87,UtilityList!$A$4:$A$251&amp;UtilityList!$B$4:$B$251&amp;UtilityList!$C$4:$C$251,0)),INDEX(UtilityList!J$4:J$251,MATCH('Table 2.3c'!$A87&amp;'Table 2.3c'!$C87,UtilityList!$A$4:$A$251&amp;UtilityList!$C$5:$C$251,0)))</f>
        <v>Northwest Arctic</v>
      </c>
      <c r="P87" s="452" t="str">
        <f t="array" ref="P87">IFERROR(INDEX(UtilityList!K$4:K$251,MATCH('Table 2.3c'!$A87&amp;'Table 2.3c'!$B87&amp;'Table 2.3c'!$C87,UtilityList!$A$4:$A$251&amp;UtilityList!$B$4:$B$251&amp;UtilityList!$C$4:$C$251,0)),INDEX(UtilityList!K$4:K$251,MATCH('Table 2.3c'!$A87&amp;'Table 2.3c'!$C87,UtilityList!$A$4:$A$251&amp;UtilityList!$C$5:$C$251,0)))</f>
        <v>Northwest Arctic</v>
      </c>
      <c r="Q87" s="452" t="str">
        <f t="array" ref="Q87">IFERROR(INDEX(UtilityList!L$4:L$251,MATCH('Table 2.3c'!$A87&amp;'Table 2.3c'!$B87&amp;'Table 2.3c'!$C87,UtilityList!$A$4:$A$251&amp;UtilityList!$B$4:$B$251&amp;UtilityList!$C$4:$C$251,0)),INDEX(UtilityList!L$4:L$251,MATCH('Table 2.3c'!$A87&amp;'Table 2.3c'!$C87,UtilityList!$A$4:$A$251&amp;UtilityList!$C$5:$C$251,0)))</f>
        <v>NANA</v>
      </c>
      <c r="R87" s="452" t="str">
        <f t="array" ref="R87">IFERROR(INDEX(UtilityList!M$4:M$251,MATCH('Table 2.3c'!$A87&amp;'Table 2.3c'!$B87&amp;'Table 2.3c'!$C87,UtilityList!$A$4:$A$251&amp;UtilityList!$B$4:$B$251&amp;UtilityList!$C$4:$C$251,0)),INDEX(UtilityList!M$4:M$251,MATCH('Table 2.3c'!$A87&amp;'Table 2.3c'!$C87,UtilityList!$A$4:$A$251&amp;UtilityList!$C$5:$C$251,0)))</f>
        <v>AN</v>
      </c>
      <c r="S87" s="344"/>
    </row>
    <row r="88" spans="1:19" s="239" customFormat="1" ht="45" x14ac:dyDescent="0.25">
      <c r="A88" s="678" t="s">
        <v>524</v>
      </c>
      <c r="B88" s="361" t="s">
        <v>110</v>
      </c>
      <c r="C88" s="679" t="s">
        <v>110</v>
      </c>
      <c r="D88" s="680" t="s">
        <v>545</v>
      </c>
      <c r="E88" s="680" t="s">
        <v>546</v>
      </c>
      <c r="F88" s="681">
        <v>1354.2349999999999</v>
      </c>
      <c r="G88" s="682">
        <v>102124</v>
      </c>
      <c r="H88" s="681">
        <f t="shared" si="3"/>
        <v>14297.36</v>
      </c>
      <c r="I88" s="682">
        <v>3.0496667</v>
      </c>
      <c r="J88" s="682">
        <f t="shared" si="4"/>
        <v>13.260692883161646</v>
      </c>
      <c r="K88" s="682">
        <f t="shared" si="5"/>
        <v>0.22997793002750633</v>
      </c>
      <c r="L88" s="682">
        <v>0.14000000000000001</v>
      </c>
      <c r="M88" s="658" t="s">
        <v>356</v>
      </c>
      <c r="N88" s="627">
        <f t="array" ref="N88">INDEX(UtilityList!Q$4:Q$251,MATCH('Table 2.3c'!$A88&amp;'Table 2.3c'!$B88&amp;'Table 2.3c'!$C88,UtilityList!$A$4:$A$251&amp;UtilityList!$B$4:$B$251&amp;UtilityList!$C$4:$C$251,0))</f>
        <v>0</v>
      </c>
      <c r="O88" s="452" t="str">
        <f t="array" ref="O88">IFERROR(INDEX(UtilityList!J$4:J$251,MATCH('Table 2.3c'!$A88&amp;'Table 2.3c'!$B88&amp;'Table 2.3c'!$C88,UtilityList!$A$4:$A$251&amp;UtilityList!$B$4:$B$251&amp;UtilityList!$C$4:$C$251,0)),INDEX(UtilityList!J$4:J$251,MATCH('Table 2.3c'!$A88&amp;'Table 2.3c'!$C88,UtilityList!$A$4:$A$251&amp;UtilityList!$C$5:$C$251,0)))</f>
        <v>Bering Straits</v>
      </c>
      <c r="P88" s="452" t="str">
        <f t="array" ref="P88">IFERROR(INDEX(UtilityList!K$4:K$251,MATCH('Table 2.3c'!$A88&amp;'Table 2.3c'!$B88&amp;'Table 2.3c'!$C88,UtilityList!$A$4:$A$251&amp;UtilityList!$B$4:$B$251&amp;UtilityList!$C$4:$C$251,0)),INDEX(UtilityList!K$4:K$251,MATCH('Table 2.3c'!$A88&amp;'Table 2.3c'!$C88,UtilityList!$A$4:$A$251&amp;UtilityList!$C$5:$C$251,0)))</f>
        <v>Nome (CA)</v>
      </c>
      <c r="Q88" s="452" t="str">
        <f t="array" ref="Q88">IFERROR(INDEX(UtilityList!L$4:L$251,MATCH('Table 2.3c'!$A88&amp;'Table 2.3c'!$B88&amp;'Table 2.3c'!$C88,UtilityList!$A$4:$A$251&amp;UtilityList!$B$4:$B$251&amp;UtilityList!$C$4:$C$251,0)),INDEX(UtilityList!L$4:L$251,MATCH('Table 2.3c'!$A88&amp;'Table 2.3c'!$C88,UtilityList!$A$4:$A$251&amp;UtilityList!$C$5:$C$251,0)))</f>
        <v>Bering Straits</v>
      </c>
      <c r="R88" s="452" t="str">
        <f t="array" ref="R88">IFERROR(INDEX(UtilityList!M$4:M$251,MATCH('Table 2.3c'!$A88&amp;'Table 2.3c'!$B88&amp;'Table 2.3c'!$C88,UtilityList!$A$4:$A$251&amp;UtilityList!$B$4:$B$251&amp;UtilityList!$C$4:$C$251,0)),INDEX(UtilityList!M$4:M$251,MATCH('Table 2.3c'!$A88&amp;'Table 2.3c'!$C88,UtilityList!$A$4:$A$251&amp;UtilityList!$C$5:$C$251,0)))</f>
        <v>AN</v>
      </c>
      <c r="S88" s="344"/>
    </row>
    <row r="89" spans="1:19" s="239" customFormat="1" ht="45" x14ac:dyDescent="0.25">
      <c r="A89" s="678" t="s">
        <v>524</v>
      </c>
      <c r="B89" s="361" t="s">
        <v>111</v>
      </c>
      <c r="C89" s="679" t="s">
        <v>111</v>
      </c>
      <c r="D89" s="680" t="s">
        <v>545</v>
      </c>
      <c r="E89" s="680" t="s">
        <v>546</v>
      </c>
      <c r="F89" s="681">
        <v>837.98900000000003</v>
      </c>
      <c r="G89" s="682">
        <v>72035</v>
      </c>
      <c r="H89" s="681">
        <f t="shared" si="3"/>
        <v>10084.900000000001</v>
      </c>
      <c r="I89" s="682">
        <v>2.9009</v>
      </c>
      <c r="J89" s="682">
        <f t="shared" si="4"/>
        <v>11.63308114111196</v>
      </c>
      <c r="K89" s="682">
        <f t="shared" si="5"/>
        <v>0.24936643738760292</v>
      </c>
      <c r="L89" s="682">
        <v>0.14000000000000001</v>
      </c>
      <c r="M89" s="658" t="s">
        <v>356</v>
      </c>
      <c r="N89" s="627">
        <f t="array" ref="N89">INDEX(UtilityList!Q$4:Q$251,MATCH('Table 2.3c'!$A89&amp;'Table 2.3c'!$B89&amp;'Table 2.3c'!$C89,UtilityList!$A$4:$A$251&amp;UtilityList!$B$4:$B$251&amp;UtilityList!$C$4:$C$251,0))</f>
        <v>0</v>
      </c>
      <c r="O89" s="452" t="str">
        <f t="array" ref="O89">IFERROR(INDEX(UtilityList!J$4:J$251,MATCH('Table 2.3c'!$A89&amp;'Table 2.3c'!$B89&amp;'Table 2.3c'!$C89,UtilityList!$A$4:$A$251&amp;UtilityList!$B$4:$B$251&amp;UtilityList!$C$4:$C$251,0)),INDEX(UtilityList!J$4:J$251,MATCH('Table 2.3c'!$A89&amp;'Table 2.3c'!$C89,UtilityList!$A$4:$A$251&amp;UtilityList!$C$5:$C$251,0)))</f>
        <v>Bering Straits</v>
      </c>
      <c r="P89" s="452" t="str">
        <f t="array" ref="P89">IFERROR(INDEX(UtilityList!K$4:K$251,MATCH('Table 2.3c'!$A89&amp;'Table 2.3c'!$B89&amp;'Table 2.3c'!$C89,UtilityList!$A$4:$A$251&amp;UtilityList!$B$4:$B$251&amp;UtilityList!$C$4:$C$251,0)),INDEX(UtilityList!K$4:K$251,MATCH('Table 2.3c'!$A89&amp;'Table 2.3c'!$C89,UtilityList!$A$4:$A$251&amp;UtilityList!$C$5:$C$251,0)))</f>
        <v>Nome (CA)</v>
      </c>
      <c r="Q89" s="452" t="str">
        <f t="array" ref="Q89">IFERROR(INDEX(UtilityList!L$4:L$251,MATCH('Table 2.3c'!$A89&amp;'Table 2.3c'!$B89&amp;'Table 2.3c'!$C89,UtilityList!$A$4:$A$251&amp;UtilityList!$B$4:$B$251&amp;UtilityList!$C$4:$C$251,0)),INDEX(UtilityList!L$4:L$251,MATCH('Table 2.3c'!$A89&amp;'Table 2.3c'!$C89,UtilityList!$A$4:$A$251&amp;UtilityList!$C$5:$C$251,0)))</f>
        <v>Bering Straits</v>
      </c>
      <c r="R89" s="452" t="str">
        <f t="array" ref="R89">IFERROR(INDEX(UtilityList!M$4:M$251,MATCH('Table 2.3c'!$A89&amp;'Table 2.3c'!$B89&amp;'Table 2.3c'!$C89,UtilityList!$A$4:$A$251&amp;UtilityList!$B$4:$B$251&amp;UtilityList!$C$4:$C$251,0)),INDEX(UtilityList!M$4:M$251,MATCH('Table 2.3c'!$A89&amp;'Table 2.3c'!$C89,UtilityList!$A$4:$A$251&amp;UtilityList!$C$5:$C$251,0)))</f>
        <v>AN</v>
      </c>
      <c r="S89" s="344"/>
    </row>
    <row r="90" spans="1:19" s="239" customFormat="1" ht="45" x14ac:dyDescent="0.25">
      <c r="A90" s="678" t="s">
        <v>524</v>
      </c>
      <c r="B90" s="361" t="s">
        <v>112</v>
      </c>
      <c r="C90" s="679" t="s">
        <v>112</v>
      </c>
      <c r="D90" s="680" t="s">
        <v>545</v>
      </c>
      <c r="E90" s="680" t="s">
        <v>546</v>
      </c>
      <c r="F90" s="681">
        <v>3044.7559999999999</v>
      </c>
      <c r="G90" s="682">
        <v>225519</v>
      </c>
      <c r="H90" s="681">
        <f t="shared" si="3"/>
        <v>31572.660000000003</v>
      </c>
      <c r="I90" s="682">
        <v>3.7189999999999999</v>
      </c>
      <c r="J90" s="682">
        <f t="shared" si="4"/>
        <v>13.501106336938351</v>
      </c>
      <c r="K90" s="682">
        <f t="shared" si="5"/>
        <v>0.27545890738042716</v>
      </c>
      <c r="L90" s="682">
        <v>0.14000000000000001</v>
      </c>
      <c r="M90" s="658" t="s">
        <v>356</v>
      </c>
      <c r="N90" s="627">
        <f t="array" ref="N90">INDEX(UtilityList!Q$4:Q$251,MATCH('Table 2.3c'!$A90&amp;'Table 2.3c'!$B90&amp;'Table 2.3c'!$C90,UtilityList!$A$4:$A$251&amp;UtilityList!$B$4:$B$251&amp;UtilityList!$C$4:$C$251,0))</f>
        <v>0</v>
      </c>
      <c r="O90" s="452" t="str">
        <f t="array" ref="O90">IFERROR(INDEX(UtilityList!J$4:J$251,MATCH('Table 2.3c'!$A90&amp;'Table 2.3c'!$B90&amp;'Table 2.3c'!$C90,UtilityList!$A$4:$A$251&amp;UtilityList!$B$4:$B$251&amp;UtilityList!$C$4:$C$251,0)),INDEX(UtilityList!J$4:J$251,MATCH('Table 2.3c'!$A90&amp;'Table 2.3c'!$C90,UtilityList!$A$4:$A$251&amp;UtilityList!$C$5:$C$251,0)))</f>
        <v>Bristol Bay</v>
      </c>
      <c r="P90" s="452" t="str">
        <f t="array" ref="P90">IFERROR(INDEX(UtilityList!K$4:K$251,MATCH('Table 2.3c'!$A90&amp;'Table 2.3c'!$B90&amp;'Table 2.3c'!$C90,UtilityList!$A$4:$A$251&amp;UtilityList!$B$4:$B$251&amp;UtilityList!$C$4:$C$251,0)),INDEX(UtilityList!K$4:K$251,MATCH('Table 2.3c'!$A90&amp;'Table 2.3c'!$C90,UtilityList!$A$4:$A$251&amp;UtilityList!$C$5:$C$251,0)))</f>
        <v>Dillingham (CA)</v>
      </c>
      <c r="Q90" s="452" t="str">
        <f t="array" ref="Q90">IFERROR(INDEX(UtilityList!L$4:L$251,MATCH('Table 2.3c'!$A90&amp;'Table 2.3c'!$B90&amp;'Table 2.3c'!$C90,UtilityList!$A$4:$A$251&amp;UtilityList!$B$4:$B$251&amp;UtilityList!$C$4:$C$251,0)),INDEX(UtilityList!L$4:L$251,MATCH('Table 2.3c'!$A90&amp;'Table 2.3c'!$C90,UtilityList!$A$4:$A$251&amp;UtilityList!$C$5:$C$251,0)))</f>
        <v>Bristol Bay</v>
      </c>
      <c r="R90" s="452" t="str">
        <f t="array" ref="R90">IFERROR(INDEX(UtilityList!M$4:M$251,MATCH('Table 2.3c'!$A90&amp;'Table 2.3c'!$B90&amp;'Table 2.3c'!$C90,UtilityList!$A$4:$A$251&amp;UtilityList!$B$4:$B$251&amp;UtilityList!$C$4:$C$251,0)),INDEX(UtilityList!M$4:M$251,MATCH('Table 2.3c'!$A90&amp;'Table 2.3c'!$C90,UtilityList!$A$4:$A$251&amp;UtilityList!$C$5:$C$251,0)))</f>
        <v>SW</v>
      </c>
      <c r="S90" s="344"/>
    </row>
    <row r="91" spans="1:19" s="239" customFormat="1" ht="90" x14ac:dyDescent="0.25">
      <c r="A91" s="678" t="s">
        <v>524</v>
      </c>
      <c r="B91" s="361" t="s">
        <v>113</v>
      </c>
      <c r="C91" s="679" t="s">
        <v>996</v>
      </c>
      <c r="D91" s="680" t="s">
        <v>545</v>
      </c>
      <c r="E91" s="680" t="s">
        <v>546</v>
      </c>
      <c r="F91" s="681">
        <v>2592.1080000000002</v>
      </c>
      <c r="G91" s="682">
        <v>200398</v>
      </c>
      <c r="H91" s="681">
        <f t="shared" si="3"/>
        <v>28055.72</v>
      </c>
      <c r="I91" s="682">
        <v>3.0348332999999998</v>
      </c>
      <c r="J91" s="682">
        <f t="shared" si="4"/>
        <v>12.934799748500485</v>
      </c>
      <c r="K91" s="682">
        <f t="shared" si="5"/>
        <v>0.23462545683027095</v>
      </c>
      <c r="L91" s="682">
        <v>0.14000000000000001</v>
      </c>
      <c r="M91" s="658" t="s">
        <v>356</v>
      </c>
      <c r="N91" s="627" t="str">
        <f t="array" ref="N91">INDEX(UtilityList!Q$4:Q$251,MATCH('Table 2.3c'!$A91&amp;'Table 2.3c'!$B91&amp;'Table 2.3c'!$C91,UtilityList!$A$4:$A$251&amp;UtilityList!$B$4:$B$251&amp;UtilityList!$C$4:$C$251,0))</f>
        <v>Provides power to Nightmute and Tununak via intertie. Fuel use and cost includes Nightmute's and Tununak's information.</v>
      </c>
      <c r="O91" s="452" t="str">
        <f t="array" ref="O91">IFERROR(INDEX(UtilityList!J$4:J$251,MATCH('Table 2.3c'!$A91&amp;'Table 2.3c'!$B91&amp;'Table 2.3c'!$C91,UtilityList!$A$4:$A$251&amp;UtilityList!$B$4:$B$251&amp;UtilityList!$C$4:$C$251,0)),INDEX(UtilityList!J$4:J$251,MATCH('Table 2.3c'!$A91&amp;'Table 2.3c'!$C91,UtilityList!$A$4:$A$251&amp;UtilityList!$C$5:$C$251,0)))</f>
        <v>Lower Yukon-Kuskokwim</v>
      </c>
      <c r="P91" s="452" t="str">
        <f t="array" ref="P91">IFERROR(INDEX(UtilityList!K$4:K$251,MATCH('Table 2.3c'!$A91&amp;'Table 2.3c'!$B91&amp;'Table 2.3c'!$C91,UtilityList!$A$4:$A$251&amp;UtilityList!$B$4:$B$251&amp;UtilityList!$C$4:$C$251,0)),INDEX(UtilityList!K$4:K$251,MATCH('Table 2.3c'!$A91&amp;'Table 2.3c'!$C91,UtilityList!$A$4:$A$251&amp;UtilityList!$C$5:$C$251,0)))</f>
        <v>Bethel (CA)</v>
      </c>
      <c r="Q91" s="452" t="str">
        <f t="array" ref="Q91">IFERROR(INDEX(UtilityList!L$4:L$251,MATCH('Table 2.3c'!$A91&amp;'Table 2.3c'!$B91&amp;'Table 2.3c'!$C91,UtilityList!$A$4:$A$251&amp;UtilityList!$B$4:$B$251&amp;UtilityList!$C$4:$C$251,0)),INDEX(UtilityList!L$4:L$251,MATCH('Table 2.3c'!$A91&amp;'Table 2.3c'!$C91,UtilityList!$A$4:$A$251&amp;UtilityList!$C$5:$C$251,0)))</f>
        <v>Calista</v>
      </c>
      <c r="R91" s="452" t="str">
        <f t="array" ref="R91">IFERROR(INDEX(UtilityList!M$4:M$251,MATCH('Table 2.3c'!$A91&amp;'Table 2.3c'!$B91&amp;'Table 2.3c'!$C91,UtilityList!$A$4:$A$251&amp;UtilityList!$B$4:$B$251&amp;UtilityList!$C$4:$C$251,0)),INDEX(UtilityList!M$4:M$251,MATCH('Table 2.3c'!$A91&amp;'Table 2.3c'!$C91,UtilityList!$A$4:$A$251&amp;UtilityList!$C$5:$C$251,0)))</f>
        <v>SW</v>
      </c>
      <c r="S91" s="344"/>
    </row>
    <row r="92" spans="1:19" s="239" customFormat="1" ht="75" x14ac:dyDescent="0.25">
      <c r="A92" s="678" t="s">
        <v>524</v>
      </c>
      <c r="B92" s="361" t="s">
        <v>114</v>
      </c>
      <c r="C92" s="679" t="s">
        <v>114</v>
      </c>
      <c r="D92" s="680" t="s">
        <v>545</v>
      </c>
      <c r="E92" s="680" t="s">
        <v>546</v>
      </c>
      <c r="F92" s="681">
        <v>0</v>
      </c>
      <c r="G92" s="682">
        <v>0</v>
      </c>
      <c r="H92" s="681">
        <f t="shared" si="3"/>
        <v>0</v>
      </c>
      <c r="I92" s="682">
        <v>3.0348332999999998</v>
      </c>
      <c r="J92" s="682" t="str">
        <f t="shared" si="4"/>
        <v xml:space="preserve"> </v>
      </c>
      <c r="K92" s="682" t="str">
        <f t="shared" si="5"/>
        <v xml:space="preserve"> </v>
      </c>
      <c r="L92" s="682">
        <v>0.14000000000000001</v>
      </c>
      <c r="M92" s="658" t="s">
        <v>356</v>
      </c>
      <c r="N92" s="627" t="str">
        <f t="array" ref="N92">INDEX(UtilityList!Q$4:Q$251,MATCH('Table 2.3c'!$A92&amp;'Table 2.3c'!$B92&amp;'Table 2.3c'!$C92,UtilityList!$A$4:$A$251&amp;UtilityList!$B$4:$B$251&amp;UtilityList!$C$4:$C$251,0))</f>
        <v>Receives power from Toksook Bay via intertie. For fuel use and cost, please refer to Toksook Bay.</v>
      </c>
      <c r="O92" s="452" t="str">
        <f t="array" ref="O92">IFERROR(INDEX(UtilityList!J$4:J$251,MATCH('Table 2.3c'!$A92&amp;'Table 2.3c'!$B92&amp;'Table 2.3c'!$C92,UtilityList!$A$4:$A$251&amp;UtilityList!$B$4:$B$251&amp;UtilityList!$C$4:$C$251,0)),INDEX(UtilityList!J$4:J$251,MATCH('Table 2.3c'!$A92&amp;'Table 2.3c'!$C92,UtilityList!$A$4:$A$251&amp;UtilityList!$C$5:$C$251,0)))</f>
        <v>Lower Yukon-Kuskokwim</v>
      </c>
      <c r="P92" s="452" t="str">
        <f t="array" ref="P92">IFERROR(INDEX(UtilityList!K$4:K$251,MATCH('Table 2.3c'!$A92&amp;'Table 2.3c'!$B92&amp;'Table 2.3c'!$C92,UtilityList!$A$4:$A$251&amp;UtilityList!$B$4:$B$251&amp;UtilityList!$C$4:$C$251,0)),INDEX(UtilityList!K$4:K$251,MATCH('Table 2.3c'!$A92&amp;'Table 2.3c'!$C92,UtilityList!$A$4:$A$251&amp;UtilityList!$C$5:$C$251,0)))</f>
        <v>Bethel (CA)</v>
      </c>
      <c r="Q92" s="452" t="str">
        <f t="array" ref="Q92">IFERROR(INDEX(UtilityList!L$4:L$251,MATCH('Table 2.3c'!$A92&amp;'Table 2.3c'!$B92&amp;'Table 2.3c'!$C92,UtilityList!$A$4:$A$251&amp;UtilityList!$B$4:$B$251&amp;UtilityList!$C$4:$C$251,0)),INDEX(UtilityList!L$4:L$251,MATCH('Table 2.3c'!$A92&amp;'Table 2.3c'!$C92,UtilityList!$A$4:$A$251&amp;UtilityList!$C$5:$C$251,0)))</f>
        <v>Calista</v>
      </c>
      <c r="R92" s="452" t="str">
        <f t="array" ref="R92">IFERROR(INDEX(UtilityList!M$4:M$251,MATCH('Table 2.3c'!$A92&amp;'Table 2.3c'!$B92&amp;'Table 2.3c'!$C92,UtilityList!$A$4:$A$251&amp;UtilityList!$B$4:$B$251&amp;UtilityList!$C$4:$C$251,0)),INDEX(UtilityList!M$4:M$251,MATCH('Table 2.3c'!$A92&amp;'Table 2.3c'!$C92,UtilityList!$A$4:$A$251&amp;UtilityList!$C$5:$C$251,0)))</f>
        <v>SW</v>
      </c>
      <c r="S92" s="344"/>
    </row>
    <row r="93" spans="1:19" s="239" customFormat="1" ht="45" x14ac:dyDescent="0.25">
      <c r="A93" s="678" t="s">
        <v>524</v>
      </c>
      <c r="B93" s="361" t="s">
        <v>116</v>
      </c>
      <c r="C93" s="679" t="s">
        <v>116</v>
      </c>
      <c r="D93" s="680" t="s">
        <v>545</v>
      </c>
      <c r="E93" s="680" t="s">
        <v>546</v>
      </c>
      <c r="F93" s="681">
        <v>582.09500000000003</v>
      </c>
      <c r="G93" s="682">
        <v>47325</v>
      </c>
      <c r="H93" s="681">
        <f t="shared" si="3"/>
        <v>6625.5000000000009</v>
      </c>
      <c r="I93" s="682">
        <v>3.5921666999999999</v>
      </c>
      <c r="J93" s="682">
        <f t="shared" si="4"/>
        <v>12.299947173798204</v>
      </c>
      <c r="K93" s="682">
        <f t="shared" si="5"/>
        <v>0.29204732745943529</v>
      </c>
      <c r="L93" s="682">
        <v>0.14000000000000001</v>
      </c>
      <c r="M93" s="658" t="s">
        <v>356</v>
      </c>
      <c r="N93" s="627">
        <f t="array" ref="N93">INDEX(UtilityList!Q$4:Q$251,MATCH('Table 2.3c'!$A93&amp;'Table 2.3c'!$B93&amp;'Table 2.3c'!$C93,UtilityList!$A$4:$A$251&amp;UtilityList!$B$4:$B$251&amp;UtilityList!$C$4:$C$251,0))</f>
        <v>0</v>
      </c>
      <c r="O93" s="452" t="str">
        <f t="array" ref="O93">IFERROR(INDEX(UtilityList!J$4:J$251,MATCH('Table 2.3c'!$A93&amp;'Table 2.3c'!$B93&amp;'Table 2.3c'!$C93,UtilityList!$A$4:$A$251&amp;UtilityList!$B$4:$B$251&amp;UtilityList!$C$4:$C$251,0)),INDEX(UtilityList!J$4:J$251,MATCH('Table 2.3c'!$A93&amp;'Table 2.3c'!$C93,UtilityList!$A$4:$A$251&amp;UtilityList!$C$5:$C$251,0)))</f>
        <v>Bering Straits</v>
      </c>
      <c r="P93" s="452" t="str">
        <f t="array" ref="P93">IFERROR(INDEX(UtilityList!K$4:K$251,MATCH('Table 2.3c'!$A93&amp;'Table 2.3c'!$B93&amp;'Table 2.3c'!$C93,UtilityList!$A$4:$A$251&amp;UtilityList!$B$4:$B$251&amp;UtilityList!$C$4:$C$251,0)),INDEX(UtilityList!K$4:K$251,MATCH('Table 2.3c'!$A93&amp;'Table 2.3c'!$C93,UtilityList!$A$4:$A$251&amp;UtilityList!$C$5:$C$251,0)))</f>
        <v>Nome (CA)</v>
      </c>
      <c r="Q93" s="452" t="str">
        <f t="array" ref="Q93">IFERROR(INDEX(UtilityList!L$4:L$251,MATCH('Table 2.3c'!$A93&amp;'Table 2.3c'!$B93&amp;'Table 2.3c'!$C93,UtilityList!$A$4:$A$251&amp;UtilityList!$B$4:$B$251&amp;UtilityList!$C$4:$C$251,0)),INDEX(UtilityList!L$4:L$251,MATCH('Table 2.3c'!$A93&amp;'Table 2.3c'!$C93,UtilityList!$A$4:$A$251&amp;UtilityList!$C$5:$C$251,0)))</f>
        <v>Bering Straits</v>
      </c>
      <c r="R93" s="452" t="str">
        <f t="array" ref="R93">IFERROR(INDEX(UtilityList!M$4:M$251,MATCH('Table 2.3c'!$A93&amp;'Table 2.3c'!$B93&amp;'Table 2.3c'!$C93,UtilityList!$A$4:$A$251&amp;UtilityList!$B$4:$B$251&amp;UtilityList!$C$4:$C$251,0)),INDEX(UtilityList!M$4:M$251,MATCH('Table 2.3c'!$A93&amp;'Table 2.3c'!$C93,UtilityList!$A$4:$A$251&amp;UtilityList!$C$5:$C$251,0)))</f>
        <v>AN</v>
      </c>
      <c r="S93" s="344"/>
    </row>
    <row r="94" spans="1:19" s="63" customFormat="1" ht="30" x14ac:dyDescent="0.25">
      <c r="A94" s="678" t="s">
        <v>117</v>
      </c>
      <c r="B94" s="361" t="s">
        <v>118</v>
      </c>
      <c r="C94" s="679" t="s">
        <v>118</v>
      </c>
      <c r="D94" s="680" t="s">
        <v>545</v>
      </c>
      <c r="E94" s="680" t="s">
        <v>546</v>
      </c>
      <c r="F94" s="681">
        <v>252.608</v>
      </c>
      <c r="G94" s="682">
        <v>22089</v>
      </c>
      <c r="H94" s="681">
        <f t="shared" si="3"/>
        <v>3092.4600000000005</v>
      </c>
      <c r="I94" s="682">
        <v>3.1650833</v>
      </c>
      <c r="J94" s="682">
        <f t="shared" si="4"/>
        <v>11.435918330390692</v>
      </c>
      <c r="K94" s="682">
        <f t="shared" si="5"/>
        <v>0.27676686808691731</v>
      </c>
      <c r="L94" s="682">
        <v>0.14000000000000001</v>
      </c>
      <c r="M94" s="658" t="s">
        <v>356</v>
      </c>
      <c r="N94" s="627">
        <f t="array" ref="N94">INDEX(UtilityList!Q$4:Q$251,MATCH('Table 2.3c'!$A94&amp;'Table 2.3c'!$B94&amp;'Table 2.3c'!$C94,UtilityList!$A$4:$A$251&amp;UtilityList!$B$4:$B$251&amp;UtilityList!$C$4:$C$251,0))</f>
        <v>0</v>
      </c>
      <c r="O94" s="452" t="str">
        <f t="array" ref="O94">IFERROR(INDEX(UtilityList!J$4:J$251,MATCH('Table 2.3c'!$A94&amp;'Table 2.3c'!$B94&amp;'Table 2.3c'!$C94,UtilityList!$A$4:$A$251&amp;UtilityList!$B$4:$B$251&amp;UtilityList!$C$4:$C$251,0)),INDEX(UtilityList!J$4:J$251,MATCH('Table 2.3c'!$A94&amp;'Table 2.3c'!$C94,UtilityList!$A$4:$A$251&amp;UtilityList!$C$5:$C$251,0)))</f>
        <v>Kodiak</v>
      </c>
      <c r="P94" s="452" t="str">
        <f t="array" ref="P94">IFERROR(INDEX(UtilityList!K$4:K$251,MATCH('Table 2.3c'!$A94&amp;'Table 2.3c'!$B94&amp;'Table 2.3c'!$C94,UtilityList!$A$4:$A$251&amp;UtilityList!$B$4:$B$251&amp;UtilityList!$C$4:$C$251,0)),INDEX(UtilityList!K$4:K$251,MATCH('Table 2.3c'!$A94&amp;'Table 2.3c'!$C94,UtilityList!$A$4:$A$251&amp;UtilityList!$C$5:$C$251,0)))</f>
        <v>Kodiak Island</v>
      </c>
      <c r="Q94" s="452" t="str">
        <f t="array" ref="Q94">IFERROR(INDEX(UtilityList!L$4:L$251,MATCH('Table 2.3c'!$A94&amp;'Table 2.3c'!$B94&amp;'Table 2.3c'!$C94,UtilityList!$A$4:$A$251&amp;UtilityList!$B$4:$B$251&amp;UtilityList!$C$4:$C$251,0)),INDEX(UtilityList!L$4:L$251,MATCH('Table 2.3c'!$A94&amp;'Table 2.3c'!$C94,UtilityList!$A$4:$A$251&amp;UtilityList!$C$5:$C$251,0)))</f>
        <v>Koniag</v>
      </c>
      <c r="R94" s="452" t="str">
        <f t="array" ref="R94">IFERROR(INDEX(UtilityList!M$4:M$251,MATCH('Table 2.3c'!$A94&amp;'Table 2.3c'!$B94&amp;'Table 2.3c'!$C94,UtilityList!$A$4:$A$251&amp;UtilityList!$B$4:$B$251&amp;UtilityList!$C$4:$C$251,0)),INDEX(UtilityList!M$4:M$251,MATCH('Table 2.3c'!$A94&amp;'Table 2.3c'!$C94,UtilityList!$A$4:$A$251&amp;UtilityList!$C$5:$C$251,0)))</f>
        <v>SC</v>
      </c>
    </row>
    <row r="95" spans="1:19" s="63" customFormat="1" ht="45" x14ac:dyDescent="0.25">
      <c r="A95" s="693" t="s">
        <v>119</v>
      </c>
      <c r="B95" s="361" t="s">
        <v>120</v>
      </c>
      <c r="C95" s="361" t="s">
        <v>121</v>
      </c>
      <c r="D95" s="622" t="s">
        <v>545</v>
      </c>
      <c r="E95" s="622" t="s">
        <v>560</v>
      </c>
      <c r="F95" s="642">
        <v>46</v>
      </c>
      <c r="G95" s="683">
        <v>4242</v>
      </c>
      <c r="H95" s="681">
        <f t="shared" si="3"/>
        <v>593.88000000000011</v>
      </c>
      <c r="I95" s="683"/>
      <c r="J95" s="683">
        <f t="shared" si="4"/>
        <v>10.843941537010844</v>
      </c>
      <c r="K95" s="682" t="str">
        <f t="shared" si="5"/>
        <v xml:space="preserve"> </v>
      </c>
      <c r="L95" s="682">
        <v>0.14000000000000001</v>
      </c>
      <c r="M95" s="622" t="s">
        <v>558</v>
      </c>
      <c r="N95" s="627">
        <f t="array" ref="N95">INDEX(UtilityList!Q$4:Q$251,MATCH('Table 2.3c'!$A95&amp;'Table 2.3c'!$B95&amp;'Table 2.3c'!$C95,UtilityList!$A$4:$A$251&amp;UtilityList!$B$4:$B$251&amp;UtilityList!$C$4:$C$251,0))</f>
        <v>0</v>
      </c>
      <c r="O95" s="452" t="str">
        <f t="array" ref="O95">IFERROR(INDEX(UtilityList!J$4:J$251,MATCH('Table 2.3c'!$A95&amp;'Table 2.3c'!$B95&amp;'Table 2.3c'!$C95,UtilityList!$A$4:$A$251&amp;UtilityList!$B$4:$B$251&amp;UtilityList!$C$4:$C$251,0)),INDEX(UtilityList!J$4:J$251,MATCH('Table 2.3c'!$A95&amp;'Table 2.3c'!$C95,UtilityList!$A$4:$A$251&amp;UtilityList!$C$5:$C$251,0)))</f>
        <v>Railbelt</v>
      </c>
      <c r="P95" s="452" t="str">
        <f t="array" ref="P95">IFERROR(INDEX(UtilityList!K$4:K$251,MATCH('Table 2.3c'!$A95&amp;'Table 2.3c'!$B95&amp;'Table 2.3c'!$C95,UtilityList!$A$4:$A$251&amp;UtilityList!$B$4:$B$251&amp;UtilityList!$C$4:$C$251,0)),INDEX(UtilityList!K$4:K$251,MATCH('Table 2.3c'!$A95&amp;'Table 2.3c'!$C95,UtilityList!$A$4:$A$251&amp;UtilityList!$C$5:$C$251,0)))</f>
        <v>Anchorage</v>
      </c>
      <c r="Q95" s="452" t="str">
        <f t="array" ref="Q95">IFERROR(INDEX(UtilityList!L$4:L$251,MATCH('Table 2.3c'!$A95&amp;'Table 2.3c'!$B95&amp;'Table 2.3c'!$C95,UtilityList!$A$4:$A$251&amp;UtilityList!$B$4:$B$251&amp;UtilityList!$C$4:$C$251,0)),INDEX(UtilityList!L$4:L$251,MATCH('Table 2.3c'!$A95&amp;'Table 2.3c'!$C95,UtilityList!$A$4:$A$251&amp;UtilityList!$C$5:$C$251,0)))</f>
        <v>Cook Inlet</v>
      </c>
      <c r="R95" s="452" t="str">
        <f t="array" ref="R95">IFERROR(INDEX(UtilityList!M$4:M$251,MATCH('Table 2.3c'!$A95&amp;'Table 2.3c'!$B95&amp;'Table 2.3c'!$C95,UtilityList!$A$4:$A$251&amp;UtilityList!$B$4:$B$251&amp;UtilityList!$C$4:$C$251,0)),INDEX(UtilityList!M$4:M$251,MATCH('Table 2.3c'!$A95&amp;'Table 2.3c'!$C95,UtilityList!$A$4:$A$251&amp;UtilityList!$C$5:$C$251,0)))</f>
        <v>SC</v>
      </c>
    </row>
    <row r="96" spans="1:19" s="63" customFormat="1" ht="45" x14ac:dyDescent="0.25">
      <c r="A96" s="693" t="s">
        <v>119</v>
      </c>
      <c r="B96" s="361" t="s">
        <v>120</v>
      </c>
      <c r="C96" s="361" t="s">
        <v>121</v>
      </c>
      <c r="D96" s="622" t="s">
        <v>564</v>
      </c>
      <c r="E96" s="622" t="s">
        <v>560</v>
      </c>
      <c r="F96" s="642">
        <v>90425.61</v>
      </c>
      <c r="G96" s="683">
        <v>1089173</v>
      </c>
      <c r="H96" s="681">
        <f t="shared" si="3"/>
        <v>1113134.8060000001</v>
      </c>
      <c r="I96" s="683"/>
      <c r="J96" s="683">
        <f>IF(F96&gt;0, IFERROR((F96*1000)/G96," "), " ")</f>
        <v>83.022265517048254</v>
      </c>
      <c r="K96" s="682" t="str">
        <f t="shared" si="5"/>
        <v xml:space="preserve"> </v>
      </c>
      <c r="L96" s="682">
        <v>1.022</v>
      </c>
      <c r="M96" s="622" t="s">
        <v>558</v>
      </c>
      <c r="N96" s="627">
        <f t="array" ref="N96">INDEX(UtilityList!Q$4:Q$251,MATCH('Table 2.3c'!$A96&amp;'Table 2.3c'!$B96&amp;'Table 2.3c'!$C96,UtilityList!$A$4:$A$251&amp;UtilityList!$B$4:$B$251&amp;UtilityList!$C$4:$C$251,0))</f>
        <v>0</v>
      </c>
      <c r="O96" s="452" t="str">
        <f t="array" ref="O96">IFERROR(INDEX(UtilityList!J$4:J$251,MATCH('Table 2.3c'!$A96&amp;'Table 2.3c'!$B96&amp;'Table 2.3c'!$C96,UtilityList!$A$4:$A$251&amp;UtilityList!$B$4:$B$251&amp;UtilityList!$C$4:$C$251,0)),INDEX(UtilityList!J$4:J$251,MATCH('Table 2.3c'!$A96&amp;'Table 2.3c'!$C96,UtilityList!$A$4:$A$251&amp;UtilityList!$C$5:$C$251,0)))</f>
        <v>Railbelt</v>
      </c>
      <c r="P96" s="452" t="str">
        <f t="array" ref="P96">IFERROR(INDEX(UtilityList!K$4:K$251,MATCH('Table 2.3c'!$A96&amp;'Table 2.3c'!$B96&amp;'Table 2.3c'!$C96,UtilityList!$A$4:$A$251&amp;UtilityList!$B$4:$B$251&amp;UtilityList!$C$4:$C$251,0)),INDEX(UtilityList!K$4:K$251,MATCH('Table 2.3c'!$A96&amp;'Table 2.3c'!$C96,UtilityList!$A$4:$A$251&amp;UtilityList!$C$5:$C$251,0)))</f>
        <v>Anchorage</v>
      </c>
      <c r="Q96" s="452" t="str">
        <f t="array" ref="Q96">IFERROR(INDEX(UtilityList!L$4:L$251,MATCH('Table 2.3c'!$A96&amp;'Table 2.3c'!$B96&amp;'Table 2.3c'!$C96,UtilityList!$A$4:$A$251&amp;UtilityList!$B$4:$B$251&amp;UtilityList!$C$4:$C$251,0)),INDEX(UtilityList!L$4:L$251,MATCH('Table 2.3c'!$A96&amp;'Table 2.3c'!$C96,UtilityList!$A$4:$A$251&amp;UtilityList!$C$5:$C$251,0)))</f>
        <v>Cook Inlet</v>
      </c>
      <c r="R96" s="452" t="str">
        <f t="array" ref="R96">IFERROR(INDEX(UtilityList!M$4:M$251,MATCH('Table 2.3c'!$A96&amp;'Table 2.3c'!$B96&amp;'Table 2.3c'!$C96,UtilityList!$A$4:$A$251&amp;UtilityList!$B$4:$B$251&amp;UtilityList!$C$4:$C$251,0)),INDEX(UtilityList!M$4:M$251,MATCH('Table 2.3c'!$A96&amp;'Table 2.3c'!$C96,UtilityList!$A$4:$A$251&amp;UtilityList!$C$5:$C$251,0)))</f>
        <v>SC</v>
      </c>
    </row>
    <row r="97" spans="1:19" s="63" customFormat="1" ht="45" x14ac:dyDescent="0.25">
      <c r="A97" s="693" t="s">
        <v>119</v>
      </c>
      <c r="B97" s="361" t="s">
        <v>120</v>
      </c>
      <c r="C97" s="361" t="s">
        <v>121</v>
      </c>
      <c r="D97" s="622" t="s">
        <v>545</v>
      </c>
      <c r="E97" s="622" t="s">
        <v>546</v>
      </c>
      <c r="F97" s="642"/>
      <c r="G97" s="683">
        <v>0</v>
      </c>
      <c r="H97" s="681">
        <f t="shared" si="3"/>
        <v>0</v>
      </c>
      <c r="I97" s="683"/>
      <c r="J97" s="683" t="str">
        <f>IF(F97&gt;0,IFERROR((F97*1000)/G97, " ")," ")</f>
        <v xml:space="preserve"> </v>
      </c>
      <c r="K97" s="682" t="str">
        <f t="shared" si="5"/>
        <v xml:space="preserve"> </v>
      </c>
      <c r="L97" s="682">
        <v>0.14000000000000001</v>
      </c>
      <c r="M97" s="622" t="s">
        <v>558</v>
      </c>
      <c r="N97" s="627">
        <f t="array" ref="N97">INDEX(UtilityList!Q$4:Q$251,MATCH('Table 2.3c'!$A97&amp;'Table 2.3c'!$B97&amp;'Table 2.3c'!$C97,UtilityList!$A$4:$A$251&amp;UtilityList!$B$4:$B$251&amp;UtilityList!$C$4:$C$251,0))</f>
        <v>0</v>
      </c>
      <c r="O97" s="452" t="str">
        <f t="array" ref="O97">IFERROR(INDEX(UtilityList!J$4:J$251,MATCH('Table 2.3c'!$A97&amp;'Table 2.3c'!$B97&amp;'Table 2.3c'!$C97,UtilityList!$A$4:$A$251&amp;UtilityList!$B$4:$B$251&amp;UtilityList!$C$4:$C$251,0)),INDEX(UtilityList!J$4:J$251,MATCH('Table 2.3c'!$A97&amp;'Table 2.3c'!$C97,UtilityList!$A$4:$A$251&amp;UtilityList!$C$5:$C$251,0)))</f>
        <v>Railbelt</v>
      </c>
      <c r="P97" s="452" t="str">
        <f t="array" ref="P97">IFERROR(INDEX(UtilityList!K$4:K$251,MATCH('Table 2.3c'!$A97&amp;'Table 2.3c'!$B97&amp;'Table 2.3c'!$C97,UtilityList!$A$4:$A$251&amp;UtilityList!$B$4:$B$251&amp;UtilityList!$C$4:$C$251,0)),INDEX(UtilityList!K$4:K$251,MATCH('Table 2.3c'!$A97&amp;'Table 2.3c'!$C97,UtilityList!$A$4:$A$251&amp;UtilityList!$C$5:$C$251,0)))</f>
        <v>Anchorage</v>
      </c>
      <c r="Q97" s="452" t="str">
        <f t="array" ref="Q97">IFERROR(INDEX(UtilityList!L$4:L$251,MATCH('Table 2.3c'!$A97&amp;'Table 2.3c'!$B97&amp;'Table 2.3c'!$C97,UtilityList!$A$4:$A$251&amp;UtilityList!$B$4:$B$251&amp;UtilityList!$C$4:$C$251,0)),INDEX(UtilityList!L$4:L$251,MATCH('Table 2.3c'!$A97&amp;'Table 2.3c'!$C97,UtilityList!$A$4:$A$251&amp;UtilityList!$C$5:$C$251,0)))</f>
        <v>Cook Inlet</v>
      </c>
      <c r="R97" s="452" t="str">
        <f t="array" ref="R97">IFERROR(INDEX(UtilityList!M$4:M$251,MATCH('Table 2.3c'!$A97&amp;'Table 2.3c'!$B97&amp;'Table 2.3c'!$C97,UtilityList!$A$4:$A$251&amp;UtilityList!$B$4:$B$251&amp;UtilityList!$C$4:$C$251,0)),INDEX(UtilityList!M$4:M$251,MATCH('Table 2.3c'!$A97&amp;'Table 2.3c'!$C97,UtilityList!$A$4:$A$251&amp;UtilityList!$C$5:$C$251,0)))</f>
        <v>SC</v>
      </c>
    </row>
    <row r="98" spans="1:19" s="63" customFormat="1" ht="60" x14ac:dyDescent="0.25">
      <c r="A98" s="693" t="s">
        <v>119</v>
      </c>
      <c r="B98" s="361" t="s">
        <v>122</v>
      </c>
      <c r="C98" s="361" t="s">
        <v>121</v>
      </c>
      <c r="D98" s="622" t="s">
        <v>545</v>
      </c>
      <c r="E98" s="622" t="s">
        <v>567</v>
      </c>
      <c r="F98" s="642">
        <v>187</v>
      </c>
      <c r="G98" s="683">
        <v>19110</v>
      </c>
      <c r="H98" s="681">
        <f t="shared" si="3"/>
        <v>2675.4</v>
      </c>
      <c r="I98" s="683"/>
      <c r="J98" s="683">
        <f>IF(F98&gt;0,IFERROR((F98*1000)/G98, " ")," ")</f>
        <v>9.7854526425954997</v>
      </c>
      <c r="K98" s="682" t="str">
        <f t="shared" si="5"/>
        <v xml:space="preserve"> </v>
      </c>
      <c r="L98" s="682">
        <v>0.14000000000000001</v>
      </c>
      <c r="M98" s="622" t="s">
        <v>558</v>
      </c>
      <c r="N98" s="627">
        <f t="array" ref="N98">INDEX(UtilityList!Q$4:Q$251,MATCH('Table 2.3c'!$A98&amp;'Table 2.3c'!$B98&amp;'Table 2.3c'!$C98,UtilityList!$A$4:$A$251&amp;UtilityList!$B$4:$B$251&amp;UtilityList!$C$4:$C$251,0))</f>
        <v>0</v>
      </c>
      <c r="O98" s="452" t="str">
        <f t="array" ref="O98">IFERROR(INDEX(UtilityList!J$4:J$251,MATCH('Table 2.3c'!$A98&amp;'Table 2.3c'!$B98&amp;'Table 2.3c'!$C98,UtilityList!$A$4:$A$251&amp;UtilityList!$B$4:$B$251&amp;UtilityList!$C$4:$C$251,0)),INDEX(UtilityList!J$4:J$251,MATCH('Table 2.3c'!$A98&amp;'Table 2.3c'!$C98,UtilityList!$A$4:$A$251&amp;UtilityList!$C$5:$C$251,0)))</f>
        <v>Railbelt</v>
      </c>
      <c r="P98" s="452" t="str">
        <f t="array" ref="P98">IFERROR(INDEX(UtilityList!K$4:K$251,MATCH('Table 2.3c'!$A98&amp;'Table 2.3c'!$B98&amp;'Table 2.3c'!$C98,UtilityList!$A$4:$A$251&amp;UtilityList!$B$4:$B$251&amp;UtilityList!$C$4:$C$251,0)),INDEX(UtilityList!K$4:K$251,MATCH('Table 2.3c'!$A98&amp;'Table 2.3c'!$C98,UtilityList!$A$4:$A$251&amp;UtilityList!$C$5:$C$251,0)))</f>
        <v>Anchorage</v>
      </c>
      <c r="Q98" s="452" t="str">
        <f t="array" ref="Q98">IFERROR(INDEX(UtilityList!L$4:L$251,MATCH('Table 2.3c'!$A98&amp;'Table 2.3c'!$B98&amp;'Table 2.3c'!$C98,UtilityList!$A$4:$A$251&amp;UtilityList!$B$4:$B$251&amp;UtilityList!$C$4:$C$251,0)),INDEX(UtilityList!L$4:L$251,MATCH('Table 2.3c'!$A98&amp;'Table 2.3c'!$C98,UtilityList!$A$4:$A$251&amp;UtilityList!$C$5:$C$251,0)))</f>
        <v>Cook Inlet</v>
      </c>
      <c r="R98" s="452" t="str">
        <f t="array" ref="R98">IFERROR(INDEX(UtilityList!M$4:M$251,MATCH('Table 2.3c'!$A98&amp;'Table 2.3c'!$B98&amp;'Table 2.3c'!$C98,UtilityList!$A$4:$A$251&amp;UtilityList!$B$4:$B$251&amp;UtilityList!$C$4:$C$251,0)),INDEX(UtilityList!M$4:M$251,MATCH('Table 2.3c'!$A98&amp;'Table 2.3c'!$C98,UtilityList!$A$4:$A$251&amp;UtilityList!$C$5:$C$251,0)))</f>
        <v>SC</v>
      </c>
    </row>
    <row r="99" spans="1:19" s="63" customFormat="1" ht="60" x14ac:dyDescent="0.25">
      <c r="A99" s="693" t="s">
        <v>119</v>
      </c>
      <c r="B99" s="361" t="s">
        <v>122</v>
      </c>
      <c r="C99" s="361" t="s">
        <v>121</v>
      </c>
      <c r="D99" s="622" t="s">
        <v>564</v>
      </c>
      <c r="E99" s="622" t="s">
        <v>567</v>
      </c>
      <c r="F99" s="642">
        <v>732618.01399445999</v>
      </c>
      <c r="G99" s="683">
        <v>9716234</v>
      </c>
      <c r="H99" s="681">
        <f t="shared" si="3"/>
        <v>9929991.148</v>
      </c>
      <c r="I99" s="683"/>
      <c r="J99" s="683">
        <f>IF(F99&gt;0, IFERROR((F99*1000)/G99," "), " ")</f>
        <v>75.401437840469882</v>
      </c>
      <c r="K99" s="682" t="str">
        <f t="shared" si="5"/>
        <v xml:space="preserve"> </v>
      </c>
      <c r="L99" s="682">
        <v>1.022</v>
      </c>
      <c r="M99" s="622" t="s">
        <v>558</v>
      </c>
      <c r="N99" s="627">
        <f t="array" ref="N99">INDEX(UtilityList!Q$4:Q$251,MATCH('Table 2.3c'!$A99&amp;'Table 2.3c'!$B99&amp;'Table 2.3c'!$C99,UtilityList!$A$4:$A$251&amp;UtilityList!$B$4:$B$251&amp;UtilityList!$C$4:$C$251,0))</f>
        <v>0</v>
      </c>
      <c r="O99" s="452" t="str">
        <f t="array" ref="O99">IFERROR(INDEX(UtilityList!J$4:J$251,MATCH('Table 2.3c'!$A99&amp;'Table 2.3c'!$B99&amp;'Table 2.3c'!$C99,UtilityList!$A$4:$A$251&amp;UtilityList!$B$4:$B$251&amp;UtilityList!$C$4:$C$251,0)),INDEX(UtilityList!J$4:J$251,MATCH('Table 2.3c'!$A99&amp;'Table 2.3c'!$C99,UtilityList!$A$4:$A$251&amp;UtilityList!$C$5:$C$251,0)))</f>
        <v>Railbelt</v>
      </c>
      <c r="P99" s="452" t="str">
        <f t="array" ref="P99">IFERROR(INDEX(UtilityList!K$4:K$251,MATCH('Table 2.3c'!$A99&amp;'Table 2.3c'!$B99&amp;'Table 2.3c'!$C99,UtilityList!$A$4:$A$251&amp;UtilityList!$B$4:$B$251&amp;UtilityList!$C$4:$C$251,0)),INDEX(UtilityList!K$4:K$251,MATCH('Table 2.3c'!$A99&amp;'Table 2.3c'!$C99,UtilityList!$A$4:$A$251&amp;UtilityList!$C$5:$C$251,0)))</f>
        <v>Anchorage</v>
      </c>
      <c r="Q99" s="452" t="str">
        <f t="array" ref="Q99">IFERROR(INDEX(UtilityList!L$4:L$251,MATCH('Table 2.3c'!$A99&amp;'Table 2.3c'!$B99&amp;'Table 2.3c'!$C99,UtilityList!$A$4:$A$251&amp;UtilityList!$B$4:$B$251&amp;UtilityList!$C$4:$C$251,0)),INDEX(UtilityList!L$4:L$251,MATCH('Table 2.3c'!$A99&amp;'Table 2.3c'!$C99,UtilityList!$A$4:$A$251&amp;UtilityList!$C$5:$C$251,0)))</f>
        <v>Cook Inlet</v>
      </c>
      <c r="R99" s="452" t="str">
        <f t="array" ref="R99">IFERROR(INDEX(UtilityList!M$4:M$251,MATCH('Table 2.3c'!$A99&amp;'Table 2.3c'!$B99&amp;'Table 2.3c'!$C99,UtilityList!$A$4:$A$251&amp;UtilityList!$B$4:$B$251&amp;UtilityList!$C$4:$C$251,0)),INDEX(UtilityList!M$4:M$251,MATCH('Table 2.3c'!$A99&amp;'Table 2.3c'!$C99,UtilityList!$A$4:$A$251&amp;UtilityList!$C$5:$C$251,0)))</f>
        <v>SC</v>
      </c>
    </row>
    <row r="100" spans="1:19" s="63" customFormat="1" ht="60" x14ac:dyDescent="0.25">
      <c r="A100" s="693" t="s">
        <v>119</v>
      </c>
      <c r="B100" s="361" t="s">
        <v>122</v>
      </c>
      <c r="C100" s="361" t="s">
        <v>121</v>
      </c>
      <c r="D100" s="622" t="s">
        <v>564</v>
      </c>
      <c r="E100" s="622" t="s">
        <v>560</v>
      </c>
      <c r="F100" s="642">
        <v>127212</v>
      </c>
      <c r="G100" s="683">
        <v>1635452</v>
      </c>
      <c r="H100" s="681">
        <f t="shared" si="3"/>
        <v>1671431.9440000001</v>
      </c>
      <c r="I100" s="683"/>
      <c r="J100" s="683">
        <f>IF(F100&gt;0, IFERROR((F100*1000)/G100," "), " ")</f>
        <v>77.784000997889265</v>
      </c>
      <c r="K100" s="682" t="str">
        <f t="shared" si="5"/>
        <v xml:space="preserve"> </v>
      </c>
      <c r="L100" s="682">
        <v>1.022</v>
      </c>
      <c r="M100" s="622" t="s">
        <v>558</v>
      </c>
      <c r="N100" s="627">
        <f t="array" ref="N100">INDEX(UtilityList!Q$4:Q$251,MATCH('Table 2.3c'!$A100&amp;'Table 2.3c'!$B100&amp;'Table 2.3c'!$C100,UtilityList!$A$4:$A$251&amp;UtilityList!$B$4:$B$251&amp;UtilityList!$C$4:$C$251,0))</f>
        <v>0</v>
      </c>
      <c r="O100" s="452" t="str">
        <f t="array" ref="O100">IFERROR(INDEX(UtilityList!J$4:J$251,MATCH('Table 2.3c'!$A100&amp;'Table 2.3c'!$B100&amp;'Table 2.3c'!$C100,UtilityList!$A$4:$A$251&amp;UtilityList!$B$4:$B$251&amp;UtilityList!$C$4:$C$251,0)),INDEX(UtilityList!J$4:J$251,MATCH('Table 2.3c'!$A100&amp;'Table 2.3c'!$C100,UtilityList!$A$4:$A$251&amp;UtilityList!$C$5:$C$251,0)))</f>
        <v>Railbelt</v>
      </c>
      <c r="P100" s="452" t="str">
        <f t="array" ref="P100">IFERROR(INDEX(UtilityList!K$4:K$251,MATCH('Table 2.3c'!$A100&amp;'Table 2.3c'!$B100&amp;'Table 2.3c'!$C100,UtilityList!$A$4:$A$251&amp;UtilityList!$B$4:$B$251&amp;UtilityList!$C$4:$C$251,0)),INDEX(UtilityList!K$4:K$251,MATCH('Table 2.3c'!$A100&amp;'Table 2.3c'!$C100,UtilityList!$A$4:$A$251&amp;UtilityList!$C$5:$C$251,0)))</f>
        <v>Anchorage</v>
      </c>
      <c r="Q100" s="452" t="str">
        <f t="array" ref="Q100">IFERROR(INDEX(UtilityList!L$4:L$251,MATCH('Table 2.3c'!$A100&amp;'Table 2.3c'!$B100&amp;'Table 2.3c'!$C100,UtilityList!$A$4:$A$251&amp;UtilityList!$B$4:$B$251&amp;UtilityList!$C$4:$C$251,0)),INDEX(UtilityList!L$4:L$251,MATCH('Table 2.3c'!$A100&amp;'Table 2.3c'!$C100,UtilityList!$A$4:$A$251&amp;UtilityList!$C$5:$C$251,0)))</f>
        <v>Cook Inlet</v>
      </c>
      <c r="R100" s="452" t="str">
        <f t="array" ref="R100">IFERROR(INDEX(UtilityList!M$4:M$251,MATCH('Table 2.3c'!$A100&amp;'Table 2.3c'!$B100&amp;'Table 2.3c'!$C100,UtilityList!$A$4:$A$251&amp;UtilityList!$B$4:$B$251&amp;UtilityList!$C$4:$C$251,0)),INDEX(UtilityList!M$4:M$251,MATCH('Table 2.3c'!$A100&amp;'Table 2.3c'!$C100,UtilityList!$A$4:$A$251&amp;UtilityList!$C$5:$C$251,0)))</f>
        <v>SC</v>
      </c>
    </row>
    <row r="101" spans="1:19" s="239" customFormat="1" ht="60" x14ac:dyDescent="0.25">
      <c r="A101" s="693" t="s">
        <v>119</v>
      </c>
      <c r="B101" s="361" t="s">
        <v>122</v>
      </c>
      <c r="C101" s="361" t="s">
        <v>121</v>
      </c>
      <c r="D101" s="622" t="s">
        <v>564</v>
      </c>
      <c r="E101" s="622" t="s">
        <v>568</v>
      </c>
      <c r="F101" s="642">
        <v>222845</v>
      </c>
      <c r="G101" s="683"/>
      <c r="H101" s="681">
        <f t="shared" si="3"/>
        <v>0</v>
      </c>
      <c r="I101" s="683"/>
      <c r="J101" s="683" t="str">
        <f>IF(F101&gt;0, IFERROR((F101*1000)/G101," "), " ")</f>
        <v xml:space="preserve"> </v>
      </c>
      <c r="K101" s="682" t="str">
        <f t="shared" si="5"/>
        <v xml:space="preserve"> </v>
      </c>
      <c r="L101" s="682">
        <v>1.022</v>
      </c>
      <c r="M101" s="622" t="s">
        <v>558</v>
      </c>
      <c r="N101" s="627">
        <f t="array" ref="N101">INDEX(UtilityList!Q$4:Q$251,MATCH('Table 2.3c'!$A101&amp;'Table 2.3c'!$B101&amp;'Table 2.3c'!$C101,UtilityList!$A$4:$A$251&amp;UtilityList!$B$4:$B$251&amp;UtilityList!$C$4:$C$251,0))</f>
        <v>0</v>
      </c>
      <c r="O101" s="452" t="str">
        <f t="array" ref="O101">IFERROR(INDEX(UtilityList!J$4:J$251,MATCH('Table 2.3c'!$A101&amp;'Table 2.3c'!$B101&amp;'Table 2.3c'!$C101,UtilityList!$A$4:$A$251&amp;UtilityList!$B$4:$B$251&amp;UtilityList!$C$4:$C$251,0)),INDEX(UtilityList!J$4:J$251,MATCH('Table 2.3c'!$A101&amp;'Table 2.3c'!$C101,UtilityList!$A$4:$A$251&amp;UtilityList!$C$5:$C$251,0)))</f>
        <v>Railbelt</v>
      </c>
      <c r="P101" s="452" t="str">
        <f t="array" ref="P101">IFERROR(INDEX(UtilityList!K$4:K$251,MATCH('Table 2.3c'!$A101&amp;'Table 2.3c'!$B101&amp;'Table 2.3c'!$C101,UtilityList!$A$4:$A$251&amp;UtilityList!$B$4:$B$251&amp;UtilityList!$C$4:$C$251,0)),INDEX(UtilityList!K$4:K$251,MATCH('Table 2.3c'!$A101&amp;'Table 2.3c'!$C101,UtilityList!$A$4:$A$251&amp;UtilityList!$C$5:$C$251,0)))</f>
        <v>Anchorage</v>
      </c>
      <c r="Q101" s="452" t="str">
        <f t="array" ref="Q101">IFERROR(INDEX(UtilityList!L$4:L$251,MATCH('Table 2.3c'!$A101&amp;'Table 2.3c'!$B101&amp;'Table 2.3c'!$C101,UtilityList!$A$4:$A$251&amp;UtilityList!$B$4:$B$251&amp;UtilityList!$C$4:$C$251,0)),INDEX(UtilityList!L$4:L$251,MATCH('Table 2.3c'!$A101&amp;'Table 2.3c'!$C101,UtilityList!$A$4:$A$251&amp;UtilityList!$C$5:$C$251,0)))</f>
        <v>Cook Inlet</v>
      </c>
      <c r="R101" s="452" t="str">
        <f t="array" ref="R101">IFERROR(INDEX(UtilityList!M$4:M$251,MATCH('Table 2.3c'!$A101&amp;'Table 2.3c'!$B101&amp;'Table 2.3c'!$C101,UtilityList!$A$4:$A$251&amp;UtilityList!$B$4:$B$251&amp;UtilityList!$C$4:$C$251,0)),INDEX(UtilityList!M$4:M$251,MATCH('Table 2.3c'!$A101&amp;'Table 2.3c'!$C101,UtilityList!$A$4:$A$251&amp;UtilityList!$C$5:$C$251,0)))</f>
        <v>SC</v>
      </c>
      <c r="S101" s="344"/>
    </row>
    <row r="102" spans="1:19" s="239" customFormat="1" ht="30" x14ac:dyDescent="0.25">
      <c r="A102" s="678" t="s">
        <v>123</v>
      </c>
      <c r="B102" s="361" t="s">
        <v>124</v>
      </c>
      <c r="C102" s="679" t="s">
        <v>124</v>
      </c>
      <c r="D102" s="680" t="s">
        <v>545</v>
      </c>
      <c r="E102" s="680" t="s">
        <v>546</v>
      </c>
      <c r="F102" s="681">
        <v>2618.598</v>
      </c>
      <c r="G102" s="682">
        <v>204154</v>
      </c>
      <c r="H102" s="681">
        <f t="shared" si="3"/>
        <v>28581.56</v>
      </c>
      <c r="I102" s="682">
        <v>3.4676833</v>
      </c>
      <c r="J102" s="682">
        <f>IF(F102&gt;0,IFERROR((F102*1000)/G102, " ")," ")</f>
        <v>12.826581894060366</v>
      </c>
      <c r="K102" s="682">
        <f t="shared" si="5"/>
        <v>0.27035131640221216</v>
      </c>
      <c r="L102" s="682">
        <v>0.14000000000000001</v>
      </c>
      <c r="M102" s="658" t="s">
        <v>356</v>
      </c>
      <c r="N102" s="627">
        <f t="array" ref="N102">INDEX(UtilityList!Q$4:Q$251,MATCH('Table 2.3c'!$A102&amp;'Table 2.3c'!$B102&amp;'Table 2.3c'!$C102,UtilityList!$A$4:$A$251&amp;UtilityList!$B$4:$B$251&amp;UtilityList!$C$4:$C$251,0))</f>
        <v>0</v>
      </c>
      <c r="O102" s="452" t="str">
        <f t="array" ref="O102">IFERROR(INDEX(UtilityList!J$4:J$251,MATCH('Table 2.3c'!$A102&amp;'Table 2.3c'!$B102&amp;'Table 2.3c'!$C102,UtilityList!$A$4:$A$251&amp;UtilityList!$B$4:$B$251&amp;UtilityList!$C$4:$C$251,0)),INDEX(UtilityList!J$4:J$251,MATCH('Table 2.3c'!$A102&amp;'Table 2.3c'!$C102,UtilityList!$A$4:$A$251&amp;UtilityList!$C$5:$C$251,0)))</f>
        <v>Lower Yukon-Kuskokwim</v>
      </c>
      <c r="P102" s="452" t="str">
        <f t="array" ref="P102">IFERROR(INDEX(UtilityList!K$4:K$251,MATCH('Table 2.3c'!$A102&amp;'Table 2.3c'!$B102&amp;'Table 2.3c'!$C102,UtilityList!$A$4:$A$251&amp;UtilityList!$B$4:$B$251&amp;UtilityList!$C$4:$C$251,0)),INDEX(UtilityList!K$4:K$251,MATCH('Table 2.3c'!$A102&amp;'Table 2.3c'!$C102,UtilityList!$A$4:$A$251&amp;UtilityList!$C$5:$C$251,0)))</f>
        <v>Bethel (CA)</v>
      </c>
      <c r="Q102" s="452" t="str">
        <f t="array" ref="Q102">IFERROR(INDEX(UtilityList!L$4:L$251,MATCH('Table 2.3c'!$A102&amp;'Table 2.3c'!$B102&amp;'Table 2.3c'!$C102,UtilityList!$A$4:$A$251&amp;UtilityList!$B$4:$B$251&amp;UtilityList!$C$4:$C$251,0)),INDEX(UtilityList!L$4:L$251,MATCH('Table 2.3c'!$A102&amp;'Table 2.3c'!$C102,UtilityList!$A$4:$A$251&amp;UtilityList!$C$5:$C$251,0)))</f>
        <v>Calista</v>
      </c>
      <c r="R102" s="452" t="str">
        <f t="array" ref="R102">IFERROR(INDEX(UtilityList!M$4:M$251,MATCH('Table 2.3c'!$A102&amp;'Table 2.3c'!$B102&amp;'Table 2.3c'!$C102,UtilityList!$A$4:$A$251&amp;UtilityList!$B$4:$B$251&amp;UtilityList!$C$4:$C$251,0)),INDEX(UtilityList!M$4:M$251,MATCH('Table 2.3c'!$A102&amp;'Table 2.3c'!$C102,UtilityList!$A$4:$A$251&amp;UtilityList!$C$5:$C$251,0)))</f>
        <v>SW</v>
      </c>
      <c r="S102" s="344"/>
    </row>
    <row r="103" spans="1:19" s="239" customFormat="1" x14ac:dyDescent="0.25">
      <c r="A103" s="678" t="s">
        <v>127</v>
      </c>
      <c r="B103" s="361" t="s">
        <v>128</v>
      </c>
      <c r="C103" s="679" t="s">
        <v>128</v>
      </c>
      <c r="D103" s="680" t="s">
        <v>545</v>
      </c>
      <c r="E103" s="680" t="s">
        <v>546</v>
      </c>
      <c r="F103" s="681">
        <v>444.322</v>
      </c>
      <c r="G103" s="682">
        <v>49036.000000000007</v>
      </c>
      <c r="H103" s="681">
        <f t="shared" si="3"/>
        <v>6865.0400000000018</v>
      </c>
      <c r="I103" s="682">
        <v>4.5640166999999998</v>
      </c>
      <c r="J103" s="682">
        <f>IF(F103&gt;0,IFERROR((F103*1000)/G103, " ")," ")</f>
        <v>9.0611387552002594</v>
      </c>
      <c r="K103" s="682">
        <f t="shared" si="5"/>
        <v>0.5036912934790535</v>
      </c>
      <c r="L103" s="682">
        <v>0.14000000000000001</v>
      </c>
      <c r="M103" s="658" t="s">
        <v>356</v>
      </c>
      <c r="N103" s="627">
        <f t="array" ref="N103">INDEX(UtilityList!Q$4:Q$251,MATCH('Table 2.3c'!$A103&amp;'Table 2.3c'!$B103&amp;'Table 2.3c'!$C103,UtilityList!$A$4:$A$251&amp;UtilityList!$B$4:$B$251&amp;UtilityList!$C$4:$C$251,0))</f>
        <v>0</v>
      </c>
      <c r="O103" s="452" t="str">
        <f t="array" ref="O103">IFERROR(INDEX(UtilityList!J$4:J$251,MATCH('Table 2.3c'!$A103&amp;'Table 2.3c'!$B103&amp;'Table 2.3c'!$C103,UtilityList!$A$4:$A$251&amp;UtilityList!$B$4:$B$251&amp;UtilityList!$C$4:$C$251,0)),INDEX(UtilityList!J$4:J$251,MATCH('Table 2.3c'!$A103&amp;'Table 2.3c'!$C103,UtilityList!$A$4:$A$251&amp;UtilityList!$C$5:$C$251,0)))</f>
        <v>Aleutians</v>
      </c>
      <c r="P103" s="452" t="str">
        <f t="array" ref="P103">IFERROR(INDEX(UtilityList!K$4:K$251,MATCH('Table 2.3c'!$A103&amp;'Table 2.3c'!$B103&amp;'Table 2.3c'!$C103,UtilityList!$A$4:$A$251&amp;UtilityList!$B$4:$B$251&amp;UtilityList!$C$4:$C$251,0)),INDEX(UtilityList!K$4:K$251,MATCH('Table 2.3c'!$A103&amp;'Table 2.3c'!$C103,UtilityList!$A$4:$A$251&amp;UtilityList!$C$5:$C$251,0)))</f>
        <v>Aleutians West (CA)</v>
      </c>
      <c r="Q103" s="452" t="str">
        <f t="array" ref="Q103">IFERROR(INDEX(UtilityList!L$4:L$251,MATCH('Table 2.3c'!$A103&amp;'Table 2.3c'!$B103&amp;'Table 2.3c'!$C103,UtilityList!$A$4:$A$251&amp;UtilityList!$B$4:$B$251&amp;UtilityList!$C$4:$C$251,0)),INDEX(UtilityList!L$4:L$251,MATCH('Table 2.3c'!$A103&amp;'Table 2.3c'!$C103,UtilityList!$A$4:$A$251&amp;UtilityList!$C$5:$C$251,0)))</f>
        <v>Aleut</v>
      </c>
      <c r="R103" s="452" t="str">
        <f t="array" ref="R103">IFERROR(INDEX(UtilityList!M$4:M$251,MATCH('Table 2.3c'!$A103&amp;'Table 2.3c'!$B103&amp;'Table 2.3c'!$C103,UtilityList!$A$4:$A$251&amp;UtilityList!$B$4:$B$251&amp;UtilityList!$C$4:$C$251,0)),INDEX(UtilityList!M$4:M$251,MATCH('Table 2.3c'!$A103&amp;'Table 2.3c'!$C103,UtilityList!$A$4:$A$251&amp;UtilityList!$C$5:$C$251,0)))</f>
        <v>SW</v>
      </c>
      <c r="S103" s="344"/>
    </row>
    <row r="104" spans="1:19" s="126" customFormat="1" ht="30" x14ac:dyDescent="0.25">
      <c r="A104" s="678" t="s">
        <v>129</v>
      </c>
      <c r="B104" s="361" t="s">
        <v>130</v>
      </c>
      <c r="C104" s="679" t="s">
        <v>130</v>
      </c>
      <c r="D104" s="680" t="s">
        <v>545</v>
      </c>
      <c r="E104" s="680" t="s">
        <v>546</v>
      </c>
      <c r="F104" s="681">
        <v>796.81399999999996</v>
      </c>
      <c r="G104" s="682">
        <v>54344.999999999993</v>
      </c>
      <c r="H104" s="681">
        <f t="shared" si="3"/>
        <v>7608.2999999999993</v>
      </c>
      <c r="I104" s="682">
        <v>3.8496332999999998</v>
      </c>
      <c r="J104" s="682">
        <f>IF(F104&gt;0,IFERROR((F104*1000)/G104, " ")," ")</f>
        <v>14.662140031281629</v>
      </c>
      <c r="K104" s="682">
        <f t="shared" si="5"/>
        <v>0.26255603150609796</v>
      </c>
      <c r="L104" s="682">
        <v>0.14000000000000001</v>
      </c>
      <c r="M104" s="658" t="s">
        <v>356</v>
      </c>
      <c r="N104" s="627">
        <f t="array" ref="N104">INDEX(UtilityList!Q$4:Q$251,MATCH('Table 2.3c'!$A104&amp;'Table 2.3c'!$B104&amp;'Table 2.3c'!$C104,UtilityList!$A$4:$A$251&amp;UtilityList!$B$4:$B$251&amp;UtilityList!$C$4:$C$251,0))</f>
        <v>0</v>
      </c>
      <c r="O104" s="452" t="str">
        <f t="array" ref="O104">IFERROR(INDEX(UtilityList!J$4:J$251,MATCH('Table 2.3c'!$A104&amp;'Table 2.3c'!$B104&amp;'Table 2.3c'!$C104,UtilityList!$A$4:$A$251&amp;UtilityList!$B$4:$B$251&amp;UtilityList!$C$4:$C$251,0)),INDEX(UtilityList!J$4:J$251,MATCH('Table 2.3c'!$A104&amp;'Table 2.3c'!$C104,UtilityList!$A$4:$A$251&amp;UtilityList!$C$5:$C$251,0)))</f>
        <v>Lower Yukon-Kuskokwim</v>
      </c>
      <c r="P104" s="452" t="str">
        <f t="array" ref="P104">IFERROR(INDEX(UtilityList!K$4:K$251,MATCH('Table 2.3c'!$A104&amp;'Table 2.3c'!$B104&amp;'Table 2.3c'!$C104,UtilityList!$A$4:$A$251&amp;UtilityList!$B$4:$B$251&amp;UtilityList!$C$4:$C$251,0)),INDEX(UtilityList!K$4:K$251,MATCH('Table 2.3c'!$A104&amp;'Table 2.3c'!$C104,UtilityList!$A$4:$A$251&amp;UtilityList!$C$5:$C$251,0)))</f>
        <v>Bethel (CA)</v>
      </c>
      <c r="Q104" s="452" t="str">
        <f t="array" ref="Q104">IFERROR(INDEX(UtilityList!L$4:L$251,MATCH('Table 2.3c'!$A104&amp;'Table 2.3c'!$B104&amp;'Table 2.3c'!$C104,UtilityList!$A$4:$A$251&amp;UtilityList!$B$4:$B$251&amp;UtilityList!$C$4:$C$251,0)),INDEX(UtilityList!L$4:L$251,MATCH('Table 2.3c'!$A104&amp;'Table 2.3c'!$C104,UtilityList!$A$4:$A$251&amp;UtilityList!$C$5:$C$251,0)))</f>
        <v>Calista</v>
      </c>
      <c r="R104" s="452" t="str">
        <f t="array" ref="R104">IFERROR(INDEX(UtilityList!M$4:M$251,MATCH('Table 2.3c'!$A104&amp;'Table 2.3c'!$B104&amp;'Table 2.3c'!$C104,UtilityList!$A$4:$A$251&amp;UtilityList!$B$4:$B$251&amp;UtilityList!$C$4:$C$251,0)),INDEX(UtilityList!M$4:M$251,MATCH('Table 2.3c'!$A104&amp;'Table 2.3c'!$C104,UtilityList!$A$4:$A$251&amp;UtilityList!$C$5:$C$251,0)))</f>
        <v>SW</v>
      </c>
      <c r="S104" s="344"/>
    </row>
    <row r="105" spans="1:19" s="239" customFormat="1" ht="60" x14ac:dyDescent="0.25">
      <c r="A105" s="684" t="s">
        <v>131</v>
      </c>
      <c r="B105" s="352" t="s">
        <v>668</v>
      </c>
      <c r="C105" s="352" t="s">
        <v>132</v>
      </c>
      <c r="D105" s="685" t="s">
        <v>561</v>
      </c>
      <c r="E105" s="685" t="s">
        <v>562</v>
      </c>
      <c r="F105" s="641">
        <v>209150</v>
      </c>
      <c r="G105" s="686">
        <v>234347</v>
      </c>
      <c r="H105" s="681">
        <f t="shared" si="3"/>
        <v>3555043.9899999998</v>
      </c>
      <c r="I105" s="686"/>
      <c r="J105" s="686">
        <f>IF(F105&gt;0, IFERROR((F105*1000)/G105," "), " ")</f>
        <v>892.47995493861663</v>
      </c>
      <c r="K105" s="682" t="str">
        <f t="shared" si="5"/>
        <v xml:space="preserve"> </v>
      </c>
      <c r="L105" s="682">
        <v>15.17</v>
      </c>
      <c r="M105" s="685" t="s">
        <v>558</v>
      </c>
      <c r="N105" s="627" t="str">
        <f t="array" ref="N105">INDEX(UtilityList!Q$4:Q$251,MATCH('Table 2.3c'!$A105&amp;'Table 2.3c'!$B105&amp;'Table 2.3c'!$C105,UtilityList!$A$4:$A$251&amp;UtilityList!$B$4:$B$251&amp;UtilityList!$C$4:$C$251,0))</f>
        <v xml:space="preserve"> Aurora Energy LLC is an independent power producer that sells all its power to GVEA.</v>
      </c>
      <c r="O105" s="452" t="str">
        <f t="array" ref="O105">IFERROR(INDEX(UtilityList!J$4:J$251,MATCH('Table 2.3c'!$A105&amp;'Table 2.3c'!$B105&amp;'Table 2.3c'!$C105,UtilityList!$A$4:$A$251&amp;UtilityList!$B$4:$B$251&amp;UtilityList!$C$4:$C$251,0)),INDEX(UtilityList!J$4:J$251,MATCH('Table 2.3c'!$A105&amp;'Table 2.3c'!$C105,UtilityList!$A$4:$A$251&amp;UtilityList!$C$5:$C$251,0)))</f>
        <v>Railbelt</v>
      </c>
      <c r="P105" s="452" t="str">
        <f t="array" ref="P105">IFERROR(INDEX(UtilityList!K$4:K$251,MATCH('Table 2.3c'!$A105&amp;'Table 2.3c'!$B105&amp;'Table 2.3c'!$C105,UtilityList!$A$4:$A$251&amp;UtilityList!$B$4:$B$251&amp;UtilityList!$C$4:$C$251,0)),INDEX(UtilityList!K$4:K$251,MATCH('Table 2.3c'!$A105&amp;'Table 2.3c'!$C105,UtilityList!$A$4:$A$251&amp;UtilityList!$C$5:$C$251,0)))</f>
        <v>Fairbanks North Star</v>
      </c>
      <c r="Q105" s="452" t="str">
        <f t="array" ref="Q105">IFERROR(INDEX(UtilityList!L$4:L$251,MATCH('Table 2.3c'!$A105&amp;'Table 2.3c'!$B105&amp;'Table 2.3c'!$C105,UtilityList!$A$4:$A$251&amp;UtilityList!$B$4:$B$251&amp;UtilityList!$C$4:$C$251,0)),INDEX(UtilityList!L$4:L$251,MATCH('Table 2.3c'!$A105&amp;'Table 2.3c'!$C105,UtilityList!$A$4:$A$251&amp;UtilityList!$C$5:$C$251,0)))</f>
        <v>Doyon</v>
      </c>
      <c r="R105" s="452" t="str">
        <f t="array" ref="R105">IFERROR(INDEX(UtilityList!M$4:M$251,MATCH('Table 2.3c'!$A105&amp;'Table 2.3c'!$B105&amp;'Table 2.3c'!$C105,UtilityList!$A$4:$A$251&amp;UtilityList!$B$4:$B$251&amp;UtilityList!$C$4:$C$251,0)),INDEX(UtilityList!M$4:M$251,MATCH('Table 2.3c'!$A105&amp;'Table 2.3c'!$C105,UtilityList!$A$4:$A$251&amp;UtilityList!$C$5:$C$251,0)))</f>
        <v>YU</v>
      </c>
      <c r="S105" s="344"/>
    </row>
    <row r="106" spans="1:19" s="63" customFormat="1" ht="45" x14ac:dyDescent="0.25">
      <c r="A106" s="693" t="s">
        <v>570</v>
      </c>
      <c r="B106" s="361" t="s">
        <v>133</v>
      </c>
      <c r="C106" s="361" t="s">
        <v>133</v>
      </c>
      <c r="D106" s="622" t="s">
        <v>564</v>
      </c>
      <c r="E106" s="622" t="s">
        <v>560</v>
      </c>
      <c r="F106" s="642">
        <v>50211</v>
      </c>
      <c r="G106" s="683">
        <v>745980</v>
      </c>
      <c r="H106" s="681">
        <f t="shared" si="3"/>
        <v>762391.56</v>
      </c>
      <c r="I106" s="683"/>
      <c r="J106" s="683">
        <f>IF(F106&gt;0, IFERROR((F106*1000)/G106," "), " ")</f>
        <v>67.308775034183228</v>
      </c>
      <c r="K106" s="682" t="str">
        <f t="shared" si="5"/>
        <v xml:space="preserve"> </v>
      </c>
      <c r="L106" s="682">
        <v>1.022</v>
      </c>
      <c r="M106" s="622" t="s">
        <v>558</v>
      </c>
      <c r="N106" s="627">
        <f t="array" ref="N106">INDEX(UtilityList!Q$4:Q$251,MATCH('Table 2.3c'!$A106&amp;'Table 2.3c'!$B106&amp;'Table 2.3c'!$C106,UtilityList!$A$4:$A$251&amp;UtilityList!$B$4:$B$251&amp;UtilityList!$C$4:$C$251,0))</f>
        <v>0</v>
      </c>
      <c r="O106" s="452" t="str">
        <f t="array" ref="O106">IFERROR(INDEX(UtilityList!J$4:J$251,MATCH('Table 2.3c'!$A106&amp;'Table 2.3c'!$B106&amp;'Table 2.3c'!$C106,UtilityList!$A$4:$A$251&amp;UtilityList!$B$4:$B$251&amp;UtilityList!$C$4:$C$251,0)),INDEX(UtilityList!J$4:J$251,MATCH('Table 2.3c'!$A106&amp;'Table 2.3c'!$C106,UtilityList!$A$4:$A$251&amp;UtilityList!$C$5:$C$251,0)))</f>
        <v>North Slope</v>
      </c>
      <c r="P106" s="452" t="str">
        <f t="array" ref="P106">IFERROR(INDEX(UtilityList!K$4:K$251,MATCH('Table 2.3c'!$A106&amp;'Table 2.3c'!$B106&amp;'Table 2.3c'!$C106,UtilityList!$A$4:$A$251&amp;UtilityList!$B$4:$B$251&amp;UtilityList!$C$4:$C$251,0)),INDEX(UtilityList!K$4:K$251,MATCH('Table 2.3c'!$A106&amp;'Table 2.3c'!$C106,UtilityList!$A$4:$A$251&amp;UtilityList!$C$5:$C$251,0)))</f>
        <v>North Slope</v>
      </c>
      <c r="Q106" s="452" t="str">
        <f t="array" ref="Q106">IFERROR(INDEX(UtilityList!L$4:L$251,MATCH('Table 2.3c'!$A106&amp;'Table 2.3c'!$B106&amp;'Table 2.3c'!$C106,UtilityList!$A$4:$A$251&amp;UtilityList!$B$4:$B$251&amp;UtilityList!$C$4:$C$251,0)),INDEX(UtilityList!L$4:L$251,MATCH('Table 2.3c'!$A106&amp;'Table 2.3c'!$C106,UtilityList!$A$4:$A$251&amp;UtilityList!$C$5:$C$251,0)))</f>
        <v>Arctic Slope</v>
      </c>
      <c r="R106" s="452" t="str">
        <f t="array" ref="R106">IFERROR(INDEX(UtilityList!M$4:M$251,MATCH('Table 2.3c'!$A106&amp;'Table 2.3c'!$B106&amp;'Table 2.3c'!$C106,UtilityList!$A$4:$A$251&amp;UtilityList!$B$4:$B$251&amp;UtilityList!$C$4:$C$251,0)),INDEX(UtilityList!M$4:M$251,MATCH('Table 2.3c'!$A106&amp;'Table 2.3c'!$C106,UtilityList!$A$4:$A$251&amp;UtilityList!$C$5:$C$251,0)))</f>
        <v>AN</v>
      </c>
    </row>
    <row r="107" spans="1:19" s="239" customFormat="1" ht="30" x14ac:dyDescent="0.25">
      <c r="A107" s="678" t="s">
        <v>134</v>
      </c>
      <c r="B107" s="361" t="s">
        <v>135</v>
      </c>
      <c r="C107" s="679" t="s">
        <v>135</v>
      </c>
      <c r="D107" s="680" t="s">
        <v>545</v>
      </c>
      <c r="E107" s="680" t="s">
        <v>546</v>
      </c>
      <c r="F107" s="681">
        <v>318.02999999999997</v>
      </c>
      <c r="G107" s="682">
        <v>30506</v>
      </c>
      <c r="H107" s="681">
        <f t="shared" si="3"/>
        <v>4270.84</v>
      </c>
      <c r="I107" s="682">
        <v>4.6794250000000002</v>
      </c>
      <c r="J107" s="682">
        <f t="shared" ref="J107:J115" si="6">IF(F107&gt;0,IFERROR((F107*1000)/G107, " ")," ")</f>
        <v>10.425162263161345</v>
      </c>
      <c r="K107" s="682">
        <f t="shared" si="5"/>
        <v>0.44885872103260699</v>
      </c>
      <c r="L107" s="682">
        <v>0.14000000000000001</v>
      </c>
      <c r="M107" s="658" t="s">
        <v>356</v>
      </c>
      <c r="N107" s="627">
        <f t="array" ref="N107">INDEX(UtilityList!Q$4:Q$251,MATCH('Table 2.3c'!$A107&amp;'Table 2.3c'!$B107&amp;'Table 2.3c'!$C107,UtilityList!$A$4:$A$251&amp;UtilityList!$B$4:$B$251&amp;UtilityList!$C$4:$C$251,0))</f>
        <v>0</v>
      </c>
      <c r="O107" s="452" t="str">
        <f t="array" ref="O107">IFERROR(INDEX(UtilityList!J$4:J$251,MATCH('Table 2.3c'!$A107&amp;'Table 2.3c'!$B107&amp;'Table 2.3c'!$C107,UtilityList!$A$4:$A$251&amp;UtilityList!$B$4:$B$251&amp;UtilityList!$C$4:$C$251,0)),INDEX(UtilityList!J$4:J$251,MATCH('Table 2.3c'!$A107&amp;'Table 2.3c'!$C107,UtilityList!$A$4:$A$251&amp;UtilityList!$C$5:$C$251,0)))</f>
        <v>Yukon-Koyukuk/Upper Tanana</v>
      </c>
      <c r="P107" s="452" t="str">
        <f t="array" ref="P107">IFERROR(INDEX(UtilityList!K$4:K$251,MATCH('Table 2.3c'!$A107&amp;'Table 2.3c'!$B107&amp;'Table 2.3c'!$C107,UtilityList!$A$4:$A$251&amp;UtilityList!$B$4:$B$251&amp;UtilityList!$C$4:$C$251,0)),INDEX(UtilityList!K$4:K$251,MATCH('Table 2.3c'!$A107&amp;'Table 2.3c'!$C107,UtilityList!$A$4:$A$251&amp;UtilityList!$C$5:$C$251,0)))</f>
        <v>Yukon-Koyukuk (CA)</v>
      </c>
      <c r="Q107" s="452" t="str">
        <f t="array" ref="Q107">IFERROR(INDEX(UtilityList!L$4:L$251,MATCH('Table 2.3c'!$A107&amp;'Table 2.3c'!$B107&amp;'Table 2.3c'!$C107,UtilityList!$A$4:$A$251&amp;UtilityList!$B$4:$B$251&amp;UtilityList!$C$4:$C$251,0)),INDEX(UtilityList!L$4:L$251,MATCH('Table 2.3c'!$A107&amp;'Table 2.3c'!$C107,UtilityList!$A$4:$A$251&amp;UtilityList!$C$5:$C$251,0)))</f>
        <v>Doyon</v>
      </c>
      <c r="R107" s="452" t="str">
        <f t="array" ref="R107">IFERROR(INDEX(UtilityList!M$4:M$251,MATCH('Table 2.3c'!$A107&amp;'Table 2.3c'!$B107&amp;'Table 2.3c'!$C107,UtilityList!$A$4:$A$251&amp;UtilityList!$B$4:$B$251&amp;UtilityList!$C$4:$C$251,0)),INDEX(UtilityList!M$4:M$251,MATCH('Table 2.3c'!$A107&amp;'Table 2.3c'!$C107,UtilityList!$A$4:$A$251&amp;UtilityList!$C$5:$C$251,0)))</f>
        <v>YU</v>
      </c>
      <c r="S107" s="344"/>
    </row>
    <row r="108" spans="1:19" s="239" customFormat="1" ht="75" x14ac:dyDescent="0.25">
      <c r="A108" s="678" t="s">
        <v>502</v>
      </c>
      <c r="B108" s="361" t="s">
        <v>136</v>
      </c>
      <c r="C108" s="679" t="s">
        <v>679</v>
      </c>
      <c r="D108" s="680" t="s">
        <v>545</v>
      </c>
      <c r="E108" s="680" t="s">
        <v>546</v>
      </c>
      <c r="F108" s="681">
        <v>41800</v>
      </c>
      <c r="G108" s="682">
        <v>3094125</v>
      </c>
      <c r="H108" s="681">
        <f t="shared" si="3"/>
        <v>433177.50000000006</v>
      </c>
      <c r="I108" s="682">
        <v>5.1288333000000002</v>
      </c>
      <c r="J108" s="682">
        <f t="shared" si="6"/>
        <v>13.509473599159698</v>
      </c>
      <c r="K108" s="682">
        <f t="shared" si="5"/>
        <v>0.37964716110915075</v>
      </c>
      <c r="L108" s="682">
        <v>0.14000000000000001</v>
      </c>
      <c r="M108" s="658" t="s">
        <v>356</v>
      </c>
      <c r="N108" s="627" t="str">
        <f t="array" ref="N108">INDEX(UtilityList!Q$4:Q$251,MATCH('Table 2.3c'!$A108&amp;'Table 2.3c'!$B108&amp;'Table 2.3c'!$C108,UtilityList!$A$4:$A$251&amp;UtilityList!$B$4:$B$251&amp;UtilityList!$C$4:$C$251,0))</f>
        <v>Provides power to Oscarville and sells power to Napakiak Ircinraq via intertie. Data includes Oscarville's information.</v>
      </c>
      <c r="O108" s="452" t="str">
        <f t="array" ref="O108">IFERROR(INDEX(UtilityList!J$4:J$251,MATCH('Table 2.3c'!$A108&amp;'Table 2.3c'!$B108&amp;'Table 2.3c'!$C108,UtilityList!$A$4:$A$251&amp;UtilityList!$B$4:$B$251&amp;UtilityList!$C$4:$C$251,0)),INDEX(UtilityList!J$4:J$251,MATCH('Table 2.3c'!$A108&amp;'Table 2.3c'!$C108,UtilityList!$A$4:$A$251&amp;UtilityList!$C$5:$C$251,0)))</f>
        <v>Lower Yukon-Kuskokwim</v>
      </c>
      <c r="P108" s="452" t="str">
        <f t="array" ref="P108">IFERROR(INDEX(UtilityList!K$4:K$251,MATCH('Table 2.3c'!$A108&amp;'Table 2.3c'!$B108&amp;'Table 2.3c'!$C108,UtilityList!$A$4:$A$251&amp;UtilityList!$B$4:$B$251&amp;UtilityList!$C$4:$C$251,0)),INDEX(UtilityList!K$4:K$251,MATCH('Table 2.3c'!$A108&amp;'Table 2.3c'!$C108,UtilityList!$A$4:$A$251&amp;UtilityList!$C$5:$C$251,0)))</f>
        <v>Bethel (CA)</v>
      </c>
      <c r="Q108" s="452" t="str">
        <f t="array" ref="Q108">IFERROR(INDEX(UtilityList!L$4:L$251,MATCH('Table 2.3c'!$A108&amp;'Table 2.3c'!$B108&amp;'Table 2.3c'!$C108,UtilityList!$A$4:$A$251&amp;UtilityList!$B$4:$B$251&amp;UtilityList!$C$4:$C$251,0)),INDEX(UtilityList!L$4:L$251,MATCH('Table 2.3c'!$A108&amp;'Table 2.3c'!$C108,UtilityList!$A$4:$A$251&amp;UtilityList!$C$5:$C$251,0)))</f>
        <v>Calista</v>
      </c>
      <c r="R108" s="452" t="str">
        <f t="array" ref="R108">IFERROR(INDEX(UtilityList!M$4:M$251,MATCH('Table 2.3c'!$A108&amp;'Table 2.3c'!$B108&amp;'Table 2.3c'!$C108,UtilityList!$A$4:$A$251&amp;UtilityList!$B$4:$B$251&amp;UtilityList!$C$4:$C$251,0)),INDEX(UtilityList!M$4:M$251,MATCH('Table 2.3c'!$A108&amp;'Table 2.3c'!$C108,UtilityList!$A$4:$A$251&amp;UtilityList!$C$5:$C$251,0)))</f>
        <v>SW</v>
      </c>
      <c r="S108" s="344"/>
    </row>
    <row r="109" spans="1:19" s="239" customFormat="1" ht="30" x14ac:dyDescent="0.25">
      <c r="A109" s="678" t="s">
        <v>139</v>
      </c>
      <c r="B109" s="361" t="s">
        <v>140</v>
      </c>
      <c r="C109" s="679" t="s">
        <v>140</v>
      </c>
      <c r="D109" s="680" t="s">
        <v>545</v>
      </c>
      <c r="E109" s="680" t="s">
        <v>546</v>
      </c>
      <c r="F109" s="681">
        <v>1592.204</v>
      </c>
      <c r="G109" s="682">
        <v>116056</v>
      </c>
      <c r="H109" s="681">
        <f t="shared" si="3"/>
        <v>16247.840000000002</v>
      </c>
      <c r="I109" s="682">
        <v>3.9296500000000001</v>
      </c>
      <c r="J109" s="682">
        <f t="shared" si="6"/>
        <v>13.719273454194527</v>
      </c>
      <c r="K109" s="682">
        <f t="shared" si="5"/>
        <v>0.2864328066001593</v>
      </c>
      <c r="L109" s="682">
        <v>0.14000000000000001</v>
      </c>
      <c r="M109" s="658" t="s">
        <v>356</v>
      </c>
      <c r="N109" s="627">
        <f t="array" ref="N109">INDEX(UtilityList!Q$4:Q$251,MATCH('Table 2.3c'!$A109&amp;'Table 2.3c'!$B109&amp;'Table 2.3c'!$C109,UtilityList!$A$4:$A$251&amp;UtilityList!$B$4:$B$251&amp;UtilityList!$C$4:$C$251,0))</f>
        <v>0</v>
      </c>
      <c r="O109" s="452" t="str">
        <f t="array" ref="O109">IFERROR(INDEX(UtilityList!J$4:J$251,MATCH('Table 2.3c'!$A109&amp;'Table 2.3c'!$B109&amp;'Table 2.3c'!$C109,UtilityList!$A$4:$A$251&amp;UtilityList!$B$4:$B$251&amp;UtilityList!$C$4:$C$251,0)),INDEX(UtilityList!J$4:J$251,MATCH('Table 2.3c'!$A109&amp;'Table 2.3c'!$C109,UtilityList!$A$4:$A$251&amp;UtilityList!$C$5:$C$251,0)))</f>
        <v>Northwest Arctic</v>
      </c>
      <c r="P109" s="452" t="str">
        <f t="array" ref="P109">IFERROR(INDEX(UtilityList!K$4:K$251,MATCH('Table 2.3c'!$A109&amp;'Table 2.3c'!$B109&amp;'Table 2.3c'!$C109,UtilityList!$A$4:$A$251&amp;UtilityList!$B$4:$B$251&amp;UtilityList!$C$4:$C$251,0)),INDEX(UtilityList!K$4:K$251,MATCH('Table 2.3c'!$A109&amp;'Table 2.3c'!$C109,UtilityList!$A$4:$A$251&amp;UtilityList!$C$5:$C$251,0)))</f>
        <v>Northwest Arctic</v>
      </c>
      <c r="Q109" s="452" t="str">
        <f t="array" ref="Q109">IFERROR(INDEX(UtilityList!L$4:L$251,MATCH('Table 2.3c'!$A109&amp;'Table 2.3c'!$B109&amp;'Table 2.3c'!$C109,UtilityList!$A$4:$A$251&amp;UtilityList!$B$4:$B$251&amp;UtilityList!$C$4:$C$251,0)),INDEX(UtilityList!L$4:L$251,MATCH('Table 2.3c'!$A109&amp;'Table 2.3c'!$C109,UtilityList!$A$4:$A$251&amp;UtilityList!$C$5:$C$251,0)))</f>
        <v>NANA</v>
      </c>
      <c r="R109" s="452" t="str">
        <f t="array" ref="R109">IFERROR(INDEX(UtilityList!M$4:M$251,MATCH('Table 2.3c'!$A109&amp;'Table 2.3c'!$B109&amp;'Table 2.3c'!$C109,UtilityList!$A$4:$A$251&amp;UtilityList!$B$4:$B$251&amp;UtilityList!$C$4:$C$251,0)),INDEX(UtilityList!M$4:M$251,MATCH('Table 2.3c'!$A109&amp;'Table 2.3c'!$C109,UtilityList!$A$4:$A$251&amp;UtilityList!$C$5:$C$251,0)))</f>
        <v>AN</v>
      </c>
      <c r="S109" s="344"/>
    </row>
    <row r="110" spans="1:19" s="239" customFormat="1" ht="30" x14ac:dyDescent="0.25">
      <c r="A110" s="678" t="s">
        <v>141</v>
      </c>
      <c r="B110" s="361" t="s">
        <v>142</v>
      </c>
      <c r="C110" s="679" t="s">
        <v>142</v>
      </c>
      <c r="D110" s="680" t="s">
        <v>545</v>
      </c>
      <c r="E110" s="680" t="s">
        <v>546</v>
      </c>
      <c r="F110" s="681">
        <v>304.16500000000002</v>
      </c>
      <c r="G110" s="682">
        <v>30609.000000000004</v>
      </c>
      <c r="H110" s="681">
        <f t="shared" si="3"/>
        <v>4285.2600000000011</v>
      </c>
      <c r="I110" s="682">
        <v>5.1417000000000002</v>
      </c>
      <c r="J110" s="682">
        <f t="shared" si="6"/>
        <v>9.937110000326701</v>
      </c>
      <c r="K110" s="682">
        <f t="shared" si="5"/>
        <v>0.51742408002235629</v>
      </c>
      <c r="L110" s="682">
        <v>0.14000000000000001</v>
      </c>
      <c r="M110" s="658" t="s">
        <v>356</v>
      </c>
      <c r="N110" s="627">
        <f t="array" ref="N110">INDEX(UtilityList!Q$4:Q$251,MATCH('Table 2.3c'!$A110&amp;'Table 2.3c'!$B110&amp;'Table 2.3c'!$C110,UtilityList!$A$4:$A$251&amp;UtilityList!$B$4:$B$251&amp;UtilityList!$C$4:$C$251,0))</f>
        <v>0</v>
      </c>
      <c r="O110" s="452" t="str">
        <f t="array" ref="O110">IFERROR(INDEX(UtilityList!J$4:J$251,MATCH('Table 2.3c'!$A110&amp;'Table 2.3c'!$B110&amp;'Table 2.3c'!$C110,UtilityList!$A$4:$A$251&amp;UtilityList!$B$4:$B$251&amp;UtilityList!$C$4:$C$251,0)),INDEX(UtilityList!J$4:J$251,MATCH('Table 2.3c'!$A110&amp;'Table 2.3c'!$C110,UtilityList!$A$4:$A$251&amp;UtilityList!$C$5:$C$251,0)))</f>
        <v>Yukon-Koyukuk/Upper Tanana</v>
      </c>
      <c r="P110" s="452" t="str">
        <f t="array" ref="P110">IFERROR(INDEX(UtilityList!K$4:K$251,MATCH('Table 2.3c'!$A110&amp;'Table 2.3c'!$B110&amp;'Table 2.3c'!$C110,UtilityList!$A$4:$A$251&amp;UtilityList!$B$4:$B$251&amp;UtilityList!$C$4:$C$251,0)),INDEX(UtilityList!K$4:K$251,MATCH('Table 2.3c'!$A110&amp;'Table 2.3c'!$C110,UtilityList!$A$4:$A$251&amp;UtilityList!$C$5:$C$251,0)))</f>
        <v>Yukon-Koyukuk (CA)</v>
      </c>
      <c r="Q110" s="452" t="str">
        <f t="array" ref="Q110">IFERROR(INDEX(UtilityList!L$4:L$251,MATCH('Table 2.3c'!$A110&amp;'Table 2.3c'!$B110&amp;'Table 2.3c'!$C110,UtilityList!$A$4:$A$251&amp;UtilityList!$B$4:$B$251&amp;UtilityList!$C$4:$C$251,0)),INDEX(UtilityList!L$4:L$251,MATCH('Table 2.3c'!$A110&amp;'Table 2.3c'!$C110,UtilityList!$A$4:$A$251&amp;UtilityList!$C$5:$C$251,0)))</f>
        <v>Doyon</v>
      </c>
      <c r="R110" s="452" t="str">
        <f t="array" ref="R110">IFERROR(INDEX(UtilityList!M$4:M$251,MATCH('Table 2.3c'!$A110&amp;'Table 2.3c'!$B110&amp;'Table 2.3c'!$C110,UtilityList!$A$4:$A$251&amp;UtilityList!$B$4:$B$251&amp;UtilityList!$C$4:$C$251,0)),INDEX(UtilityList!M$4:M$251,MATCH('Table 2.3c'!$A110&amp;'Table 2.3c'!$C110,UtilityList!$A$4:$A$251&amp;UtilityList!$C$5:$C$251,0)))</f>
        <v>YU</v>
      </c>
      <c r="S110" s="344"/>
    </row>
    <row r="111" spans="1:19" s="239" customFormat="1" ht="30" x14ac:dyDescent="0.25">
      <c r="A111" s="678" t="s">
        <v>143</v>
      </c>
      <c r="B111" s="361" t="s">
        <v>144</v>
      </c>
      <c r="C111" s="679" t="s">
        <v>144</v>
      </c>
      <c r="D111" s="680" t="s">
        <v>545</v>
      </c>
      <c r="E111" s="680" t="s">
        <v>546</v>
      </c>
      <c r="F111" s="681">
        <v>308.27600000000001</v>
      </c>
      <c r="G111" s="682">
        <v>29631</v>
      </c>
      <c r="H111" s="681">
        <f t="shared" si="3"/>
        <v>4148.34</v>
      </c>
      <c r="I111" s="682">
        <v>4.5753500000000003</v>
      </c>
      <c r="J111" s="682">
        <f t="shared" si="6"/>
        <v>10.403833822685701</v>
      </c>
      <c r="K111" s="682">
        <f t="shared" si="5"/>
        <v>0.43977538261168564</v>
      </c>
      <c r="L111" s="682">
        <v>0.14000000000000001</v>
      </c>
      <c r="M111" s="658" t="s">
        <v>356</v>
      </c>
      <c r="N111" s="627">
        <f t="array" ref="N111">INDEX(UtilityList!Q$4:Q$251,MATCH('Table 2.3c'!$A111&amp;'Table 2.3c'!$B111&amp;'Table 2.3c'!$C111,UtilityList!$A$4:$A$251&amp;UtilityList!$B$4:$B$251&amp;UtilityList!$C$4:$C$251,0))</f>
        <v>0</v>
      </c>
      <c r="O111" s="452" t="str">
        <f t="array" ref="O111">IFERROR(INDEX(UtilityList!J$4:J$251,MATCH('Table 2.3c'!$A111&amp;'Table 2.3c'!$B111&amp;'Table 2.3c'!$C111,UtilityList!$A$4:$A$251&amp;UtilityList!$B$4:$B$251&amp;UtilityList!$C$4:$C$251,0)),INDEX(UtilityList!J$4:J$251,MATCH('Table 2.3c'!$A111&amp;'Table 2.3c'!$C111,UtilityList!$A$4:$A$251&amp;UtilityList!$C$5:$C$251,0)))</f>
        <v>Copper River/Chugach</v>
      </c>
      <c r="P111" s="452" t="str">
        <f t="array" ref="P111">IFERROR(INDEX(UtilityList!K$4:K$251,MATCH('Table 2.3c'!$A111&amp;'Table 2.3c'!$B111&amp;'Table 2.3c'!$C111,UtilityList!$A$4:$A$251&amp;UtilityList!$B$4:$B$251&amp;UtilityList!$C$4:$C$251,0)),INDEX(UtilityList!K$4:K$251,MATCH('Table 2.3c'!$A111&amp;'Table 2.3c'!$C111,UtilityList!$A$4:$A$251&amp;UtilityList!$C$5:$C$251,0)))</f>
        <v>Valdez-Cordova (CA)</v>
      </c>
      <c r="Q111" s="452" t="str">
        <f t="array" ref="Q111">IFERROR(INDEX(UtilityList!L$4:L$251,MATCH('Table 2.3c'!$A111&amp;'Table 2.3c'!$B111&amp;'Table 2.3c'!$C111,UtilityList!$A$4:$A$251&amp;UtilityList!$B$4:$B$251&amp;UtilityList!$C$4:$C$251,0)),INDEX(UtilityList!L$4:L$251,MATCH('Table 2.3c'!$A111&amp;'Table 2.3c'!$C111,UtilityList!$A$4:$A$251&amp;UtilityList!$C$5:$C$251,0)))</f>
        <v>Chugach</v>
      </c>
      <c r="R111" s="452" t="str">
        <f t="array" ref="R111">IFERROR(INDEX(UtilityList!M$4:M$251,MATCH('Table 2.3c'!$A111&amp;'Table 2.3c'!$B111&amp;'Table 2.3c'!$C111,UtilityList!$A$4:$A$251&amp;UtilityList!$B$4:$B$251&amp;UtilityList!$C$4:$C$251,0)),INDEX(UtilityList!M$4:M$251,MATCH('Table 2.3c'!$A111&amp;'Table 2.3c'!$C111,UtilityList!$A$4:$A$251&amp;UtilityList!$C$5:$C$251,0)))</f>
        <v>SC</v>
      </c>
      <c r="S111" s="344"/>
    </row>
    <row r="112" spans="1:19" s="239" customFormat="1" ht="30" x14ac:dyDescent="0.25">
      <c r="A112" s="678" t="s">
        <v>145</v>
      </c>
      <c r="B112" s="361" t="s">
        <v>146</v>
      </c>
      <c r="C112" s="654" t="s">
        <v>146</v>
      </c>
      <c r="D112" s="680" t="s">
        <v>545</v>
      </c>
      <c r="E112" s="680" t="s">
        <v>546</v>
      </c>
      <c r="F112" s="681">
        <v>506.53100000000001</v>
      </c>
      <c r="G112" s="682">
        <v>43418</v>
      </c>
      <c r="H112" s="681">
        <f t="shared" si="3"/>
        <v>6078.52</v>
      </c>
      <c r="I112" s="682">
        <v>4.1976500000000003</v>
      </c>
      <c r="J112" s="682">
        <f t="shared" si="6"/>
        <v>11.666382606292322</v>
      </c>
      <c r="K112" s="682">
        <f t="shared" si="5"/>
        <v>0.35980733202903675</v>
      </c>
      <c r="L112" s="682">
        <v>0.14000000000000001</v>
      </c>
      <c r="M112" s="658" t="s">
        <v>356</v>
      </c>
      <c r="N112" s="627">
        <f t="array" ref="N112">INDEX(UtilityList!Q$4:Q$251,MATCH('Table 2.3c'!$A112&amp;'Table 2.3c'!$B112&amp;'Table 2.3c'!$C112,UtilityList!$A$4:$A$251&amp;UtilityList!$B$4:$B$251&amp;UtilityList!$C$4:$C$251,0))</f>
        <v>0</v>
      </c>
      <c r="O112" s="452" t="str">
        <f t="array" ref="O112">IFERROR(INDEX(UtilityList!J$4:J$251,MATCH('Table 2.3c'!$A112&amp;'Table 2.3c'!$B112&amp;'Table 2.3c'!$C112,UtilityList!$A$4:$A$251&amp;UtilityList!$B$4:$B$251&amp;UtilityList!$C$4:$C$251,0)),INDEX(UtilityList!J$4:J$251,MATCH('Table 2.3c'!$A112&amp;'Table 2.3c'!$C112,UtilityList!$A$4:$A$251&amp;UtilityList!$C$5:$C$251,0)))</f>
        <v>Bristol Bay</v>
      </c>
      <c r="P112" s="452" t="str">
        <f t="array" ref="P112">IFERROR(INDEX(UtilityList!K$4:K$251,MATCH('Table 2.3c'!$A112&amp;'Table 2.3c'!$B112&amp;'Table 2.3c'!$C112,UtilityList!$A$4:$A$251&amp;UtilityList!$B$4:$B$251&amp;UtilityList!$C$4:$C$251,0)),INDEX(UtilityList!K$4:K$251,MATCH('Table 2.3c'!$A112&amp;'Table 2.3c'!$C112,UtilityList!$A$4:$A$251&amp;UtilityList!$C$5:$C$251,0)))</f>
        <v>Lake and Peninsula</v>
      </c>
      <c r="Q112" s="452" t="str">
        <f t="array" ref="Q112">IFERROR(INDEX(UtilityList!L$4:L$251,MATCH('Table 2.3c'!$A112&amp;'Table 2.3c'!$B112&amp;'Table 2.3c'!$C112,UtilityList!$A$4:$A$251&amp;UtilityList!$B$4:$B$251&amp;UtilityList!$C$4:$C$251,0)),INDEX(UtilityList!L$4:L$251,MATCH('Table 2.3c'!$A112&amp;'Table 2.3c'!$C112,UtilityList!$A$4:$A$251&amp;UtilityList!$C$5:$C$251,0)))</f>
        <v>Bristol Bay</v>
      </c>
      <c r="R112" s="452" t="str">
        <f t="array" ref="R112">IFERROR(INDEX(UtilityList!M$4:M$251,MATCH('Table 2.3c'!$A112&amp;'Table 2.3c'!$B112&amp;'Table 2.3c'!$C112,UtilityList!$A$4:$A$251&amp;UtilityList!$B$4:$B$251&amp;UtilityList!$C$4:$C$251,0)),INDEX(UtilityList!M$4:M$251,MATCH('Table 2.3c'!$A112&amp;'Table 2.3c'!$C112,UtilityList!$A$4:$A$251&amp;UtilityList!$C$5:$C$251,0)))</f>
        <v>SW</v>
      </c>
      <c r="S112" s="344"/>
    </row>
    <row r="113" spans="1:19" s="239" customFormat="1" ht="30" x14ac:dyDescent="0.25">
      <c r="A113" s="678" t="s">
        <v>147</v>
      </c>
      <c r="B113" s="361" t="s">
        <v>148</v>
      </c>
      <c r="C113" s="654" t="s">
        <v>148</v>
      </c>
      <c r="D113" s="680" t="s">
        <v>545</v>
      </c>
      <c r="E113" s="680" t="s">
        <v>546</v>
      </c>
      <c r="F113" s="681">
        <v>199.04300000000001</v>
      </c>
      <c r="G113" s="682">
        <v>17351</v>
      </c>
      <c r="H113" s="681">
        <f t="shared" si="3"/>
        <v>2429.1400000000003</v>
      </c>
      <c r="I113" s="682">
        <v>4.8067333000000003</v>
      </c>
      <c r="J113" s="682">
        <f t="shared" si="6"/>
        <v>11.471557835283269</v>
      </c>
      <c r="K113" s="682">
        <f t="shared" si="5"/>
        <v>0.4190131252458012</v>
      </c>
      <c r="L113" s="682">
        <v>0.14000000000000001</v>
      </c>
      <c r="M113" s="658" t="s">
        <v>356</v>
      </c>
      <c r="N113" s="627">
        <f t="array" ref="N113">INDEX(UtilityList!Q$4:Q$251,MATCH('Table 2.3c'!$A113&amp;'Table 2.3c'!$B113&amp;'Table 2.3c'!$C113,UtilityList!$A$4:$A$251&amp;UtilityList!$B$4:$B$251&amp;UtilityList!$C$4:$C$251,0))</f>
        <v>0</v>
      </c>
      <c r="O113" s="452" t="str">
        <f t="array" ref="O113">IFERROR(INDEX(UtilityList!J$4:J$251,MATCH('Table 2.3c'!$A113&amp;'Table 2.3c'!$B113&amp;'Table 2.3c'!$C113,UtilityList!$A$4:$A$251&amp;UtilityList!$B$4:$B$251&amp;UtilityList!$C$4:$C$251,0)),INDEX(UtilityList!J$4:J$251,MATCH('Table 2.3c'!$A113&amp;'Table 2.3c'!$C113,UtilityList!$A$4:$A$251&amp;UtilityList!$C$5:$C$251,0)))</f>
        <v>Bristol Bay</v>
      </c>
      <c r="P113" s="452" t="str">
        <f t="array" ref="P113">IFERROR(INDEX(UtilityList!K$4:K$251,MATCH('Table 2.3c'!$A113&amp;'Table 2.3c'!$B113&amp;'Table 2.3c'!$C113,UtilityList!$A$4:$A$251&amp;UtilityList!$B$4:$B$251&amp;UtilityList!$C$4:$C$251,0)),INDEX(UtilityList!K$4:K$251,MATCH('Table 2.3c'!$A113&amp;'Table 2.3c'!$C113,UtilityList!$A$4:$A$251&amp;UtilityList!$C$5:$C$251,0)))</f>
        <v>Lake and Peninsula</v>
      </c>
      <c r="Q113" s="452" t="str">
        <f t="array" ref="Q113">IFERROR(INDEX(UtilityList!L$4:L$251,MATCH('Table 2.3c'!$A113&amp;'Table 2.3c'!$B113&amp;'Table 2.3c'!$C113,UtilityList!$A$4:$A$251&amp;UtilityList!$B$4:$B$251&amp;UtilityList!$C$4:$C$251,0)),INDEX(UtilityList!L$4:L$251,MATCH('Table 2.3c'!$A113&amp;'Table 2.3c'!$C113,UtilityList!$A$4:$A$251&amp;UtilityList!$C$5:$C$251,0)))</f>
        <v>Bristol Bay</v>
      </c>
      <c r="R113" s="452" t="str">
        <f t="array" ref="R113">IFERROR(INDEX(UtilityList!M$4:M$251,MATCH('Table 2.3c'!$A113&amp;'Table 2.3c'!$B113&amp;'Table 2.3c'!$C113,UtilityList!$A$4:$A$251&amp;UtilityList!$B$4:$B$251&amp;UtilityList!$C$4:$C$251,0)),INDEX(UtilityList!M$4:M$251,MATCH('Table 2.3c'!$A113&amp;'Table 2.3c'!$C113,UtilityList!$A$4:$A$251&amp;UtilityList!$C$5:$C$251,0)))</f>
        <v>SW</v>
      </c>
    </row>
    <row r="114" spans="1:19" s="239" customFormat="1" x14ac:dyDescent="0.25">
      <c r="A114" s="678" t="s">
        <v>149</v>
      </c>
      <c r="B114" s="361" t="s">
        <v>150</v>
      </c>
      <c r="C114" s="679" t="s">
        <v>150</v>
      </c>
      <c r="D114" s="680" t="s">
        <v>545</v>
      </c>
      <c r="E114" s="680" t="s">
        <v>546</v>
      </c>
      <c r="F114" s="681">
        <v>868.08199999999999</v>
      </c>
      <c r="G114" s="682">
        <v>68013.455000000002</v>
      </c>
      <c r="H114" s="681">
        <f t="shared" si="3"/>
        <v>9521.8837000000003</v>
      </c>
      <c r="I114" s="682">
        <v>3.0901000000000001</v>
      </c>
      <c r="J114" s="682">
        <f t="shared" si="6"/>
        <v>12.763386303489508</v>
      </c>
      <c r="K114" s="682">
        <f t="shared" si="5"/>
        <v>0.2421065951091026</v>
      </c>
      <c r="L114" s="682">
        <v>0.14000000000000001</v>
      </c>
      <c r="M114" s="658" t="s">
        <v>356</v>
      </c>
      <c r="N114" s="627">
        <f t="array" ref="N114">INDEX(UtilityList!Q$4:Q$251,MATCH('Table 2.3c'!$A114&amp;'Table 2.3c'!$B114&amp;'Table 2.3c'!$C114,UtilityList!$A$4:$A$251&amp;UtilityList!$B$4:$B$251&amp;UtilityList!$C$4:$C$251,0))</f>
        <v>0</v>
      </c>
      <c r="O114" s="452" t="str">
        <f t="array" ref="O114">IFERROR(INDEX(UtilityList!J$4:J$251,MATCH('Table 2.3c'!$A114&amp;'Table 2.3c'!$B114&amp;'Table 2.3c'!$C114,UtilityList!$A$4:$A$251&amp;UtilityList!$B$4:$B$251&amp;UtilityList!$C$4:$C$251,0)),INDEX(UtilityList!J$4:J$251,MATCH('Table 2.3c'!$A114&amp;'Table 2.3c'!$C114,UtilityList!$A$4:$A$251&amp;UtilityList!$C$5:$C$251,0)))</f>
        <v>Bristol Bay</v>
      </c>
      <c r="P114" s="452" t="str">
        <f t="array" ref="P114">IFERROR(INDEX(UtilityList!K$4:K$251,MATCH('Table 2.3c'!$A114&amp;'Table 2.3c'!$B114&amp;'Table 2.3c'!$C114,UtilityList!$A$4:$A$251&amp;UtilityList!$B$4:$B$251&amp;UtilityList!$C$4:$C$251,0)),INDEX(UtilityList!K$4:K$251,MATCH('Table 2.3c'!$A114&amp;'Table 2.3c'!$C114,UtilityList!$A$4:$A$251&amp;UtilityList!$C$5:$C$251,0)))</f>
        <v>Lake and Peninsula</v>
      </c>
      <c r="Q114" s="452" t="str">
        <f t="array" ref="Q114">IFERROR(INDEX(UtilityList!L$4:L$251,MATCH('Table 2.3c'!$A114&amp;'Table 2.3c'!$B114&amp;'Table 2.3c'!$C114,UtilityList!$A$4:$A$251&amp;UtilityList!$B$4:$B$251&amp;UtilityList!$C$4:$C$251,0)),INDEX(UtilityList!L$4:L$251,MATCH('Table 2.3c'!$A114&amp;'Table 2.3c'!$C114,UtilityList!$A$4:$A$251&amp;UtilityList!$C$5:$C$251,0)))</f>
        <v>Bristol Bay</v>
      </c>
      <c r="R114" s="452" t="str">
        <f t="array" ref="R114">IFERROR(INDEX(UtilityList!M$4:M$251,MATCH('Table 2.3c'!$A114&amp;'Table 2.3c'!$B114&amp;'Table 2.3c'!$C114,UtilityList!$A$4:$A$251&amp;UtilityList!$B$4:$B$251&amp;UtilityList!$C$4:$C$251,0)),INDEX(UtilityList!M$4:M$251,MATCH('Table 2.3c'!$A114&amp;'Table 2.3c'!$C114,UtilityList!$A$4:$A$251&amp;UtilityList!$C$5:$C$251,0)))</f>
        <v>SW</v>
      </c>
    </row>
    <row r="115" spans="1:19" s="239" customFormat="1" ht="30" x14ac:dyDescent="0.25">
      <c r="A115" s="678" t="s">
        <v>151</v>
      </c>
      <c r="B115" s="361" t="s">
        <v>152</v>
      </c>
      <c r="C115" s="679" t="s">
        <v>152</v>
      </c>
      <c r="D115" s="680" t="s">
        <v>545</v>
      </c>
      <c r="E115" s="680" t="s">
        <v>546</v>
      </c>
      <c r="F115" s="681">
        <v>519.23599999999999</v>
      </c>
      <c r="G115" s="682">
        <v>41918</v>
      </c>
      <c r="H115" s="681">
        <f t="shared" si="3"/>
        <v>5868.52</v>
      </c>
      <c r="I115" s="682">
        <v>3.9520833</v>
      </c>
      <c r="J115" s="682">
        <f t="shared" si="6"/>
        <v>12.386945942077389</v>
      </c>
      <c r="K115" s="682">
        <f t="shared" si="5"/>
        <v>0.31905227636257888</v>
      </c>
      <c r="L115" s="682">
        <v>0.14000000000000001</v>
      </c>
      <c r="M115" s="658" t="s">
        <v>356</v>
      </c>
      <c r="N115" s="627">
        <f t="array" ref="N115">INDEX(UtilityList!Q$4:Q$251,MATCH('Table 2.3c'!$A115&amp;'Table 2.3c'!$B115&amp;'Table 2.3c'!$C115,UtilityList!$A$4:$A$251&amp;UtilityList!$B$4:$B$251&amp;UtilityList!$C$4:$C$251,0))</f>
        <v>0</v>
      </c>
      <c r="O115" s="452" t="str">
        <f t="array" ref="O115">IFERROR(INDEX(UtilityList!J$4:J$251,MATCH('Table 2.3c'!$A115&amp;'Table 2.3c'!$B115&amp;'Table 2.3c'!$C115,UtilityList!$A$4:$A$251&amp;UtilityList!$B$4:$B$251&amp;UtilityList!$C$4:$C$251,0)),INDEX(UtilityList!J$4:J$251,MATCH('Table 2.3c'!$A115&amp;'Table 2.3c'!$C115,UtilityList!$A$4:$A$251&amp;UtilityList!$C$5:$C$251,0)))</f>
        <v>Copper River/Chugach</v>
      </c>
      <c r="P115" s="452" t="str">
        <f t="array" ref="P115">IFERROR(INDEX(UtilityList!K$4:K$251,MATCH('Table 2.3c'!$A115&amp;'Table 2.3c'!$B115&amp;'Table 2.3c'!$C115,UtilityList!$A$4:$A$251&amp;UtilityList!$B$4:$B$251&amp;UtilityList!$C$4:$C$251,0)),INDEX(UtilityList!K$4:K$251,MATCH('Table 2.3c'!$A115&amp;'Table 2.3c'!$C115,UtilityList!$A$4:$A$251&amp;UtilityList!$C$5:$C$251,0)))</f>
        <v>Valdez-Cordova (CA)</v>
      </c>
      <c r="Q115" s="452" t="str">
        <f t="array" ref="Q115">IFERROR(INDEX(UtilityList!L$4:L$251,MATCH('Table 2.3c'!$A115&amp;'Table 2.3c'!$B115&amp;'Table 2.3c'!$C115,UtilityList!$A$4:$A$251&amp;UtilityList!$B$4:$B$251&amp;UtilityList!$C$4:$C$251,0)),INDEX(UtilityList!L$4:L$251,MATCH('Table 2.3c'!$A115&amp;'Table 2.3c'!$C115,UtilityList!$A$4:$A$251&amp;UtilityList!$C$5:$C$251,0)))</f>
        <v>Ahtna</v>
      </c>
      <c r="R115" s="452" t="str">
        <f t="array" ref="R115">IFERROR(INDEX(UtilityList!M$4:M$251,MATCH('Table 2.3c'!$A115&amp;'Table 2.3c'!$B115&amp;'Table 2.3c'!$C115,UtilityList!$A$4:$A$251&amp;UtilityList!$B$4:$B$251&amp;UtilityList!$C$4:$C$251,0)),INDEX(UtilityList!M$4:M$251,MATCH('Table 2.3c'!$A115&amp;'Table 2.3c'!$C115,UtilityList!$A$4:$A$251&amp;UtilityList!$C$5:$C$251,0)))</f>
        <v>SC</v>
      </c>
    </row>
    <row r="116" spans="1:19" s="63" customFormat="1" ht="30" x14ac:dyDescent="0.25">
      <c r="A116" s="693" t="s">
        <v>153</v>
      </c>
      <c r="B116" s="361" t="s">
        <v>157</v>
      </c>
      <c r="C116" s="361"/>
      <c r="D116" s="622" t="s">
        <v>564</v>
      </c>
      <c r="E116" s="622" t="s">
        <v>560</v>
      </c>
      <c r="F116" s="642">
        <v>721007</v>
      </c>
      <c r="G116" s="683">
        <v>9617216</v>
      </c>
      <c r="H116" s="681">
        <f t="shared" si="3"/>
        <v>9828794.7520000003</v>
      </c>
      <c r="I116" s="683"/>
      <c r="J116" s="683">
        <f>IF(F116&gt;0, IFERROR((F116*1000)/G116," "), " ")</f>
        <v>74.970448828434343</v>
      </c>
      <c r="K116" s="682" t="str">
        <f t="shared" si="5"/>
        <v xml:space="preserve"> </v>
      </c>
      <c r="L116" s="682">
        <v>1.022</v>
      </c>
      <c r="M116" s="622" t="s">
        <v>558</v>
      </c>
      <c r="N116" s="627">
        <f t="array" ref="N116">INDEX(UtilityList!Q$4:Q$251,MATCH('Table 2.3c'!$A116&amp;'Table 2.3c'!$B116&amp;'Table 2.3c'!$C116,UtilityList!$A$4:$A$251&amp;UtilityList!$B$4:$B$251&amp;UtilityList!$C$4:$C$251,0))</f>
        <v>0</v>
      </c>
      <c r="O116" s="452" t="str">
        <f t="array" ref="O116">IFERROR(INDEX(UtilityList!J$4:J$251,MATCH('Table 2.3c'!$A116&amp;'Table 2.3c'!$B116&amp;'Table 2.3c'!$C116,UtilityList!$A$4:$A$251&amp;UtilityList!$B$4:$B$251&amp;UtilityList!$C$4:$C$251,0)),INDEX(UtilityList!J$4:J$251,MATCH('Table 2.3c'!$A116&amp;'Table 2.3c'!$C116,UtilityList!$A$4:$A$251&amp;UtilityList!$C$5:$C$251,0)))</f>
        <v>Railbelt</v>
      </c>
      <c r="P116" s="452" t="str">
        <f t="array" ref="P116">IFERROR(INDEX(UtilityList!K$4:K$251,MATCH('Table 2.3c'!$A116&amp;'Table 2.3c'!$B116&amp;'Table 2.3c'!$C116,UtilityList!$A$4:$A$251&amp;UtilityList!$B$4:$B$251&amp;UtilityList!$C$4:$C$251,0)),INDEX(UtilityList!K$4:K$251,MATCH('Table 2.3c'!$A116&amp;'Table 2.3c'!$C116,UtilityList!$A$4:$A$251&amp;UtilityList!$C$5:$C$251,0)))</f>
        <v>Anchorage</v>
      </c>
      <c r="Q116" s="452" t="str">
        <f t="array" ref="Q116">IFERROR(INDEX(UtilityList!L$4:L$251,MATCH('Table 2.3c'!$A116&amp;'Table 2.3c'!$B116&amp;'Table 2.3c'!$C116,UtilityList!$A$4:$A$251&amp;UtilityList!$B$4:$B$251&amp;UtilityList!$C$4:$C$251,0)),INDEX(UtilityList!L$4:L$251,MATCH('Table 2.3c'!$A116&amp;'Table 2.3c'!$C116,UtilityList!$A$4:$A$251&amp;UtilityList!$C$5:$C$251,0)))</f>
        <v>Cook Inlet</v>
      </c>
      <c r="R116" s="452" t="str">
        <f t="array" ref="R116">IFERROR(INDEX(UtilityList!M$4:M$251,MATCH('Table 2.3c'!$A116&amp;'Table 2.3c'!$B116&amp;'Table 2.3c'!$C116,UtilityList!$A$4:$A$251&amp;UtilityList!$B$4:$B$251&amp;UtilityList!$C$4:$C$251,0)),INDEX(UtilityList!M$4:M$251,MATCH('Table 2.3c'!$A116&amp;'Table 2.3c'!$C116,UtilityList!$A$4:$A$251&amp;UtilityList!$C$5:$C$251,0)))</f>
        <v>SC</v>
      </c>
      <c r="S116" s="342"/>
    </row>
    <row r="117" spans="1:19" s="63" customFormat="1" ht="30" x14ac:dyDescent="0.25">
      <c r="A117" s="693" t="s">
        <v>153</v>
      </c>
      <c r="B117" s="361" t="s">
        <v>157</v>
      </c>
      <c r="C117" s="361"/>
      <c r="D117" s="622" t="s">
        <v>564</v>
      </c>
      <c r="E117" s="622" t="s">
        <v>567</v>
      </c>
      <c r="F117" s="642">
        <v>1209564</v>
      </c>
      <c r="G117" s="683">
        <v>14391754</v>
      </c>
      <c r="H117" s="681">
        <f t="shared" si="3"/>
        <v>14708372.588</v>
      </c>
      <c r="I117" s="683"/>
      <c r="J117" s="683">
        <f>IF(F117&gt;0, IFERROR((F117*1000)/G117," "), " ")</f>
        <v>84.045627794916456</v>
      </c>
      <c r="K117" s="682" t="str">
        <f t="shared" si="5"/>
        <v xml:space="preserve"> </v>
      </c>
      <c r="L117" s="682">
        <v>1.022</v>
      </c>
      <c r="M117" s="622" t="s">
        <v>558</v>
      </c>
      <c r="N117" s="627">
        <f t="array" ref="N117">INDEX(UtilityList!Q$4:Q$251,MATCH('Table 2.3c'!$A117&amp;'Table 2.3c'!$B117&amp;'Table 2.3c'!$C117,UtilityList!$A$4:$A$251&amp;UtilityList!$B$4:$B$251&amp;UtilityList!$C$4:$C$251,0))</f>
        <v>0</v>
      </c>
      <c r="O117" s="452" t="str">
        <f t="array" ref="O117">IFERROR(INDEX(UtilityList!J$4:J$251,MATCH('Table 2.3c'!$A117&amp;'Table 2.3c'!$B117&amp;'Table 2.3c'!$C117,UtilityList!$A$4:$A$251&amp;UtilityList!$B$4:$B$251&amp;UtilityList!$C$4:$C$251,0)),INDEX(UtilityList!J$4:J$251,MATCH('Table 2.3c'!$A117&amp;'Table 2.3c'!$C117,UtilityList!$A$4:$A$251&amp;UtilityList!$C$5:$C$251,0)))</f>
        <v>Railbelt</v>
      </c>
      <c r="P117" s="452" t="str">
        <f t="array" ref="P117">IFERROR(INDEX(UtilityList!K$4:K$251,MATCH('Table 2.3c'!$A117&amp;'Table 2.3c'!$B117&amp;'Table 2.3c'!$C117,UtilityList!$A$4:$A$251&amp;UtilityList!$B$4:$B$251&amp;UtilityList!$C$4:$C$251,0)),INDEX(UtilityList!K$4:K$251,MATCH('Table 2.3c'!$A117&amp;'Table 2.3c'!$C117,UtilityList!$A$4:$A$251&amp;UtilityList!$C$5:$C$251,0)))</f>
        <v>Anchorage</v>
      </c>
      <c r="Q117" s="452" t="str">
        <f t="array" ref="Q117">IFERROR(INDEX(UtilityList!L$4:L$251,MATCH('Table 2.3c'!$A117&amp;'Table 2.3c'!$B117&amp;'Table 2.3c'!$C117,UtilityList!$A$4:$A$251&amp;UtilityList!$B$4:$B$251&amp;UtilityList!$C$4:$C$251,0)),INDEX(UtilityList!L$4:L$251,MATCH('Table 2.3c'!$A117&amp;'Table 2.3c'!$C117,UtilityList!$A$4:$A$251&amp;UtilityList!$C$5:$C$251,0)))</f>
        <v>Cook Inlet</v>
      </c>
      <c r="R117" s="452" t="str">
        <f t="array" ref="R117">IFERROR(INDEX(UtilityList!M$4:M$251,MATCH('Table 2.3c'!$A117&amp;'Table 2.3c'!$B117&amp;'Table 2.3c'!$C117,UtilityList!$A$4:$A$251&amp;UtilityList!$B$4:$B$251&amp;UtilityList!$C$4:$C$251,0)),INDEX(UtilityList!M$4:M$251,MATCH('Table 2.3c'!$A117&amp;'Table 2.3c'!$C117,UtilityList!$A$4:$A$251&amp;UtilityList!$C$5:$C$251,0)))</f>
        <v>SC</v>
      </c>
      <c r="S117" s="342"/>
    </row>
    <row r="118" spans="1:19" s="63" customFormat="1" ht="30" x14ac:dyDescent="0.25">
      <c r="A118" s="693" t="s">
        <v>153</v>
      </c>
      <c r="B118" s="636" t="s">
        <v>155</v>
      </c>
      <c r="C118" s="361"/>
      <c r="D118" s="622" t="s">
        <v>564</v>
      </c>
      <c r="E118" s="622" t="s">
        <v>560</v>
      </c>
      <c r="F118" s="642">
        <v>41995</v>
      </c>
      <c r="G118" s="683">
        <v>601772</v>
      </c>
      <c r="H118" s="681">
        <f t="shared" si="3"/>
        <v>615010.98400000005</v>
      </c>
      <c r="I118" s="683"/>
      <c r="J118" s="683">
        <f>IF(F118&gt;0, IFERROR((F118*1000)/G118," "), " ")</f>
        <v>69.785566626562883</v>
      </c>
      <c r="K118" s="682" t="str">
        <f t="shared" si="5"/>
        <v xml:space="preserve"> </v>
      </c>
      <c r="L118" s="682">
        <v>1.022</v>
      </c>
      <c r="M118" s="622" t="s">
        <v>558</v>
      </c>
      <c r="N118" s="627">
        <f t="array" ref="N118">INDEX(UtilityList!Q$4:Q$251,MATCH('Table 2.3c'!$A118&amp;'Table 2.3c'!$B118&amp;'Table 2.3c'!$C118,UtilityList!$A$4:$A$251&amp;UtilityList!$B$4:$B$251&amp;UtilityList!$C$4:$C$251,0))</f>
        <v>0</v>
      </c>
      <c r="O118" s="452" t="str">
        <f t="array" ref="O118">IFERROR(INDEX(UtilityList!J$4:J$251,MATCH('Table 2.3c'!$A118&amp;'Table 2.3c'!$B118&amp;'Table 2.3c'!$C118,UtilityList!$A$4:$A$251&amp;UtilityList!$B$4:$B$251&amp;UtilityList!$C$4:$C$251,0)),INDEX(UtilityList!J$4:J$251,MATCH('Table 2.3c'!$A118&amp;'Table 2.3c'!$C118,UtilityList!$A$4:$A$251&amp;UtilityList!$C$5:$C$251,0)))</f>
        <v>Railbelt</v>
      </c>
      <c r="P118" s="452" t="str">
        <f t="array" ref="P118">IFERROR(INDEX(UtilityList!K$4:K$251,MATCH('Table 2.3c'!$A118&amp;'Table 2.3c'!$B118&amp;'Table 2.3c'!$C118,UtilityList!$A$4:$A$251&amp;UtilityList!$B$4:$B$251&amp;UtilityList!$C$4:$C$251,0)),INDEX(UtilityList!K$4:K$251,MATCH('Table 2.3c'!$A118&amp;'Table 2.3c'!$C118,UtilityList!$A$4:$A$251&amp;UtilityList!$C$5:$C$251,0)))</f>
        <v>Kenai Peninsula</v>
      </c>
      <c r="Q118" s="452" t="str">
        <f t="array" ref="Q118">IFERROR(INDEX(UtilityList!L$4:L$251,MATCH('Table 2.3c'!$A118&amp;'Table 2.3c'!$B118&amp;'Table 2.3c'!$C118,UtilityList!$A$4:$A$251&amp;UtilityList!$B$4:$B$251&amp;UtilityList!$C$4:$C$251,0)),INDEX(UtilityList!L$4:L$251,MATCH('Table 2.3c'!$A118&amp;'Table 2.3c'!$C118,UtilityList!$A$4:$A$251&amp;UtilityList!$C$5:$C$251,0)))</f>
        <v>Cook Inlet</v>
      </c>
      <c r="R118" s="452" t="str">
        <f t="array" ref="R118">IFERROR(INDEX(UtilityList!M$4:M$251,MATCH('Table 2.3c'!$A118&amp;'Table 2.3c'!$B118&amp;'Table 2.3c'!$C118,UtilityList!$A$4:$A$251&amp;UtilityList!$B$4:$B$251&amp;UtilityList!$C$4:$C$251,0)),INDEX(UtilityList!M$4:M$251,MATCH('Table 2.3c'!$A118&amp;'Table 2.3c'!$C118,UtilityList!$A$4:$A$251&amp;UtilityList!$C$5:$C$251,0)))</f>
        <v>SC</v>
      </c>
      <c r="S118" s="342"/>
    </row>
    <row r="119" spans="1:19" s="63" customFormat="1" ht="30" x14ac:dyDescent="0.25">
      <c r="A119" s="693" t="s">
        <v>153</v>
      </c>
      <c r="B119" s="636" t="s">
        <v>154</v>
      </c>
      <c r="C119" s="361"/>
      <c r="D119" s="622" t="s">
        <v>564</v>
      </c>
      <c r="E119" s="622" t="s">
        <v>560</v>
      </c>
      <c r="F119" s="642">
        <v>127212</v>
      </c>
      <c r="G119" s="683">
        <v>1635452</v>
      </c>
      <c r="H119" s="681">
        <f t="shared" si="3"/>
        <v>1668161.04</v>
      </c>
      <c r="I119" s="683"/>
      <c r="J119" s="683">
        <f>IF(F119&gt;0, IFERROR((F119*1000)/G119," "), " ")</f>
        <v>77.784000997889265</v>
      </c>
      <c r="K119" s="682" t="str">
        <f t="shared" si="5"/>
        <v xml:space="preserve"> </v>
      </c>
      <c r="L119" s="682">
        <v>1.02</v>
      </c>
      <c r="M119" s="622" t="s">
        <v>558</v>
      </c>
      <c r="N119" s="627">
        <f t="array" ref="N119">INDEX(UtilityList!Q$4:Q$251,MATCH('Table 2.3c'!$A119&amp;'Table 2.3c'!$B119&amp;'Table 2.3c'!$C119,UtilityList!$A$4:$A$251&amp;UtilityList!$B$4:$B$251&amp;UtilityList!$C$4:$C$251,0))</f>
        <v>0</v>
      </c>
      <c r="O119" s="452" t="str">
        <f t="array" ref="O119">IFERROR(INDEX(UtilityList!J$4:J$251,MATCH('Table 2.3c'!$A119&amp;'Table 2.3c'!$B119&amp;'Table 2.3c'!$C119,UtilityList!$A$4:$A$251&amp;UtilityList!$B$4:$B$251&amp;UtilityList!$C$4:$C$251,0)),INDEX(UtilityList!J$4:J$251,MATCH('Table 2.3c'!$A119&amp;'Table 2.3c'!$C119,UtilityList!$A$4:$A$251&amp;UtilityList!$C$5:$C$251,0)))</f>
        <v>Railbelt</v>
      </c>
      <c r="P119" s="452" t="str">
        <f t="array" ref="P119">IFERROR(INDEX(UtilityList!K$4:K$251,MATCH('Table 2.3c'!$A119&amp;'Table 2.3c'!$B119&amp;'Table 2.3c'!$C119,UtilityList!$A$4:$A$251&amp;UtilityList!$B$4:$B$251&amp;UtilityList!$C$4:$C$251,0)),INDEX(UtilityList!K$4:K$251,MATCH('Table 2.3c'!$A119&amp;'Table 2.3c'!$C119,UtilityList!$A$4:$A$251&amp;UtilityList!$C$5:$C$251,0)))</f>
        <v>Anchorage</v>
      </c>
      <c r="Q119" s="452" t="str">
        <f t="array" ref="Q119">IFERROR(INDEX(UtilityList!L$4:L$251,MATCH('Table 2.3c'!$A119&amp;'Table 2.3c'!$B119&amp;'Table 2.3c'!$C119,UtilityList!$A$4:$A$251&amp;UtilityList!$B$4:$B$251&amp;UtilityList!$C$4:$C$251,0)),INDEX(UtilityList!L$4:L$251,MATCH('Table 2.3c'!$A119&amp;'Table 2.3c'!$C119,UtilityList!$A$4:$A$251&amp;UtilityList!$C$5:$C$251,0)))</f>
        <v>Cook Inlet</v>
      </c>
      <c r="R119" s="452" t="str">
        <f t="array" ref="R119">IFERROR(INDEX(UtilityList!M$4:M$251,MATCH('Table 2.3c'!$A119&amp;'Table 2.3c'!$B119&amp;'Table 2.3c'!$C119,UtilityList!$A$4:$A$251&amp;UtilityList!$B$4:$B$251&amp;UtilityList!$C$4:$C$251,0)),INDEX(UtilityList!M$4:M$251,MATCH('Table 2.3c'!$A119&amp;'Table 2.3c'!$C119,UtilityList!$A$4:$A$251&amp;UtilityList!$C$5:$C$251,0)))</f>
        <v>SC</v>
      </c>
      <c r="S119" s="342"/>
    </row>
    <row r="120" spans="1:19" s="239" customFormat="1" ht="30" x14ac:dyDescent="0.25">
      <c r="A120" s="678" t="s">
        <v>160</v>
      </c>
      <c r="B120" s="361" t="s">
        <v>161</v>
      </c>
      <c r="C120" s="679" t="s">
        <v>161</v>
      </c>
      <c r="D120" s="680" t="s">
        <v>545</v>
      </c>
      <c r="E120" s="680" t="s">
        <v>546</v>
      </c>
      <c r="F120" s="681">
        <v>389.51</v>
      </c>
      <c r="G120" s="682">
        <v>36322</v>
      </c>
      <c r="H120" s="681">
        <f t="shared" si="3"/>
        <v>5085.0800000000008</v>
      </c>
      <c r="I120" s="682">
        <v>3.1409582999999999</v>
      </c>
      <c r="J120" s="682">
        <f t="shared" ref="J120:J136" si="7">IF(F120&gt;0,IFERROR((F120*1000)/G120, " ")," ")</f>
        <v>10.723803755299818</v>
      </c>
      <c r="K120" s="682">
        <f t="shared" si="5"/>
        <v>0.29289591377012142</v>
      </c>
      <c r="L120" s="682">
        <v>0.14000000000000001</v>
      </c>
      <c r="M120" s="658" t="s">
        <v>356</v>
      </c>
      <c r="N120" s="627">
        <f t="array" ref="N120">INDEX(UtilityList!Q$4:Q$251,MATCH('Table 2.3c'!$A120&amp;'Table 2.3c'!$B120&amp;'Table 2.3c'!$C120,UtilityList!$A$4:$A$251&amp;UtilityList!$B$4:$B$251&amp;UtilityList!$C$4:$C$251,0))</f>
        <v>0</v>
      </c>
      <c r="O120" s="452" t="str">
        <f t="array" ref="O120">IFERROR(INDEX(UtilityList!J$4:J$251,MATCH('Table 2.3c'!$A120&amp;'Table 2.3c'!$B120&amp;'Table 2.3c'!$C120,UtilityList!$A$4:$A$251&amp;UtilityList!$B$4:$B$251&amp;UtilityList!$C$4:$C$251,0)),INDEX(UtilityList!J$4:J$251,MATCH('Table 2.3c'!$A120&amp;'Table 2.3c'!$C120,UtilityList!$A$4:$A$251&amp;UtilityList!$C$5:$C$251,0)))</f>
        <v>Yukon-Koyukuk/Upper Tanana</v>
      </c>
      <c r="P120" s="452" t="str">
        <f t="array" ref="P120">IFERROR(INDEX(UtilityList!K$4:K$251,MATCH('Table 2.3c'!$A120&amp;'Table 2.3c'!$B120&amp;'Table 2.3c'!$C120,UtilityList!$A$4:$A$251&amp;UtilityList!$B$4:$B$251&amp;UtilityList!$C$4:$C$251,0)),INDEX(UtilityList!K$4:K$251,MATCH('Table 2.3c'!$A120&amp;'Table 2.3c'!$C120,UtilityList!$A$4:$A$251&amp;UtilityList!$C$5:$C$251,0)))</f>
        <v>Yukon-Koyukuk (CA)</v>
      </c>
      <c r="Q120" s="452" t="str">
        <f t="array" ref="Q120">IFERROR(INDEX(UtilityList!L$4:L$251,MATCH('Table 2.3c'!$A120&amp;'Table 2.3c'!$B120&amp;'Table 2.3c'!$C120,UtilityList!$A$4:$A$251&amp;UtilityList!$B$4:$B$251&amp;UtilityList!$C$4:$C$251,0)),INDEX(UtilityList!L$4:L$251,MATCH('Table 2.3c'!$A120&amp;'Table 2.3c'!$C120,UtilityList!$A$4:$A$251&amp;UtilityList!$C$5:$C$251,0)))</f>
        <v>Doyon</v>
      </c>
      <c r="R120" s="452" t="str">
        <f t="array" ref="R120">IFERROR(INDEX(UtilityList!M$4:M$251,MATCH('Table 2.3c'!$A120&amp;'Table 2.3c'!$B120&amp;'Table 2.3c'!$C120,UtilityList!$A$4:$A$251&amp;UtilityList!$B$4:$B$251&amp;UtilityList!$C$4:$C$251,0)),INDEX(UtilityList!M$4:M$251,MATCH('Table 2.3c'!$A120&amp;'Table 2.3c'!$C120,UtilityList!$A$4:$A$251&amp;UtilityList!$C$5:$C$251,0)))</f>
        <v>YU</v>
      </c>
    </row>
    <row r="121" spans="1:19" s="63" customFormat="1" ht="30" x14ac:dyDescent="0.25">
      <c r="A121" s="361" t="s">
        <v>164</v>
      </c>
      <c r="B121" s="361" t="s">
        <v>165</v>
      </c>
      <c r="C121" s="361" t="s">
        <v>165</v>
      </c>
      <c r="D121" s="622" t="s">
        <v>545</v>
      </c>
      <c r="E121" s="622" t="s">
        <v>546</v>
      </c>
      <c r="F121" s="642">
        <v>15113</v>
      </c>
      <c r="G121" s="683">
        <v>1136226</v>
      </c>
      <c r="H121" s="681">
        <f t="shared" si="3"/>
        <v>159071.64000000001</v>
      </c>
      <c r="I121" s="683"/>
      <c r="J121" s="683">
        <f t="shared" si="7"/>
        <v>13.301051023299943</v>
      </c>
      <c r="K121" s="682" t="str">
        <f t="shared" si="5"/>
        <v xml:space="preserve"> </v>
      </c>
      <c r="L121" s="682">
        <v>0.14000000000000001</v>
      </c>
      <c r="M121" s="622" t="s">
        <v>558</v>
      </c>
      <c r="N121" s="627">
        <f t="array" ref="N121">INDEX(UtilityList!Q$4:Q$251,MATCH('Table 2.3c'!$A121&amp;'Table 2.3c'!$B121&amp;'Table 2.3c'!$C121,UtilityList!$A$4:$A$251&amp;UtilityList!$B$4:$B$251&amp;UtilityList!$C$4:$C$251,0))</f>
        <v>0</v>
      </c>
      <c r="O121" s="452" t="str">
        <f t="array" ref="O121">IFERROR(INDEX(UtilityList!J$4:J$251,MATCH('Table 2.3c'!$A121&amp;'Table 2.3c'!$B121&amp;'Table 2.3c'!$C121,UtilityList!$A$4:$A$251&amp;UtilityList!$B$4:$B$251&amp;UtilityList!$C$4:$C$251,0)),INDEX(UtilityList!J$4:J$251,MATCH('Table 2.3c'!$A121&amp;'Table 2.3c'!$C121,UtilityList!$A$4:$A$251&amp;UtilityList!$C$5:$C$251,0)))</f>
        <v>Copper River/Chugach</v>
      </c>
      <c r="P121" s="452" t="str">
        <f t="array" ref="P121">IFERROR(INDEX(UtilityList!K$4:K$251,MATCH('Table 2.3c'!$A121&amp;'Table 2.3c'!$B121&amp;'Table 2.3c'!$C121,UtilityList!$A$4:$A$251&amp;UtilityList!$B$4:$B$251&amp;UtilityList!$C$4:$C$251,0)),INDEX(UtilityList!K$4:K$251,MATCH('Table 2.3c'!$A121&amp;'Table 2.3c'!$C121,UtilityList!$A$4:$A$251&amp;UtilityList!$C$5:$C$251,0)))</f>
        <v>Valdez-Cordova (CA)</v>
      </c>
      <c r="Q121" s="452" t="str">
        <f t="array" ref="Q121">IFERROR(INDEX(UtilityList!L$4:L$251,MATCH('Table 2.3c'!$A121&amp;'Table 2.3c'!$B121&amp;'Table 2.3c'!$C121,UtilityList!$A$4:$A$251&amp;UtilityList!$B$4:$B$251&amp;UtilityList!$C$4:$C$251,0)),INDEX(UtilityList!L$4:L$251,MATCH('Table 2.3c'!$A121&amp;'Table 2.3c'!$C121,UtilityList!$A$4:$A$251&amp;UtilityList!$C$5:$C$251,0)))</f>
        <v>Ahtna</v>
      </c>
      <c r="R121" s="452" t="str">
        <f t="array" ref="R121">IFERROR(INDEX(UtilityList!M$4:M$251,MATCH('Table 2.3c'!$A121&amp;'Table 2.3c'!$B121&amp;'Table 2.3c'!$C121,UtilityList!$A$4:$A$251&amp;UtilityList!$B$4:$B$251&amp;UtilityList!$C$4:$C$251,0)),INDEX(UtilityList!M$4:M$251,MATCH('Table 2.3c'!$A121&amp;'Table 2.3c'!$C121,UtilityList!$A$4:$A$251&amp;UtilityList!$C$5:$C$251,0)))</f>
        <v>SC</v>
      </c>
      <c r="S121" s="342"/>
    </row>
    <row r="122" spans="1:19" s="63" customFormat="1" ht="30" x14ac:dyDescent="0.25">
      <c r="A122" s="361" t="s">
        <v>164</v>
      </c>
      <c r="B122" s="361" t="s">
        <v>167</v>
      </c>
      <c r="C122" s="361" t="s">
        <v>167</v>
      </c>
      <c r="D122" s="622" t="s">
        <v>545</v>
      </c>
      <c r="E122" s="622" t="s">
        <v>560</v>
      </c>
      <c r="F122" s="642">
        <v>47</v>
      </c>
      <c r="G122" s="683">
        <v>6300</v>
      </c>
      <c r="H122" s="681">
        <f t="shared" si="3"/>
        <v>882.00000000000011</v>
      </c>
      <c r="I122" s="683"/>
      <c r="J122" s="683">
        <f t="shared" si="7"/>
        <v>7.4603174603174605</v>
      </c>
      <c r="K122" s="682" t="str">
        <f t="shared" si="5"/>
        <v xml:space="preserve"> </v>
      </c>
      <c r="L122" s="682">
        <v>0.14000000000000001</v>
      </c>
      <c r="M122" s="622" t="s">
        <v>558</v>
      </c>
      <c r="N122" s="627">
        <f t="array" ref="N122">INDEX(UtilityList!Q$4:Q$251,MATCH('Table 2.3c'!$A122&amp;'Table 2.3c'!$B122&amp;'Table 2.3c'!$C122,UtilityList!$A$4:$A$251&amp;UtilityList!$B$4:$B$251&amp;UtilityList!$C$4:$C$251,0))</f>
        <v>0</v>
      </c>
      <c r="O122" s="452" t="str">
        <f t="array" ref="O122">IFERROR(INDEX(UtilityList!J$4:J$251,MATCH('Table 2.3c'!$A122&amp;'Table 2.3c'!$B122&amp;'Table 2.3c'!$C122,UtilityList!$A$4:$A$251&amp;UtilityList!$B$4:$B$251&amp;UtilityList!$C$4:$C$251,0)),INDEX(UtilityList!J$4:J$251,MATCH('Table 2.3c'!$A122&amp;'Table 2.3c'!$C122,UtilityList!$A$4:$A$251&amp;UtilityList!$C$5:$C$251,0)))</f>
        <v>Copper River/Chugach</v>
      </c>
      <c r="P122" s="452" t="str">
        <f t="array" ref="P122">IFERROR(INDEX(UtilityList!K$4:K$251,MATCH('Table 2.3c'!$A122&amp;'Table 2.3c'!$B122&amp;'Table 2.3c'!$C122,UtilityList!$A$4:$A$251&amp;UtilityList!$B$4:$B$251&amp;UtilityList!$C$4:$C$251,0)),INDEX(UtilityList!K$4:K$251,MATCH('Table 2.3c'!$A122&amp;'Table 2.3c'!$C122,UtilityList!$A$4:$A$251&amp;UtilityList!$C$5:$C$251,0)))</f>
        <v>Valdez-Cordova (CA)</v>
      </c>
      <c r="Q122" s="452" t="str">
        <f t="array" ref="Q122">IFERROR(INDEX(UtilityList!L$4:L$251,MATCH('Table 2.3c'!$A122&amp;'Table 2.3c'!$B122&amp;'Table 2.3c'!$C122,UtilityList!$A$4:$A$251&amp;UtilityList!$B$4:$B$251&amp;UtilityList!$C$4:$C$251,0)),INDEX(UtilityList!L$4:L$251,MATCH('Table 2.3c'!$A122&amp;'Table 2.3c'!$C122,UtilityList!$A$4:$A$251&amp;UtilityList!$C$5:$C$251,0)))</f>
        <v>Chugach</v>
      </c>
      <c r="R122" s="452" t="str">
        <f t="array" ref="R122">IFERROR(INDEX(UtilityList!M$4:M$251,MATCH('Table 2.3c'!$A122&amp;'Table 2.3c'!$B122&amp;'Table 2.3c'!$C122,UtilityList!$A$4:$A$251&amp;UtilityList!$B$4:$B$251&amp;UtilityList!$C$4:$C$251,0)),INDEX(UtilityList!M$4:M$251,MATCH('Table 2.3c'!$A122&amp;'Table 2.3c'!$C122,UtilityList!$A$4:$A$251&amp;UtilityList!$C$5:$C$251,0)))</f>
        <v>SC</v>
      </c>
      <c r="S122" s="342"/>
    </row>
    <row r="123" spans="1:19" s="63" customFormat="1" ht="30" x14ac:dyDescent="0.25">
      <c r="A123" s="361" t="s">
        <v>164</v>
      </c>
      <c r="B123" s="361" t="s">
        <v>167</v>
      </c>
      <c r="C123" s="361" t="s">
        <v>167</v>
      </c>
      <c r="D123" s="622" t="s">
        <v>545</v>
      </c>
      <c r="E123" s="622" t="s">
        <v>546</v>
      </c>
      <c r="F123" s="642">
        <v>7291</v>
      </c>
      <c r="G123" s="683">
        <v>636930</v>
      </c>
      <c r="H123" s="681">
        <f t="shared" si="3"/>
        <v>89170.200000000012</v>
      </c>
      <c r="I123" s="683"/>
      <c r="J123" s="683">
        <f t="shared" si="7"/>
        <v>11.447097797246165</v>
      </c>
      <c r="K123" s="682" t="str">
        <f t="shared" si="5"/>
        <v xml:space="preserve"> </v>
      </c>
      <c r="L123" s="682">
        <v>0.14000000000000001</v>
      </c>
      <c r="M123" s="622" t="s">
        <v>558</v>
      </c>
      <c r="N123" s="627">
        <f t="array" ref="N123">INDEX(UtilityList!Q$4:Q$251,MATCH('Table 2.3c'!$A123&amp;'Table 2.3c'!$B123&amp;'Table 2.3c'!$C123,UtilityList!$A$4:$A$251&amp;UtilityList!$B$4:$B$251&amp;UtilityList!$C$4:$C$251,0))</f>
        <v>0</v>
      </c>
      <c r="O123" s="452" t="str">
        <f t="array" ref="O123">IFERROR(INDEX(UtilityList!J$4:J$251,MATCH('Table 2.3c'!$A123&amp;'Table 2.3c'!$B123&amp;'Table 2.3c'!$C123,UtilityList!$A$4:$A$251&amp;UtilityList!$B$4:$B$251&amp;UtilityList!$C$4:$C$251,0)),INDEX(UtilityList!J$4:J$251,MATCH('Table 2.3c'!$A123&amp;'Table 2.3c'!$C123,UtilityList!$A$4:$A$251&amp;UtilityList!$C$5:$C$251,0)))</f>
        <v>Copper River/Chugach</v>
      </c>
      <c r="P123" s="452" t="str">
        <f t="array" ref="P123">IFERROR(INDEX(UtilityList!K$4:K$251,MATCH('Table 2.3c'!$A123&amp;'Table 2.3c'!$B123&amp;'Table 2.3c'!$C123,UtilityList!$A$4:$A$251&amp;UtilityList!$B$4:$B$251&amp;UtilityList!$C$4:$C$251,0)),INDEX(UtilityList!K$4:K$251,MATCH('Table 2.3c'!$A123&amp;'Table 2.3c'!$C123,UtilityList!$A$4:$A$251&amp;UtilityList!$C$5:$C$251,0)))</f>
        <v>Valdez-Cordova (CA)</v>
      </c>
      <c r="Q123" s="452" t="str">
        <f t="array" ref="Q123">IFERROR(INDEX(UtilityList!L$4:L$251,MATCH('Table 2.3c'!$A123&amp;'Table 2.3c'!$B123&amp;'Table 2.3c'!$C123,UtilityList!$A$4:$A$251&amp;UtilityList!$B$4:$B$251&amp;UtilityList!$C$4:$C$251,0)),INDEX(UtilityList!L$4:L$251,MATCH('Table 2.3c'!$A123&amp;'Table 2.3c'!$C123,UtilityList!$A$4:$A$251&amp;UtilityList!$C$5:$C$251,0)))</f>
        <v>Chugach</v>
      </c>
      <c r="R123" s="452" t="str">
        <f t="array" ref="R123">IFERROR(INDEX(UtilityList!M$4:M$251,MATCH('Table 2.3c'!$A123&amp;'Table 2.3c'!$B123&amp;'Table 2.3c'!$C123,UtilityList!$A$4:$A$251&amp;UtilityList!$B$4:$B$251&amp;UtilityList!$C$4:$C$251,0)),INDEX(UtilityList!M$4:M$251,MATCH('Table 2.3c'!$A123&amp;'Table 2.3c'!$C123,UtilityList!$A$4:$A$251&amp;UtilityList!$C$5:$C$251,0)))</f>
        <v>SC</v>
      </c>
      <c r="S123" s="342"/>
    </row>
    <row r="124" spans="1:19" s="63" customFormat="1" ht="30" x14ac:dyDescent="0.25">
      <c r="A124" s="361" t="s">
        <v>164</v>
      </c>
      <c r="B124" s="361" t="s">
        <v>168</v>
      </c>
      <c r="C124" s="361" t="s">
        <v>167</v>
      </c>
      <c r="D124" s="622" t="s">
        <v>563</v>
      </c>
      <c r="E124" s="622" t="s">
        <v>560</v>
      </c>
      <c r="F124" s="642">
        <v>17519</v>
      </c>
      <c r="G124" s="683">
        <v>1869252</v>
      </c>
      <c r="H124" s="681">
        <f t="shared" si="3"/>
        <v>252349.02000000002</v>
      </c>
      <c r="I124" s="683"/>
      <c r="J124" s="683">
        <f t="shared" si="7"/>
        <v>9.3721980770917988</v>
      </c>
      <c r="K124" s="682" t="str">
        <f t="shared" si="5"/>
        <v xml:space="preserve"> </v>
      </c>
      <c r="L124" s="682">
        <v>0.13500000000000001</v>
      </c>
      <c r="M124" s="622" t="s">
        <v>558</v>
      </c>
      <c r="N124" s="627">
        <f t="array" ref="N124">INDEX(UtilityList!Q$4:Q$251,MATCH('Table 2.3c'!$A124&amp;'Table 2.3c'!$B124&amp;'Table 2.3c'!$C124,UtilityList!$A$4:$A$251&amp;UtilityList!$B$4:$B$251&amp;UtilityList!$C$4:$C$251,0))</f>
        <v>0</v>
      </c>
      <c r="O124" s="452" t="str">
        <f t="array" ref="O124">IFERROR(INDEX(UtilityList!J$4:J$251,MATCH('Table 2.3c'!$A124&amp;'Table 2.3c'!$B124&amp;'Table 2.3c'!$C124,UtilityList!$A$4:$A$251&amp;UtilityList!$B$4:$B$251&amp;UtilityList!$C$4:$C$251,0)),INDEX(UtilityList!J$4:J$251,MATCH('Table 2.3c'!$A124&amp;'Table 2.3c'!$C124,UtilityList!$A$4:$A$251&amp;UtilityList!$C$5:$C$251,0)))</f>
        <v>Copper River/Chugach</v>
      </c>
      <c r="P124" s="452" t="str">
        <f t="array" ref="P124">IFERROR(INDEX(UtilityList!K$4:K$251,MATCH('Table 2.3c'!$A124&amp;'Table 2.3c'!$B124&amp;'Table 2.3c'!$C124,UtilityList!$A$4:$A$251&amp;UtilityList!$B$4:$B$251&amp;UtilityList!$C$4:$C$251,0)),INDEX(UtilityList!K$4:K$251,MATCH('Table 2.3c'!$A124&amp;'Table 2.3c'!$C124,UtilityList!$A$4:$A$251&amp;UtilityList!$C$5:$C$251,0)))</f>
        <v>Valdez-Cordova (CA)</v>
      </c>
      <c r="Q124" s="452" t="str">
        <f t="array" ref="Q124">IFERROR(INDEX(UtilityList!L$4:L$251,MATCH('Table 2.3c'!$A124&amp;'Table 2.3c'!$B124&amp;'Table 2.3c'!$C124,UtilityList!$A$4:$A$251&amp;UtilityList!$B$4:$B$251&amp;UtilityList!$C$4:$C$251,0)),INDEX(UtilityList!L$4:L$251,MATCH('Table 2.3c'!$A124&amp;'Table 2.3c'!$C124,UtilityList!$A$4:$A$251&amp;UtilityList!$C$5:$C$251,0)))</f>
        <v>Chugach</v>
      </c>
      <c r="R124" s="452" t="str">
        <f t="array" ref="R124">IFERROR(INDEX(UtilityList!M$4:M$251,MATCH('Table 2.3c'!$A124&amp;'Table 2.3c'!$B124&amp;'Table 2.3c'!$C124,UtilityList!$A$4:$A$251&amp;UtilityList!$B$4:$B$251&amp;UtilityList!$C$4:$C$251,0)),INDEX(UtilityList!M$4:M$251,MATCH('Table 2.3c'!$A124&amp;'Table 2.3c'!$C124,UtilityList!$A$4:$A$251&amp;UtilityList!$C$5:$C$251,0)))</f>
        <v>SC</v>
      </c>
      <c r="S124" s="342"/>
    </row>
    <row r="125" spans="1:19" s="239" customFormat="1" ht="30" x14ac:dyDescent="0.25">
      <c r="A125" s="678" t="s">
        <v>533</v>
      </c>
      <c r="B125" s="361" t="s">
        <v>505</v>
      </c>
      <c r="C125" s="679" t="s">
        <v>1092</v>
      </c>
      <c r="D125" s="680" t="s">
        <v>545</v>
      </c>
      <c r="E125" s="680" t="s">
        <v>546</v>
      </c>
      <c r="F125" s="681">
        <v>9585.5349999999999</v>
      </c>
      <c r="G125" s="682">
        <v>781015</v>
      </c>
      <c r="H125" s="681">
        <f t="shared" si="3"/>
        <v>109342.1</v>
      </c>
      <c r="I125" s="682">
        <v>3.5540500000000002</v>
      </c>
      <c r="J125" s="682">
        <f t="shared" si="7"/>
        <v>12.27317657151271</v>
      </c>
      <c r="K125" s="682">
        <f t="shared" si="5"/>
        <v>0.28957865792050214</v>
      </c>
      <c r="L125" s="682">
        <v>0.14000000000000001</v>
      </c>
      <c r="M125" s="658" t="s">
        <v>356</v>
      </c>
      <c r="N125" s="627">
        <f t="array" ref="N125">INDEX(UtilityList!Q$4:Q$251,MATCH('Table 2.3c'!$A125&amp;'Table 2.3c'!$B125&amp;'Table 2.3c'!$C125,UtilityList!$A$4:$A$251&amp;UtilityList!$B$4:$B$251&amp;UtilityList!$C$4:$C$251,0))</f>
        <v>0</v>
      </c>
      <c r="O125" s="452" t="str">
        <f t="array" ref="O125">IFERROR(INDEX(UtilityList!J$4:J$251,MATCH('Table 2.3c'!$A125&amp;'Table 2.3c'!$B125&amp;'Table 2.3c'!$C125,UtilityList!$A$4:$A$251&amp;UtilityList!$B$4:$B$251&amp;UtilityList!$C$4:$C$251,0)),INDEX(UtilityList!J$4:J$251,MATCH('Table 2.3c'!$A125&amp;'Table 2.3c'!$C125,UtilityList!$A$4:$A$251&amp;UtilityList!$C$5:$C$251,0)))</f>
        <v>Copper River/Chugach</v>
      </c>
      <c r="P125" s="452" t="str">
        <f t="array" ref="P125">IFERROR(INDEX(UtilityList!K$4:K$251,MATCH('Table 2.3c'!$A125&amp;'Table 2.3c'!$B125&amp;'Table 2.3c'!$C125,UtilityList!$A$4:$A$251&amp;UtilityList!$B$4:$B$251&amp;UtilityList!$C$4:$C$251,0)),INDEX(UtilityList!K$4:K$251,MATCH('Table 2.3c'!$A125&amp;'Table 2.3c'!$C125,UtilityList!$A$4:$A$251&amp;UtilityList!$C$5:$C$251,0)))</f>
        <v>Valdez-Cordova (CA)</v>
      </c>
      <c r="Q125" s="452" t="str">
        <f t="array" ref="Q125">IFERROR(INDEX(UtilityList!L$4:L$251,MATCH('Table 2.3c'!$A125&amp;'Table 2.3c'!$B125&amp;'Table 2.3c'!$C125,UtilityList!$A$4:$A$251&amp;UtilityList!$B$4:$B$251&amp;UtilityList!$C$4:$C$251,0)),INDEX(UtilityList!L$4:L$251,MATCH('Table 2.3c'!$A125&amp;'Table 2.3c'!$C125,UtilityList!$A$4:$A$251&amp;UtilityList!$C$5:$C$251,0)))</f>
        <v>Chugach</v>
      </c>
      <c r="R125" s="452" t="str">
        <f t="array" ref="R125">IFERROR(INDEX(UtilityList!M$4:M$251,MATCH('Table 2.3c'!$A125&amp;'Table 2.3c'!$B125&amp;'Table 2.3c'!$C125,UtilityList!$A$4:$A$251&amp;UtilityList!$B$4:$B$251&amp;UtilityList!$C$4:$C$251,0)),INDEX(UtilityList!M$4:M$251,MATCH('Table 2.3c'!$A125&amp;'Table 2.3c'!$C125,UtilityList!$A$4:$A$251&amp;UtilityList!$C$5:$C$251,0)))</f>
        <v>SC</v>
      </c>
    </row>
    <row r="126" spans="1:19" s="239" customFormat="1" ht="30" x14ac:dyDescent="0.25">
      <c r="A126" s="678" t="s">
        <v>640</v>
      </c>
      <c r="B126" s="361" t="s">
        <v>170</v>
      </c>
      <c r="C126" s="654" t="s">
        <v>170</v>
      </c>
      <c r="D126" s="680" t="s">
        <v>545</v>
      </c>
      <c r="E126" s="680" t="s">
        <v>546</v>
      </c>
      <c r="F126" s="681">
        <v>281.745</v>
      </c>
      <c r="G126" s="682">
        <v>27601</v>
      </c>
      <c r="H126" s="681">
        <f t="shared" si="3"/>
        <v>3864.1400000000003</v>
      </c>
      <c r="I126" s="682">
        <v>4.2466666999999996</v>
      </c>
      <c r="J126" s="682">
        <f t="shared" si="7"/>
        <v>10.207782326727292</v>
      </c>
      <c r="K126" s="682">
        <f t="shared" si="5"/>
        <v>0.41602245855898062</v>
      </c>
      <c r="L126" s="682">
        <v>0.14000000000000001</v>
      </c>
      <c r="M126" s="658" t="s">
        <v>356</v>
      </c>
      <c r="N126" s="627">
        <f t="array" ref="N126">INDEX(UtilityList!Q$4:Q$251,MATCH('Table 2.3c'!$A126&amp;'Table 2.3c'!$B126&amp;'Table 2.3c'!$C126,UtilityList!$A$4:$A$251&amp;UtilityList!$B$4:$B$251&amp;UtilityList!$C$4:$C$251,0))</f>
        <v>0</v>
      </c>
      <c r="O126" s="452" t="str">
        <f t="array" ref="O126">IFERROR(INDEX(UtilityList!J$4:J$251,MATCH('Table 2.3c'!$A126&amp;'Table 2.3c'!$B126&amp;'Table 2.3c'!$C126,UtilityList!$A$4:$A$251&amp;UtilityList!$B$4:$B$251&amp;UtilityList!$C$4:$C$251,0)),INDEX(UtilityList!J$4:J$251,MATCH('Table 2.3c'!$A126&amp;'Table 2.3c'!$C126,UtilityList!$A$4:$A$251&amp;UtilityList!$C$5:$C$251,0)))</f>
        <v>Bering Straits</v>
      </c>
      <c r="P126" s="452" t="str">
        <f t="array" ref="P126">IFERROR(INDEX(UtilityList!K$4:K$251,MATCH('Table 2.3c'!$A126&amp;'Table 2.3c'!$B126&amp;'Table 2.3c'!$C126,UtilityList!$A$4:$A$251&amp;UtilityList!$B$4:$B$251&amp;UtilityList!$C$4:$C$251,0)),INDEX(UtilityList!K$4:K$251,MATCH('Table 2.3c'!$A126&amp;'Table 2.3c'!$C126,UtilityList!$A$4:$A$251&amp;UtilityList!$C$5:$C$251,0)))</f>
        <v>Nome (CA)</v>
      </c>
      <c r="Q126" s="452" t="str">
        <f t="array" ref="Q126">IFERROR(INDEX(UtilityList!L$4:L$251,MATCH('Table 2.3c'!$A126&amp;'Table 2.3c'!$B126&amp;'Table 2.3c'!$C126,UtilityList!$A$4:$A$251&amp;UtilityList!$B$4:$B$251&amp;UtilityList!$C$4:$C$251,0)),INDEX(UtilityList!L$4:L$251,MATCH('Table 2.3c'!$A126&amp;'Table 2.3c'!$C126,UtilityList!$A$4:$A$251&amp;UtilityList!$C$5:$C$251,0)))</f>
        <v>Bering Straits</v>
      </c>
      <c r="R126" s="452" t="str">
        <f t="array" ref="R126">IFERROR(INDEX(UtilityList!M$4:M$251,MATCH('Table 2.3c'!$A126&amp;'Table 2.3c'!$B126&amp;'Table 2.3c'!$C126,UtilityList!$A$4:$A$251&amp;UtilityList!$B$4:$B$251&amp;UtilityList!$C$4:$C$251,0)),INDEX(UtilityList!M$4:M$251,MATCH('Table 2.3c'!$A126&amp;'Table 2.3c'!$C126,UtilityList!$A$4:$A$251&amp;UtilityList!$C$5:$C$251,0)))</f>
        <v>AN</v>
      </c>
    </row>
    <row r="127" spans="1:19" s="239" customFormat="1" ht="30" x14ac:dyDescent="0.25">
      <c r="A127" s="678" t="s">
        <v>171</v>
      </c>
      <c r="B127" s="361" t="s">
        <v>172</v>
      </c>
      <c r="C127" s="679" t="s">
        <v>172</v>
      </c>
      <c r="D127" s="680" t="s">
        <v>545</v>
      </c>
      <c r="E127" s="680" t="s">
        <v>546</v>
      </c>
      <c r="F127" s="681">
        <v>261.51549999999997</v>
      </c>
      <c r="G127" s="682">
        <v>23205.817999999999</v>
      </c>
      <c r="H127" s="681">
        <f t="shared" si="3"/>
        <v>3248.8145200000004</v>
      </c>
      <c r="I127" s="682">
        <v>4.8301356000000002</v>
      </c>
      <c r="J127" s="682">
        <f t="shared" si="7"/>
        <v>11.269393735657152</v>
      </c>
      <c r="K127" s="682">
        <f t="shared" si="5"/>
        <v>0.4286065172003985</v>
      </c>
      <c r="L127" s="682">
        <v>0.14000000000000001</v>
      </c>
      <c r="M127" s="658" t="s">
        <v>356</v>
      </c>
      <c r="N127" s="627">
        <f t="array" ref="N127">INDEX(UtilityList!Q$4:Q$251,MATCH('Table 2.3c'!$A127&amp;'Table 2.3c'!$B127&amp;'Table 2.3c'!$C127,UtilityList!$A$4:$A$251&amp;UtilityList!$B$4:$B$251&amp;UtilityList!$C$4:$C$251,0))</f>
        <v>0</v>
      </c>
      <c r="O127" s="452" t="str">
        <f t="array" ref="O127">IFERROR(INDEX(UtilityList!J$4:J$251,MATCH('Table 2.3c'!$A127&amp;'Table 2.3c'!$B127&amp;'Table 2.3c'!$C127,UtilityList!$A$4:$A$251&amp;UtilityList!$B$4:$B$251&amp;UtilityList!$C$4:$C$251,0)),INDEX(UtilityList!J$4:J$251,MATCH('Table 2.3c'!$A127&amp;'Table 2.3c'!$C127,UtilityList!$A$4:$A$251&amp;UtilityList!$C$5:$C$251,0)))</f>
        <v>Bristol Bay</v>
      </c>
      <c r="P127" s="452" t="str">
        <f t="array" ref="P127">IFERROR(INDEX(UtilityList!K$4:K$251,MATCH('Table 2.3c'!$A127&amp;'Table 2.3c'!$B127&amp;'Table 2.3c'!$C127,UtilityList!$A$4:$A$251&amp;UtilityList!$B$4:$B$251&amp;UtilityList!$C$4:$C$251,0)),INDEX(UtilityList!K$4:K$251,MATCH('Table 2.3c'!$A127&amp;'Table 2.3c'!$C127,UtilityList!$A$4:$A$251&amp;UtilityList!$C$5:$C$251,0)))</f>
        <v>Lake and Peninsula</v>
      </c>
      <c r="Q127" s="452" t="str">
        <f t="array" ref="Q127">IFERROR(INDEX(UtilityList!L$4:L$251,MATCH('Table 2.3c'!$A127&amp;'Table 2.3c'!$B127&amp;'Table 2.3c'!$C127,UtilityList!$A$4:$A$251&amp;UtilityList!$B$4:$B$251&amp;UtilityList!$C$4:$C$251,0)),INDEX(UtilityList!L$4:L$251,MATCH('Table 2.3c'!$A127&amp;'Table 2.3c'!$C127,UtilityList!$A$4:$A$251&amp;UtilityList!$C$5:$C$251,0)))</f>
        <v>Bristol Bay</v>
      </c>
      <c r="R127" s="452" t="str">
        <f t="array" ref="R127">IFERROR(INDEX(UtilityList!M$4:M$251,MATCH('Table 2.3c'!$A127&amp;'Table 2.3c'!$B127&amp;'Table 2.3c'!$C127,UtilityList!$A$4:$A$251&amp;UtilityList!$B$4:$B$251&amp;UtilityList!$C$4:$C$251,0)),INDEX(UtilityList!M$4:M$251,MATCH('Table 2.3c'!$A127&amp;'Table 2.3c'!$C127,UtilityList!$A$4:$A$251&amp;UtilityList!$C$5:$C$251,0)))</f>
        <v>SW</v>
      </c>
    </row>
    <row r="128" spans="1:19" s="239" customFormat="1" ht="45" x14ac:dyDescent="0.25">
      <c r="A128" s="678" t="s">
        <v>174</v>
      </c>
      <c r="B128" s="361" t="s">
        <v>175</v>
      </c>
      <c r="C128" s="679" t="s">
        <v>175</v>
      </c>
      <c r="D128" s="680" t="s">
        <v>545</v>
      </c>
      <c r="E128" s="680" t="s">
        <v>546</v>
      </c>
      <c r="F128" s="681">
        <v>277.4572</v>
      </c>
      <c r="G128" s="682">
        <v>25097</v>
      </c>
      <c r="H128" s="681">
        <f t="shared" si="3"/>
        <v>3513.5800000000004</v>
      </c>
      <c r="I128" s="682">
        <v>4.5075000000000003</v>
      </c>
      <c r="J128" s="682">
        <f t="shared" si="7"/>
        <v>11.055393074869507</v>
      </c>
      <c r="K128" s="682">
        <f t="shared" si="5"/>
        <v>0.40771955998979303</v>
      </c>
      <c r="L128" s="682">
        <v>0.14000000000000001</v>
      </c>
      <c r="M128" s="658" t="s">
        <v>356</v>
      </c>
      <c r="N128" s="627">
        <f t="array" ref="N128">INDEX(UtilityList!Q$4:Q$251,MATCH('Table 2.3c'!$A128&amp;'Table 2.3c'!$B128&amp;'Table 2.3c'!$C128,UtilityList!$A$4:$A$251&amp;UtilityList!$B$4:$B$251&amp;UtilityList!$C$4:$C$251,0))</f>
        <v>0</v>
      </c>
      <c r="O128" s="452" t="str">
        <f t="array" ref="O128">IFERROR(INDEX(UtilityList!J$4:J$251,MATCH('Table 2.3c'!$A128&amp;'Table 2.3c'!$B128&amp;'Table 2.3c'!$C128,UtilityList!$A$4:$A$251&amp;UtilityList!$B$4:$B$251&amp;UtilityList!$C$4:$C$251,0)),INDEX(UtilityList!J$4:J$251,MATCH('Table 2.3c'!$A128&amp;'Table 2.3c'!$C128,UtilityList!$A$4:$A$251&amp;UtilityList!$C$5:$C$251,0)))</f>
        <v>Southeast</v>
      </c>
      <c r="P128" s="452" t="str">
        <f t="array" ref="P128">IFERROR(INDEX(UtilityList!K$4:K$251,MATCH('Table 2.3c'!$A128&amp;'Table 2.3c'!$B128&amp;'Table 2.3c'!$C128,UtilityList!$A$4:$A$251&amp;UtilityList!$B$4:$B$251&amp;UtilityList!$C$4:$C$251,0)),INDEX(UtilityList!K$4:K$251,MATCH('Table 2.3c'!$A128&amp;'Table 2.3c'!$C128,UtilityList!$A$4:$A$251&amp;UtilityList!$C$5:$C$251,0)))</f>
        <v>Hoonah-Angoon (CA)</v>
      </c>
      <c r="Q128" s="452" t="str">
        <f t="array" ref="Q128">IFERROR(INDEX(UtilityList!L$4:L$251,MATCH('Table 2.3c'!$A128&amp;'Table 2.3c'!$B128&amp;'Table 2.3c'!$C128,UtilityList!$A$4:$A$251&amp;UtilityList!$B$4:$B$251&amp;UtilityList!$C$4:$C$251,0)),INDEX(UtilityList!L$4:L$251,MATCH('Table 2.3c'!$A128&amp;'Table 2.3c'!$C128,UtilityList!$A$4:$A$251&amp;UtilityList!$C$5:$C$251,0)))</f>
        <v>Sealaska</v>
      </c>
      <c r="R128" s="452" t="str">
        <f t="array" ref="R128">IFERROR(INDEX(UtilityList!M$4:M$251,MATCH('Table 2.3c'!$A128&amp;'Table 2.3c'!$B128&amp;'Table 2.3c'!$C128,UtilityList!$A$4:$A$251&amp;UtilityList!$B$4:$B$251&amp;UtilityList!$C$4:$C$251,0)),INDEX(UtilityList!M$4:M$251,MATCH('Table 2.3c'!$A128&amp;'Table 2.3c'!$C128,UtilityList!$A$4:$A$251&amp;UtilityList!$C$5:$C$251,0)))</f>
        <v>SE</v>
      </c>
    </row>
    <row r="129" spans="1:19" s="239" customFormat="1" ht="30" x14ac:dyDescent="0.25">
      <c r="A129" s="678" t="s">
        <v>176</v>
      </c>
      <c r="B129" s="361" t="s">
        <v>177</v>
      </c>
      <c r="C129" s="679" t="s">
        <v>177</v>
      </c>
      <c r="D129" s="680" t="s">
        <v>545</v>
      </c>
      <c r="E129" s="680" t="s">
        <v>546</v>
      </c>
      <c r="F129" s="681">
        <v>461.351</v>
      </c>
      <c r="G129" s="682">
        <v>45211.999999999993</v>
      </c>
      <c r="H129" s="681">
        <f t="shared" si="3"/>
        <v>6329.6799999999994</v>
      </c>
      <c r="I129" s="682">
        <v>3.2464667</v>
      </c>
      <c r="J129" s="682">
        <f t="shared" si="7"/>
        <v>10.204171458904717</v>
      </c>
      <c r="K129" s="682">
        <f t="shared" si="5"/>
        <v>0.31815093592600857</v>
      </c>
      <c r="L129" s="682">
        <v>0.14000000000000001</v>
      </c>
      <c r="M129" s="658" t="s">
        <v>356</v>
      </c>
      <c r="N129" s="627">
        <f t="array" ref="N129">INDEX(UtilityList!Q$4:Q$251,MATCH('Table 2.3c'!$A129&amp;'Table 2.3c'!$B129&amp;'Table 2.3c'!$C129,UtilityList!$A$4:$A$251&amp;UtilityList!$B$4:$B$251&amp;UtilityList!$C$4:$C$251,0))</f>
        <v>0</v>
      </c>
      <c r="O129" s="452" t="str">
        <f t="array" ref="O129">IFERROR(INDEX(UtilityList!J$4:J$251,MATCH('Table 2.3c'!$A129&amp;'Table 2.3c'!$B129&amp;'Table 2.3c'!$C129,UtilityList!$A$4:$A$251&amp;UtilityList!$B$4:$B$251&amp;UtilityList!$C$4:$C$251,0)),INDEX(UtilityList!J$4:J$251,MATCH('Table 2.3c'!$A129&amp;'Table 2.3c'!$C129,UtilityList!$A$4:$A$251&amp;UtilityList!$C$5:$C$251,0)))</f>
        <v>Aleutians</v>
      </c>
      <c r="P129" s="452" t="str">
        <f t="array" ref="P129">IFERROR(INDEX(UtilityList!K$4:K$251,MATCH('Table 2.3c'!$A129&amp;'Table 2.3c'!$B129&amp;'Table 2.3c'!$C129,UtilityList!$A$4:$A$251&amp;UtilityList!$B$4:$B$251&amp;UtilityList!$C$4:$C$251,0)),INDEX(UtilityList!K$4:K$251,MATCH('Table 2.3c'!$A129&amp;'Table 2.3c'!$C129,UtilityList!$A$4:$A$251&amp;UtilityList!$C$5:$C$251,0)))</f>
        <v>Aleutians East</v>
      </c>
      <c r="Q129" s="452" t="str">
        <f t="array" ref="Q129">IFERROR(INDEX(UtilityList!L$4:L$251,MATCH('Table 2.3c'!$A129&amp;'Table 2.3c'!$B129&amp;'Table 2.3c'!$C129,UtilityList!$A$4:$A$251&amp;UtilityList!$B$4:$B$251&amp;UtilityList!$C$4:$C$251,0)),INDEX(UtilityList!L$4:L$251,MATCH('Table 2.3c'!$A129&amp;'Table 2.3c'!$C129,UtilityList!$A$4:$A$251&amp;UtilityList!$C$5:$C$251,0)))</f>
        <v>Aleut</v>
      </c>
      <c r="R129" s="452" t="str">
        <f t="array" ref="R129">IFERROR(INDEX(UtilityList!M$4:M$251,MATCH('Table 2.3c'!$A129&amp;'Table 2.3c'!$B129&amp;'Table 2.3c'!$C129,UtilityList!$A$4:$A$251&amp;UtilityList!$B$4:$B$251&amp;UtilityList!$C$4:$C$251,0)),INDEX(UtilityList!M$4:M$251,MATCH('Table 2.3c'!$A129&amp;'Table 2.3c'!$C129,UtilityList!$A$4:$A$251&amp;UtilityList!$C$5:$C$251,0)))</f>
        <v>SW</v>
      </c>
    </row>
    <row r="130" spans="1:19" s="239" customFormat="1" x14ac:dyDescent="0.25">
      <c r="A130" s="678" t="s">
        <v>178</v>
      </c>
      <c r="B130" s="361" t="s">
        <v>179</v>
      </c>
      <c r="C130" s="679" t="s">
        <v>179</v>
      </c>
      <c r="D130" s="680" t="s">
        <v>545</v>
      </c>
      <c r="E130" s="680" t="s">
        <v>546</v>
      </c>
      <c r="F130" s="681">
        <v>2566.9209999999998</v>
      </c>
      <c r="G130" s="682">
        <v>205710</v>
      </c>
      <c r="H130" s="681">
        <f t="shared" si="3"/>
        <v>28799.4</v>
      </c>
      <c r="I130" s="682">
        <v>4.6808332999999998</v>
      </c>
      <c r="J130" s="682">
        <f t="shared" si="7"/>
        <v>12.478348160031112</v>
      </c>
      <c r="K130" s="682">
        <f t="shared" si="5"/>
        <v>0.37511642085712804</v>
      </c>
      <c r="L130" s="682">
        <v>0.14000000000000001</v>
      </c>
      <c r="M130" s="658" t="s">
        <v>356</v>
      </c>
      <c r="N130" s="627">
        <f t="array" ref="N130">INDEX(UtilityList!Q$4:Q$251,MATCH('Table 2.3c'!$A130&amp;'Table 2.3c'!$B130&amp;'Table 2.3c'!$C130,UtilityList!$A$4:$A$251&amp;UtilityList!$B$4:$B$251&amp;UtilityList!$C$4:$C$251,0))</f>
        <v>0</v>
      </c>
      <c r="O130" s="452" t="str">
        <f t="array" ref="O130">IFERROR(INDEX(UtilityList!J$4:J$251,MATCH('Table 2.3c'!$A130&amp;'Table 2.3c'!$B130&amp;'Table 2.3c'!$C130,UtilityList!$A$4:$A$251&amp;UtilityList!$B$4:$B$251&amp;UtilityList!$C$4:$C$251,0)),INDEX(UtilityList!J$4:J$251,MATCH('Table 2.3c'!$A130&amp;'Table 2.3c'!$C130,UtilityList!$A$4:$A$251&amp;UtilityList!$C$5:$C$251,0)))</f>
        <v>Aleutians</v>
      </c>
      <c r="P130" s="452" t="str">
        <f t="array" ref="P130">IFERROR(INDEX(UtilityList!K$4:K$251,MATCH('Table 2.3c'!$A130&amp;'Table 2.3c'!$B130&amp;'Table 2.3c'!$C130,UtilityList!$A$4:$A$251&amp;UtilityList!$B$4:$B$251&amp;UtilityList!$C$4:$C$251,0)),INDEX(UtilityList!K$4:K$251,MATCH('Table 2.3c'!$A130&amp;'Table 2.3c'!$C130,UtilityList!$A$4:$A$251&amp;UtilityList!$C$5:$C$251,0)))</f>
        <v>Aleutians East</v>
      </c>
      <c r="Q130" s="452" t="str">
        <f t="array" ref="Q130">IFERROR(INDEX(UtilityList!L$4:L$251,MATCH('Table 2.3c'!$A130&amp;'Table 2.3c'!$B130&amp;'Table 2.3c'!$C130,UtilityList!$A$4:$A$251&amp;UtilityList!$B$4:$B$251&amp;UtilityList!$C$4:$C$251,0)),INDEX(UtilityList!L$4:L$251,MATCH('Table 2.3c'!$A130&amp;'Table 2.3c'!$C130,UtilityList!$A$4:$A$251&amp;UtilityList!$C$5:$C$251,0)))</f>
        <v>Aleut</v>
      </c>
      <c r="R130" s="452" t="str">
        <f t="array" ref="R130">IFERROR(INDEX(UtilityList!M$4:M$251,MATCH('Table 2.3c'!$A130&amp;'Table 2.3c'!$B130&amp;'Table 2.3c'!$C130,UtilityList!$A$4:$A$251&amp;UtilityList!$B$4:$B$251&amp;UtilityList!$C$4:$C$251,0)),INDEX(UtilityList!M$4:M$251,MATCH('Table 2.3c'!$A130&amp;'Table 2.3c'!$C130,UtilityList!$A$4:$A$251&amp;UtilityList!$C$5:$C$251,0)))</f>
        <v>SW</v>
      </c>
    </row>
    <row r="131" spans="1:19" s="239" customFormat="1" ht="30" x14ac:dyDescent="0.25">
      <c r="A131" s="678" t="s">
        <v>182</v>
      </c>
      <c r="B131" s="361" t="s">
        <v>183</v>
      </c>
      <c r="C131" s="679" t="s">
        <v>183</v>
      </c>
      <c r="D131" s="680" t="s">
        <v>545</v>
      </c>
      <c r="E131" s="680" t="s">
        <v>546</v>
      </c>
      <c r="F131" s="681">
        <v>474.60300000000001</v>
      </c>
      <c r="G131" s="682">
        <v>45258.000000000007</v>
      </c>
      <c r="H131" s="681">
        <f t="shared" si="3"/>
        <v>6336.1200000000017</v>
      </c>
      <c r="I131" s="682">
        <v>3.4441666999999998</v>
      </c>
      <c r="J131" s="682">
        <f t="shared" si="7"/>
        <v>10.486610102081398</v>
      </c>
      <c r="K131" s="682">
        <f t="shared" si="5"/>
        <v>0.32843470544560405</v>
      </c>
      <c r="L131" s="682">
        <v>0.14000000000000001</v>
      </c>
      <c r="M131" s="658" t="s">
        <v>356</v>
      </c>
      <c r="N131" s="627">
        <f t="array" ref="N131">INDEX(UtilityList!Q$4:Q$251,MATCH('Table 2.3c'!$A131&amp;'Table 2.3c'!$B131&amp;'Table 2.3c'!$C131,UtilityList!$A$4:$A$251&amp;UtilityList!$B$4:$B$251&amp;UtilityList!$C$4:$C$251,0))</f>
        <v>0</v>
      </c>
      <c r="O131" s="452" t="str">
        <f t="array" ref="O131">IFERROR(INDEX(UtilityList!J$4:J$251,MATCH('Table 2.3c'!$A131&amp;'Table 2.3c'!$B131&amp;'Table 2.3c'!$C131,UtilityList!$A$4:$A$251&amp;UtilityList!$B$4:$B$251&amp;UtilityList!$C$4:$C$251,0)),INDEX(UtilityList!J$4:J$251,MATCH('Table 2.3c'!$A131&amp;'Table 2.3c'!$C131,UtilityList!$A$4:$A$251&amp;UtilityList!$C$5:$C$251,0)))</f>
        <v>Yukon-Koyukuk/Upper Tanana</v>
      </c>
      <c r="P131" s="452" t="str">
        <f t="array" ref="P131">IFERROR(INDEX(UtilityList!K$4:K$251,MATCH('Table 2.3c'!$A131&amp;'Table 2.3c'!$B131&amp;'Table 2.3c'!$C131,UtilityList!$A$4:$A$251&amp;UtilityList!$B$4:$B$251&amp;UtilityList!$C$4:$C$251,0)),INDEX(UtilityList!K$4:K$251,MATCH('Table 2.3c'!$A131&amp;'Table 2.3c'!$C131,UtilityList!$A$4:$A$251&amp;UtilityList!$C$5:$C$251,0)))</f>
        <v>Yukon-Koyukuk (CA)</v>
      </c>
      <c r="Q131" s="452" t="str">
        <f t="array" ref="Q131">IFERROR(INDEX(UtilityList!L$4:L$251,MATCH('Table 2.3c'!$A131&amp;'Table 2.3c'!$B131&amp;'Table 2.3c'!$C131,UtilityList!$A$4:$A$251&amp;UtilityList!$B$4:$B$251&amp;UtilityList!$C$4:$C$251,0)),INDEX(UtilityList!L$4:L$251,MATCH('Table 2.3c'!$A131&amp;'Table 2.3c'!$C131,UtilityList!$A$4:$A$251&amp;UtilityList!$C$5:$C$251,0)))</f>
        <v>Doyon</v>
      </c>
      <c r="R131" s="452" t="str">
        <f t="array" ref="R131">IFERROR(INDEX(UtilityList!M$4:M$251,MATCH('Table 2.3c'!$A131&amp;'Table 2.3c'!$B131&amp;'Table 2.3c'!$C131,UtilityList!$A$4:$A$251&amp;UtilityList!$B$4:$B$251&amp;UtilityList!$C$4:$C$251,0)),INDEX(UtilityList!M$4:M$251,MATCH('Table 2.3c'!$A131&amp;'Table 2.3c'!$C131,UtilityList!$A$4:$A$251&amp;UtilityList!$C$5:$C$251,0)))</f>
        <v>YU</v>
      </c>
    </row>
    <row r="132" spans="1:19" s="239" customFormat="1" ht="30" x14ac:dyDescent="0.25">
      <c r="A132" s="693" t="s">
        <v>184</v>
      </c>
      <c r="B132" s="361" t="s">
        <v>185</v>
      </c>
      <c r="C132" s="361"/>
      <c r="D132" s="622" t="s">
        <v>545</v>
      </c>
      <c r="E132" s="622" t="s">
        <v>560</v>
      </c>
      <c r="F132" s="642">
        <v>-170</v>
      </c>
      <c r="G132" s="683">
        <v>1806</v>
      </c>
      <c r="H132" s="681">
        <f t="shared" si="3"/>
        <v>252.84000000000003</v>
      </c>
      <c r="I132" s="683"/>
      <c r="J132" s="683" t="str">
        <f t="shared" si="7"/>
        <v xml:space="preserve"> </v>
      </c>
      <c r="K132" s="682" t="str">
        <f t="shared" si="5"/>
        <v xml:space="preserve"> </v>
      </c>
      <c r="L132" s="682">
        <v>0.14000000000000001</v>
      </c>
      <c r="M132" s="622" t="s">
        <v>558</v>
      </c>
      <c r="N132" s="627">
        <f t="array" ref="N132">INDEX(UtilityList!Q$4:Q$251,MATCH('Table 2.3c'!$A132&amp;'Table 2.3c'!$B132&amp;'Table 2.3c'!$C132,UtilityList!$A$4:$A$251&amp;UtilityList!$B$4:$B$251&amp;UtilityList!$C$4:$C$251,0))</f>
        <v>0</v>
      </c>
      <c r="O132" s="452" t="str">
        <f t="array" ref="O132">IFERROR(INDEX(UtilityList!J$4:J$251,MATCH('Table 2.3c'!$A132&amp;'Table 2.3c'!$B132&amp;'Table 2.3c'!$C132,UtilityList!$A$4:$A$251&amp;UtilityList!$B$4:$B$251&amp;UtilityList!$C$4:$C$251,0)),INDEX(UtilityList!J$4:J$251,MATCH('Table 2.3c'!$A132&amp;'Table 2.3c'!$C132,UtilityList!$A$4:$A$251&amp;UtilityList!$C$5:$C$251,0)))</f>
        <v>Railbelt</v>
      </c>
      <c r="P132" s="452" t="str">
        <f t="array" ref="P132">IFERROR(INDEX(UtilityList!K$4:K$251,MATCH('Table 2.3c'!$A132&amp;'Table 2.3c'!$B132&amp;'Table 2.3c'!$C132,UtilityList!$A$4:$A$251&amp;UtilityList!$B$4:$B$251&amp;UtilityList!$C$4:$C$251,0)),INDEX(UtilityList!K$4:K$251,MATCH('Table 2.3c'!$A132&amp;'Table 2.3c'!$C132,UtilityList!$A$4:$A$251&amp;UtilityList!$C$5:$C$251,0)))</f>
        <v>Fairbanks North Star</v>
      </c>
      <c r="Q132" s="452" t="str">
        <f t="array" ref="Q132">IFERROR(INDEX(UtilityList!L$4:L$251,MATCH('Table 2.3c'!$A132&amp;'Table 2.3c'!$B132&amp;'Table 2.3c'!$C132,UtilityList!$A$4:$A$251&amp;UtilityList!$B$4:$B$251&amp;UtilityList!$C$4:$C$251,0)),INDEX(UtilityList!L$4:L$251,MATCH('Table 2.3c'!$A132&amp;'Table 2.3c'!$C132,UtilityList!$A$4:$A$251&amp;UtilityList!$C$5:$C$251,0)))</f>
        <v>Doyon</v>
      </c>
      <c r="R132" s="452" t="str">
        <f t="array" ref="R132">IFERROR(INDEX(UtilityList!M$4:M$251,MATCH('Table 2.3c'!$A132&amp;'Table 2.3c'!$B132&amp;'Table 2.3c'!$C132,UtilityList!$A$4:$A$251&amp;UtilityList!$B$4:$B$251&amp;UtilityList!$C$4:$C$251,0)),INDEX(UtilityList!M$4:M$251,MATCH('Table 2.3c'!$A132&amp;'Table 2.3c'!$C132,UtilityList!$A$4:$A$251&amp;UtilityList!$C$5:$C$251,0)))</f>
        <v>YU</v>
      </c>
    </row>
    <row r="133" spans="1:19" s="63" customFormat="1" ht="30" x14ac:dyDescent="0.25">
      <c r="A133" s="361" t="s">
        <v>184</v>
      </c>
      <c r="B133" s="636" t="s">
        <v>132</v>
      </c>
      <c r="C133" s="361"/>
      <c r="D133" s="622" t="s">
        <v>545</v>
      </c>
      <c r="E133" s="622" t="s">
        <v>560</v>
      </c>
      <c r="F133" s="642">
        <v>237</v>
      </c>
      <c r="G133" s="683">
        <v>44016</v>
      </c>
      <c r="H133" s="681">
        <f t="shared" si="3"/>
        <v>6162.2400000000007</v>
      </c>
      <c r="I133" s="683"/>
      <c r="J133" s="683">
        <f t="shared" si="7"/>
        <v>5.3844056706652124</v>
      </c>
      <c r="K133" s="682" t="str">
        <f t="shared" si="5"/>
        <v xml:space="preserve"> </v>
      </c>
      <c r="L133" s="682">
        <v>0.14000000000000001</v>
      </c>
      <c r="M133" s="622" t="s">
        <v>558</v>
      </c>
      <c r="N133" s="627">
        <f t="array" ref="N133">INDEX(UtilityList!Q$4:Q$251,MATCH('Table 2.3c'!$A133&amp;'Table 2.3c'!$B133&amp;'Table 2.3c'!$C133,UtilityList!$A$4:$A$251&amp;UtilityList!$B$4:$B$251&amp;UtilityList!$C$4:$C$251,0))</f>
        <v>0</v>
      </c>
      <c r="O133" s="452" t="str">
        <f t="array" ref="O133">IFERROR(INDEX(UtilityList!J$4:J$251,MATCH('Table 2.3c'!$A133&amp;'Table 2.3c'!$B133&amp;'Table 2.3c'!$C133,UtilityList!$A$4:$A$251&amp;UtilityList!$B$4:$B$251&amp;UtilityList!$C$4:$C$251,0)),INDEX(UtilityList!J$4:J$251,MATCH('Table 2.3c'!$A133&amp;'Table 2.3c'!$C133,UtilityList!$A$4:$A$251&amp;UtilityList!$C$5:$C$251,0)))</f>
        <v>Railbelt</v>
      </c>
      <c r="P133" s="452" t="str">
        <f t="array" ref="P133">IFERROR(INDEX(UtilityList!K$4:K$251,MATCH('Table 2.3c'!$A133&amp;'Table 2.3c'!$B133&amp;'Table 2.3c'!$C133,UtilityList!$A$4:$A$251&amp;UtilityList!$B$4:$B$251&amp;UtilityList!$C$4:$C$251,0)),INDEX(UtilityList!K$4:K$251,MATCH('Table 2.3c'!$A133&amp;'Table 2.3c'!$C133,UtilityList!$A$4:$A$251&amp;UtilityList!$C$5:$C$251,0)))</f>
        <v>Fairbanks North Star</v>
      </c>
      <c r="Q133" s="452" t="str">
        <f t="array" ref="Q133">IFERROR(INDEX(UtilityList!L$4:L$251,MATCH('Table 2.3c'!$A133&amp;'Table 2.3c'!$B133&amp;'Table 2.3c'!$C133,UtilityList!$A$4:$A$251&amp;UtilityList!$B$4:$B$251&amp;UtilityList!$C$4:$C$251,0)),INDEX(UtilityList!L$4:L$251,MATCH('Table 2.3c'!$A133&amp;'Table 2.3c'!$C133,UtilityList!$A$4:$A$251&amp;UtilityList!$C$5:$C$251,0)))</f>
        <v>Doyon</v>
      </c>
      <c r="R133" s="452" t="str">
        <f t="array" ref="R133">IFERROR(INDEX(UtilityList!M$4:M$251,MATCH('Table 2.3c'!$A133&amp;'Table 2.3c'!$B133&amp;'Table 2.3c'!$C133,UtilityList!$A$4:$A$251&amp;UtilityList!$B$4:$B$251&amp;UtilityList!$C$4:$C$251,0)),INDEX(UtilityList!M$4:M$251,MATCH('Table 2.3c'!$A133&amp;'Table 2.3c'!$C133,UtilityList!$A$4:$A$251&amp;UtilityList!$C$5:$C$251,0)))</f>
        <v>YU</v>
      </c>
      <c r="S133" s="342"/>
    </row>
    <row r="134" spans="1:19" s="63" customFormat="1" ht="30" x14ac:dyDescent="0.25">
      <c r="A134" s="361" t="s">
        <v>184</v>
      </c>
      <c r="B134" s="636" t="s">
        <v>132</v>
      </c>
      <c r="C134" s="361"/>
      <c r="D134" s="622" t="s">
        <v>565</v>
      </c>
      <c r="E134" s="622" t="s">
        <v>560</v>
      </c>
      <c r="F134" s="642">
        <v>8379</v>
      </c>
      <c r="G134" s="683">
        <v>1442448</v>
      </c>
      <c r="H134" s="681">
        <f t="shared" si="3"/>
        <v>201942.72000000003</v>
      </c>
      <c r="I134" s="683"/>
      <c r="J134" s="683">
        <f t="shared" si="7"/>
        <v>5.8088749126484975</v>
      </c>
      <c r="K134" s="682" t="str">
        <f t="shared" si="5"/>
        <v xml:space="preserve"> </v>
      </c>
      <c r="L134" s="682">
        <v>0.14000000000000001</v>
      </c>
      <c r="M134" s="622" t="s">
        <v>558</v>
      </c>
      <c r="N134" s="627">
        <f t="array" ref="N134">INDEX(UtilityList!Q$4:Q$251,MATCH('Table 2.3c'!$A134&amp;'Table 2.3c'!$B134&amp;'Table 2.3c'!$C134,UtilityList!$A$4:$A$251&amp;UtilityList!$B$4:$B$251&amp;UtilityList!$C$4:$C$251,0))</f>
        <v>0</v>
      </c>
      <c r="O134" s="452" t="str">
        <f t="array" ref="O134">IFERROR(INDEX(UtilityList!J$4:J$251,MATCH('Table 2.3c'!$A134&amp;'Table 2.3c'!$B134&amp;'Table 2.3c'!$C134,UtilityList!$A$4:$A$251&amp;UtilityList!$B$4:$B$251&amp;UtilityList!$C$4:$C$251,0)),INDEX(UtilityList!J$4:J$251,MATCH('Table 2.3c'!$A134&amp;'Table 2.3c'!$C134,UtilityList!$A$4:$A$251&amp;UtilityList!$C$5:$C$251,0)))</f>
        <v>Railbelt</v>
      </c>
      <c r="P134" s="452" t="str">
        <f t="array" ref="P134">IFERROR(INDEX(UtilityList!K$4:K$251,MATCH('Table 2.3c'!$A134&amp;'Table 2.3c'!$B134&amp;'Table 2.3c'!$C134,UtilityList!$A$4:$A$251&amp;UtilityList!$B$4:$B$251&amp;UtilityList!$C$4:$C$251,0)),INDEX(UtilityList!K$4:K$251,MATCH('Table 2.3c'!$A134&amp;'Table 2.3c'!$C134,UtilityList!$A$4:$A$251&amp;UtilityList!$C$5:$C$251,0)))</f>
        <v>Fairbanks North Star</v>
      </c>
      <c r="Q134" s="452" t="str">
        <f t="array" ref="Q134">IFERROR(INDEX(UtilityList!L$4:L$251,MATCH('Table 2.3c'!$A134&amp;'Table 2.3c'!$B134&amp;'Table 2.3c'!$C134,UtilityList!$A$4:$A$251&amp;UtilityList!$B$4:$B$251&amp;UtilityList!$C$4:$C$251,0)),INDEX(UtilityList!L$4:L$251,MATCH('Table 2.3c'!$A134&amp;'Table 2.3c'!$C134,UtilityList!$A$4:$A$251&amp;UtilityList!$C$5:$C$251,0)))</f>
        <v>Doyon</v>
      </c>
      <c r="R134" s="452" t="str">
        <f t="array" ref="R134">IFERROR(INDEX(UtilityList!M$4:M$251,MATCH('Table 2.3c'!$A134&amp;'Table 2.3c'!$B134&amp;'Table 2.3c'!$C134,UtilityList!$A$4:$A$251&amp;UtilityList!$B$4:$B$251&amp;UtilityList!$C$4:$C$251,0)),INDEX(UtilityList!M$4:M$251,MATCH('Table 2.3c'!$A134&amp;'Table 2.3c'!$C134,UtilityList!$A$4:$A$251&amp;UtilityList!$C$5:$C$251,0)))</f>
        <v>YU</v>
      </c>
      <c r="S134" s="342"/>
    </row>
    <row r="135" spans="1:19" s="63" customFormat="1" ht="30" x14ac:dyDescent="0.25">
      <c r="A135" s="361" t="s">
        <v>184</v>
      </c>
      <c r="B135" s="636" t="s">
        <v>132</v>
      </c>
      <c r="C135" s="361"/>
      <c r="D135" s="622" t="s">
        <v>545</v>
      </c>
      <c r="E135" s="622" t="s">
        <v>546</v>
      </c>
      <c r="F135" s="642">
        <v>-21</v>
      </c>
      <c r="G135" s="683">
        <v>9282</v>
      </c>
      <c r="H135" s="681">
        <f t="shared" si="3"/>
        <v>1299.48</v>
      </c>
      <c r="I135" s="683"/>
      <c r="J135" s="683" t="str">
        <f t="shared" si="7"/>
        <v xml:space="preserve"> </v>
      </c>
      <c r="K135" s="682" t="str">
        <f t="shared" si="5"/>
        <v xml:space="preserve"> </v>
      </c>
      <c r="L135" s="682">
        <v>0.14000000000000001</v>
      </c>
      <c r="M135" s="622" t="s">
        <v>558</v>
      </c>
      <c r="N135" s="627">
        <f t="array" ref="N135">INDEX(UtilityList!Q$4:Q$251,MATCH('Table 2.3c'!$A135&amp;'Table 2.3c'!$B135&amp;'Table 2.3c'!$C135,UtilityList!$A$4:$A$251&amp;UtilityList!$B$4:$B$251&amp;UtilityList!$C$4:$C$251,0))</f>
        <v>0</v>
      </c>
      <c r="O135" s="452" t="str">
        <f t="array" ref="O135">IFERROR(INDEX(UtilityList!J$4:J$251,MATCH('Table 2.3c'!$A135&amp;'Table 2.3c'!$B135&amp;'Table 2.3c'!$C135,UtilityList!$A$4:$A$251&amp;UtilityList!$B$4:$B$251&amp;UtilityList!$C$4:$C$251,0)),INDEX(UtilityList!J$4:J$251,MATCH('Table 2.3c'!$A135&amp;'Table 2.3c'!$C135,UtilityList!$A$4:$A$251&amp;UtilityList!$C$5:$C$251,0)))</f>
        <v>Railbelt</v>
      </c>
      <c r="P135" s="452" t="str">
        <f t="array" ref="P135">IFERROR(INDEX(UtilityList!K$4:K$251,MATCH('Table 2.3c'!$A135&amp;'Table 2.3c'!$B135&amp;'Table 2.3c'!$C135,UtilityList!$A$4:$A$251&amp;UtilityList!$B$4:$B$251&amp;UtilityList!$C$4:$C$251,0)),INDEX(UtilityList!K$4:K$251,MATCH('Table 2.3c'!$A135&amp;'Table 2.3c'!$C135,UtilityList!$A$4:$A$251&amp;UtilityList!$C$5:$C$251,0)))</f>
        <v>Fairbanks North Star</v>
      </c>
      <c r="Q135" s="452" t="str">
        <f t="array" ref="Q135">IFERROR(INDEX(UtilityList!L$4:L$251,MATCH('Table 2.3c'!$A135&amp;'Table 2.3c'!$B135&amp;'Table 2.3c'!$C135,UtilityList!$A$4:$A$251&amp;UtilityList!$B$4:$B$251&amp;UtilityList!$C$4:$C$251,0)),INDEX(UtilityList!L$4:L$251,MATCH('Table 2.3c'!$A135&amp;'Table 2.3c'!$C135,UtilityList!$A$4:$A$251&amp;UtilityList!$C$5:$C$251,0)))</f>
        <v>Doyon</v>
      </c>
      <c r="R135" s="452" t="str">
        <f t="array" ref="R135">IFERROR(INDEX(UtilityList!M$4:M$251,MATCH('Table 2.3c'!$A135&amp;'Table 2.3c'!$B135&amp;'Table 2.3c'!$C135,UtilityList!$A$4:$A$251&amp;UtilityList!$B$4:$B$251&amp;UtilityList!$C$4:$C$251,0)),INDEX(UtilityList!M$4:M$251,MATCH('Table 2.3c'!$A135&amp;'Table 2.3c'!$C135,UtilityList!$A$4:$A$251&amp;UtilityList!$C$5:$C$251,0)))</f>
        <v>YU</v>
      </c>
      <c r="S135" s="342"/>
    </row>
    <row r="136" spans="1:19" s="63" customFormat="1" ht="30" x14ac:dyDescent="0.25">
      <c r="A136" s="361" t="s">
        <v>184</v>
      </c>
      <c r="B136" s="361" t="s">
        <v>186</v>
      </c>
      <c r="C136" s="361"/>
      <c r="D136" s="622" t="s">
        <v>545</v>
      </c>
      <c r="E136" s="622" t="s">
        <v>562</v>
      </c>
      <c r="F136" s="642">
        <v>223</v>
      </c>
      <c r="G136" s="683">
        <v>22386</v>
      </c>
      <c r="H136" s="681">
        <f t="shared" si="3"/>
        <v>3134.0400000000004</v>
      </c>
      <c r="I136" s="683"/>
      <c r="J136" s="683">
        <f t="shared" si="7"/>
        <v>9.9615831323148392</v>
      </c>
      <c r="K136" s="682" t="str">
        <f t="shared" si="5"/>
        <v xml:space="preserve"> </v>
      </c>
      <c r="L136" s="682">
        <v>0.14000000000000001</v>
      </c>
      <c r="M136" s="622" t="s">
        <v>558</v>
      </c>
      <c r="N136" s="627">
        <f t="array" ref="N136">INDEX(UtilityList!Q$4:Q$251,MATCH('Table 2.3c'!$A136&amp;'Table 2.3c'!$B136&amp;'Table 2.3c'!$C136,UtilityList!$A$4:$A$251&amp;UtilityList!$B$4:$B$251&amp;UtilityList!$C$4:$C$251,0))</f>
        <v>0</v>
      </c>
      <c r="O136" s="452" t="str">
        <f t="array" ref="O136">IFERROR(INDEX(UtilityList!J$4:J$251,MATCH('Table 2.3c'!$A136&amp;'Table 2.3c'!$B136&amp;'Table 2.3c'!$C136,UtilityList!$A$4:$A$251&amp;UtilityList!$B$4:$B$251&amp;UtilityList!$C$4:$C$251,0)),INDEX(UtilityList!J$4:J$251,MATCH('Table 2.3c'!$A136&amp;'Table 2.3c'!$C136,UtilityList!$A$4:$A$251&amp;UtilityList!$C$5:$C$251,0)))</f>
        <v>Railbelt</v>
      </c>
      <c r="P136" s="452" t="str">
        <f t="array" ref="P136">IFERROR(INDEX(UtilityList!K$4:K$251,MATCH('Table 2.3c'!$A136&amp;'Table 2.3c'!$B136&amp;'Table 2.3c'!$C136,UtilityList!$A$4:$A$251&amp;UtilityList!$B$4:$B$251&amp;UtilityList!$C$4:$C$251,0)),INDEX(UtilityList!K$4:K$251,MATCH('Table 2.3c'!$A136&amp;'Table 2.3c'!$C136,UtilityList!$A$4:$A$251&amp;UtilityList!$C$5:$C$251,0)))</f>
        <v>Denali</v>
      </c>
      <c r="Q136" s="452" t="str">
        <f t="array" ref="Q136">IFERROR(INDEX(UtilityList!L$4:L$251,MATCH('Table 2.3c'!$A136&amp;'Table 2.3c'!$B136&amp;'Table 2.3c'!$C136,UtilityList!$A$4:$A$251&amp;UtilityList!$B$4:$B$251&amp;UtilityList!$C$4:$C$251,0)),INDEX(UtilityList!L$4:L$251,MATCH('Table 2.3c'!$A136&amp;'Table 2.3c'!$C136,UtilityList!$A$4:$A$251&amp;UtilityList!$C$5:$C$251,0)))</f>
        <v>Doyon</v>
      </c>
      <c r="R136" s="452" t="str">
        <f t="array" ref="R136">IFERROR(INDEX(UtilityList!M$4:M$251,MATCH('Table 2.3c'!$A136&amp;'Table 2.3c'!$B136&amp;'Table 2.3c'!$C136,UtilityList!$A$4:$A$251&amp;UtilityList!$B$4:$B$251&amp;UtilityList!$C$4:$C$251,0)),INDEX(UtilityList!M$4:M$251,MATCH('Table 2.3c'!$A136&amp;'Table 2.3c'!$C136,UtilityList!$A$4:$A$251&amp;UtilityList!$C$5:$C$251,0)))</f>
        <v>YU</v>
      </c>
      <c r="S136" s="342"/>
    </row>
    <row r="137" spans="1:19" s="63" customFormat="1" ht="30" x14ac:dyDescent="0.25">
      <c r="A137" s="361" t="s">
        <v>184</v>
      </c>
      <c r="B137" s="361" t="s">
        <v>186</v>
      </c>
      <c r="C137" s="361"/>
      <c r="D137" s="622" t="s">
        <v>566</v>
      </c>
      <c r="E137" s="622" t="s">
        <v>562</v>
      </c>
      <c r="F137" s="642">
        <v>177447.375</v>
      </c>
      <c r="G137" s="683">
        <v>175018</v>
      </c>
      <c r="H137" s="681">
        <f t="shared" si="3"/>
        <v>2421251.5174000002</v>
      </c>
      <c r="I137" s="683"/>
      <c r="J137" s="683">
        <f>IF(F137&gt;0, IFERROR((F137*1000)/G137," "), " ")</f>
        <v>1013.8807151264441</v>
      </c>
      <c r="K137" s="682" t="str">
        <f t="shared" si="5"/>
        <v xml:space="preserve"> </v>
      </c>
      <c r="L137" s="682">
        <v>13.834300000000001</v>
      </c>
      <c r="M137" s="622" t="s">
        <v>558</v>
      </c>
      <c r="N137" s="627">
        <f t="array" ref="N137">INDEX(UtilityList!Q$4:Q$251,MATCH('Table 2.3c'!$A137&amp;'Table 2.3c'!$B137&amp;'Table 2.3c'!$C137,UtilityList!$A$4:$A$251&amp;UtilityList!$B$4:$B$251&amp;UtilityList!$C$4:$C$251,0))</f>
        <v>0</v>
      </c>
      <c r="O137" s="452" t="str">
        <f t="array" ref="O137">IFERROR(INDEX(UtilityList!J$4:J$251,MATCH('Table 2.3c'!$A137&amp;'Table 2.3c'!$B137&amp;'Table 2.3c'!$C137,UtilityList!$A$4:$A$251&amp;UtilityList!$B$4:$B$251&amp;UtilityList!$C$4:$C$251,0)),INDEX(UtilityList!J$4:J$251,MATCH('Table 2.3c'!$A137&amp;'Table 2.3c'!$C137,UtilityList!$A$4:$A$251&amp;UtilityList!$C$5:$C$251,0)))</f>
        <v>Railbelt</v>
      </c>
      <c r="P137" s="452" t="str">
        <f t="array" ref="P137">IFERROR(INDEX(UtilityList!K$4:K$251,MATCH('Table 2.3c'!$A137&amp;'Table 2.3c'!$B137&amp;'Table 2.3c'!$C137,UtilityList!$A$4:$A$251&amp;UtilityList!$B$4:$B$251&amp;UtilityList!$C$4:$C$251,0)),INDEX(UtilityList!K$4:K$251,MATCH('Table 2.3c'!$A137&amp;'Table 2.3c'!$C137,UtilityList!$A$4:$A$251&amp;UtilityList!$C$5:$C$251,0)))</f>
        <v>Denali</v>
      </c>
      <c r="Q137" s="452" t="str">
        <f t="array" ref="Q137">IFERROR(INDEX(UtilityList!L$4:L$251,MATCH('Table 2.3c'!$A137&amp;'Table 2.3c'!$B137&amp;'Table 2.3c'!$C137,UtilityList!$A$4:$A$251&amp;UtilityList!$B$4:$B$251&amp;UtilityList!$C$4:$C$251,0)),INDEX(UtilityList!L$4:L$251,MATCH('Table 2.3c'!$A137&amp;'Table 2.3c'!$C137,UtilityList!$A$4:$A$251&amp;UtilityList!$C$5:$C$251,0)))</f>
        <v>Doyon</v>
      </c>
      <c r="R137" s="452" t="str">
        <f t="array" ref="R137">IFERROR(INDEX(UtilityList!M$4:M$251,MATCH('Table 2.3c'!$A137&amp;'Table 2.3c'!$B137&amp;'Table 2.3c'!$C137,UtilityList!$A$4:$A$251&amp;UtilityList!$B$4:$B$251&amp;UtilityList!$C$4:$C$251,0)),INDEX(UtilityList!M$4:M$251,MATCH('Table 2.3c'!$A137&amp;'Table 2.3c'!$C137,UtilityList!$A$4:$A$251&amp;UtilityList!$C$5:$C$251,0)))</f>
        <v>YU</v>
      </c>
      <c r="S137" s="342"/>
    </row>
    <row r="138" spans="1:19" s="63" customFormat="1" ht="30" x14ac:dyDescent="0.25">
      <c r="A138" s="361" t="s">
        <v>184</v>
      </c>
      <c r="B138" s="361" t="s">
        <v>186</v>
      </c>
      <c r="C138" s="361"/>
      <c r="D138" s="622" t="s">
        <v>545</v>
      </c>
      <c r="E138" s="622" t="s">
        <v>546</v>
      </c>
      <c r="F138" s="642">
        <v>25</v>
      </c>
      <c r="G138" s="683">
        <v>1806</v>
      </c>
      <c r="H138" s="681">
        <f t="shared" si="3"/>
        <v>252.84000000000003</v>
      </c>
      <c r="I138" s="683"/>
      <c r="J138" s="683">
        <f t="shared" ref="J138:J144" si="8">IF(F138&gt;0,IFERROR((F138*1000)/G138, " ")," ")</f>
        <v>13.842746400885936</v>
      </c>
      <c r="K138" s="682" t="str">
        <f t="shared" si="5"/>
        <v xml:space="preserve"> </v>
      </c>
      <c r="L138" s="682">
        <v>0.14000000000000001</v>
      </c>
      <c r="M138" s="622" t="s">
        <v>558</v>
      </c>
      <c r="N138" s="627">
        <f t="array" ref="N138">INDEX(UtilityList!Q$4:Q$251,MATCH('Table 2.3c'!$A138&amp;'Table 2.3c'!$B138&amp;'Table 2.3c'!$C138,UtilityList!$A$4:$A$251&amp;UtilityList!$B$4:$B$251&amp;UtilityList!$C$4:$C$251,0))</f>
        <v>0</v>
      </c>
      <c r="O138" s="452" t="str">
        <f t="array" ref="O138">IFERROR(INDEX(UtilityList!J$4:J$251,MATCH('Table 2.3c'!$A138&amp;'Table 2.3c'!$B138&amp;'Table 2.3c'!$C138,UtilityList!$A$4:$A$251&amp;UtilityList!$B$4:$B$251&amp;UtilityList!$C$4:$C$251,0)),INDEX(UtilityList!J$4:J$251,MATCH('Table 2.3c'!$A138&amp;'Table 2.3c'!$C138,UtilityList!$A$4:$A$251&amp;UtilityList!$C$5:$C$251,0)))</f>
        <v>Railbelt</v>
      </c>
      <c r="P138" s="452" t="str">
        <f t="array" ref="P138">IFERROR(INDEX(UtilityList!K$4:K$251,MATCH('Table 2.3c'!$A138&amp;'Table 2.3c'!$B138&amp;'Table 2.3c'!$C138,UtilityList!$A$4:$A$251&amp;UtilityList!$B$4:$B$251&amp;UtilityList!$C$4:$C$251,0)),INDEX(UtilityList!K$4:K$251,MATCH('Table 2.3c'!$A138&amp;'Table 2.3c'!$C138,UtilityList!$A$4:$A$251&amp;UtilityList!$C$5:$C$251,0)))</f>
        <v>Denali</v>
      </c>
      <c r="Q138" s="452" t="str">
        <f t="array" ref="Q138">IFERROR(INDEX(UtilityList!L$4:L$251,MATCH('Table 2.3c'!$A138&amp;'Table 2.3c'!$B138&amp;'Table 2.3c'!$C138,UtilityList!$A$4:$A$251&amp;UtilityList!$B$4:$B$251&amp;UtilityList!$C$4:$C$251,0)),INDEX(UtilityList!L$4:L$251,MATCH('Table 2.3c'!$A138&amp;'Table 2.3c'!$C138,UtilityList!$A$4:$A$251&amp;UtilityList!$C$5:$C$251,0)))</f>
        <v>Doyon</v>
      </c>
      <c r="R138" s="452" t="str">
        <f t="array" ref="R138">IFERROR(INDEX(UtilityList!M$4:M$251,MATCH('Table 2.3c'!$A138&amp;'Table 2.3c'!$B138&amp;'Table 2.3c'!$C138,UtilityList!$A$4:$A$251&amp;UtilityList!$B$4:$B$251&amp;UtilityList!$C$4:$C$251,0)),INDEX(UtilityList!M$4:M$251,MATCH('Table 2.3c'!$A138&amp;'Table 2.3c'!$C138,UtilityList!$A$4:$A$251&amp;UtilityList!$C$5:$C$251,0)))</f>
        <v>YU</v>
      </c>
      <c r="S138" s="342"/>
    </row>
    <row r="139" spans="1:19" s="63" customFormat="1" ht="30" x14ac:dyDescent="0.25">
      <c r="A139" s="361" t="s">
        <v>184</v>
      </c>
      <c r="B139" s="361" t="s">
        <v>187</v>
      </c>
      <c r="C139" s="361"/>
      <c r="D139" s="622" t="s">
        <v>545</v>
      </c>
      <c r="E139" s="622" t="s">
        <v>560</v>
      </c>
      <c r="F139" s="642">
        <v>1417</v>
      </c>
      <c r="G139" s="683">
        <v>136290</v>
      </c>
      <c r="H139" s="681">
        <f t="shared" ref="H139:H202" si="9">G139*L139</f>
        <v>19080.600000000002</v>
      </c>
      <c r="I139" s="683"/>
      <c r="J139" s="683">
        <f t="shared" si="8"/>
        <v>10.396947685083278</v>
      </c>
      <c r="K139" s="682" t="str">
        <f t="shared" ref="K139:K202" si="10">IF(I139&gt;0,IFERROR(I139/J139, " "), " ")</f>
        <v xml:space="preserve"> </v>
      </c>
      <c r="L139" s="682">
        <v>0.14000000000000001</v>
      </c>
      <c r="M139" s="622" t="s">
        <v>558</v>
      </c>
      <c r="N139" s="627">
        <f t="array" ref="N139">INDEX(UtilityList!Q$4:Q$251,MATCH('Table 2.3c'!$A139&amp;'Table 2.3c'!$B139&amp;'Table 2.3c'!$C139,UtilityList!$A$4:$A$251&amp;UtilityList!$B$4:$B$251&amp;UtilityList!$C$4:$C$251,0))</f>
        <v>0</v>
      </c>
      <c r="O139" s="452" t="str">
        <f t="array" ref="O139">IFERROR(INDEX(UtilityList!J$4:J$251,MATCH('Table 2.3c'!$A139&amp;'Table 2.3c'!$B139&amp;'Table 2.3c'!$C139,UtilityList!$A$4:$A$251&amp;UtilityList!$B$4:$B$251&amp;UtilityList!$C$4:$C$251,0)),INDEX(UtilityList!J$4:J$251,MATCH('Table 2.3c'!$A139&amp;'Table 2.3c'!$C139,UtilityList!$A$4:$A$251&amp;UtilityList!$C$5:$C$251,0)))</f>
        <v>Railbelt</v>
      </c>
      <c r="P139" s="452" t="str">
        <f t="array" ref="P139">IFERROR(INDEX(UtilityList!K$4:K$251,MATCH('Table 2.3c'!$A139&amp;'Table 2.3c'!$B139&amp;'Table 2.3c'!$C139,UtilityList!$A$4:$A$251&amp;UtilityList!$B$4:$B$251&amp;UtilityList!$C$4:$C$251,0)),INDEX(UtilityList!K$4:K$251,MATCH('Table 2.3c'!$A139&amp;'Table 2.3c'!$C139,UtilityList!$A$4:$A$251&amp;UtilityList!$C$5:$C$251,0)))</f>
        <v>Fairbanks North Star</v>
      </c>
      <c r="Q139" s="452" t="str">
        <f t="array" ref="Q139">IFERROR(INDEX(UtilityList!L$4:L$251,MATCH('Table 2.3c'!$A139&amp;'Table 2.3c'!$B139&amp;'Table 2.3c'!$C139,UtilityList!$A$4:$A$251&amp;UtilityList!$B$4:$B$251&amp;UtilityList!$C$4:$C$251,0)),INDEX(UtilityList!L$4:L$251,MATCH('Table 2.3c'!$A139&amp;'Table 2.3c'!$C139,UtilityList!$A$4:$A$251&amp;UtilityList!$C$5:$C$251,0)))</f>
        <v>Doyon</v>
      </c>
      <c r="R139" s="452" t="str">
        <f t="array" ref="R139">IFERROR(INDEX(UtilityList!M$4:M$251,MATCH('Table 2.3c'!$A139&amp;'Table 2.3c'!$B139&amp;'Table 2.3c'!$C139,UtilityList!$A$4:$A$251&amp;UtilityList!$B$4:$B$251&amp;UtilityList!$C$4:$C$251,0)),INDEX(UtilityList!M$4:M$251,MATCH('Table 2.3c'!$A139&amp;'Table 2.3c'!$C139,UtilityList!$A$4:$A$251&amp;UtilityList!$C$5:$C$251,0)))</f>
        <v>YU</v>
      </c>
      <c r="S139" s="342"/>
    </row>
    <row r="140" spans="1:19" s="63" customFormat="1" ht="30" x14ac:dyDescent="0.25">
      <c r="A140" s="361" t="s">
        <v>184</v>
      </c>
      <c r="B140" s="361" t="s">
        <v>187</v>
      </c>
      <c r="C140" s="361"/>
      <c r="D140" s="622" t="s">
        <v>1081</v>
      </c>
      <c r="E140" s="622" t="s">
        <v>560</v>
      </c>
      <c r="F140" s="642">
        <v>314491.18533044797</v>
      </c>
      <c r="G140" s="683">
        <v>24388350</v>
      </c>
      <c r="H140" s="681">
        <f t="shared" si="9"/>
        <v>3292427.25</v>
      </c>
      <c r="I140" s="683"/>
      <c r="J140" s="683">
        <f t="shared" si="8"/>
        <v>12.895139906162081</v>
      </c>
      <c r="K140" s="682" t="str">
        <f t="shared" si="10"/>
        <v xml:space="preserve"> </v>
      </c>
      <c r="L140" s="682">
        <v>0.13500000000000001</v>
      </c>
      <c r="M140" s="622" t="s">
        <v>558</v>
      </c>
      <c r="N140" s="627">
        <f t="array" ref="N140">INDEX(UtilityList!Q$4:Q$251,MATCH('Table 2.3c'!$A140&amp;'Table 2.3c'!$B140&amp;'Table 2.3c'!$C140,UtilityList!$A$4:$A$251&amp;UtilityList!$B$4:$B$251&amp;UtilityList!$C$4:$C$251,0))</f>
        <v>0</v>
      </c>
      <c r="O140" s="452" t="str">
        <f t="array" ref="O140">IFERROR(INDEX(UtilityList!J$4:J$251,MATCH('Table 2.3c'!$A140&amp;'Table 2.3c'!$B140&amp;'Table 2.3c'!$C140,UtilityList!$A$4:$A$251&amp;UtilityList!$B$4:$B$251&amp;UtilityList!$C$4:$C$251,0)),INDEX(UtilityList!J$4:J$251,MATCH('Table 2.3c'!$A140&amp;'Table 2.3c'!$C140,UtilityList!$A$4:$A$251&amp;UtilityList!$C$5:$C$251,0)))</f>
        <v>Railbelt</v>
      </c>
      <c r="P140" s="452" t="str">
        <f t="array" ref="P140">IFERROR(INDEX(UtilityList!K$4:K$251,MATCH('Table 2.3c'!$A140&amp;'Table 2.3c'!$B140&amp;'Table 2.3c'!$C140,UtilityList!$A$4:$A$251&amp;UtilityList!$B$4:$B$251&amp;UtilityList!$C$4:$C$251,0)),INDEX(UtilityList!K$4:K$251,MATCH('Table 2.3c'!$A140&amp;'Table 2.3c'!$C140,UtilityList!$A$4:$A$251&amp;UtilityList!$C$5:$C$251,0)))</f>
        <v>Fairbanks North Star</v>
      </c>
      <c r="Q140" s="452" t="str">
        <f t="array" ref="Q140">IFERROR(INDEX(UtilityList!L$4:L$251,MATCH('Table 2.3c'!$A140&amp;'Table 2.3c'!$B140&amp;'Table 2.3c'!$C140,UtilityList!$A$4:$A$251&amp;UtilityList!$B$4:$B$251&amp;UtilityList!$C$4:$C$251,0)),INDEX(UtilityList!L$4:L$251,MATCH('Table 2.3c'!$A140&amp;'Table 2.3c'!$C140,UtilityList!$A$4:$A$251&amp;UtilityList!$C$5:$C$251,0)))</f>
        <v>Doyon</v>
      </c>
      <c r="R140" s="452" t="str">
        <f t="array" ref="R140">IFERROR(INDEX(UtilityList!M$4:M$251,MATCH('Table 2.3c'!$A140&amp;'Table 2.3c'!$B140&amp;'Table 2.3c'!$C140,UtilityList!$A$4:$A$251&amp;UtilityList!$B$4:$B$251&amp;UtilityList!$C$4:$C$251,0)),INDEX(UtilityList!M$4:M$251,MATCH('Table 2.3c'!$A140&amp;'Table 2.3c'!$C140,UtilityList!$A$4:$A$251&amp;UtilityList!$C$5:$C$251,0)))</f>
        <v>YU</v>
      </c>
    </row>
    <row r="141" spans="1:19" s="63" customFormat="1" ht="30" x14ac:dyDescent="0.25">
      <c r="A141" s="361" t="s">
        <v>184</v>
      </c>
      <c r="B141" s="361" t="s">
        <v>187</v>
      </c>
      <c r="C141" s="361"/>
      <c r="D141" s="622" t="s">
        <v>617</v>
      </c>
      <c r="E141" s="622" t="s">
        <v>560</v>
      </c>
      <c r="F141" s="642">
        <v>170154.90013310601</v>
      </c>
      <c r="G141" s="683">
        <v>8322006</v>
      </c>
      <c r="H141" s="681">
        <f t="shared" si="9"/>
        <v>1248300.8999999999</v>
      </c>
      <c r="I141" s="683"/>
      <c r="J141" s="683">
        <f t="shared" si="8"/>
        <v>20.446380371884619</v>
      </c>
      <c r="K141" s="682" t="str">
        <f t="shared" si="10"/>
        <v xml:space="preserve"> </v>
      </c>
      <c r="L141" s="682">
        <v>0.15</v>
      </c>
      <c r="M141" s="622" t="s">
        <v>558</v>
      </c>
      <c r="N141" s="627">
        <f t="array" ref="N141">INDEX(UtilityList!Q$4:Q$251,MATCH('Table 2.3c'!$A141&amp;'Table 2.3c'!$B141&amp;'Table 2.3c'!$C141,UtilityList!$A$4:$A$251&amp;UtilityList!$B$4:$B$251&amp;UtilityList!$C$4:$C$251,0))</f>
        <v>0</v>
      </c>
      <c r="O141" s="452" t="str">
        <f t="array" ref="O141">IFERROR(INDEX(UtilityList!J$4:J$251,MATCH('Table 2.3c'!$A141&amp;'Table 2.3c'!$B141&amp;'Table 2.3c'!$C141,UtilityList!$A$4:$A$251&amp;UtilityList!$B$4:$B$251&amp;UtilityList!$C$4:$C$251,0)),INDEX(UtilityList!J$4:J$251,MATCH('Table 2.3c'!$A141&amp;'Table 2.3c'!$C141,UtilityList!$A$4:$A$251&amp;UtilityList!$C$5:$C$251,0)))</f>
        <v>Railbelt</v>
      </c>
      <c r="P141" s="452" t="str">
        <f t="array" ref="P141">IFERROR(INDEX(UtilityList!K$4:K$251,MATCH('Table 2.3c'!$A141&amp;'Table 2.3c'!$B141&amp;'Table 2.3c'!$C141,UtilityList!$A$4:$A$251&amp;UtilityList!$B$4:$B$251&amp;UtilityList!$C$4:$C$251,0)),INDEX(UtilityList!K$4:K$251,MATCH('Table 2.3c'!$A141&amp;'Table 2.3c'!$C141,UtilityList!$A$4:$A$251&amp;UtilityList!$C$5:$C$251,0)))</f>
        <v>Fairbanks North Star</v>
      </c>
      <c r="Q141" s="452" t="str">
        <f t="array" ref="Q141">IFERROR(INDEX(UtilityList!L$4:L$251,MATCH('Table 2.3c'!$A141&amp;'Table 2.3c'!$B141&amp;'Table 2.3c'!$C141,UtilityList!$A$4:$A$251&amp;UtilityList!$B$4:$B$251&amp;UtilityList!$C$4:$C$251,0)),INDEX(UtilityList!L$4:L$251,MATCH('Table 2.3c'!$A141&amp;'Table 2.3c'!$C141,UtilityList!$A$4:$A$251&amp;UtilityList!$C$5:$C$251,0)))</f>
        <v>Doyon</v>
      </c>
      <c r="R141" s="452" t="str">
        <f t="array" ref="R141">IFERROR(INDEX(UtilityList!M$4:M$251,MATCH('Table 2.3c'!$A141&amp;'Table 2.3c'!$B141&amp;'Table 2.3c'!$C141,UtilityList!$A$4:$A$251&amp;UtilityList!$B$4:$B$251&amp;UtilityList!$C$4:$C$251,0)),INDEX(UtilityList!M$4:M$251,MATCH('Table 2.3c'!$A141&amp;'Table 2.3c'!$C141,UtilityList!$A$4:$A$251&amp;UtilityList!$C$5:$C$251,0)))</f>
        <v>YU</v>
      </c>
      <c r="S141" s="342"/>
    </row>
    <row r="142" spans="1:19" s="63" customFormat="1" ht="30" x14ac:dyDescent="0.25">
      <c r="A142" s="678" t="s">
        <v>188</v>
      </c>
      <c r="B142" s="361" t="s">
        <v>189</v>
      </c>
      <c r="C142" s="679" t="s">
        <v>189</v>
      </c>
      <c r="D142" s="680" t="s">
        <v>545</v>
      </c>
      <c r="E142" s="680" t="s">
        <v>546</v>
      </c>
      <c r="F142" s="681">
        <v>755.70100000000002</v>
      </c>
      <c r="G142" s="682">
        <v>60975</v>
      </c>
      <c r="H142" s="681">
        <f t="shared" si="9"/>
        <v>8536.5</v>
      </c>
      <c r="I142" s="682">
        <v>3.43</v>
      </c>
      <c r="J142" s="682">
        <f t="shared" si="8"/>
        <v>12.393620336203362</v>
      </c>
      <c r="K142" s="682">
        <f t="shared" si="10"/>
        <v>0.27675529078299488</v>
      </c>
      <c r="L142" s="682">
        <v>0.14000000000000001</v>
      </c>
      <c r="M142" s="658" t="s">
        <v>356</v>
      </c>
      <c r="N142" s="627">
        <f t="array" ref="N142">INDEX(UtilityList!Q$4:Q$251,MATCH('Table 2.3c'!$A142&amp;'Table 2.3c'!$B142&amp;'Table 2.3c'!$C142,UtilityList!$A$4:$A$251&amp;UtilityList!$B$4:$B$251&amp;UtilityList!$C$4:$C$251,0))</f>
        <v>0</v>
      </c>
      <c r="O142" s="452" t="str">
        <f t="array" ref="O142">IFERROR(INDEX(UtilityList!J$4:J$251,MATCH('Table 2.3c'!$A142&amp;'Table 2.3c'!$B142&amp;'Table 2.3c'!$C142,UtilityList!$A$4:$A$251&amp;UtilityList!$B$4:$B$251&amp;UtilityList!$C$4:$C$251,0)),INDEX(UtilityList!J$4:J$251,MATCH('Table 2.3c'!$A142&amp;'Table 2.3c'!$C142,UtilityList!$A$4:$A$251&amp;UtilityList!$C$5:$C$251,0)))</f>
        <v>Bering Straits</v>
      </c>
      <c r="P142" s="452" t="str">
        <f t="array" ref="P142">IFERROR(INDEX(UtilityList!K$4:K$251,MATCH('Table 2.3c'!$A142&amp;'Table 2.3c'!$B142&amp;'Table 2.3c'!$C142,UtilityList!$A$4:$A$251&amp;UtilityList!$B$4:$B$251&amp;UtilityList!$C$4:$C$251,0)),INDEX(UtilityList!K$4:K$251,MATCH('Table 2.3c'!$A142&amp;'Table 2.3c'!$C142,UtilityList!$A$4:$A$251&amp;UtilityList!$C$5:$C$251,0)))</f>
        <v>Nome (CA)</v>
      </c>
      <c r="Q142" s="452" t="str">
        <f t="array" ref="Q142">IFERROR(INDEX(UtilityList!L$4:L$251,MATCH('Table 2.3c'!$A142&amp;'Table 2.3c'!$B142&amp;'Table 2.3c'!$C142,UtilityList!$A$4:$A$251&amp;UtilityList!$B$4:$B$251&amp;UtilityList!$C$4:$C$251,0)),INDEX(UtilityList!L$4:L$251,MATCH('Table 2.3c'!$A142&amp;'Table 2.3c'!$C142,UtilityList!$A$4:$A$251&amp;UtilityList!$C$5:$C$251,0)))</f>
        <v>Bering Straits</v>
      </c>
      <c r="R142" s="452" t="str">
        <f t="array" ref="R142">IFERROR(INDEX(UtilityList!M$4:M$251,MATCH('Table 2.3c'!$A142&amp;'Table 2.3c'!$B142&amp;'Table 2.3c'!$C142,UtilityList!$A$4:$A$251&amp;UtilityList!$B$4:$B$251&amp;UtilityList!$C$4:$C$251,0)),INDEX(UtilityList!M$4:M$251,MATCH('Table 2.3c'!$A142&amp;'Table 2.3c'!$C142,UtilityList!$A$4:$A$251&amp;UtilityList!$C$5:$C$251,0)))</f>
        <v>AN</v>
      </c>
      <c r="S142" s="342"/>
    </row>
    <row r="143" spans="1:19" s="239" customFormat="1" ht="30" x14ac:dyDescent="0.25">
      <c r="A143" s="678" t="s">
        <v>190</v>
      </c>
      <c r="B143" s="361" t="s">
        <v>191</v>
      </c>
      <c r="C143" s="679" t="s">
        <v>191</v>
      </c>
      <c r="D143" s="680" t="s">
        <v>545</v>
      </c>
      <c r="E143" s="680" t="s">
        <v>546</v>
      </c>
      <c r="F143" s="681">
        <v>98.196960000000004</v>
      </c>
      <c r="G143" s="682">
        <v>12625.089</v>
      </c>
      <c r="H143" s="681">
        <f t="shared" si="9"/>
        <v>1767.5124600000001</v>
      </c>
      <c r="I143" s="682">
        <v>3.7491667</v>
      </c>
      <c r="J143" s="682">
        <f t="shared" si="8"/>
        <v>7.7779221992019227</v>
      </c>
      <c r="K143" s="682">
        <f t="shared" si="10"/>
        <v>0.48202676807241585</v>
      </c>
      <c r="L143" s="682">
        <v>0.14000000000000001</v>
      </c>
      <c r="M143" s="658" t="s">
        <v>356</v>
      </c>
      <c r="N143" s="627">
        <f t="array" ref="N143">INDEX(UtilityList!Q$4:Q$251,MATCH('Table 2.3c'!$A143&amp;'Table 2.3c'!$B143&amp;'Table 2.3c'!$C143,UtilityList!$A$4:$A$251&amp;UtilityList!$B$4:$B$251&amp;UtilityList!$C$4:$C$251,0))</f>
        <v>0</v>
      </c>
      <c r="O143" s="452" t="str">
        <f t="array" ref="O143">IFERROR(INDEX(UtilityList!J$4:J$251,MATCH('Table 2.3c'!$A143&amp;'Table 2.3c'!$B143&amp;'Table 2.3c'!$C143,UtilityList!$A$4:$A$251&amp;UtilityList!$B$4:$B$251&amp;UtilityList!$C$4:$C$251,0)),INDEX(UtilityList!J$4:J$251,MATCH('Table 2.3c'!$A143&amp;'Table 2.3c'!$C143,UtilityList!$A$4:$A$251&amp;UtilityList!$C$5:$C$251,0)))</f>
        <v>Southeast</v>
      </c>
      <c r="P143" s="452" t="str">
        <f t="array" ref="P143">IFERROR(INDEX(UtilityList!K$4:K$251,MATCH('Table 2.3c'!$A143&amp;'Table 2.3c'!$B143&amp;'Table 2.3c'!$C143,UtilityList!$A$4:$A$251&amp;UtilityList!$B$4:$B$251&amp;UtilityList!$C$4:$C$251,0)),INDEX(UtilityList!K$4:K$251,MATCH('Table 2.3c'!$A143&amp;'Table 2.3c'!$C143,UtilityList!$A$4:$A$251&amp;UtilityList!$C$5:$C$251,0)))</f>
        <v>Hoonah-Angoon (CA)</v>
      </c>
      <c r="Q143" s="452" t="str">
        <f t="array" ref="Q143">IFERROR(INDEX(UtilityList!L$4:L$251,MATCH('Table 2.3c'!$A143&amp;'Table 2.3c'!$B143&amp;'Table 2.3c'!$C143,UtilityList!$A$4:$A$251&amp;UtilityList!$B$4:$B$251&amp;UtilityList!$C$4:$C$251,0)),INDEX(UtilityList!L$4:L$251,MATCH('Table 2.3c'!$A143&amp;'Table 2.3c'!$C143,UtilityList!$A$4:$A$251&amp;UtilityList!$C$5:$C$251,0)))</f>
        <v>Sealaska</v>
      </c>
      <c r="R143" s="452" t="str">
        <f t="array" ref="R143">IFERROR(INDEX(UtilityList!M$4:M$251,MATCH('Table 2.3c'!$A143&amp;'Table 2.3c'!$B143&amp;'Table 2.3c'!$C143,UtilityList!$A$4:$A$251&amp;UtilityList!$B$4:$B$251&amp;UtilityList!$C$4:$C$251,0)),INDEX(UtilityList!M$4:M$251,MATCH('Table 2.3c'!$A143&amp;'Table 2.3c'!$C143,UtilityList!$A$4:$A$251&amp;UtilityList!$C$5:$C$251,0)))</f>
        <v>SE</v>
      </c>
      <c r="S143" s="126"/>
    </row>
    <row r="144" spans="1:19" s="239" customFormat="1" ht="45" x14ac:dyDescent="0.25">
      <c r="A144" s="678" t="s">
        <v>535</v>
      </c>
      <c r="B144" s="361" t="s">
        <v>192</v>
      </c>
      <c r="C144" s="679" t="s">
        <v>192</v>
      </c>
      <c r="D144" s="680" t="s">
        <v>545</v>
      </c>
      <c r="E144" s="680" t="s">
        <v>546</v>
      </c>
      <c r="F144" s="681">
        <v>3061.62</v>
      </c>
      <c r="G144" s="682">
        <v>238873</v>
      </c>
      <c r="H144" s="681">
        <f t="shared" si="9"/>
        <v>33442.22</v>
      </c>
      <c r="I144" s="682">
        <v>4.2870416999999996</v>
      </c>
      <c r="J144" s="682">
        <f t="shared" si="8"/>
        <v>12.816936196221423</v>
      </c>
      <c r="K144" s="682">
        <f t="shared" si="10"/>
        <v>0.33448256544055105</v>
      </c>
      <c r="L144" s="682">
        <v>0.14000000000000001</v>
      </c>
      <c r="M144" s="658" t="s">
        <v>356</v>
      </c>
      <c r="N144" s="627">
        <f t="array" ref="N144">INDEX(UtilityList!Q$4:Q$251,MATCH('Table 2.3c'!$A144&amp;'Table 2.3c'!$B144&amp;'Table 2.3c'!$C144,UtilityList!$A$4:$A$251&amp;UtilityList!$B$4:$B$251&amp;UtilityList!$C$4:$C$251,0))</f>
        <v>0</v>
      </c>
      <c r="O144" s="452" t="str">
        <f t="array" ref="O144">IFERROR(INDEX(UtilityList!J$4:J$251,MATCH('Table 2.3c'!$A144&amp;'Table 2.3c'!$B144&amp;'Table 2.3c'!$C144,UtilityList!$A$4:$A$251&amp;UtilityList!$B$4:$B$251&amp;UtilityList!$C$4:$C$251,0)),INDEX(UtilityList!J$4:J$251,MATCH('Table 2.3c'!$A144&amp;'Table 2.3c'!$C144,UtilityList!$A$4:$A$251&amp;UtilityList!$C$5:$C$251,0)))</f>
        <v>Yukon-Koyukuk/Upper Tanana</v>
      </c>
      <c r="P144" s="452" t="str">
        <f t="array" ref="P144">IFERROR(INDEX(UtilityList!K$4:K$251,MATCH('Table 2.3c'!$A144&amp;'Table 2.3c'!$B144&amp;'Table 2.3c'!$C144,UtilityList!$A$4:$A$251&amp;UtilityList!$B$4:$B$251&amp;UtilityList!$C$4:$C$251,0)),INDEX(UtilityList!K$4:K$251,MATCH('Table 2.3c'!$A144&amp;'Table 2.3c'!$C144,UtilityList!$A$4:$A$251&amp;UtilityList!$C$5:$C$251,0)))</f>
        <v>Yukon-Koyukuk (CA)</v>
      </c>
      <c r="Q144" s="452" t="str">
        <f t="array" ref="Q144">IFERROR(INDEX(UtilityList!L$4:L$251,MATCH('Table 2.3c'!$A144&amp;'Table 2.3c'!$B144&amp;'Table 2.3c'!$C144,UtilityList!$A$4:$A$251&amp;UtilityList!$B$4:$B$251&amp;UtilityList!$C$4:$C$251,0)),INDEX(UtilityList!L$4:L$251,MATCH('Table 2.3c'!$A144&amp;'Table 2.3c'!$C144,UtilityList!$A$4:$A$251&amp;UtilityList!$C$5:$C$251,0)))</f>
        <v>Doyon</v>
      </c>
      <c r="R144" s="452" t="str">
        <f t="array" ref="R144">IFERROR(INDEX(UtilityList!M$4:M$251,MATCH('Table 2.3c'!$A144&amp;'Table 2.3c'!$B144&amp;'Table 2.3c'!$C144,UtilityList!$A$4:$A$251&amp;UtilityList!$B$4:$B$251&amp;UtilityList!$C$4:$C$251,0)),INDEX(UtilityList!M$4:M$251,MATCH('Table 2.3c'!$A144&amp;'Table 2.3c'!$C144,UtilityList!$A$4:$A$251&amp;UtilityList!$C$5:$C$251,0)))</f>
        <v>YU</v>
      </c>
    </row>
    <row r="145" spans="1:19" s="239" customFormat="1" ht="30" x14ac:dyDescent="0.25">
      <c r="A145" s="361" t="s">
        <v>193</v>
      </c>
      <c r="B145" s="361" t="s">
        <v>194</v>
      </c>
      <c r="C145" s="361"/>
      <c r="D145" s="622" t="s">
        <v>564</v>
      </c>
      <c r="E145" s="622" t="s">
        <v>560</v>
      </c>
      <c r="F145" s="642">
        <v>276289</v>
      </c>
      <c r="G145" s="683">
        <v>3577770</v>
      </c>
      <c r="H145" s="681">
        <f t="shared" si="9"/>
        <v>3935547.0000000005</v>
      </c>
      <c r="I145" s="683"/>
      <c r="J145" s="683">
        <f>IF(F145&gt;0, IFERROR((F145*1000)/G145," "), " ")</f>
        <v>77.223801418201845</v>
      </c>
      <c r="K145" s="682" t="str">
        <f t="shared" si="10"/>
        <v xml:space="preserve"> </v>
      </c>
      <c r="L145" s="682">
        <v>1.1000000000000001</v>
      </c>
      <c r="M145" s="622" t="s">
        <v>558</v>
      </c>
      <c r="N145" s="627">
        <f t="array" ref="N145">INDEX(UtilityList!Q$4:Q$251,MATCH('Table 2.3c'!$A145&amp;'Table 2.3c'!$B145&amp;'Table 2.3c'!$C145,UtilityList!$A$4:$A$251&amp;UtilityList!$B$4:$B$251&amp;UtilityList!$C$4:$C$251,0))</f>
        <v>0</v>
      </c>
      <c r="O145" s="452" t="str">
        <f t="array" ref="O145">IFERROR(INDEX(UtilityList!J$4:J$251,MATCH('Table 2.3c'!$A145&amp;'Table 2.3c'!$B145&amp;'Table 2.3c'!$C145,UtilityList!$A$4:$A$251&amp;UtilityList!$B$4:$B$251&amp;UtilityList!$C$4:$C$251,0)),INDEX(UtilityList!J$4:J$251,MATCH('Table 2.3c'!$A145&amp;'Table 2.3c'!$C145,UtilityList!$A$4:$A$251&amp;UtilityList!$C$5:$C$251,0)))</f>
        <v>Railbelt</v>
      </c>
      <c r="P145" s="452" t="str">
        <f t="array" ref="P145">IFERROR(INDEX(UtilityList!K$4:K$251,MATCH('Table 2.3c'!$A145&amp;'Table 2.3c'!$B145&amp;'Table 2.3c'!$C145,UtilityList!$A$4:$A$251&amp;UtilityList!$B$4:$B$251&amp;UtilityList!$C$4:$C$251,0)),INDEX(UtilityList!K$4:K$251,MATCH('Table 2.3c'!$A145&amp;'Table 2.3c'!$C145,UtilityList!$A$4:$A$251&amp;UtilityList!$C$5:$C$251,0)))</f>
        <v>Kenai Peninsula</v>
      </c>
      <c r="Q145" s="452" t="str">
        <f t="array" ref="Q145">IFERROR(INDEX(UtilityList!L$4:L$251,MATCH('Table 2.3c'!$A145&amp;'Table 2.3c'!$B145&amp;'Table 2.3c'!$C145,UtilityList!$A$4:$A$251&amp;UtilityList!$B$4:$B$251&amp;UtilityList!$C$4:$C$251,0)),INDEX(UtilityList!L$4:L$251,MATCH('Table 2.3c'!$A145&amp;'Table 2.3c'!$C145,UtilityList!$A$4:$A$251&amp;UtilityList!$C$5:$C$251,0)))</f>
        <v>Cook Inlet</v>
      </c>
      <c r="R145" s="452" t="str">
        <f t="array" ref="R145">IFERROR(INDEX(UtilityList!M$4:M$251,MATCH('Table 2.3c'!$A145&amp;'Table 2.3c'!$B145&amp;'Table 2.3c'!$C145,UtilityList!$A$4:$A$251&amp;UtilityList!$B$4:$B$251&amp;UtilityList!$C$4:$C$251,0)),INDEX(UtilityList!M$4:M$251,MATCH('Table 2.3c'!$A145&amp;'Table 2.3c'!$C145,UtilityList!$A$4:$A$251&amp;UtilityList!$C$5:$C$251,0)))</f>
        <v>SC</v>
      </c>
    </row>
    <row r="146" spans="1:19" s="63" customFormat="1" ht="30" x14ac:dyDescent="0.25">
      <c r="A146" s="361" t="s">
        <v>193</v>
      </c>
      <c r="B146" s="361" t="s">
        <v>195</v>
      </c>
      <c r="C146" s="361"/>
      <c r="D146" s="622" t="s">
        <v>545</v>
      </c>
      <c r="E146" s="622" t="s">
        <v>546</v>
      </c>
      <c r="F146" s="642">
        <v>143</v>
      </c>
      <c r="G146" s="683">
        <v>10206</v>
      </c>
      <c r="H146" s="681">
        <f t="shared" si="9"/>
        <v>1428.8400000000001</v>
      </c>
      <c r="I146" s="683"/>
      <c r="J146" s="683">
        <f t="shared" ref="J146:J189" si="11">IF(F146&gt;0,IFERROR((F146*1000)/G146, " ")," ")</f>
        <v>14.011365863217716</v>
      </c>
      <c r="K146" s="682" t="str">
        <f t="shared" si="10"/>
        <v xml:space="preserve"> </v>
      </c>
      <c r="L146" s="682">
        <v>0.14000000000000001</v>
      </c>
      <c r="M146" s="622" t="s">
        <v>558</v>
      </c>
      <c r="N146" s="627">
        <f t="array" ref="N146">INDEX(UtilityList!Q$4:Q$251,MATCH('Table 2.3c'!$A146&amp;'Table 2.3c'!$B146&amp;'Table 2.3c'!$C146,UtilityList!$A$4:$A$251&amp;UtilityList!$B$4:$B$251&amp;UtilityList!$C$4:$C$251,0))</f>
        <v>0</v>
      </c>
      <c r="O146" s="452" t="str">
        <f t="array" ref="O146">IFERROR(INDEX(UtilityList!J$4:J$251,MATCH('Table 2.3c'!$A146&amp;'Table 2.3c'!$B146&amp;'Table 2.3c'!$C146,UtilityList!$A$4:$A$251&amp;UtilityList!$B$4:$B$251&amp;UtilityList!$C$4:$C$251,0)),INDEX(UtilityList!J$4:J$251,MATCH('Table 2.3c'!$A146&amp;'Table 2.3c'!$C146,UtilityList!$A$4:$A$251&amp;UtilityList!$C$5:$C$251,0)))</f>
        <v>Railbelt</v>
      </c>
      <c r="P146" s="452" t="str">
        <f t="array" ref="P146">IFERROR(INDEX(UtilityList!K$4:K$251,MATCH('Table 2.3c'!$A146&amp;'Table 2.3c'!$B146&amp;'Table 2.3c'!$C146,UtilityList!$A$4:$A$251&amp;UtilityList!$B$4:$B$251&amp;UtilityList!$C$4:$C$251,0)),INDEX(UtilityList!K$4:K$251,MATCH('Table 2.3c'!$A146&amp;'Table 2.3c'!$C146,UtilityList!$A$4:$A$251&amp;UtilityList!$C$5:$C$251,0)))</f>
        <v>Kenai Peninsula</v>
      </c>
      <c r="Q146" s="452" t="str">
        <f t="array" ref="Q146">IFERROR(INDEX(UtilityList!L$4:L$251,MATCH('Table 2.3c'!$A146&amp;'Table 2.3c'!$B146&amp;'Table 2.3c'!$C146,UtilityList!$A$4:$A$251&amp;UtilityList!$B$4:$B$251&amp;UtilityList!$C$4:$C$251,0)),INDEX(UtilityList!L$4:L$251,MATCH('Table 2.3c'!$A146&amp;'Table 2.3c'!$C146,UtilityList!$A$4:$A$251&amp;UtilityList!$C$5:$C$251,0)))</f>
        <v>Cook Inlet</v>
      </c>
      <c r="R146" s="452" t="str">
        <f t="array" ref="R146">IFERROR(INDEX(UtilityList!M$4:M$251,MATCH('Table 2.3c'!$A146&amp;'Table 2.3c'!$B146&amp;'Table 2.3c'!$C146,UtilityList!$A$4:$A$251&amp;UtilityList!$B$4:$B$251&amp;UtilityList!$C$4:$C$251,0)),INDEX(UtilityList!M$4:M$251,MATCH('Table 2.3c'!$A146&amp;'Table 2.3c'!$C146,UtilityList!$A$4:$A$251&amp;UtilityList!$C$5:$C$251,0)))</f>
        <v>SC</v>
      </c>
      <c r="S146" s="342"/>
    </row>
    <row r="147" spans="1:19" s="63" customFormat="1" ht="30" x14ac:dyDescent="0.25">
      <c r="A147" s="678" t="s">
        <v>196</v>
      </c>
      <c r="B147" s="361" t="s">
        <v>197</v>
      </c>
      <c r="C147" s="679" t="s">
        <v>197</v>
      </c>
      <c r="D147" s="680" t="s">
        <v>545</v>
      </c>
      <c r="E147" s="680" t="s">
        <v>546</v>
      </c>
      <c r="F147" s="681">
        <v>372.29500000000002</v>
      </c>
      <c r="G147" s="682">
        <v>40992</v>
      </c>
      <c r="H147" s="681">
        <f t="shared" si="9"/>
        <v>5738.88</v>
      </c>
      <c r="I147" s="682">
        <v>5.7106250000000003</v>
      </c>
      <c r="J147" s="682">
        <f t="shared" si="11"/>
        <v>9.082137978142077</v>
      </c>
      <c r="K147" s="682">
        <f t="shared" si="10"/>
        <v>0.62877540659960518</v>
      </c>
      <c r="L147" s="682">
        <v>0.14000000000000001</v>
      </c>
      <c r="M147" s="658" t="s">
        <v>356</v>
      </c>
      <c r="N147" s="627">
        <f t="array" ref="N147">INDEX(UtilityList!Q$4:Q$251,MATCH('Table 2.3c'!$A147&amp;'Table 2.3c'!$B147&amp;'Table 2.3c'!$C147,UtilityList!$A$4:$A$251&amp;UtilityList!$B$4:$B$251&amp;UtilityList!$C$4:$C$251,0))</f>
        <v>0</v>
      </c>
      <c r="O147" s="452" t="str">
        <f t="array" ref="O147">IFERROR(INDEX(UtilityList!J$4:J$251,MATCH('Table 2.3c'!$A147&amp;'Table 2.3c'!$B147&amp;'Table 2.3c'!$C147,UtilityList!$A$4:$A$251&amp;UtilityList!$B$4:$B$251&amp;UtilityList!$C$4:$C$251,0)),INDEX(UtilityList!J$4:J$251,MATCH('Table 2.3c'!$A147&amp;'Table 2.3c'!$C147,UtilityList!$A$4:$A$251&amp;UtilityList!$C$5:$C$251,0)))</f>
        <v>Yukon-Koyukuk/Upper Tanana</v>
      </c>
      <c r="P147" s="452" t="str">
        <f t="array" ref="P147">IFERROR(INDEX(UtilityList!K$4:K$251,MATCH('Table 2.3c'!$A147&amp;'Table 2.3c'!$B147&amp;'Table 2.3c'!$C147,UtilityList!$A$4:$A$251&amp;UtilityList!$B$4:$B$251&amp;UtilityList!$C$4:$C$251,0)),INDEX(UtilityList!K$4:K$251,MATCH('Table 2.3c'!$A147&amp;'Table 2.3c'!$C147,UtilityList!$A$4:$A$251&amp;UtilityList!$C$5:$C$251,0)))</f>
        <v>Yukon-Koyukuk (CA)</v>
      </c>
      <c r="Q147" s="452" t="str">
        <f t="array" ref="Q147">IFERROR(INDEX(UtilityList!L$4:L$251,MATCH('Table 2.3c'!$A147&amp;'Table 2.3c'!$B147&amp;'Table 2.3c'!$C147,UtilityList!$A$4:$A$251&amp;UtilityList!$B$4:$B$251&amp;UtilityList!$C$4:$C$251,0)),INDEX(UtilityList!L$4:L$251,MATCH('Table 2.3c'!$A147&amp;'Table 2.3c'!$C147,UtilityList!$A$4:$A$251&amp;UtilityList!$C$5:$C$251,0)))</f>
        <v>Doyon</v>
      </c>
      <c r="R147" s="452" t="str">
        <f t="array" ref="R147">IFERROR(INDEX(UtilityList!M$4:M$251,MATCH('Table 2.3c'!$A147&amp;'Table 2.3c'!$B147&amp;'Table 2.3c'!$C147,UtilityList!$A$4:$A$251&amp;UtilityList!$B$4:$B$251&amp;UtilityList!$C$4:$C$251,0)),INDEX(UtilityList!M$4:M$251,MATCH('Table 2.3c'!$A147&amp;'Table 2.3c'!$C147,UtilityList!$A$4:$A$251&amp;UtilityList!$C$5:$C$251,0)))</f>
        <v>YU</v>
      </c>
      <c r="S147" s="342"/>
    </row>
    <row r="148" spans="1:19" s="239" customFormat="1" ht="30" x14ac:dyDescent="0.25">
      <c r="A148" s="678" t="s">
        <v>198</v>
      </c>
      <c r="B148" s="361" t="s">
        <v>199</v>
      </c>
      <c r="C148" s="654" t="s">
        <v>199</v>
      </c>
      <c r="D148" s="680" t="s">
        <v>545</v>
      </c>
      <c r="E148" s="680" t="s">
        <v>546</v>
      </c>
      <c r="F148" s="681">
        <v>307.7185455</v>
      </c>
      <c r="G148" s="682">
        <v>27001.090199999999</v>
      </c>
      <c r="H148" s="681">
        <f t="shared" si="9"/>
        <v>3780.1526280000003</v>
      </c>
      <c r="I148" s="682">
        <v>6.6696001000000003</v>
      </c>
      <c r="J148" s="682">
        <f t="shared" si="11"/>
        <v>11.396523000393518</v>
      </c>
      <c r="K148" s="682">
        <f t="shared" si="10"/>
        <v>0.58523113582710284</v>
      </c>
      <c r="L148" s="682">
        <v>0.14000000000000001</v>
      </c>
      <c r="M148" s="658" t="s">
        <v>356</v>
      </c>
      <c r="N148" s="627">
        <f t="array" ref="N148">INDEX(UtilityList!Q$4:Q$251,MATCH('Table 2.3c'!$A148&amp;'Table 2.3c'!$B148&amp;'Table 2.3c'!$C148,UtilityList!$A$4:$A$251&amp;UtilityList!$B$4:$B$251&amp;UtilityList!$C$4:$C$251,0))</f>
        <v>0</v>
      </c>
      <c r="O148" s="452" t="str">
        <f t="array" ref="O148">IFERROR(INDEX(UtilityList!J$4:J$251,MATCH('Table 2.3c'!$A148&amp;'Table 2.3c'!$B148&amp;'Table 2.3c'!$C148,UtilityList!$A$4:$A$251&amp;UtilityList!$B$4:$B$251&amp;UtilityList!$C$4:$C$251,0)),INDEX(UtilityList!J$4:J$251,MATCH('Table 2.3c'!$A148&amp;'Table 2.3c'!$C148,UtilityList!$A$4:$A$251&amp;UtilityList!$C$5:$C$251,0)))</f>
        <v>Bristol Bay</v>
      </c>
      <c r="P148" s="452" t="str">
        <f t="array" ref="P148">IFERROR(INDEX(UtilityList!K$4:K$251,MATCH('Table 2.3c'!$A148&amp;'Table 2.3c'!$B148&amp;'Table 2.3c'!$C148,UtilityList!$A$4:$A$251&amp;UtilityList!$B$4:$B$251&amp;UtilityList!$C$4:$C$251,0)),INDEX(UtilityList!K$4:K$251,MATCH('Table 2.3c'!$A148&amp;'Table 2.3c'!$C148,UtilityList!$A$4:$A$251&amp;UtilityList!$C$5:$C$251,0)))</f>
        <v>Lake and Peninsula</v>
      </c>
      <c r="Q148" s="452" t="str">
        <f t="array" ref="Q148">IFERROR(INDEX(UtilityList!L$4:L$251,MATCH('Table 2.3c'!$A148&amp;'Table 2.3c'!$B148&amp;'Table 2.3c'!$C148,UtilityList!$A$4:$A$251&amp;UtilityList!$B$4:$B$251&amp;UtilityList!$C$4:$C$251,0)),INDEX(UtilityList!L$4:L$251,MATCH('Table 2.3c'!$A148&amp;'Table 2.3c'!$C148,UtilityList!$A$4:$A$251&amp;UtilityList!$C$5:$C$251,0)))</f>
        <v>Bristol Bay</v>
      </c>
      <c r="R148" s="452" t="str">
        <f t="array" ref="R148">IFERROR(INDEX(UtilityList!M$4:M$251,MATCH('Table 2.3c'!$A148&amp;'Table 2.3c'!$B148&amp;'Table 2.3c'!$C148,UtilityList!$A$4:$A$251&amp;UtilityList!$B$4:$B$251&amp;UtilityList!$C$4:$C$251,0)),INDEX(UtilityList!M$4:M$251,MATCH('Table 2.3c'!$A148&amp;'Table 2.3c'!$C148,UtilityList!$A$4:$A$251&amp;UtilityList!$C$5:$C$251,0)))</f>
        <v>SW</v>
      </c>
    </row>
    <row r="149" spans="1:19" s="239" customFormat="1" ht="120" x14ac:dyDescent="0.25">
      <c r="A149" s="678" t="s">
        <v>200</v>
      </c>
      <c r="B149" s="361" t="s">
        <v>494</v>
      </c>
      <c r="C149" s="679" t="s">
        <v>658</v>
      </c>
      <c r="D149" s="680" t="s">
        <v>545</v>
      </c>
      <c r="E149" s="680" t="s">
        <v>546</v>
      </c>
      <c r="F149" s="681">
        <v>84.087000000000003</v>
      </c>
      <c r="G149" s="682">
        <v>6620.7960000000003</v>
      </c>
      <c r="H149" s="681">
        <f t="shared" si="9"/>
        <v>926.91144000000008</v>
      </c>
      <c r="I149" s="682">
        <v>4.3820582999999997</v>
      </c>
      <c r="J149" s="682">
        <f t="shared" si="11"/>
        <v>12.700436624236723</v>
      </c>
      <c r="K149" s="682">
        <f t="shared" si="10"/>
        <v>0.34503209847428018</v>
      </c>
      <c r="L149" s="682">
        <v>0.14000000000000001</v>
      </c>
      <c r="M149" s="658" t="s">
        <v>356</v>
      </c>
      <c r="N149" s="627" t="str">
        <f t="array" ref="N149">INDEX(UtilityList!Q$4:Q$251,MATCH('Table 2.3c'!$A149&amp;'Table 2.3c'!$B149&amp;'Table 2.3c'!$C149,UtilityList!$A$4:$A$251&amp;UtilityList!$B$4:$B$251&amp;UtilityList!$C$4:$C$251,0))</f>
        <v>Power produced at the Tazimina hydroelectric project and the Newhalen plant is shared by Iliamna, Newhalen and Nondalton. Newhalen's information is included in Nondalton's data.</v>
      </c>
      <c r="O149" s="452" t="str">
        <f t="array" ref="O149">IFERROR(INDEX(UtilityList!J$4:J$251,MATCH('Table 2.3c'!$A149&amp;'Table 2.3c'!$B149&amp;'Table 2.3c'!$C149,UtilityList!$A$4:$A$251&amp;UtilityList!$B$4:$B$251&amp;UtilityList!$C$4:$C$251,0)),INDEX(UtilityList!J$4:J$251,MATCH('Table 2.3c'!$A149&amp;'Table 2.3c'!$C149,UtilityList!$A$4:$A$251&amp;UtilityList!$C$5:$C$251,0)))</f>
        <v>Bristol Bay</v>
      </c>
      <c r="P149" s="452" t="str">
        <f t="array" ref="P149">IFERROR(INDEX(UtilityList!K$4:K$251,MATCH('Table 2.3c'!$A149&amp;'Table 2.3c'!$B149&amp;'Table 2.3c'!$C149,UtilityList!$A$4:$A$251&amp;UtilityList!$B$4:$B$251&amp;UtilityList!$C$4:$C$251,0)),INDEX(UtilityList!K$4:K$251,MATCH('Table 2.3c'!$A149&amp;'Table 2.3c'!$C149,UtilityList!$A$4:$A$251&amp;UtilityList!$C$5:$C$251,0)))</f>
        <v>Lake and Peninsula</v>
      </c>
      <c r="Q149" s="452" t="str">
        <f t="array" ref="Q149">IFERROR(INDEX(UtilityList!L$4:L$251,MATCH('Table 2.3c'!$A149&amp;'Table 2.3c'!$B149&amp;'Table 2.3c'!$C149,UtilityList!$A$4:$A$251&amp;UtilityList!$B$4:$B$251&amp;UtilityList!$C$4:$C$251,0)),INDEX(UtilityList!L$4:L$251,MATCH('Table 2.3c'!$A149&amp;'Table 2.3c'!$C149,UtilityList!$A$4:$A$251&amp;UtilityList!$C$5:$C$251,0)))</f>
        <v>Bristol Bay</v>
      </c>
      <c r="R149" s="452" t="str">
        <f t="array" ref="R149">IFERROR(INDEX(UtilityList!M$4:M$251,MATCH('Table 2.3c'!$A149&amp;'Table 2.3c'!$B149&amp;'Table 2.3c'!$C149,UtilityList!$A$4:$A$251&amp;UtilityList!$B$4:$B$251&amp;UtilityList!$C$4:$C$251,0)),INDEX(UtilityList!M$4:M$251,MATCH('Table 2.3c'!$A149&amp;'Table 2.3c'!$C149,UtilityList!$A$4:$A$251&amp;UtilityList!$C$5:$C$251,0)))</f>
        <v>SW</v>
      </c>
    </row>
    <row r="150" spans="1:19" s="239" customFormat="1" ht="30" x14ac:dyDescent="0.25">
      <c r="A150" s="678" t="s">
        <v>201</v>
      </c>
      <c r="B150" s="361" t="s">
        <v>202</v>
      </c>
      <c r="C150" s="679" t="s">
        <v>202</v>
      </c>
      <c r="D150" s="680" t="s">
        <v>545</v>
      </c>
      <c r="E150" s="680" t="s">
        <v>546</v>
      </c>
      <c r="F150" s="681">
        <v>2025.2149999999999</v>
      </c>
      <c r="G150" s="682">
        <v>141021</v>
      </c>
      <c r="H150" s="681">
        <f t="shared" si="9"/>
        <v>19742.940000000002</v>
      </c>
      <c r="I150" s="682">
        <v>3.5694750000000002</v>
      </c>
      <c r="J150" s="682">
        <f t="shared" si="11"/>
        <v>14.361088064898135</v>
      </c>
      <c r="K150" s="682">
        <f t="shared" si="10"/>
        <v>0.24855184954436937</v>
      </c>
      <c r="L150" s="682">
        <v>0.14000000000000001</v>
      </c>
      <c r="M150" s="658" t="s">
        <v>356</v>
      </c>
      <c r="N150" s="627">
        <f t="array" ref="N150">INDEX(UtilityList!Q$4:Q$251,MATCH('Table 2.3c'!$A150&amp;'Table 2.3c'!$B150&amp;'Table 2.3c'!$C150,UtilityList!$A$4:$A$251&amp;UtilityList!$B$4:$B$251&amp;UtilityList!$C$4:$C$251,0))</f>
        <v>0</v>
      </c>
      <c r="O150" s="452" t="str">
        <f t="array" ref="O150">IFERROR(INDEX(UtilityList!J$4:J$251,MATCH('Table 2.3c'!$A150&amp;'Table 2.3c'!$B150&amp;'Table 2.3c'!$C150,UtilityList!$A$4:$A$251&amp;UtilityList!$B$4:$B$251&amp;UtilityList!$C$4:$C$251,0)),INDEX(UtilityList!J$4:J$251,MATCH('Table 2.3c'!$A150&amp;'Table 2.3c'!$C150,UtilityList!$A$4:$A$251&amp;UtilityList!$C$5:$C$251,0)))</f>
        <v>Southeast</v>
      </c>
      <c r="P150" s="452" t="str">
        <f t="array" ref="P150">IFERROR(INDEX(UtilityList!K$4:K$251,MATCH('Table 2.3c'!$A150&amp;'Table 2.3c'!$B150&amp;'Table 2.3c'!$C150,UtilityList!$A$4:$A$251&amp;UtilityList!$B$4:$B$251&amp;UtilityList!$C$4:$C$251,0)),INDEX(UtilityList!K$4:K$251,MATCH('Table 2.3c'!$A150&amp;'Table 2.3c'!$C150,UtilityList!$A$4:$A$251&amp;UtilityList!$C$5:$C$251,0)))</f>
        <v>Hoonah-Angoon (CA)</v>
      </c>
      <c r="Q150" s="452" t="str">
        <f t="array" ref="Q150">IFERROR(INDEX(UtilityList!L$4:L$251,MATCH('Table 2.3c'!$A150&amp;'Table 2.3c'!$B150&amp;'Table 2.3c'!$C150,UtilityList!$A$4:$A$251&amp;UtilityList!$B$4:$B$251&amp;UtilityList!$C$4:$C$251,0)),INDEX(UtilityList!L$4:L$251,MATCH('Table 2.3c'!$A150&amp;'Table 2.3c'!$C150,UtilityList!$A$4:$A$251&amp;UtilityList!$C$5:$C$251,0)))</f>
        <v>Sealaska</v>
      </c>
      <c r="R150" s="452" t="str">
        <f t="array" ref="R150">IFERROR(INDEX(UtilityList!M$4:M$251,MATCH('Table 2.3c'!$A150&amp;'Table 2.3c'!$B150&amp;'Table 2.3c'!$C150,UtilityList!$A$4:$A$251&amp;UtilityList!$B$4:$B$251&amp;UtilityList!$C$4:$C$251,0)),INDEX(UtilityList!M$4:M$251,MATCH('Table 2.3c'!$A150&amp;'Table 2.3c'!$C150,UtilityList!$A$4:$A$251&amp;UtilityList!$C$5:$C$251,0)))</f>
        <v>SE</v>
      </c>
    </row>
    <row r="151" spans="1:19" s="239" customFormat="1" ht="60" x14ac:dyDescent="0.25">
      <c r="A151" s="678" t="s">
        <v>201</v>
      </c>
      <c r="B151" s="361" t="s">
        <v>203</v>
      </c>
      <c r="C151" s="679" t="s">
        <v>203</v>
      </c>
      <c r="D151" s="680" t="s">
        <v>545</v>
      </c>
      <c r="E151" s="680" t="s">
        <v>546</v>
      </c>
      <c r="F151" s="681">
        <v>-68.440910000000002</v>
      </c>
      <c r="G151" s="682">
        <v>0</v>
      </c>
      <c r="H151" s="681">
        <f t="shared" si="9"/>
        <v>0</v>
      </c>
      <c r="I151" s="682">
        <v>3.5701417000000002</v>
      </c>
      <c r="J151" s="682" t="str">
        <f t="shared" si="11"/>
        <v xml:space="preserve"> </v>
      </c>
      <c r="K151" s="682" t="str">
        <f t="shared" si="10"/>
        <v xml:space="preserve"> </v>
      </c>
      <c r="L151" s="682">
        <v>0.14000000000000001</v>
      </c>
      <c r="M151" s="658" t="s">
        <v>356</v>
      </c>
      <c r="N151" s="627" t="str">
        <f t="array" ref="N151">INDEX(UtilityList!Q$4:Q$251,MATCH('Table 2.3c'!$A151&amp;'Table 2.3c'!$B151&amp;'Table 2.3c'!$C151,UtilityList!$A$4:$A$251&amp;UtilityList!$B$4:$B$251&amp;UtilityList!$C$4:$C$251,0))</f>
        <v>Provides power to Klukwan via intertie. Power is purchased from AP&amp;T.</v>
      </c>
      <c r="O151" s="452" t="str">
        <f t="array" ref="O151">IFERROR(INDEX(UtilityList!J$4:J$251,MATCH('Table 2.3c'!$A151&amp;'Table 2.3c'!$B151&amp;'Table 2.3c'!$C151,UtilityList!$A$4:$A$251&amp;UtilityList!$B$4:$B$251&amp;UtilityList!$C$4:$C$251,0)),INDEX(UtilityList!J$4:J$251,MATCH('Table 2.3c'!$A151&amp;'Table 2.3c'!$C151,UtilityList!$A$4:$A$251&amp;UtilityList!$C$5:$C$251,0)))</f>
        <v>Southeast</v>
      </c>
      <c r="P151" s="452" t="str">
        <f t="array" ref="P151">IFERROR(INDEX(UtilityList!K$4:K$251,MATCH('Table 2.3c'!$A151&amp;'Table 2.3c'!$B151&amp;'Table 2.3c'!$C151,UtilityList!$A$4:$A$251&amp;UtilityList!$B$4:$B$251&amp;UtilityList!$C$4:$C$251,0)),INDEX(UtilityList!K$4:K$251,MATCH('Table 2.3c'!$A151&amp;'Table 2.3c'!$C151,UtilityList!$A$4:$A$251&amp;UtilityList!$C$5:$C$251,0)))</f>
        <v>Haines</v>
      </c>
      <c r="Q151" s="452" t="str">
        <f t="array" ref="Q151">IFERROR(INDEX(UtilityList!L$4:L$251,MATCH('Table 2.3c'!$A151&amp;'Table 2.3c'!$B151&amp;'Table 2.3c'!$C151,UtilityList!$A$4:$A$251&amp;UtilityList!$B$4:$B$251&amp;UtilityList!$C$4:$C$251,0)),INDEX(UtilityList!L$4:L$251,MATCH('Table 2.3c'!$A151&amp;'Table 2.3c'!$C151,UtilityList!$A$4:$A$251&amp;UtilityList!$C$5:$C$251,0)))</f>
        <v>Sealaska</v>
      </c>
      <c r="R151" s="452" t="str">
        <f t="array" ref="R151">IFERROR(INDEX(UtilityList!M$4:M$251,MATCH('Table 2.3c'!$A151&amp;'Table 2.3c'!$B151&amp;'Table 2.3c'!$C151,UtilityList!$A$4:$A$251&amp;UtilityList!$B$4:$B$251&amp;UtilityList!$C$4:$C$251,0)),INDEX(UtilityList!M$4:M$251,MATCH('Table 2.3c'!$A151&amp;'Table 2.3c'!$C151,UtilityList!$A$4:$A$251&amp;UtilityList!$C$5:$C$251,0)))</f>
        <v>SE</v>
      </c>
    </row>
    <row r="152" spans="1:19" s="239" customFormat="1" ht="30" x14ac:dyDescent="0.25">
      <c r="A152" s="678" t="s">
        <v>201</v>
      </c>
      <c r="B152" s="361" t="s">
        <v>204</v>
      </c>
      <c r="C152" s="679" t="s">
        <v>204</v>
      </c>
      <c r="D152" s="680" t="s">
        <v>545</v>
      </c>
      <c r="E152" s="680" t="s">
        <v>546</v>
      </c>
      <c r="F152" s="681">
        <v>4816.875</v>
      </c>
      <c r="G152" s="682">
        <v>331185</v>
      </c>
      <c r="H152" s="681">
        <f t="shared" si="9"/>
        <v>46365.9</v>
      </c>
      <c r="I152" s="682">
        <v>3.5694750000000002</v>
      </c>
      <c r="J152" s="682">
        <f t="shared" si="11"/>
        <v>14.544363422256442</v>
      </c>
      <c r="K152" s="682">
        <f t="shared" si="10"/>
        <v>0.24541981634877386</v>
      </c>
      <c r="L152" s="682">
        <v>0.14000000000000001</v>
      </c>
      <c r="M152" s="658" t="s">
        <v>356</v>
      </c>
      <c r="N152" s="627">
        <f t="array" ref="N152">INDEX(UtilityList!Q$4:Q$251,MATCH('Table 2.3c'!$A152&amp;'Table 2.3c'!$B152&amp;'Table 2.3c'!$C152,UtilityList!$A$4:$A$251&amp;UtilityList!$B$4:$B$251&amp;UtilityList!$C$4:$C$251,0))</f>
        <v>0</v>
      </c>
      <c r="O152" s="452" t="str">
        <f t="array" ref="O152">IFERROR(INDEX(UtilityList!J$4:J$251,MATCH('Table 2.3c'!$A152&amp;'Table 2.3c'!$B152&amp;'Table 2.3c'!$C152,UtilityList!$A$4:$A$251&amp;UtilityList!$B$4:$B$251&amp;UtilityList!$C$4:$C$251,0)),INDEX(UtilityList!J$4:J$251,MATCH('Table 2.3c'!$A152&amp;'Table 2.3c'!$C152,UtilityList!$A$4:$A$251&amp;UtilityList!$C$5:$C$251,0)))</f>
        <v>Southeast</v>
      </c>
      <c r="P152" s="452" t="str">
        <f t="array" ref="P152">IFERROR(INDEX(UtilityList!K$4:K$251,MATCH('Table 2.3c'!$A152&amp;'Table 2.3c'!$B152&amp;'Table 2.3c'!$C152,UtilityList!$A$4:$A$251&amp;UtilityList!$B$4:$B$251&amp;UtilityList!$C$4:$C$251,0)),INDEX(UtilityList!K$4:K$251,MATCH('Table 2.3c'!$A152&amp;'Table 2.3c'!$C152,UtilityList!$A$4:$A$251&amp;UtilityList!$C$5:$C$251,0)))</f>
        <v>Hoonah-Angoon (CA)</v>
      </c>
      <c r="Q152" s="452" t="str">
        <f t="array" ref="Q152">IFERROR(INDEX(UtilityList!L$4:L$251,MATCH('Table 2.3c'!$A152&amp;'Table 2.3c'!$B152&amp;'Table 2.3c'!$C152,UtilityList!$A$4:$A$251&amp;UtilityList!$B$4:$B$251&amp;UtilityList!$C$4:$C$251,0)),INDEX(UtilityList!L$4:L$251,MATCH('Table 2.3c'!$A152&amp;'Table 2.3c'!$C152,UtilityList!$A$4:$A$251&amp;UtilityList!$C$5:$C$251,0)))</f>
        <v>Sealaska</v>
      </c>
      <c r="R152" s="452" t="str">
        <f t="array" ref="R152">IFERROR(INDEX(UtilityList!M$4:M$251,MATCH('Table 2.3c'!$A152&amp;'Table 2.3c'!$B152&amp;'Table 2.3c'!$C152,UtilityList!$A$4:$A$251&amp;UtilityList!$B$4:$B$251&amp;UtilityList!$C$4:$C$251,0)),INDEX(UtilityList!M$4:M$251,MATCH('Table 2.3c'!$A152&amp;'Table 2.3c'!$C152,UtilityList!$A$4:$A$251&amp;UtilityList!$C$5:$C$251,0)))</f>
        <v>SE</v>
      </c>
    </row>
    <row r="153" spans="1:19" s="239" customFormat="1" ht="30" x14ac:dyDescent="0.25">
      <c r="A153" s="678" t="s">
        <v>201</v>
      </c>
      <c r="B153" s="361" t="s">
        <v>205</v>
      </c>
      <c r="C153" s="679" t="s">
        <v>205</v>
      </c>
      <c r="D153" s="680" t="s">
        <v>545</v>
      </c>
      <c r="E153" s="680" t="s">
        <v>546</v>
      </c>
      <c r="F153" s="681">
        <v>2769.4879999999998</v>
      </c>
      <c r="G153" s="682">
        <v>213498.00000000003</v>
      </c>
      <c r="H153" s="681">
        <f t="shared" si="9"/>
        <v>29889.720000000008</v>
      </c>
      <c r="I153" s="682">
        <v>3.5701417000000002</v>
      </c>
      <c r="J153" s="682">
        <f t="shared" si="11"/>
        <v>12.971962266625447</v>
      </c>
      <c r="K153" s="682">
        <f t="shared" si="10"/>
        <v>0.2752198647066173</v>
      </c>
      <c r="L153" s="682">
        <v>0.14000000000000001</v>
      </c>
      <c r="M153" s="658" t="s">
        <v>356</v>
      </c>
      <c r="N153" s="627">
        <f t="array" ref="N153">INDEX(UtilityList!Q$4:Q$251,MATCH('Table 2.3c'!$A153&amp;'Table 2.3c'!$B153&amp;'Table 2.3c'!$C153,UtilityList!$A$4:$A$251&amp;UtilityList!$B$4:$B$251&amp;UtilityList!$C$4:$C$251,0))</f>
        <v>0</v>
      </c>
      <c r="O153" s="452" t="str">
        <f t="array" ref="O153">IFERROR(INDEX(UtilityList!J$4:J$251,MATCH('Table 2.3c'!$A153&amp;'Table 2.3c'!$B153&amp;'Table 2.3c'!$C153,UtilityList!$A$4:$A$251&amp;UtilityList!$B$4:$B$251&amp;UtilityList!$C$4:$C$251,0)),INDEX(UtilityList!J$4:J$251,MATCH('Table 2.3c'!$A153&amp;'Table 2.3c'!$C153,UtilityList!$A$4:$A$251&amp;UtilityList!$C$5:$C$251,0)))</f>
        <v>Southeast</v>
      </c>
      <c r="P153" s="452" t="str">
        <f t="array" ref="P153">IFERROR(INDEX(UtilityList!K$4:K$251,MATCH('Table 2.3c'!$A153&amp;'Table 2.3c'!$B153&amp;'Table 2.3c'!$C153,UtilityList!$A$4:$A$251&amp;UtilityList!$B$4:$B$251&amp;UtilityList!$C$4:$C$251,0)),INDEX(UtilityList!K$4:K$251,MATCH('Table 2.3c'!$A153&amp;'Table 2.3c'!$C153,UtilityList!$A$4:$A$251&amp;UtilityList!$C$5:$C$251,0)))</f>
        <v>Petersburg (CA)</v>
      </c>
      <c r="Q153" s="452" t="str">
        <f t="array" ref="Q153">IFERROR(INDEX(UtilityList!L$4:L$251,MATCH('Table 2.3c'!$A153&amp;'Table 2.3c'!$B153&amp;'Table 2.3c'!$C153,UtilityList!$A$4:$A$251&amp;UtilityList!$B$4:$B$251&amp;UtilityList!$C$4:$C$251,0)),INDEX(UtilityList!L$4:L$251,MATCH('Table 2.3c'!$A153&amp;'Table 2.3c'!$C153,UtilityList!$A$4:$A$251&amp;UtilityList!$C$5:$C$251,0)))</f>
        <v>Sealaska</v>
      </c>
      <c r="R153" s="452" t="str">
        <f t="array" ref="R153">IFERROR(INDEX(UtilityList!M$4:M$251,MATCH('Table 2.3c'!$A153&amp;'Table 2.3c'!$B153&amp;'Table 2.3c'!$C153,UtilityList!$A$4:$A$251&amp;UtilityList!$B$4:$B$251&amp;UtilityList!$C$4:$C$251,0)),INDEX(UtilityList!M$4:M$251,MATCH('Table 2.3c'!$A153&amp;'Table 2.3c'!$C153,UtilityList!$A$4:$A$251&amp;UtilityList!$C$5:$C$251,0)))</f>
        <v>SE</v>
      </c>
    </row>
    <row r="154" spans="1:19" s="239" customFormat="1" ht="60" x14ac:dyDescent="0.25">
      <c r="A154" s="678" t="s">
        <v>201</v>
      </c>
      <c r="B154" s="361" t="s">
        <v>206</v>
      </c>
      <c r="C154" s="679" t="s">
        <v>206</v>
      </c>
      <c r="D154" s="680" t="s">
        <v>545</v>
      </c>
      <c r="E154" s="680" t="s">
        <v>546</v>
      </c>
      <c r="F154" s="681">
        <v>0</v>
      </c>
      <c r="G154" s="682">
        <v>0</v>
      </c>
      <c r="H154" s="681">
        <f t="shared" si="9"/>
        <v>0</v>
      </c>
      <c r="I154" s="682">
        <v>3.5701417000000002</v>
      </c>
      <c r="J154" s="682" t="str">
        <f t="shared" si="11"/>
        <v xml:space="preserve"> </v>
      </c>
      <c r="K154" s="682" t="str">
        <f t="shared" si="10"/>
        <v xml:space="preserve"> </v>
      </c>
      <c r="L154" s="682">
        <v>0.14000000000000001</v>
      </c>
      <c r="M154" s="658" t="s">
        <v>356</v>
      </c>
      <c r="N154" s="627" t="str">
        <f t="array" ref="N154">INDEX(UtilityList!Q$4:Q$251,MATCH('Table 2.3c'!$A154&amp;'Table 2.3c'!$B154&amp;'Table 2.3c'!$C154,UtilityList!$A$4:$A$251&amp;UtilityList!$B$4:$B$251&amp;UtilityList!$C$4:$C$251,0))</f>
        <v>Receives power from Chilkat Valley via intertie. Chilkat Valley purchases power from AP&amp;T.</v>
      </c>
      <c r="O154" s="452" t="str">
        <f t="array" ref="O154">IFERROR(INDEX(UtilityList!J$4:J$251,MATCH('Table 2.3c'!$A154&amp;'Table 2.3c'!$B154&amp;'Table 2.3c'!$C154,UtilityList!$A$4:$A$251&amp;UtilityList!$B$4:$B$251&amp;UtilityList!$C$4:$C$251,0)),INDEX(UtilityList!J$4:J$251,MATCH('Table 2.3c'!$A154&amp;'Table 2.3c'!$C154,UtilityList!$A$4:$A$251&amp;UtilityList!$C$5:$C$251,0)))</f>
        <v>Southeast</v>
      </c>
      <c r="P154" s="452" t="str">
        <f t="array" ref="P154">IFERROR(INDEX(UtilityList!K$4:K$251,MATCH('Table 2.3c'!$A154&amp;'Table 2.3c'!$B154&amp;'Table 2.3c'!$C154,UtilityList!$A$4:$A$251&amp;UtilityList!$B$4:$B$251&amp;UtilityList!$C$4:$C$251,0)),INDEX(UtilityList!K$4:K$251,MATCH('Table 2.3c'!$A154&amp;'Table 2.3c'!$C154,UtilityList!$A$4:$A$251&amp;UtilityList!$C$5:$C$251,0)))</f>
        <v>Hoonah-Angoon (CA)</v>
      </c>
      <c r="Q154" s="452" t="str">
        <f t="array" ref="Q154">IFERROR(INDEX(UtilityList!L$4:L$251,MATCH('Table 2.3c'!$A154&amp;'Table 2.3c'!$B154&amp;'Table 2.3c'!$C154,UtilityList!$A$4:$A$251&amp;UtilityList!$B$4:$B$251&amp;UtilityList!$C$4:$C$251,0)),INDEX(UtilityList!L$4:L$251,MATCH('Table 2.3c'!$A154&amp;'Table 2.3c'!$C154,UtilityList!$A$4:$A$251&amp;UtilityList!$C$5:$C$251,0)))</f>
        <v>Sealaska</v>
      </c>
      <c r="R154" s="452" t="str">
        <f t="array" ref="R154">IFERROR(INDEX(UtilityList!M$4:M$251,MATCH('Table 2.3c'!$A154&amp;'Table 2.3c'!$B154&amp;'Table 2.3c'!$C154,UtilityList!$A$4:$A$251&amp;UtilityList!$B$4:$B$251&amp;UtilityList!$C$4:$C$251,0)),INDEX(UtilityList!M$4:M$251,MATCH('Table 2.3c'!$A154&amp;'Table 2.3c'!$C154,UtilityList!$A$4:$A$251&amp;UtilityList!$C$5:$C$251,0)))</f>
        <v>SE</v>
      </c>
    </row>
    <row r="155" spans="1:19" s="239" customFormat="1" ht="30" x14ac:dyDescent="0.25">
      <c r="A155" s="361" t="s">
        <v>209</v>
      </c>
      <c r="B155" s="361" t="s">
        <v>212</v>
      </c>
      <c r="C155" s="361" t="s">
        <v>211</v>
      </c>
      <c r="D155" s="622" t="s">
        <v>545</v>
      </c>
      <c r="E155" s="622" t="s">
        <v>546</v>
      </c>
      <c r="F155" s="642">
        <v>2603</v>
      </c>
      <c r="G155" s="683">
        <v>294588</v>
      </c>
      <c r="H155" s="681">
        <f t="shared" si="9"/>
        <v>41242.320000000007</v>
      </c>
      <c r="I155" s="683"/>
      <c r="J155" s="683">
        <f t="shared" si="11"/>
        <v>8.8360693578828737</v>
      </c>
      <c r="K155" s="682" t="str">
        <f t="shared" si="10"/>
        <v xml:space="preserve"> </v>
      </c>
      <c r="L155" s="682">
        <v>0.14000000000000001</v>
      </c>
      <c r="M155" s="622" t="s">
        <v>558</v>
      </c>
      <c r="N155" s="627">
        <f t="array" ref="N155">INDEX(UtilityList!Q$4:Q$251,MATCH('Table 2.3c'!$A155&amp;'Table 2.3c'!$B155&amp;'Table 2.3c'!$C155,UtilityList!$A$4:$A$251&amp;UtilityList!$B$4:$B$251&amp;UtilityList!$C$4:$C$251,0))</f>
        <v>0</v>
      </c>
      <c r="O155" s="452" t="str">
        <f t="array" ref="O155">IFERROR(INDEX(UtilityList!J$4:J$251,MATCH('Table 2.3c'!$A155&amp;'Table 2.3c'!$B155&amp;'Table 2.3c'!$C155,UtilityList!$A$4:$A$251&amp;UtilityList!$B$4:$B$251&amp;UtilityList!$C$4:$C$251,0)),INDEX(UtilityList!J$4:J$251,MATCH('Table 2.3c'!$A155&amp;'Table 2.3c'!$C155,UtilityList!$A$4:$A$251&amp;UtilityList!$C$5:$C$251,0)))</f>
        <v>Southeast</v>
      </c>
      <c r="P155" s="452" t="str">
        <f t="array" ref="P155">IFERROR(INDEX(UtilityList!K$4:K$251,MATCH('Table 2.3c'!$A155&amp;'Table 2.3c'!$B155&amp;'Table 2.3c'!$C155,UtilityList!$A$4:$A$251&amp;UtilityList!$B$4:$B$251&amp;UtilityList!$C$4:$C$251,0)),INDEX(UtilityList!K$4:K$251,MATCH('Table 2.3c'!$A155&amp;'Table 2.3c'!$C155,UtilityList!$A$4:$A$251&amp;UtilityList!$C$5:$C$251,0)))</f>
        <v>Ketchikan Gateway</v>
      </c>
      <c r="Q155" s="452" t="str">
        <f t="array" ref="Q155">IFERROR(INDEX(UtilityList!L$4:L$251,MATCH('Table 2.3c'!$A155&amp;'Table 2.3c'!$B155&amp;'Table 2.3c'!$C155,UtilityList!$A$4:$A$251&amp;UtilityList!$B$4:$B$251&amp;UtilityList!$C$4:$C$251,0)),INDEX(UtilityList!L$4:L$251,MATCH('Table 2.3c'!$A155&amp;'Table 2.3c'!$C155,UtilityList!$A$4:$A$251&amp;UtilityList!$C$5:$C$251,0)))</f>
        <v>Sealaska</v>
      </c>
      <c r="R155" s="452" t="str">
        <f t="array" ref="R155">IFERROR(INDEX(UtilityList!M$4:M$251,MATCH('Table 2.3c'!$A155&amp;'Table 2.3c'!$B155&amp;'Table 2.3c'!$C155,UtilityList!$A$4:$A$251&amp;UtilityList!$B$4:$B$251&amp;UtilityList!$C$4:$C$251,0)),INDEX(UtilityList!M$4:M$251,MATCH('Table 2.3c'!$A155&amp;'Table 2.3c'!$C155,UtilityList!$A$4:$A$251&amp;UtilityList!$C$5:$C$251,0)))</f>
        <v>SE</v>
      </c>
    </row>
    <row r="156" spans="1:19" s="63" customFormat="1" ht="30" x14ac:dyDescent="0.25">
      <c r="A156" s="666" t="s">
        <v>215</v>
      </c>
      <c r="B156" s="361" t="s">
        <v>216</v>
      </c>
      <c r="C156" s="654" t="s">
        <v>216</v>
      </c>
      <c r="D156" s="680" t="s">
        <v>545</v>
      </c>
      <c r="E156" s="680" t="s">
        <v>546</v>
      </c>
      <c r="F156" s="681">
        <v>1712.346</v>
      </c>
      <c r="G156" s="682">
        <v>143977</v>
      </c>
      <c r="H156" s="681">
        <f t="shared" si="9"/>
        <v>20156.780000000002</v>
      </c>
      <c r="I156" s="682">
        <v>3.7504917</v>
      </c>
      <c r="J156" s="682">
        <f t="shared" si="11"/>
        <v>11.893191273606201</v>
      </c>
      <c r="K156" s="682">
        <f t="shared" si="10"/>
        <v>0.31534779973842902</v>
      </c>
      <c r="L156" s="682">
        <v>0.14000000000000001</v>
      </c>
      <c r="M156" s="658" t="s">
        <v>356</v>
      </c>
      <c r="N156" s="627">
        <f t="array" ref="N156">INDEX(UtilityList!Q$4:Q$251,MATCH('Table 2.3c'!$A156&amp;'Table 2.3c'!$B156&amp;'Table 2.3c'!$C156,UtilityList!$A$4:$A$251&amp;UtilityList!$B$4:$B$251&amp;UtilityList!$C$4:$C$251,0))</f>
        <v>0</v>
      </c>
      <c r="O156" s="452" t="str">
        <f t="array" ref="O156">IFERROR(INDEX(UtilityList!J$4:J$251,MATCH('Table 2.3c'!$A156&amp;'Table 2.3c'!$B156&amp;'Table 2.3c'!$C156,UtilityList!$A$4:$A$251&amp;UtilityList!$B$4:$B$251&amp;UtilityList!$C$4:$C$251,0)),INDEX(UtilityList!J$4:J$251,MATCH('Table 2.3c'!$A156&amp;'Table 2.3c'!$C156,UtilityList!$A$4:$A$251&amp;UtilityList!$C$5:$C$251,0)))</f>
        <v>Aleutians</v>
      </c>
      <c r="P156" s="452" t="str">
        <f t="array" ref="P156">IFERROR(INDEX(UtilityList!K$4:K$251,MATCH('Table 2.3c'!$A156&amp;'Table 2.3c'!$B156&amp;'Table 2.3c'!$C156,UtilityList!$A$4:$A$251&amp;UtilityList!$B$4:$B$251&amp;UtilityList!$C$4:$C$251,0)),INDEX(UtilityList!K$4:K$251,MATCH('Table 2.3c'!$A156&amp;'Table 2.3c'!$C156,UtilityList!$A$4:$A$251&amp;UtilityList!$C$5:$C$251,0)))</f>
        <v>Aleutians East</v>
      </c>
      <c r="Q156" s="452" t="str">
        <f t="array" ref="Q156">IFERROR(INDEX(UtilityList!L$4:L$251,MATCH('Table 2.3c'!$A156&amp;'Table 2.3c'!$B156&amp;'Table 2.3c'!$C156,UtilityList!$A$4:$A$251&amp;UtilityList!$B$4:$B$251&amp;UtilityList!$C$4:$C$251,0)),INDEX(UtilityList!L$4:L$251,MATCH('Table 2.3c'!$A156&amp;'Table 2.3c'!$C156,UtilityList!$A$4:$A$251&amp;UtilityList!$C$5:$C$251,0)))</f>
        <v>Aleut</v>
      </c>
      <c r="R156" s="452" t="str">
        <f t="array" ref="R156">IFERROR(INDEX(UtilityList!M$4:M$251,MATCH('Table 2.3c'!$A156&amp;'Table 2.3c'!$B156&amp;'Table 2.3c'!$C156,UtilityList!$A$4:$A$251&amp;UtilityList!$B$4:$B$251&amp;UtilityList!$C$4:$C$251,0)),INDEX(UtilityList!M$4:M$251,MATCH('Table 2.3c'!$A156&amp;'Table 2.3c'!$C156,UtilityList!$A$4:$A$251&amp;UtilityList!$C$5:$C$251,0)))</f>
        <v>SW</v>
      </c>
      <c r="S156" s="342"/>
    </row>
    <row r="157" spans="1:19" s="239" customFormat="1" ht="30" x14ac:dyDescent="0.25">
      <c r="A157" s="678" t="s">
        <v>217</v>
      </c>
      <c r="B157" s="361" t="s">
        <v>218</v>
      </c>
      <c r="C157" s="679" t="s">
        <v>218</v>
      </c>
      <c r="D157" s="680" t="s">
        <v>545</v>
      </c>
      <c r="E157" s="680" t="s">
        <v>546</v>
      </c>
      <c r="F157" s="681">
        <v>1583.2080000000001</v>
      </c>
      <c r="G157" s="682">
        <v>154889</v>
      </c>
      <c r="H157" s="681">
        <f t="shared" si="9"/>
        <v>21684.460000000003</v>
      </c>
      <c r="I157" s="682">
        <v>3.6444999999999999</v>
      </c>
      <c r="J157" s="682">
        <f t="shared" si="11"/>
        <v>10.221565120828464</v>
      </c>
      <c r="K157" s="682">
        <f t="shared" si="10"/>
        <v>0.35655009354424688</v>
      </c>
      <c r="L157" s="682">
        <v>0.14000000000000001</v>
      </c>
      <c r="M157" s="658" t="s">
        <v>356</v>
      </c>
      <c r="N157" s="627">
        <f t="array" ref="N157">INDEX(UtilityList!Q$4:Q$251,MATCH('Table 2.3c'!$A157&amp;'Table 2.3c'!$B157&amp;'Table 2.3c'!$C157,UtilityList!$A$4:$A$251&amp;UtilityList!$B$4:$B$251&amp;UtilityList!$C$4:$C$251,0))</f>
        <v>0</v>
      </c>
      <c r="O157" s="452" t="str">
        <f t="array" ref="O157">IFERROR(INDEX(UtilityList!J$4:J$251,MATCH('Table 2.3c'!$A157&amp;'Table 2.3c'!$B157&amp;'Table 2.3c'!$C157,UtilityList!$A$4:$A$251&amp;UtilityList!$B$4:$B$251&amp;UtilityList!$C$4:$C$251,0)),INDEX(UtilityList!J$4:J$251,MATCH('Table 2.3c'!$A157&amp;'Table 2.3c'!$C157,UtilityList!$A$4:$A$251&amp;UtilityList!$C$5:$C$251,0)))</f>
        <v>Lower Yukon-Kuskokwim</v>
      </c>
      <c r="P157" s="452" t="str">
        <f t="array" ref="P157">IFERROR(INDEX(UtilityList!K$4:K$251,MATCH('Table 2.3c'!$A157&amp;'Table 2.3c'!$B157&amp;'Table 2.3c'!$C157,UtilityList!$A$4:$A$251&amp;UtilityList!$B$4:$B$251&amp;UtilityList!$C$4:$C$251,0)),INDEX(UtilityList!K$4:K$251,MATCH('Table 2.3c'!$A157&amp;'Table 2.3c'!$C157,UtilityList!$A$4:$A$251&amp;UtilityList!$C$5:$C$251,0)))</f>
        <v>Bethel (CA)</v>
      </c>
      <c r="Q157" s="452" t="str">
        <f t="array" ref="Q157">IFERROR(INDEX(UtilityList!L$4:L$251,MATCH('Table 2.3c'!$A157&amp;'Table 2.3c'!$B157&amp;'Table 2.3c'!$C157,UtilityList!$A$4:$A$251&amp;UtilityList!$B$4:$B$251&amp;UtilityList!$C$4:$C$251,0)),INDEX(UtilityList!L$4:L$251,MATCH('Table 2.3c'!$A157&amp;'Table 2.3c'!$C157,UtilityList!$A$4:$A$251&amp;UtilityList!$C$5:$C$251,0)))</f>
        <v>Calista</v>
      </c>
      <c r="R157" s="452" t="str">
        <f t="array" ref="R157">IFERROR(INDEX(UtilityList!M$4:M$251,MATCH('Table 2.3c'!$A157&amp;'Table 2.3c'!$B157&amp;'Table 2.3c'!$C157,UtilityList!$A$4:$A$251&amp;UtilityList!$B$4:$B$251&amp;UtilityList!$C$4:$C$251,0)),INDEX(UtilityList!M$4:M$251,MATCH('Table 2.3c'!$A157&amp;'Table 2.3c'!$C157,UtilityList!$A$4:$A$251&amp;UtilityList!$C$5:$C$251,0)))</f>
        <v>SW</v>
      </c>
    </row>
    <row r="158" spans="1:19" s="239" customFormat="1" ht="90" x14ac:dyDescent="0.25">
      <c r="A158" s="678" t="s">
        <v>219</v>
      </c>
      <c r="B158" s="361" t="s">
        <v>220</v>
      </c>
      <c r="C158" s="679" t="s">
        <v>220</v>
      </c>
      <c r="D158" s="680" t="s">
        <v>545</v>
      </c>
      <c r="E158" s="680" t="s">
        <v>546</v>
      </c>
      <c r="F158" s="681">
        <v>0</v>
      </c>
      <c r="G158" s="682">
        <v>0</v>
      </c>
      <c r="H158" s="681">
        <f t="shared" si="9"/>
        <v>0</v>
      </c>
      <c r="I158" s="682">
        <v>0.50674286000000002</v>
      </c>
      <c r="J158" s="682" t="str">
        <f t="shared" si="11"/>
        <v xml:space="preserve"> </v>
      </c>
      <c r="K158" s="682" t="str">
        <f t="shared" si="10"/>
        <v xml:space="preserve"> </v>
      </c>
      <c r="L158" s="682">
        <v>0.14000000000000001</v>
      </c>
      <c r="M158" s="658" t="s">
        <v>356</v>
      </c>
      <c r="N158" s="627" t="str">
        <f t="array" ref="N158">INDEX(UtilityList!Q$4:Q$251,MATCH('Table 2.3c'!$A158&amp;'Table 2.3c'!$B158&amp;'Table 2.3c'!$C158,UtilityList!$A$4:$A$251&amp;UtilityList!$B$4:$B$251&amp;UtilityList!$C$4:$C$251,0))</f>
        <v>Receives power from Shungnak via intertie. For fuel use and cost, please refer to Shungnak. On July 1, 2012, AVEC took over operations in Kobuk.</v>
      </c>
      <c r="O158" s="452" t="str">
        <f t="array" ref="O158">IFERROR(INDEX(UtilityList!J$4:J$251,MATCH('Table 2.3c'!$A158&amp;'Table 2.3c'!$B158&amp;'Table 2.3c'!$C158,UtilityList!$A$4:$A$251&amp;UtilityList!$B$4:$B$251&amp;UtilityList!$C$4:$C$251,0)),INDEX(UtilityList!J$4:J$251,MATCH('Table 2.3c'!$A158&amp;'Table 2.3c'!$C158,UtilityList!$A$4:$A$251&amp;UtilityList!$C$5:$C$251,0)))</f>
        <v>Northwest Arctic</v>
      </c>
      <c r="P158" s="452" t="str">
        <f t="array" ref="P158">IFERROR(INDEX(UtilityList!K$4:K$251,MATCH('Table 2.3c'!$A158&amp;'Table 2.3c'!$B158&amp;'Table 2.3c'!$C158,UtilityList!$A$4:$A$251&amp;UtilityList!$B$4:$B$251&amp;UtilityList!$C$4:$C$251,0)),INDEX(UtilityList!K$4:K$251,MATCH('Table 2.3c'!$A158&amp;'Table 2.3c'!$C158,UtilityList!$A$4:$A$251&amp;UtilityList!$C$5:$C$251,0)))</f>
        <v>Northwest Arctic</v>
      </c>
      <c r="Q158" s="452" t="str">
        <f t="array" ref="Q158">IFERROR(INDEX(UtilityList!L$4:L$251,MATCH('Table 2.3c'!$A158&amp;'Table 2.3c'!$B158&amp;'Table 2.3c'!$C158,UtilityList!$A$4:$A$251&amp;UtilityList!$B$4:$B$251&amp;UtilityList!$C$4:$C$251,0)),INDEX(UtilityList!L$4:L$251,MATCH('Table 2.3c'!$A158&amp;'Table 2.3c'!$C158,UtilityList!$A$4:$A$251&amp;UtilityList!$C$5:$C$251,0)))</f>
        <v>NANA</v>
      </c>
      <c r="R158" s="452" t="str">
        <f t="array" ref="R158">IFERROR(INDEX(UtilityList!M$4:M$251,MATCH('Table 2.3c'!$A158&amp;'Table 2.3c'!$B158&amp;'Table 2.3c'!$C158,UtilityList!$A$4:$A$251&amp;UtilityList!$B$4:$B$251&amp;UtilityList!$C$4:$C$251,0)),INDEX(UtilityList!M$4:M$251,MATCH('Table 2.3c'!$A158&amp;'Table 2.3c'!$C158,UtilityList!$A$4:$A$251&amp;UtilityList!$C$5:$C$251,0)))</f>
        <v>AN</v>
      </c>
    </row>
    <row r="159" spans="1:19" s="239" customFormat="1" ht="30" x14ac:dyDescent="0.25">
      <c r="A159" s="361" t="s">
        <v>221</v>
      </c>
      <c r="B159" s="361" t="s">
        <v>222</v>
      </c>
      <c r="C159" s="361" t="s">
        <v>222</v>
      </c>
      <c r="D159" s="622" t="s">
        <v>545</v>
      </c>
      <c r="E159" s="622" t="s">
        <v>546</v>
      </c>
      <c r="F159" s="642">
        <v>18214</v>
      </c>
      <c r="G159" s="683">
        <v>1296582</v>
      </c>
      <c r="H159" s="681">
        <f t="shared" si="9"/>
        <v>181521.48</v>
      </c>
      <c r="I159" s="683"/>
      <c r="J159" s="683">
        <f t="shared" si="11"/>
        <v>14.047703886063511</v>
      </c>
      <c r="K159" s="682" t="str">
        <f t="shared" si="10"/>
        <v xml:space="preserve"> </v>
      </c>
      <c r="L159" s="682">
        <v>0.14000000000000001</v>
      </c>
      <c r="M159" s="622" t="s">
        <v>558</v>
      </c>
      <c r="N159" s="627">
        <f t="array" ref="N159">INDEX(UtilityList!Q$4:Q$251,MATCH('Table 2.3c'!$A159&amp;'Table 2.3c'!$B159&amp;'Table 2.3c'!$C159,UtilityList!$A$4:$A$251&amp;UtilityList!$B$4:$B$251&amp;UtilityList!$C$4:$C$251,0))</f>
        <v>0</v>
      </c>
      <c r="O159" s="452" t="str">
        <f t="array" ref="O159">IFERROR(INDEX(UtilityList!J$4:J$251,MATCH('Table 2.3c'!$A159&amp;'Table 2.3c'!$B159&amp;'Table 2.3c'!$C159,UtilityList!$A$4:$A$251&amp;UtilityList!$B$4:$B$251&amp;UtilityList!$C$4:$C$251,0)),INDEX(UtilityList!J$4:J$251,MATCH('Table 2.3c'!$A159&amp;'Table 2.3c'!$C159,UtilityList!$A$4:$A$251&amp;UtilityList!$C$5:$C$251,0)))</f>
        <v>Kodiak</v>
      </c>
      <c r="P159" s="452" t="str">
        <f t="array" ref="P159">IFERROR(INDEX(UtilityList!K$4:K$251,MATCH('Table 2.3c'!$A159&amp;'Table 2.3c'!$B159&amp;'Table 2.3c'!$C159,UtilityList!$A$4:$A$251&amp;UtilityList!$B$4:$B$251&amp;UtilityList!$C$4:$C$251,0)),INDEX(UtilityList!K$4:K$251,MATCH('Table 2.3c'!$A159&amp;'Table 2.3c'!$C159,UtilityList!$A$4:$A$251&amp;UtilityList!$C$5:$C$251,0)))</f>
        <v>Kodiak Island</v>
      </c>
      <c r="Q159" s="452" t="str">
        <f t="array" ref="Q159">IFERROR(INDEX(UtilityList!L$4:L$251,MATCH('Table 2.3c'!$A159&amp;'Table 2.3c'!$B159&amp;'Table 2.3c'!$C159,UtilityList!$A$4:$A$251&amp;UtilityList!$B$4:$B$251&amp;UtilityList!$C$4:$C$251,0)),INDEX(UtilityList!L$4:L$251,MATCH('Table 2.3c'!$A159&amp;'Table 2.3c'!$C159,UtilityList!$A$4:$A$251&amp;UtilityList!$C$5:$C$251,0)))</f>
        <v>Koniag</v>
      </c>
      <c r="R159" s="452" t="str">
        <f t="array" ref="R159">IFERROR(INDEX(UtilityList!M$4:M$251,MATCH('Table 2.3c'!$A159&amp;'Table 2.3c'!$B159&amp;'Table 2.3c'!$C159,UtilityList!$A$4:$A$251&amp;UtilityList!$B$4:$B$251&amp;UtilityList!$C$4:$C$251,0)),INDEX(UtilityList!M$4:M$251,MATCH('Table 2.3c'!$A159&amp;'Table 2.3c'!$C159,UtilityList!$A$4:$A$251&amp;UtilityList!$C$5:$C$251,0)))</f>
        <v>SC</v>
      </c>
    </row>
    <row r="160" spans="1:19" s="63" customFormat="1" ht="30" x14ac:dyDescent="0.25">
      <c r="A160" s="361" t="s">
        <v>221</v>
      </c>
      <c r="B160" s="361" t="s">
        <v>223</v>
      </c>
      <c r="C160" s="361" t="s">
        <v>222</v>
      </c>
      <c r="D160" s="622" t="s">
        <v>545</v>
      </c>
      <c r="E160" s="622" t="s">
        <v>546</v>
      </c>
      <c r="F160" s="642">
        <v>3568</v>
      </c>
      <c r="G160" s="683">
        <v>350490</v>
      </c>
      <c r="H160" s="681">
        <f t="shared" si="9"/>
        <v>49068.600000000006</v>
      </c>
      <c r="I160" s="683"/>
      <c r="J160" s="683">
        <f t="shared" si="11"/>
        <v>10.180033667151703</v>
      </c>
      <c r="K160" s="682" t="str">
        <f t="shared" si="10"/>
        <v xml:space="preserve"> </v>
      </c>
      <c r="L160" s="682">
        <v>0.14000000000000001</v>
      </c>
      <c r="M160" s="622" t="s">
        <v>558</v>
      </c>
      <c r="N160" s="627">
        <f t="array" ref="N160">INDEX(UtilityList!Q$4:Q$251,MATCH('Table 2.3c'!$A160&amp;'Table 2.3c'!$B160&amp;'Table 2.3c'!$C160,UtilityList!$A$4:$A$251&amp;UtilityList!$B$4:$B$251&amp;UtilityList!$C$4:$C$251,0))</f>
        <v>0</v>
      </c>
      <c r="O160" s="452" t="str">
        <f t="array" ref="O160">IFERROR(INDEX(UtilityList!J$4:J$251,MATCH('Table 2.3c'!$A160&amp;'Table 2.3c'!$B160&amp;'Table 2.3c'!$C160,UtilityList!$A$4:$A$251&amp;UtilityList!$B$4:$B$251&amp;UtilityList!$C$4:$C$251,0)),INDEX(UtilityList!J$4:J$251,MATCH('Table 2.3c'!$A160&amp;'Table 2.3c'!$C160,UtilityList!$A$4:$A$251&amp;UtilityList!$C$5:$C$251,0)))</f>
        <v>Kodiak</v>
      </c>
      <c r="P160" s="452" t="str">
        <f t="array" ref="P160">IFERROR(INDEX(UtilityList!K$4:K$251,MATCH('Table 2.3c'!$A160&amp;'Table 2.3c'!$B160&amp;'Table 2.3c'!$C160,UtilityList!$A$4:$A$251&amp;UtilityList!$B$4:$B$251&amp;UtilityList!$C$4:$C$251,0)),INDEX(UtilityList!K$4:K$251,MATCH('Table 2.3c'!$A160&amp;'Table 2.3c'!$C160,UtilityList!$A$4:$A$251&amp;UtilityList!$C$5:$C$251,0)))</f>
        <v>Kodiak Island</v>
      </c>
      <c r="Q160" s="452" t="str">
        <f t="array" ref="Q160">IFERROR(INDEX(UtilityList!L$4:L$251,MATCH('Table 2.3c'!$A160&amp;'Table 2.3c'!$B160&amp;'Table 2.3c'!$C160,UtilityList!$A$4:$A$251&amp;UtilityList!$B$4:$B$251&amp;UtilityList!$C$4:$C$251,0)),INDEX(UtilityList!L$4:L$251,MATCH('Table 2.3c'!$A160&amp;'Table 2.3c'!$C160,UtilityList!$A$4:$A$251&amp;UtilityList!$C$5:$C$251,0)))</f>
        <v>Koniag</v>
      </c>
      <c r="R160" s="452" t="str">
        <f t="array" ref="R160">IFERROR(INDEX(UtilityList!M$4:M$251,MATCH('Table 2.3c'!$A160&amp;'Table 2.3c'!$B160&amp;'Table 2.3c'!$C160,UtilityList!$A$4:$A$251&amp;UtilityList!$B$4:$B$251&amp;UtilityList!$C$4:$C$251,0)),INDEX(UtilityList!M$4:M$251,MATCH('Table 2.3c'!$A160&amp;'Table 2.3c'!$C160,UtilityList!$A$4:$A$251&amp;UtilityList!$C$5:$C$251,0)))</f>
        <v>SC</v>
      </c>
      <c r="S160" s="342"/>
    </row>
    <row r="161" spans="1:19" s="63" customFormat="1" ht="30" x14ac:dyDescent="0.25">
      <c r="A161" s="361" t="s">
        <v>221</v>
      </c>
      <c r="B161" s="361" t="s">
        <v>226</v>
      </c>
      <c r="C161" s="361" t="s">
        <v>222</v>
      </c>
      <c r="D161" s="622" t="s">
        <v>545</v>
      </c>
      <c r="E161" s="622" t="s">
        <v>546</v>
      </c>
      <c r="F161" s="642">
        <v>70</v>
      </c>
      <c r="G161" s="683">
        <v>6510</v>
      </c>
      <c r="H161" s="681">
        <f t="shared" si="9"/>
        <v>911.40000000000009</v>
      </c>
      <c r="I161" s="683"/>
      <c r="J161" s="683">
        <f t="shared" si="11"/>
        <v>10.75268817204301</v>
      </c>
      <c r="K161" s="682" t="str">
        <f t="shared" si="10"/>
        <v xml:space="preserve"> </v>
      </c>
      <c r="L161" s="682">
        <v>0.14000000000000001</v>
      </c>
      <c r="M161" s="622" t="s">
        <v>558</v>
      </c>
      <c r="N161" s="627">
        <f t="array" ref="N161">INDEX(UtilityList!Q$4:Q$251,MATCH('Table 2.3c'!$A161&amp;'Table 2.3c'!$B161&amp;'Table 2.3c'!$C161,UtilityList!$A$4:$A$251&amp;UtilityList!$B$4:$B$251&amp;UtilityList!$C$4:$C$251,0))</f>
        <v>0</v>
      </c>
      <c r="O161" s="452" t="str">
        <f t="array" ref="O161">IFERROR(INDEX(UtilityList!J$4:J$251,MATCH('Table 2.3c'!$A161&amp;'Table 2.3c'!$B161&amp;'Table 2.3c'!$C161,UtilityList!$A$4:$A$251&amp;UtilityList!$B$4:$B$251&amp;UtilityList!$C$4:$C$251,0)),INDEX(UtilityList!J$4:J$251,MATCH('Table 2.3c'!$A161&amp;'Table 2.3c'!$C161,UtilityList!$A$4:$A$251&amp;UtilityList!$C$5:$C$251,0)))</f>
        <v>Kodiak</v>
      </c>
      <c r="P161" s="452" t="str">
        <f t="array" ref="P161">IFERROR(INDEX(UtilityList!K$4:K$251,MATCH('Table 2.3c'!$A161&amp;'Table 2.3c'!$B161&amp;'Table 2.3c'!$C161,UtilityList!$A$4:$A$251&amp;UtilityList!$B$4:$B$251&amp;UtilityList!$C$4:$C$251,0)),INDEX(UtilityList!K$4:K$251,MATCH('Table 2.3c'!$A161&amp;'Table 2.3c'!$C161,UtilityList!$A$4:$A$251&amp;UtilityList!$C$5:$C$251,0)))</f>
        <v>Kodiak Island</v>
      </c>
      <c r="Q161" s="452" t="str">
        <f t="array" ref="Q161">IFERROR(INDEX(UtilityList!L$4:L$251,MATCH('Table 2.3c'!$A161&amp;'Table 2.3c'!$B161&amp;'Table 2.3c'!$C161,UtilityList!$A$4:$A$251&amp;UtilityList!$B$4:$B$251&amp;UtilityList!$C$4:$C$251,0)),INDEX(UtilityList!L$4:L$251,MATCH('Table 2.3c'!$A161&amp;'Table 2.3c'!$C161,UtilityList!$A$4:$A$251&amp;UtilityList!$C$5:$C$251,0)))</f>
        <v>Koniag</v>
      </c>
      <c r="R161" s="452" t="str">
        <f t="array" ref="R161">IFERROR(INDEX(UtilityList!M$4:M$251,MATCH('Table 2.3c'!$A161&amp;'Table 2.3c'!$B161&amp;'Table 2.3c'!$C161,UtilityList!$A$4:$A$251&amp;UtilityList!$B$4:$B$251&amp;UtilityList!$C$4:$C$251,0)),INDEX(UtilityList!M$4:M$251,MATCH('Table 2.3c'!$A161&amp;'Table 2.3c'!$C161,UtilityList!$A$4:$A$251&amp;UtilityList!$C$5:$C$251,0)))</f>
        <v>SC</v>
      </c>
    </row>
    <row r="162" spans="1:19" s="63" customFormat="1" ht="30" x14ac:dyDescent="0.25">
      <c r="A162" s="678" t="s">
        <v>227</v>
      </c>
      <c r="B162" s="361" t="s">
        <v>228</v>
      </c>
      <c r="C162" s="679" t="s">
        <v>228</v>
      </c>
      <c r="D162" s="680" t="s">
        <v>545</v>
      </c>
      <c r="E162" s="680" t="s">
        <v>546</v>
      </c>
      <c r="F162" s="681">
        <v>406.92200000000003</v>
      </c>
      <c r="G162" s="682">
        <v>39090</v>
      </c>
      <c r="H162" s="681">
        <f t="shared" si="9"/>
        <v>5472.6</v>
      </c>
      <c r="I162" s="682">
        <v>5.140225</v>
      </c>
      <c r="J162" s="682">
        <f t="shared" si="11"/>
        <v>10.409874648247634</v>
      </c>
      <c r="K162" s="682">
        <f t="shared" si="10"/>
        <v>0.49378356355763514</v>
      </c>
      <c r="L162" s="682">
        <v>0.14000000000000001</v>
      </c>
      <c r="M162" s="658" t="s">
        <v>356</v>
      </c>
      <c r="N162" s="627">
        <f t="array" ref="N162">INDEX(UtilityList!Q$4:Q$251,MATCH('Table 2.3c'!$A162&amp;'Table 2.3c'!$B162&amp;'Table 2.3c'!$C162,UtilityList!$A$4:$A$251&amp;UtilityList!$B$4:$B$251&amp;UtilityList!$C$4:$C$251,0))</f>
        <v>0</v>
      </c>
      <c r="O162" s="452" t="str">
        <f t="array" ref="O162">IFERROR(INDEX(UtilityList!J$4:J$251,MATCH('Table 2.3c'!$A162&amp;'Table 2.3c'!$B162&amp;'Table 2.3c'!$C162,UtilityList!$A$4:$A$251&amp;UtilityList!$B$4:$B$251&amp;UtilityList!$C$4:$C$251,0)),INDEX(UtilityList!J$4:J$251,MATCH('Table 2.3c'!$A162&amp;'Table 2.3c'!$C162,UtilityList!$A$4:$A$251&amp;UtilityList!$C$5:$C$251,0)))</f>
        <v>Bristol Bay</v>
      </c>
      <c r="P162" s="452" t="str">
        <f t="array" ref="P162">IFERROR(INDEX(UtilityList!K$4:K$251,MATCH('Table 2.3c'!$A162&amp;'Table 2.3c'!$B162&amp;'Table 2.3c'!$C162,UtilityList!$A$4:$A$251&amp;UtilityList!$B$4:$B$251&amp;UtilityList!$C$4:$C$251,0)),INDEX(UtilityList!K$4:K$251,MATCH('Table 2.3c'!$A162&amp;'Table 2.3c'!$C162,UtilityList!$A$4:$A$251&amp;UtilityList!$C$5:$C$251,0)))</f>
        <v>Lake and Peninsula</v>
      </c>
      <c r="Q162" s="452" t="str">
        <f t="array" ref="Q162">IFERROR(INDEX(UtilityList!L$4:L$251,MATCH('Table 2.3c'!$A162&amp;'Table 2.3c'!$B162&amp;'Table 2.3c'!$C162,UtilityList!$A$4:$A$251&amp;UtilityList!$B$4:$B$251&amp;UtilityList!$C$4:$C$251,0)),INDEX(UtilityList!L$4:L$251,MATCH('Table 2.3c'!$A162&amp;'Table 2.3c'!$C162,UtilityList!$A$4:$A$251&amp;UtilityList!$C$5:$C$251,0)))</f>
        <v>Bristol Bay</v>
      </c>
      <c r="R162" s="452" t="str">
        <f t="array" ref="R162">IFERROR(INDEX(UtilityList!M$4:M$251,MATCH('Table 2.3c'!$A162&amp;'Table 2.3c'!$B162&amp;'Table 2.3c'!$C162,UtilityList!$A$4:$A$251&amp;UtilityList!$B$4:$B$251&amp;UtilityList!$C$4:$C$251,0)),INDEX(UtilityList!M$4:M$251,MATCH('Table 2.3c'!$A162&amp;'Table 2.3c'!$C162,UtilityList!$A$4:$A$251&amp;UtilityList!$C$5:$C$251,0)))</f>
        <v>SW</v>
      </c>
      <c r="S162" s="342"/>
    </row>
    <row r="163" spans="1:19" s="239" customFormat="1" ht="45" x14ac:dyDescent="0.25">
      <c r="A163" s="678" t="s">
        <v>229</v>
      </c>
      <c r="B163" s="361" t="s">
        <v>230</v>
      </c>
      <c r="C163" s="679" t="s">
        <v>230</v>
      </c>
      <c r="D163" s="680" t="s">
        <v>545</v>
      </c>
      <c r="E163" s="680" t="s">
        <v>546</v>
      </c>
      <c r="F163" s="681">
        <v>20300</v>
      </c>
      <c r="G163" s="682">
        <v>1417074</v>
      </c>
      <c r="H163" s="681">
        <f t="shared" si="9"/>
        <v>198390.36000000002</v>
      </c>
      <c r="I163" s="682">
        <v>3.1507082999999998</v>
      </c>
      <c r="J163" s="682">
        <f t="shared" si="11"/>
        <v>14.325292821687505</v>
      </c>
      <c r="K163" s="682">
        <f t="shared" si="10"/>
        <v>0.2199402371189261</v>
      </c>
      <c r="L163" s="682">
        <v>0.14000000000000001</v>
      </c>
      <c r="M163" s="658" t="s">
        <v>356</v>
      </c>
      <c r="N163" s="627">
        <f t="array" ref="N163">INDEX(UtilityList!Q$4:Q$251,MATCH('Table 2.3c'!$A163&amp;'Table 2.3c'!$B163&amp;'Table 2.3c'!$C163,UtilityList!$A$4:$A$251&amp;UtilityList!$B$4:$B$251&amp;UtilityList!$C$4:$C$251,0))</f>
        <v>0</v>
      </c>
      <c r="O163" s="452" t="str">
        <f t="array" ref="O163">IFERROR(INDEX(UtilityList!J$4:J$251,MATCH('Table 2.3c'!$A163&amp;'Table 2.3c'!$B163&amp;'Table 2.3c'!$C163,UtilityList!$A$4:$A$251&amp;UtilityList!$B$4:$B$251&amp;UtilityList!$C$4:$C$251,0)),INDEX(UtilityList!J$4:J$251,MATCH('Table 2.3c'!$A163&amp;'Table 2.3c'!$C163,UtilityList!$A$4:$A$251&amp;UtilityList!$C$5:$C$251,0)))</f>
        <v>Northwest Arctic</v>
      </c>
      <c r="P163" s="452" t="str">
        <f t="array" ref="P163">IFERROR(INDEX(UtilityList!K$4:K$251,MATCH('Table 2.3c'!$A163&amp;'Table 2.3c'!$B163&amp;'Table 2.3c'!$C163,UtilityList!$A$4:$A$251&amp;UtilityList!$B$4:$B$251&amp;UtilityList!$C$4:$C$251,0)),INDEX(UtilityList!K$4:K$251,MATCH('Table 2.3c'!$A163&amp;'Table 2.3c'!$C163,UtilityList!$A$4:$A$251&amp;UtilityList!$C$5:$C$251,0)))</f>
        <v>Northwest Arctic</v>
      </c>
      <c r="Q163" s="452" t="str">
        <f t="array" ref="Q163">IFERROR(INDEX(UtilityList!L$4:L$251,MATCH('Table 2.3c'!$A163&amp;'Table 2.3c'!$B163&amp;'Table 2.3c'!$C163,UtilityList!$A$4:$A$251&amp;UtilityList!$B$4:$B$251&amp;UtilityList!$C$4:$C$251,0)),INDEX(UtilityList!L$4:L$251,MATCH('Table 2.3c'!$A163&amp;'Table 2.3c'!$C163,UtilityList!$A$4:$A$251&amp;UtilityList!$C$5:$C$251,0)))</f>
        <v>NANA</v>
      </c>
      <c r="R163" s="452" t="str">
        <f t="array" ref="R163">IFERROR(INDEX(UtilityList!M$4:M$251,MATCH('Table 2.3c'!$A163&amp;'Table 2.3c'!$B163&amp;'Table 2.3c'!$C163,UtilityList!$A$4:$A$251&amp;UtilityList!$B$4:$B$251&amp;UtilityList!$C$4:$C$251,0)),INDEX(UtilityList!M$4:M$251,MATCH('Table 2.3c'!$A163&amp;'Table 2.3c'!$C163,UtilityList!$A$4:$A$251&amp;UtilityList!$C$5:$C$251,0)))</f>
        <v>AN</v>
      </c>
    </row>
    <row r="164" spans="1:19" s="239" customFormat="1" ht="30" x14ac:dyDescent="0.25">
      <c r="A164" s="678" t="s">
        <v>231</v>
      </c>
      <c r="B164" s="361" t="s">
        <v>232</v>
      </c>
      <c r="C164" s="679" t="s">
        <v>232</v>
      </c>
      <c r="D164" s="680" t="s">
        <v>545</v>
      </c>
      <c r="E164" s="680" t="s">
        <v>546</v>
      </c>
      <c r="F164" s="681">
        <v>314.14699999999999</v>
      </c>
      <c r="G164" s="682">
        <v>32927</v>
      </c>
      <c r="H164" s="681">
        <f t="shared" si="9"/>
        <v>4609.7800000000007</v>
      </c>
      <c r="I164" s="682">
        <v>3.3166000000000002</v>
      </c>
      <c r="J164" s="682">
        <f t="shared" si="11"/>
        <v>9.5407112703860051</v>
      </c>
      <c r="K164" s="682">
        <f t="shared" si="10"/>
        <v>0.347626073780746</v>
      </c>
      <c r="L164" s="682">
        <v>0.14000000000000001</v>
      </c>
      <c r="M164" s="658" t="s">
        <v>356</v>
      </c>
      <c r="N164" s="627">
        <f t="array" ref="N164">INDEX(UtilityList!Q$4:Q$251,MATCH('Table 2.3c'!$A164&amp;'Table 2.3c'!$B164&amp;'Table 2.3c'!$C164,UtilityList!$A$4:$A$251&amp;UtilityList!$B$4:$B$251&amp;UtilityList!$C$4:$C$251,0))</f>
        <v>0</v>
      </c>
      <c r="O164" s="452" t="str">
        <f t="array" ref="O164">IFERROR(INDEX(UtilityList!J$4:J$251,MATCH('Table 2.3c'!$A164&amp;'Table 2.3c'!$B164&amp;'Table 2.3c'!$C164,UtilityList!$A$4:$A$251&amp;UtilityList!$B$4:$B$251&amp;UtilityList!$C$4:$C$251,0)),INDEX(UtilityList!J$4:J$251,MATCH('Table 2.3c'!$A164&amp;'Table 2.3c'!$C164,UtilityList!$A$4:$A$251&amp;UtilityList!$C$5:$C$251,0)))</f>
        <v>Yukon-Koyukuk/Upper Tanana</v>
      </c>
      <c r="P164" s="452" t="str">
        <f t="array" ref="P164">IFERROR(INDEX(UtilityList!K$4:K$251,MATCH('Table 2.3c'!$A164&amp;'Table 2.3c'!$B164&amp;'Table 2.3c'!$C164,UtilityList!$A$4:$A$251&amp;UtilityList!$B$4:$B$251&amp;UtilityList!$C$4:$C$251,0)),INDEX(UtilityList!K$4:K$251,MATCH('Table 2.3c'!$A164&amp;'Table 2.3c'!$C164,UtilityList!$A$4:$A$251&amp;UtilityList!$C$5:$C$251,0)))</f>
        <v>Yukon-Koyukuk (CA)</v>
      </c>
      <c r="Q164" s="452" t="str">
        <f t="array" ref="Q164">IFERROR(INDEX(UtilityList!L$4:L$251,MATCH('Table 2.3c'!$A164&amp;'Table 2.3c'!$B164&amp;'Table 2.3c'!$C164,UtilityList!$A$4:$A$251&amp;UtilityList!$B$4:$B$251&amp;UtilityList!$C$4:$C$251,0)),INDEX(UtilityList!L$4:L$251,MATCH('Table 2.3c'!$A164&amp;'Table 2.3c'!$C164,UtilityList!$A$4:$A$251&amp;UtilityList!$C$5:$C$251,0)))</f>
        <v>Doyon</v>
      </c>
      <c r="R164" s="452" t="str">
        <f t="array" ref="R164">IFERROR(INDEX(UtilityList!M$4:M$251,MATCH('Table 2.3c'!$A164&amp;'Table 2.3c'!$B164&amp;'Table 2.3c'!$C164,UtilityList!$A$4:$A$251&amp;UtilityList!$B$4:$B$251&amp;UtilityList!$C$4:$C$251,0)),INDEX(UtilityList!M$4:M$251,MATCH('Table 2.3c'!$A164&amp;'Table 2.3c'!$C164,UtilityList!$A$4:$A$251&amp;UtilityList!$C$5:$C$251,0)))</f>
        <v>YU</v>
      </c>
      <c r="S164" s="344"/>
    </row>
    <row r="165" spans="1:19" s="239" customFormat="1" ht="30" x14ac:dyDescent="0.25">
      <c r="A165" s="678" t="s">
        <v>233</v>
      </c>
      <c r="B165" s="361" t="s">
        <v>234</v>
      </c>
      <c r="C165" s="679" t="s">
        <v>234</v>
      </c>
      <c r="D165" s="680" t="s">
        <v>545</v>
      </c>
      <c r="E165" s="680" t="s">
        <v>546</v>
      </c>
      <c r="F165" s="681">
        <v>1377.5930000000001</v>
      </c>
      <c r="G165" s="682">
        <v>102428</v>
      </c>
      <c r="H165" s="681">
        <f t="shared" si="9"/>
        <v>14339.920000000002</v>
      </c>
      <c r="I165" s="682">
        <v>3.4605999999999999</v>
      </c>
      <c r="J165" s="682">
        <f t="shared" si="11"/>
        <v>13.449379076033898</v>
      </c>
      <c r="K165" s="682">
        <f t="shared" si="10"/>
        <v>0.25730555889874585</v>
      </c>
      <c r="L165" s="682">
        <v>0.14000000000000001</v>
      </c>
      <c r="M165" s="658" t="s">
        <v>356</v>
      </c>
      <c r="N165" s="627">
        <f t="array" ref="N165">INDEX(UtilityList!Q$4:Q$251,MATCH('Table 2.3c'!$A165&amp;'Table 2.3c'!$B165&amp;'Table 2.3c'!$C165,UtilityList!$A$4:$A$251&amp;UtilityList!$B$4:$B$251&amp;UtilityList!$C$4:$C$251,0))</f>
        <v>0</v>
      </c>
      <c r="O165" s="452" t="str">
        <f t="array" ref="O165">IFERROR(INDEX(UtilityList!J$4:J$251,MATCH('Table 2.3c'!$A165&amp;'Table 2.3c'!$B165&amp;'Table 2.3c'!$C165,UtilityList!$A$4:$A$251&amp;UtilityList!$B$4:$B$251&amp;UtilityList!$C$4:$C$251,0)),INDEX(UtilityList!J$4:J$251,MATCH('Table 2.3c'!$A165&amp;'Table 2.3c'!$C165,UtilityList!$A$4:$A$251&amp;UtilityList!$C$5:$C$251,0)))</f>
        <v>Lower Yukon-Kuskokwim</v>
      </c>
      <c r="P165" s="452" t="str">
        <f t="array" ref="P165">IFERROR(INDEX(UtilityList!K$4:K$251,MATCH('Table 2.3c'!$A165&amp;'Table 2.3c'!$B165&amp;'Table 2.3c'!$C165,UtilityList!$A$4:$A$251&amp;UtilityList!$B$4:$B$251&amp;UtilityList!$C$4:$C$251,0)),INDEX(UtilityList!K$4:K$251,MATCH('Table 2.3c'!$A165&amp;'Table 2.3c'!$C165,UtilityList!$A$4:$A$251&amp;UtilityList!$C$5:$C$251,0)))</f>
        <v>Bethel (CA)</v>
      </c>
      <c r="Q165" s="452" t="str">
        <f t="array" ref="Q165">IFERROR(INDEX(UtilityList!L$4:L$251,MATCH('Table 2.3c'!$A165&amp;'Table 2.3c'!$B165&amp;'Table 2.3c'!$C165,UtilityList!$A$4:$A$251&amp;UtilityList!$B$4:$B$251&amp;UtilityList!$C$4:$C$251,0)),INDEX(UtilityList!L$4:L$251,MATCH('Table 2.3c'!$A165&amp;'Table 2.3c'!$C165,UtilityList!$A$4:$A$251&amp;UtilityList!$C$5:$C$251,0)))</f>
        <v>Calista</v>
      </c>
      <c r="R165" s="452" t="str">
        <f t="array" ref="R165">IFERROR(INDEX(UtilityList!M$4:M$251,MATCH('Table 2.3c'!$A165&amp;'Table 2.3c'!$B165&amp;'Table 2.3c'!$C165,UtilityList!$A$4:$A$251&amp;UtilityList!$B$4:$B$251&amp;UtilityList!$C$4:$C$251,0)),INDEX(UtilityList!M$4:M$251,MATCH('Table 2.3c'!$A165&amp;'Table 2.3c'!$C165,UtilityList!$A$4:$A$251&amp;UtilityList!$C$5:$C$251,0)))</f>
        <v>SW</v>
      </c>
    </row>
    <row r="166" spans="1:19" s="239" customFormat="1" ht="30" x14ac:dyDescent="0.25">
      <c r="A166" s="678" t="s">
        <v>641</v>
      </c>
      <c r="B166" s="361" t="s">
        <v>235</v>
      </c>
      <c r="C166" s="679" t="s">
        <v>235</v>
      </c>
      <c r="D166" s="680" t="s">
        <v>545</v>
      </c>
      <c r="E166" s="680" t="s">
        <v>546</v>
      </c>
      <c r="F166" s="681">
        <v>1168.2660000000001</v>
      </c>
      <c r="G166" s="682">
        <v>84078</v>
      </c>
      <c r="H166" s="681">
        <f t="shared" si="9"/>
        <v>11770.920000000002</v>
      </c>
      <c r="I166" s="682">
        <v>4.0582500000000001</v>
      </c>
      <c r="J166" s="682">
        <f t="shared" si="11"/>
        <v>13.895026047241847</v>
      </c>
      <c r="K166" s="682">
        <f t="shared" si="10"/>
        <v>0.29206494368577018</v>
      </c>
      <c r="L166" s="682">
        <v>0.14000000000000001</v>
      </c>
      <c r="M166" s="658" t="s">
        <v>356</v>
      </c>
      <c r="N166" s="627">
        <f t="array" ref="N166">INDEX(UtilityList!Q$4:Q$251,MATCH('Table 2.3c'!$A166&amp;'Table 2.3c'!$B166&amp;'Table 2.3c'!$C166,UtilityList!$A$4:$A$251&amp;UtilityList!$B$4:$B$251&amp;UtilityList!$C$4:$C$251,0))</f>
        <v>0</v>
      </c>
      <c r="O166" s="452" t="str">
        <f t="array" ref="O166">IFERROR(INDEX(UtilityList!J$4:J$251,MATCH('Table 2.3c'!$A166&amp;'Table 2.3c'!$B166&amp;'Table 2.3c'!$C166,UtilityList!$A$4:$A$251&amp;UtilityList!$B$4:$B$251&amp;UtilityList!$C$4:$C$251,0)),INDEX(UtilityList!J$4:J$251,MATCH('Table 2.3c'!$A166&amp;'Table 2.3c'!$C166,UtilityList!$A$4:$A$251&amp;UtilityList!$C$5:$C$251,0)))</f>
        <v>Lower Yukon-Kuskokwim</v>
      </c>
      <c r="P166" s="452" t="str">
        <f t="array" ref="P166">IFERROR(INDEX(UtilityList!K$4:K$251,MATCH('Table 2.3c'!$A166&amp;'Table 2.3c'!$B166&amp;'Table 2.3c'!$C166,UtilityList!$A$4:$A$251&amp;UtilityList!$B$4:$B$251&amp;UtilityList!$C$4:$C$251,0)),INDEX(UtilityList!K$4:K$251,MATCH('Table 2.3c'!$A166&amp;'Table 2.3c'!$C166,UtilityList!$A$4:$A$251&amp;UtilityList!$C$5:$C$251,0)))</f>
        <v>Bethel (CA)</v>
      </c>
      <c r="Q166" s="452" t="str">
        <f t="array" ref="Q166">IFERROR(INDEX(UtilityList!L$4:L$251,MATCH('Table 2.3c'!$A166&amp;'Table 2.3c'!$B166&amp;'Table 2.3c'!$C166,UtilityList!$A$4:$A$251&amp;UtilityList!$B$4:$B$251&amp;UtilityList!$C$4:$C$251,0)),INDEX(UtilityList!L$4:L$251,MATCH('Table 2.3c'!$A166&amp;'Table 2.3c'!$C166,UtilityList!$A$4:$A$251&amp;UtilityList!$C$5:$C$251,0)))</f>
        <v>Calista</v>
      </c>
      <c r="R166" s="452" t="str">
        <f t="array" ref="R166">IFERROR(INDEX(UtilityList!M$4:M$251,MATCH('Table 2.3c'!$A166&amp;'Table 2.3c'!$B166&amp;'Table 2.3c'!$C166,UtilityList!$A$4:$A$251&amp;UtilityList!$B$4:$B$251&amp;UtilityList!$C$4:$C$251,0)),INDEX(UtilityList!M$4:M$251,MATCH('Table 2.3c'!$A166&amp;'Table 2.3c'!$C166,UtilityList!$A$4:$A$251&amp;UtilityList!$C$5:$C$251,0)))</f>
        <v>SW</v>
      </c>
    </row>
    <row r="167" spans="1:19" s="239" customFormat="1" ht="30" x14ac:dyDescent="0.25">
      <c r="A167" s="678" t="s">
        <v>236</v>
      </c>
      <c r="B167" s="361" t="s">
        <v>237</v>
      </c>
      <c r="C167" s="654" t="s">
        <v>237</v>
      </c>
      <c r="D167" s="680" t="s">
        <v>545</v>
      </c>
      <c r="E167" s="680" t="s">
        <v>546</v>
      </c>
      <c r="F167" s="681">
        <v>159.17355000000001</v>
      </c>
      <c r="G167" s="682">
        <v>14340.001200000001</v>
      </c>
      <c r="H167" s="681">
        <f t="shared" si="9"/>
        <v>2007.6001680000002</v>
      </c>
      <c r="I167" s="682">
        <v>3.7065545000000002</v>
      </c>
      <c r="J167" s="682">
        <f t="shared" si="11"/>
        <v>11.099967690379273</v>
      </c>
      <c r="K167" s="682">
        <f t="shared" si="10"/>
        <v>0.33392480080933923</v>
      </c>
      <c r="L167" s="682">
        <v>0.14000000000000001</v>
      </c>
      <c r="M167" s="658" t="s">
        <v>356</v>
      </c>
      <c r="N167" s="627">
        <f t="array" ref="N167">INDEX(UtilityList!Q$4:Q$251,MATCH('Table 2.3c'!$A167&amp;'Table 2.3c'!$B167&amp;'Table 2.3c'!$C167,UtilityList!$A$4:$A$251&amp;UtilityList!$B$4:$B$251&amp;UtilityList!$C$4:$C$251,0))</f>
        <v>0</v>
      </c>
      <c r="O167" s="452" t="str">
        <f t="array" ref="O167">IFERROR(INDEX(UtilityList!J$4:J$251,MATCH('Table 2.3c'!$A167&amp;'Table 2.3c'!$B167&amp;'Table 2.3c'!$C167,UtilityList!$A$4:$A$251&amp;UtilityList!$B$4:$B$251&amp;UtilityList!$C$4:$C$251,0)),INDEX(UtilityList!J$4:J$251,MATCH('Table 2.3c'!$A167&amp;'Table 2.3c'!$C167,UtilityList!$A$4:$A$251&amp;UtilityList!$C$5:$C$251,0)))</f>
        <v>Kodiak</v>
      </c>
      <c r="P167" s="452" t="str">
        <f t="array" ref="P167">IFERROR(INDEX(UtilityList!K$4:K$251,MATCH('Table 2.3c'!$A167&amp;'Table 2.3c'!$B167&amp;'Table 2.3c'!$C167,UtilityList!$A$4:$A$251&amp;UtilityList!$B$4:$B$251&amp;UtilityList!$C$4:$C$251,0)),INDEX(UtilityList!K$4:K$251,MATCH('Table 2.3c'!$A167&amp;'Table 2.3c'!$C167,UtilityList!$A$4:$A$251&amp;UtilityList!$C$5:$C$251,0)))</f>
        <v>Kodiak Island</v>
      </c>
      <c r="Q167" s="452" t="str">
        <f t="array" ref="Q167">IFERROR(INDEX(UtilityList!L$4:L$251,MATCH('Table 2.3c'!$A167&amp;'Table 2.3c'!$B167&amp;'Table 2.3c'!$C167,UtilityList!$A$4:$A$251&amp;UtilityList!$B$4:$B$251&amp;UtilityList!$C$4:$C$251,0)),INDEX(UtilityList!L$4:L$251,MATCH('Table 2.3c'!$A167&amp;'Table 2.3c'!$C167,UtilityList!$A$4:$A$251&amp;UtilityList!$C$5:$C$251,0)))</f>
        <v>Koniag</v>
      </c>
      <c r="R167" s="452" t="str">
        <f t="array" ref="R167">IFERROR(INDEX(UtilityList!M$4:M$251,MATCH('Table 2.3c'!$A167&amp;'Table 2.3c'!$B167&amp;'Table 2.3c'!$C167,UtilityList!$A$4:$A$251&amp;UtilityList!$B$4:$B$251&amp;UtilityList!$C$4:$C$251,0)),INDEX(UtilityList!M$4:M$251,MATCH('Table 2.3c'!$A167&amp;'Table 2.3c'!$C167,UtilityList!$A$4:$A$251&amp;UtilityList!$C$5:$C$251,0)))</f>
        <v>SC</v>
      </c>
    </row>
    <row r="168" spans="1:19" s="239" customFormat="1" ht="30" x14ac:dyDescent="0.25">
      <c r="A168" s="678" t="s">
        <v>238</v>
      </c>
      <c r="B168" s="361" t="s">
        <v>239</v>
      </c>
      <c r="C168" s="679" t="s">
        <v>239</v>
      </c>
      <c r="D168" s="680" t="s">
        <v>545</v>
      </c>
      <c r="E168" s="680" t="s">
        <v>546</v>
      </c>
      <c r="F168" s="681">
        <v>472.11799999999999</v>
      </c>
      <c r="G168" s="682">
        <v>42434</v>
      </c>
      <c r="H168" s="681">
        <f t="shared" si="9"/>
        <v>5940.76</v>
      </c>
      <c r="I168" s="682">
        <v>3.7319917</v>
      </c>
      <c r="J168" s="682">
        <f t="shared" si="11"/>
        <v>11.125936748833482</v>
      </c>
      <c r="K168" s="682">
        <f t="shared" si="10"/>
        <v>0.33543168402348567</v>
      </c>
      <c r="L168" s="682">
        <v>0.14000000000000001</v>
      </c>
      <c r="M168" s="658" t="s">
        <v>356</v>
      </c>
      <c r="N168" s="627">
        <f t="array" ref="N168">INDEX(UtilityList!Q$4:Q$251,MATCH('Table 2.3c'!$A168&amp;'Table 2.3c'!$B168&amp;'Table 2.3c'!$C168,UtilityList!$A$4:$A$251&amp;UtilityList!$B$4:$B$251&amp;UtilityList!$C$4:$C$251,0))</f>
        <v>0</v>
      </c>
      <c r="O168" s="452" t="str">
        <f t="array" ref="O168">IFERROR(INDEX(UtilityList!J$4:J$251,MATCH('Table 2.3c'!$A168&amp;'Table 2.3c'!$B168&amp;'Table 2.3c'!$C168,UtilityList!$A$4:$A$251&amp;UtilityList!$B$4:$B$251&amp;UtilityList!$C$4:$C$251,0)),INDEX(UtilityList!J$4:J$251,MATCH('Table 2.3c'!$A168&amp;'Table 2.3c'!$C168,UtilityList!$A$4:$A$251&amp;UtilityList!$C$5:$C$251,0)))</f>
        <v>Bristol Bay</v>
      </c>
      <c r="P168" s="452" t="str">
        <f t="array" ref="P168">IFERROR(INDEX(UtilityList!K$4:K$251,MATCH('Table 2.3c'!$A168&amp;'Table 2.3c'!$B168&amp;'Table 2.3c'!$C168,UtilityList!$A$4:$A$251&amp;UtilityList!$B$4:$B$251&amp;UtilityList!$C$4:$C$251,0)),INDEX(UtilityList!K$4:K$251,MATCH('Table 2.3c'!$A168&amp;'Table 2.3c'!$C168,UtilityList!$A$4:$A$251&amp;UtilityList!$C$5:$C$251,0)))</f>
        <v>Lake and Peninsula</v>
      </c>
      <c r="Q168" s="452" t="str">
        <f t="array" ref="Q168">IFERROR(INDEX(UtilityList!L$4:L$251,MATCH('Table 2.3c'!$A168&amp;'Table 2.3c'!$B168&amp;'Table 2.3c'!$C168,UtilityList!$A$4:$A$251&amp;UtilityList!$B$4:$B$251&amp;UtilityList!$C$4:$C$251,0)),INDEX(UtilityList!L$4:L$251,MATCH('Table 2.3c'!$A168&amp;'Table 2.3c'!$C168,UtilityList!$A$4:$A$251&amp;UtilityList!$C$5:$C$251,0)))</f>
        <v>Bristol Bay</v>
      </c>
      <c r="R168" s="452" t="str">
        <f t="array" ref="R168">IFERROR(INDEX(UtilityList!M$4:M$251,MATCH('Table 2.3c'!$A168&amp;'Table 2.3c'!$B168&amp;'Table 2.3c'!$C168,UtilityList!$A$4:$A$251&amp;UtilityList!$B$4:$B$251&amp;UtilityList!$C$4:$C$251,0)),INDEX(UtilityList!M$4:M$251,MATCH('Table 2.3c'!$A168&amp;'Table 2.3c'!$C168,UtilityList!$A$4:$A$251&amp;UtilityList!$C$5:$C$251,0)))</f>
        <v>SW</v>
      </c>
    </row>
    <row r="169" spans="1:19" s="239" customFormat="1" ht="30" x14ac:dyDescent="0.25">
      <c r="A169" s="678" t="s">
        <v>242</v>
      </c>
      <c r="B169" s="361" t="s">
        <v>243</v>
      </c>
      <c r="C169" s="679" t="s">
        <v>243</v>
      </c>
      <c r="D169" s="680" t="s">
        <v>545</v>
      </c>
      <c r="E169" s="680" t="s">
        <v>546</v>
      </c>
      <c r="F169" s="681">
        <v>1365.7190000000001</v>
      </c>
      <c r="G169" s="682">
        <v>104840</v>
      </c>
      <c r="H169" s="681">
        <f t="shared" si="9"/>
        <v>14677.600000000002</v>
      </c>
      <c r="I169" s="682">
        <v>3.4317916999999998</v>
      </c>
      <c r="J169" s="682">
        <f t="shared" si="11"/>
        <v>13.026697825257536</v>
      </c>
      <c r="K169" s="682">
        <f t="shared" si="10"/>
        <v>0.26344294970488069</v>
      </c>
      <c r="L169" s="682">
        <v>0.14000000000000001</v>
      </c>
      <c r="M169" s="658" t="s">
        <v>356</v>
      </c>
      <c r="N169" s="627">
        <f t="array" ref="N169">INDEX(UtilityList!Q$4:Q$251,MATCH('Table 2.3c'!$A169&amp;'Table 2.3c'!$B169&amp;'Table 2.3c'!$C169,UtilityList!$A$4:$A$251&amp;UtilityList!$B$4:$B$251&amp;UtilityList!$C$4:$C$251,0))</f>
        <v>0</v>
      </c>
      <c r="O169" s="452" t="str">
        <f t="array" ref="O169">IFERROR(INDEX(UtilityList!J$4:J$251,MATCH('Table 2.3c'!$A169&amp;'Table 2.3c'!$B169&amp;'Table 2.3c'!$C169,UtilityList!$A$4:$A$251&amp;UtilityList!$B$4:$B$251&amp;UtilityList!$C$4:$C$251,0)),INDEX(UtilityList!J$4:J$251,MATCH('Table 2.3c'!$A169&amp;'Table 2.3c'!$C169,UtilityList!$A$4:$A$251&amp;UtilityList!$C$5:$C$251,0)))</f>
        <v>Bristol Bay</v>
      </c>
      <c r="P169" s="452" t="str">
        <f t="array" ref="P169">IFERROR(INDEX(UtilityList!K$4:K$251,MATCH('Table 2.3c'!$A169&amp;'Table 2.3c'!$B169&amp;'Table 2.3c'!$C169,UtilityList!$A$4:$A$251&amp;UtilityList!$B$4:$B$251&amp;UtilityList!$C$4:$C$251,0)),INDEX(UtilityList!K$4:K$251,MATCH('Table 2.3c'!$A169&amp;'Table 2.3c'!$C169,UtilityList!$A$4:$A$251&amp;UtilityList!$C$5:$C$251,0)))</f>
        <v>Dillingham (CA)</v>
      </c>
      <c r="Q169" s="452" t="str">
        <f t="array" ref="Q169">IFERROR(INDEX(UtilityList!L$4:L$251,MATCH('Table 2.3c'!$A169&amp;'Table 2.3c'!$B169&amp;'Table 2.3c'!$C169,UtilityList!$A$4:$A$251&amp;UtilityList!$B$4:$B$251&amp;UtilityList!$C$4:$C$251,0)),INDEX(UtilityList!L$4:L$251,MATCH('Table 2.3c'!$A169&amp;'Table 2.3c'!$C169,UtilityList!$A$4:$A$251&amp;UtilityList!$C$5:$C$251,0)))</f>
        <v>Bristol Bay</v>
      </c>
      <c r="R169" s="452" t="str">
        <f t="array" ref="R169">IFERROR(INDEX(UtilityList!M$4:M$251,MATCH('Table 2.3c'!$A169&amp;'Table 2.3c'!$B169&amp;'Table 2.3c'!$C169,UtilityList!$A$4:$A$251&amp;UtilityList!$B$4:$B$251&amp;UtilityList!$C$4:$C$251,0)),INDEX(UtilityList!M$4:M$251,MATCH('Table 2.3c'!$A169&amp;'Table 2.3c'!$C169,UtilityList!$A$4:$A$251&amp;UtilityList!$C$5:$C$251,0)))</f>
        <v>SW</v>
      </c>
    </row>
    <row r="170" spans="1:19" s="239" customFormat="1" ht="30" x14ac:dyDescent="0.25">
      <c r="A170" s="678" t="s">
        <v>509</v>
      </c>
      <c r="B170" s="361" t="s">
        <v>244</v>
      </c>
      <c r="C170" s="679" t="s">
        <v>244</v>
      </c>
      <c r="D170" s="680" t="s">
        <v>545</v>
      </c>
      <c r="E170" s="680" t="s">
        <v>546</v>
      </c>
      <c r="F170" s="681">
        <v>2840.7040000000002</v>
      </c>
      <c r="G170" s="682">
        <v>191841</v>
      </c>
      <c r="H170" s="681">
        <f t="shared" si="9"/>
        <v>26857.74</v>
      </c>
      <c r="I170" s="682">
        <v>3.0957499999999998</v>
      </c>
      <c r="J170" s="682">
        <f t="shared" si="11"/>
        <v>14.807595873666212</v>
      </c>
      <c r="K170" s="682">
        <f t="shared" si="10"/>
        <v>0.20906499788432725</v>
      </c>
      <c r="L170" s="682">
        <v>0.14000000000000001</v>
      </c>
      <c r="M170" s="658" t="s">
        <v>356</v>
      </c>
      <c r="N170" s="627">
        <f t="array" ref="N170">INDEX(UtilityList!Q$4:Q$251,MATCH('Table 2.3c'!$A170&amp;'Table 2.3c'!$B170&amp;'Table 2.3c'!$C170,UtilityList!$A$4:$A$251&amp;UtilityList!$B$4:$B$251&amp;UtilityList!$C$4:$C$251,0))</f>
        <v>0</v>
      </c>
      <c r="O170" s="452" t="str">
        <f t="array" ref="O170">IFERROR(INDEX(UtilityList!J$4:J$251,MATCH('Table 2.3c'!$A170&amp;'Table 2.3c'!$B170&amp;'Table 2.3c'!$C170,UtilityList!$A$4:$A$251&amp;UtilityList!$B$4:$B$251&amp;UtilityList!$C$4:$C$251,0)),INDEX(UtilityList!J$4:J$251,MATCH('Table 2.3c'!$A170&amp;'Table 2.3c'!$C170,UtilityList!$A$4:$A$251&amp;UtilityList!$C$5:$C$251,0)))</f>
        <v>Yukon-Koyukuk/Upper Tanana</v>
      </c>
      <c r="P170" s="452" t="str">
        <f t="array" ref="P170">IFERROR(INDEX(UtilityList!K$4:K$251,MATCH('Table 2.3c'!$A170&amp;'Table 2.3c'!$B170&amp;'Table 2.3c'!$C170,UtilityList!$A$4:$A$251&amp;UtilityList!$B$4:$B$251&amp;UtilityList!$C$4:$C$251,0)),INDEX(UtilityList!K$4:K$251,MATCH('Table 2.3c'!$A170&amp;'Table 2.3c'!$C170,UtilityList!$A$4:$A$251&amp;UtilityList!$C$5:$C$251,0)))</f>
        <v>Yukon-Koyukuk (CA)</v>
      </c>
      <c r="Q170" s="452" t="str">
        <f t="array" ref="Q170">IFERROR(INDEX(UtilityList!L$4:L$251,MATCH('Table 2.3c'!$A170&amp;'Table 2.3c'!$B170&amp;'Table 2.3c'!$C170,UtilityList!$A$4:$A$251&amp;UtilityList!$B$4:$B$251&amp;UtilityList!$C$4:$C$251,0)),INDEX(UtilityList!L$4:L$251,MATCH('Table 2.3c'!$A170&amp;'Table 2.3c'!$C170,UtilityList!$A$4:$A$251&amp;UtilityList!$C$5:$C$251,0)))</f>
        <v>Doyon</v>
      </c>
      <c r="R170" s="452" t="str">
        <f t="array" ref="R170">IFERROR(INDEX(UtilityList!M$4:M$251,MATCH('Table 2.3c'!$A170&amp;'Table 2.3c'!$B170&amp;'Table 2.3c'!$C170,UtilityList!$A$4:$A$251&amp;UtilityList!$B$4:$B$251&amp;UtilityList!$C$4:$C$251,0)),INDEX(UtilityList!M$4:M$251,MATCH('Table 2.3c'!$A170&amp;'Table 2.3c'!$C170,UtilityList!$A$4:$A$251&amp;UtilityList!$C$5:$C$251,0)))</f>
        <v>SW</v>
      </c>
    </row>
    <row r="171" spans="1:19" s="239" customFormat="1" ht="51.75" customHeight="1" x14ac:dyDescent="0.25">
      <c r="A171" s="361" t="s">
        <v>245</v>
      </c>
      <c r="B171" s="361" t="s">
        <v>246</v>
      </c>
      <c r="C171" s="361" t="s">
        <v>247</v>
      </c>
      <c r="D171" s="622" t="s">
        <v>545</v>
      </c>
      <c r="E171" s="622" t="s">
        <v>546</v>
      </c>
      <c r="F171" s="642">
        <v>65</v>
      </c>
      <c r="G171" s="683">
        <v>7434</v>
      </c>
      <c r="H171" s="681">
        <f t="shared" si="9"/>
        <v>1040.76</v>
      </c>
      <c r="I171" s="683"/>
      <c r="J171" s="683">
        <f t="shared" si="11"/>
        <v>8.7436104385256925</v>
      </c>
      <c r="K171" s="682" t="str">
        <f t="shared" si="10"/>
        <v xml:space="preserve"> </v>
      </c>
      <c r="L171" s="682">
        <v>0.14000000000000001</v>
      </c>
      <c r="M171" s="622" t="s">
        <v>558</v>
      </c>
      <c r="N171" s="627">
        <f t="array" ref="N171">INDEX(UtilityList!Q$4:Q$251,MATCH('Table 2.3c'!$A171&amp;'Table 2.3c'!$B171&amp;'Table 2.3c'!$C171,UtilityList!$A$4:$A$251&amp;UtilityList!$B$4:$B$251&amp;UtilityList!$C$4:$C$251,0))</f>
        <v>0</v>
      </c>
      <c r="O171" s="452" t="str">
        <f t="array" ref="O171">IFERROR(INDEX(UtilityList!J$4:J$251,MATCH('Table 2.3c'!$A171&amp;'Table 2.3c'!$B171&amp;'Table 2.3c'!$C171,UtilityList!$A$4:$A$251&amp;UtilityList!$B$4:$B$251&amp;UtilityList!$C$4:$C$251,0)),INDEX(UtilityList!J$4:J$251,MATCH('Table 2.3c'!$A171&amp;'Table 2.3c'!$C171,UtilityList!$A$4:$A$251&amp;UtilityList!$C$5:$C$251,0)))</f>
        <v>Southeast</v>
      </c>
      <c r="P171" s="452" t="str">
        <f t="array" ref="P171">IFERROR(INDEX(UtilityList!K$4:K$251,MATCH('Table 2.3c'!$A171&amp;'Table 2.3c'!$B171&amp;'Table 2.3c'!$C171,UtilityList!$A$4:$A$251&amp;UtilityList!$B$4:$B$251&amp;UtilityList!$C$4:$C$251,0)),INDEX(UtilityList!K$4:K$251,MATCH('Table 2.3c'!$A171&amp;'Table 2.3c'!$C171,UtilityList!$A$4:$A$251&amp;UtilityList!$C$5:$C$251,0)))</f>
        <v>Prince of Wales-Hyder (CA)</v>
      </c>
      <c r="Q171" s="452" t="str">
        <f t="array" ref="Q171">IFERROR(INDEX(UtilityList!L$4:L$251,MATCH('Table 2.3c'!$A171&amp;'Table 2.3c'!$B171&amp;'Table 2.3c'!$C171,UtilityList!$A$4:$A$251&amp;UtilityList!$B$4:$B$251&amp;UtilityList!$C$4:$C$251,0)),INDEX(UtilityList!L$4:L$251,MATCH('Table 2.3c'!$A171&amp;'Table 2.3c'!$C171,UtilityList!$A$4:$A$251&amp;UtilityList!$C$5:$C$251,0)))</f>
        <v>Sealaska</v>
      </c>
      <c r="R171" s="452" t="str">
        <f t="array" ref="R171">IFERROR(INDEX(UtilityList!M$4:M$251,MATCH('Table 2.3c'!$A171&amp;'Table 2.3c'!$B171&amp;'Table 2.3c'!$C171,UtilityList!$A$4:$A$251&amp;UtilityList!$B$4:$B$251&amp;UtilityList!$C$4:$C$251,0)),INDEX(UtilityList!M$4:M$251,MATCH('Table 2.3c'!$A171&amp;'Table 2.3c'!$C171,UtilityList!$A$4:$A$251&amp;UtilityList!$C$5:$C$251,0)))</f>
        <v>SE</v>
      </c>
    </row>
    <row r="172" spans="1:19" s="63" customFormat="1" ht="45" x14ac:dyDescent="0.25">
      <c r="A172" s="678" t="s">
        <v>250</v>
      </c>
      <c r="B172" s="361" t="s">
        <v>251</v>
      </c>
      <c r="C172" s="679" t="s">
        <v>251</v>
      </c>
      <c r="D172" s="680" t="s">
        <v>545</v>
      </c>
      <c r="E172" s="680" t="s">
        <v>546</v>
      </c>
      <c r="F172" s="681">
        <v>220.98479999999998</v>
      </c>
      <c r="G172" s="682">
        <v>25737.908999999996</v>
      </c>
      <c r="H172" s="681">
        <f t="shared" si="9"/>
        <v>3603.3072599999996</v>
      </c>
      <c r="I172" s="682">
        <v>3.8401000000000001</v>
      </c>
      <c r="J172" s="682">
        <f t="shared" si="11"/>
        <v>8.5859655498820828</v>
      </c>
      <c r="K172" s="682">
        <f t="shared" si="10"/>
        <v>0.44725313393002597</v>
      </c>
      <c r="L172" s="682">
        <v>0.14000000000000001</v>
      </c>
      <c r="M172" s="658" t="s">
        <v>356</v>
      </c>
      <c r="N172" s="627">
        <f t="array" ref="N172">INDEX(UtilityList!Q$4:Q$251,MATCH('Table 2.3c'!$A172&amp;'Table 2.3c'!$B172&amp;'Table 2.3c'!$C172,UtilityList!$A$4:$A$251&amp;UtilityList!$B$4:$B$251&amp;UtilityList!$C$4:$C$251,0))</f>
        <v>0</v>
      </c>
      <c r="O172" s="452" t="str">
        <f t="array" ref="O172">IFERROR(INDEX(UtilityList!J$4:J$251,MATCH('Table 2.3c'!$A172&amp;'Table 2.3c'!$B172&amp;'Table 2.3c'!$C172,UtilityList!$A$4:$A$251&amp;UtilityList!$B$4:$B$251&amp;UtilityList!$C$4:$C$251,0)),INDEX(UtilityList!J$4:J$251,MATCH('Table 2.3c'!$A172&amp;'Table 2.3c'!$C172,UtilityList!$A$4:$A$251&amp;UtilityList!$C$5:$C$251,0)))</f>
        <v>Lower Yukon-Kuskokwim</v>
      </c>
      <c r="P172" s="452" t="str">
        <f t="array" ref="P172">IFERROR(INDEX(UtilityList!K$4:K$251,MATCH('Table 2.3c'!$A172&amp;'Table 2.3c'!$B172&amp;'Table 2.3c'!$C172,UtilityList!$A$4:$A$251&amp;UtilityList!$B$4:$B$251&amp;UtilityList!$C$4:$C$251,0)),INDEX(UtilityList!K$4:K$251,MATCH('Table 2.3c'!$A172&amp;'Table 2.3c'!$C172,UtilityList!$A$4:$A$251&amp;UtilityList!$C$5:$C$251,0)))</f>
        <v>Bethel (CA)</v>
      </c>
      <c r="Q172" s="452" t="str">
        <f t="array" ref="Q172">IFERROR(INDEX(UtilityList!L$4:L$251,MATCH('Table 2.3c'!$A172&amp;'Table 2.3c'!$B172&amp;'Table 2.3c'!$C172,UtilityList!$A$4:$A$251&amp;UtilityList!$B$4:$B$251&amp;UtilityList!$C$4:$C$251,0)),INDEX(UtilityList!L$4:L$251,MATCH('Table 2.3c'!$A172&amp;'Table 2.3c'!$C172,UtilityList!$A$4:$A$251&amp;UtilityList!$C$5:$C$251,0)))</f>
        <v>Calista</v>
      </c>
      <c r="R172" s="452" t="str">
        <f t="array" ref="R172">IFERROR(INDEX(UtilityList!M$4:M$251,MATCH('Table 2.3c'!$A172&amp;'Table 2.3c'!$B172&amp;'Table 2.3c'!$C172,UtilityList!$A$4:$A$251&amp;UtilityList!$B$4:$B$251&amp;UtilityList!$C$4:$C$251,0)),INDEX(UtilityList!M$4:M$251,MATCH('Table 2.3c'!$A172&amp;'Table 2.3c'!$C172,UtilityList!$A$4:$A$251&amp;UtilityList!$C$5:$C$251,0)))</f>
        <v>SW</v>
      </c>
    </row>
    <row r="173" spans="1:19" s="239" customFormat="1" ht="45" x14ac:dyDescent="0.25">
      <c r="A173" s="678" t="s">
        <v>250</v>
      </c>
      <c r="B173" s="361" t="s">
        <v>252</v>
      </c>
      <c r="C173" s="679" t="s">
        <v>252</v>
      </c>
      <c r="D173" s="680" t="s">
        <v>545</v>
      </c>
      <c r="E173" s="680" t="s">
        <v>546</v>
      </c>
      <c r="F173" s="681">
        <v>302.6524</v>
      </c>
      <c r="G173" s="682">
        <v>25305</v>
      </c>
      <c r="H173" s="681">
        <f t="shared" si="9"/>
        <v>3542.7000000000003</v>
      </c>
      <c r="I173" s="682">
        <v>3.8401000000000001</v>
      </c>
      <c r="J173" s="682">
        <f t="shared" si="11"/>
        <v>11.960181782256472</v>
      </c>
      <c r="K173" s="682">
        <f t="shared" si="10"/>
        <v>0.32107371525882494</v>
      </c>
      <c r="L173" s="682">
        <v>0.14000000000000001</v>
      </c>
      <c r="M173" s="658" t="s">
        <v>356</v>
      </c>
      <c r="N173" s="627">
        <f t="array" ref="N173">INDEX(UtilityList!Q$4:Q$251,MATCH('Table 2.3c'!$A173&amp;'Table 2.3c'!$B173&amp;'Table 2.3c'!$C173,UtilityList!$A$4:$A$251&amp;UtilityList!$B$4:$B$251&amp;UtilityList!$C$4:$C$251,0))</f>
        <v>0</v>
      </c>
      <c r="O173" s="452" t="str">
        <f t="array" ref="O173">IFERROR(INDEX(UtilityList!J$4:J$251,MATCH('Table 2.3c'!$A173&amp;'Table 2.3c'!$B173&amp;'Table 2.3c'!$C173,UtilityList!$A$4:$A$251&amp;UtilityList!$B$4:$B$251&amp;UtilityList!$C$4:$C$251,0)),INDEX(UtilityList!J$4:J$251,MATCH('Table 2.3c'!$A173&amp;'Table 2.3c'!$C173,UtilityList!$A$4:$A$251&amp;UtilityList!$C$5:$C$251,0)))</f>
        <v>Lower Yukon-Kuskokwim</v>
      </c>
      <c r="P173" s="452" t="str">
        <f t="array" ref="P173">IFERROR(INDEX(UtilityList!K$4:K$251,MATCH('Table 2.3c'!$A173&amp;'Table 2.3c'!$B173&amp;'Table 2.3c'!$C173,UtilityList!$A$4:$A$251&amp;UtilityList!$B$4:$B$251&amp;UtilityList!$C$4:$C$251,0)),INDEX(UtilityList!K$4:K$251,MATCH('Table 2.3c'!$A173&amp;'Table 2.3c'!$C173,UtilityList!$A$4:$A$251&amp;UtilityList!$C$5:$C$251,0)))</f>
        <v>Bethel (CA)</v>
      </c>
      <c r="Q173" s="452" t="str">
        <f t="array" ref="Q173">IFERROR(INDEX(UtilityList!L$4:L$251,MATCH('Table 2.3c'!$A173&amp;'Table 2.3c'!$B173&amp;'Table 2.3c'!$C173,UtilityList!$A$4:$A$251&amp;UtilityList!$B$4:$B$251&amp;UtilityList!$C$4:$C$251,0)),INDEX(UtilityList!L$4:L$251,MATCH('Table 2.3c'!$A173&amp;'Table 2.3c'!$C173,UtilityList!$A$4:$A$251&amp;UtilityList!$C$5:$C$251,0)))</f>
        <v>Calista</v>
      </c>
      <c r="R173" s="452" t="str">
        <f t="array" ref="R173">IFERROR(INDEX(UtilityList!M$4:M$251,MATCH('Table 2.3c'!$A173&amp;'Table 2.3c'!$B173&amp;'Table 2.3c'!$C173,UtilityList!$A$4:$A$251&amp;UtilityList!$B$4:$B$251&amp;UtilityList!$C$4:$C$251,0)),INDEX(UtilityList!M$4:M$251,MATCH('Table 2.3c'!$A173&amp;'Table 2.3c'!$C173,UtilityList!$A$4:$A$251&amp;UtilityList!$C$5:$C$251,0)))</f>
        <v>SW</v>
      </c>
    </row>
    <row r="174" spans="1:19" s="239" customFormat="1" ht="45" x14ac:dyDescent="0.25">
      <c r="A174" s="678" t="s">
        <v>250</v>
      </c>
      <c r="B174" s="361" t="s">
        <v>253</v>
      </c>
      <c r="C174" s="679" t="s">
        <v>253</v>
      </c>
      <c r="D174" s="680" t="s">
        <v>545</v>
      </c>
      <c r="E174" s="680" t="s">
        <v>546</v>
      </c>
      <c r="F174" s="681">
        <v>106.4297</v>
      </c>
      <c r="G174" s="682">
        <v>13336</v>
      </c>
      <c r="H174" s="681">
        <f t="shared" si="9"/>
        <v>1867.0400000000002</v>
      </c>
      <c r="I174" s="682">
        <v>3.8401000000000001</v>
      </c>
      <c r="J174" s="682">
        <f t="shared" si="11"/>
        <v>7.980631373725255</v>
      </c>
      <c r="K174" s="682">
        <f t="shared" si="10"/>
        <v>0.48117746831946345</v>
      </c>
      <c r="L174" s="682">
        <v>0.14000000000000001</v>
      </c>
      <c r="M174" s="658" t="s">
        <v>356</v>
      </c>
      <c r="N174" s="627">
        <f t="array" ref="N174">INDEX(UtilityList!Q$4:Q$251,MATCH('Table 2.3c'!$A174&amp;'Table 2.3c'!$B174&amp;'Table 2.3c'!$C174,UtilityList!$A$4:$A$251&amp;UtilityList!$B$4:$B$251&amp;UtilityList!$C$4:$C$251,0))</f>
        <v>0</v>
      </c>
      <c r="O174" s="452" t="str">
        <f t="array" ref="O174">IFERROR(INDEX(UtilityList!J$4:J$251,MATCH('Table 2.3c'!$A174&amp;'Table 2.3c'!$B174&amp;'Table 2.3c'!$C174,UtilityList!$A$4:$A$251&amp;UtilityList!$B$4:$B$251&amp;UtilityList!$C$4:$C$251,0)),INDEX(UtilityList!J$4:J$251,MATCH('Table 2.3c'!$A174&amp;'Table 2.3c'!$C174,UtilityList!$A$4:$A$251&amp;UtilityList!$C$5:$C$251,0)))</f>
        <v>Lower Yukon-Kuskokwim</v>
      </c>
      <c r="P174" s="452" t="str">
        <f t="array" ref="P174">IFERROR(INDEX(UtilityList!K$4:K$251,MATCH('Table 2.3c'!$A174&amp;'Table 2.3c'!$B174&amp;'Table 2.3c'!$C174,UtilityList!$A$4:$A$251&amp;UtilityList!$B$4:$B$251&amp;UtilityList!$C$4:$C$251,0)),INDEX(UtilityList!K$4:K$251,MATCH('Table 2.3c'!$A174&amp;'Table 2.3c'!$C174,UtilityList!$A$4:$A$251&amp;UtilityList!$C$5:$C$251,0)))</f>
        <v>Bethel (CA)</v>
      </c>
      <c r="Q174" s="452" t="str">
        <f t="array" ref="Q174">IFERROR(INDEX(UtilityList!L$4:L$251,MATCH('Table 2.3c'!$A174&amp;'Table 2.3c'!$B174&amp;'Table 2.3c'!$C174,UtilityList!$A$4:$A$251&amp;UtilityList!$B$4:$B$251&amp;UtilityList!$C$4:$C$251,0)),INDEX(UtilityList!L$4:L$251,MATCH('Table 2.3c'!$A174&amp;'Table 2.3c'!$C174,UtilityList!$A$4:$A$251&amp;UtilityList!$C$5:$C$251,0)))</f>
        <v>Calista</v>
      </c>
      <c r="R174" s="452" t="str">
        <f t="array" ref="R174">IFERROR(INDEX(UtilityList!M$4:M$251,MATCH('Table 2.3c'!$A174&amp;'Table 2.3c'!$B174&amp;'Table 2.3c'!$C174,UtilityList!$A$4:$A$251&amp;UtilityList!$B$4:$B$251&amp;UtilityList!$C$4:$C$251,0)),INDEX(UtilityList!M$4:M$251,MATCH('Table 2.3c'!$A174&amp;'Table 2.3c'!$C174,UtilityList!$A$4:$A$251&amp;UtilityList!$C$5:$C$251,0)))</f>
        <v>SW</v>
      </c>
    </row>
    <row r="175" spans="1:19" s="239" customFormat="1" ht="45" x14ac:dyDescent="0.25">
      <c r="A175" s="678" t="s">
        <v>250</v>
      </c>
      <c r="B175" s="361" t="s">
        <v>254</v>
      </c>
      <c r="C175" s="679" t="s">
        <v>254</v>
      </c>
      <c r="D175" s="680" t="s">
        <v>545</v>
      </c>
      <c r="E175" s="680" t="s">
        <v>546</v>
      </c>
      <c r="F175" s="681">
        <v>259.13670000000002</v>
      </c>
      <c r="G175" s="682">
        <v>24532</v>
      </c>
      <c r="H175" s="681">
        <f t="shared" si="9"/>
        <v>3434.4800000000005</v>
      </c>
      <c r="I175" s="682">
        <v>3.8401000000000001</v>
      </c>
      <c r="J175" s="682">
        <f t="shared" si="11"/>
        <v>10.563211315832383</v>
      </c>
      <c r="K175" s="682">
        <f t="shared" si="10"/>
        <v>0.36353528157146398</v>
      </c>
      <c r="L175" s="682">
        <v>0.14000000000000001</v>
      </c>
      <c r="M175" s="658" t="s">
        <v>356</v>
      </c>
      <c r="N175" s="627">
        <f t="array" ref="N175">INDEX(UtilityList!Q$4:Q$251,MATCH('Table 2.3c'!$A175&amp;'Table 2.3c'!$B175&amp;'Table 2.3c'!$C175,UtilityList!$A$4:$A$251&amp;UtilityList!$B$4:$B$251&amp;UtilityList!$C$4:$C$251,0))</f>
        <v>0</v>
      </c>
      <c r="O175" s="452" t="str">
        <f t="array" ref="O175">IFERROR(INDEX(UtilityList!J$4:J$251,MATCH('Table 2.3c'!$A175&amp;'Table 2.3c'!$B175&amp;'Table 2.3c'!$C175,UtilityList!$A$4:$A$251&amp;UtilityList!$B$4:$B$251&amp;UtilityList!$C$4:$C$251,0)),INDEX(UtilityList!J$4:J$251,MATCH('Table 2.3c'!$A175&amp;'Table 2.3c'!$C175,UtilityList!$A$4:$A$251&amp;UtilityList!$C$5:$C$251,0)))</f>
        <v>Lower Yukon-Kuskokwim</v>
      </c>
      <c r="P175" s="452" t="str">
        <f t="array" ref="P175">IFERROR(INDEX(UtilityList!K$4:K$251,MATCH('Table 2.3c'!$A175&amp;'Table 2.3c'!$B175&amp;'Table 2.3c'!$C175,UtilityList!$A$4:$A$251&amp;UtilityList!$B$4:$B$251&amp;UtilityList!$C$4:$C$251,0)),INDEX(UtilityList!K$4:K$251,MATCH('Table 2.3c'!$A175&amp;'Table 2.3c'!$C175,UtilityList!$A$4:$A$251&amp;UtilityList!$C$5:$C$251,0)))</f>
        <v>Bethel (CA)</v>
      </c>
      <c r="Q175" s="452" t="str">
        <f t="array" ref="Q175">IFERROR(INDEX(UtilityList!L$4:L$251,MATCH('Table 2.3c'!$A175&amp;'Table 2.3c'!$B175&amp;'Table 2.3c'!$C175,UtilityList!$A$4:$A$251&amp;UtilityList!$B$4:$B$251&amp;UtilityList!$C$4:$C$251,0)),INDEX(UtilityList!L$4:L$251,MATCH('Table 2.3c'!$A175&amp;'Table 2.3c'!$C175,UtilityList!$A$4:$A$251&amp;UtilityList!$C$5:$C$251,0)))</f>
        <v>Calista</v>
      </c>
      <c r="R175" s="452" t="str">
        <f t="array" ref="R175">IFERROR(INDEX(UtilityList!M$4:M$251,MATCH('Table 2.3c'!$A175&amp;'Table 2.3c'!$B175&amp;'Table 2.3c'!$C175,UtilityList!$A$4:$A$251&amp;UtilityList!$B$4:$B$251&amp;UtilityList!$C$4:$C$251,0)),INDEX(UtilityList!M$4:M$251,MATCH('Table 2.3c'!$A175&amp;'Table 2.3c'!$C175,UtilityList!$A$4:$A$251&amp;UtilityList!$C$5:$C$251,0)))</f>
        <v>SW</v>
      </c>
      <c r="S175" s="344"/>
    </row>
    <row r="176" spans="1:19" s="239" customFormat="1" ht="45" x14ac:dyDescent="0.25">
      <c r="A176" s="678" t="s">
        <v>250</v>
      </c>
      <c r="B176" s="361" t="s">
        <v>255</v>
      </c>
      <c r="C176" s="679" t="s">
        <v>255</v>
      </c>
      <c r="D176" s="680" t="s">
        <v>545</v>
      </c>
      <c r="E176" s="680" t="s">
        <v>546</v>
      </c>
      <c r="F176" s="681">
        <v>128.072</v>
      </c>
      <c r="G176" s="682">
        <v>14182</v>
      </c>
      <c r="H176" s="681">
        <f t="shared" si="9"/>
        <v>1985.4800000000002</v>
      </c>
      <c r="I176" s="682">
        <v>3.8401000000000001</v>
      </c>
      <c r="J176" s="682">
        <f t="shared" si="11"/>
        <v>9.0306021717670291</v>
      </c>
      <c r="K176" s="682">
        <f t="shared" si="10"/>
        <v>0.42523188675120244</v>
      </c>
      <c r="L176" s="682">
        <v>0.14000000000000001</v>
      </c>
      <c r="M176" s="658" t="s">
        <v>356</v>
      </c>
      <c r="N176" s="627">
        <f t="array" ref="N176">INDEX(UtilityList!Q$4:Q$251,MATCH('Table 2.3c'!$A176&amp;'Table 2.3c'!$B176&amp;'Table 2.3c'!$C176,UtilityList!$A$4:$A$251&amp;UtilityList!$B$4:$B$251&amp;UtilityList!$C$4:$C$251,0))</f>
        <v>0</v>
      </c>
      <c r="O176" s="452" t="str">
        <f t="array" ref="O176">IFERROR(INDEX(UtilityList!J$4:J$251,MATCH('Table 2.3c'!$A176&amp;'Table 2.3c'!$B176&amp;'Table 2.3c'!$C176,UtilityList!$A$4:$A$251&amp;UtilityList!$B$4:$B$251&amp;UtilityList!$C$4:$C$251,0)),INDEX(UtilityList!J$4:J$251,MATCH('Table 2.3c'!$A176&amp;'Table 2.3c'!$C176,UtilityList!$A$4:$A$251&amp;UtilityList!$C$5:$C$251,0)))</f>
        <v>Lower Yukon-Kuskokwim</v>
      </c>
      <c r="P176" s="452" t="str">
        <f t="array" ref="P176">IFERROR(INDEX(UtilityList!K$4:K$251,MATCH('Table 2.3c'!$A176&amp;'Table 2.3c'!$B176&amp;'Table 2.3c'!$C176,UtilityList!$A$4:$A$251&amp;UtilityList!$B$4:$B$251&amp;UtilityList!$C$4:$C$251,0)),INDEX(UtilityList!K$4:K$251,MATCH('Table 2.3c'!$A176&amp;'Table 2.3c'!$C176,UtilityList!$A$4:$A$251&amp;UtilityList!$C$5:$C$251,0)))</f>
        <v>Bethel (CA)</v>
      </c>
      <c r="Q176" s="452" t="str">
        <f t="array" ref="Q176">IFERROR(INDEX(UtilityList!L$4:L$251,MATCH('Table 2.3c'!$A176&amp;'Table 2.3c'!$B176&amp;'Table 2.3c'!$C176,UtilityList!$A$4:$A$251&amp;UtilityList!$B$4:$B$251&amp;UtilityList!$C$4:$C$251,0)),INDEX(UtilityList!L$4:L$251,MATCH('Table 2.3c'!$A176&amp;'Table 2.3c'!$C176,UtilityList!$A$4:$A$251&amp;UtilityList!$C$5:$C$251,0)))</f>
        <v>Calista</v>
      </c>
      <c r="R176" s="452" t="str">
        <f t="array" ref="R176">IFERROR(INDEX(UtilityList!M$4:M$251,MATCH('Table 2.3c'!$A176&amp;'Table 2.3c'!$B176&amp;'Table 2.3c'!$C176,UtilityList!$A$4:$A$251&amp;UtilityList!$B$4:$B$251&amp;UtilityList!$C$4:$C$251,0)),INDEX(UtilityList!M$4:M$251,MATCH('Table 2.3c'!$A176&amp;'Table 2.3c'!$C176,UtilityList!$A$4:$A$251&amp;UtilityList!$C$5:$C$251,0)))</f>
        <v>SW</v>
      </c>
    </row>
    <row r="177" spans="1:19" s="239" customFormat="1" ht="75" x14ac:dyDescent="0.25">
      <c r="A177" s="678" t="s">
        <v>258</v>
      </c>
      <c r="B177" s="361" t="s">
        <v>259</v>
      </c>
      <c r="C177" s="679" t="s">
        <v>682</v>
      </c>
      <c r="D177" s="680" t="s">
        <v>545</v>
      </c>
      <c r="E177" s="680" t="s">
        <v>546</v>
      </c>
      <c r="F177" s="681">
        <v>19900</v>
      </c>
      <c r="G177" s="682">
        <v>1319147</v>
      </c>
      <c r="H177" s="681">
        <f t="shared" si="9"/>
        <v>184680.58000000002</v>
      </c>
      <c r="I177" s="682">
        <v>3.0757249999999998</v>
      </c>
      <c r="J177" s="682">
        <f t="shared" si="11"/>
        <v>15.085506012597534</v>
      </c>
      <c r="K177" s="682">
        <f t="shared" si="10"/>
        <v>0.20388610083291456</v>
      </c>
      <c r="L177" s="682">
        <v>0.14000000000000001</v>
      </c>
      <c r="M177" s="658" t="s">
        <v>356</v>
      </c>
      <c r="N177" s="627" t="str">
        <f t="array" ref="N177">INDEX(UtilityList!Q$4:Q$251,MATCH('Table 2.3c'!$A177&amp;'Table 2.3c'!$B177&amp;'Table 2.3c'!$C177,UtilityList!$A$4:$A$251&amp;UtilityList!$B$4:$B$251&amp;UtilityList!$C$4:$C$251,0))</f>
        <v>Provides power to South Naknek and King Salmon via intertie. Data includes South Naknek's and King Salmon's information.</v>
      </c>
      <c r="O177" s="452" t="str">
        <f t="array" ref="O177">IFERROR(INDEX(UtilityList!J$4:J$251,MATCH('Table 2.3c'!$A177&amp;'Table 2.3c'!$B177&amp;'Table 2.3c'!$C177,UtilityList!$A$4:$A$251&amp;UtilityList!$B$4:$B$251&amp;UtilityList!$C$4:$C$251,0)),INDEX(UtilityList!J$4:J$251,MATCH('Table 2.3c'!$A177&amp;'Table 2.3c'!$C177,UtilityList!$A$4:$A$251&amp;UtilityList!$C$5:$C$251,0)))</f>
        <v>Bristol Bay</v>
      </c>
      <c r="P177" s="452" t="str">
        <f t="array" ref="P177">IFERROR(INDEX(UtilityList!K$4:K$251,MATCH('Table 2.3c'!$A177&amp;'Table 2.3c'!$B177&amp;'Table 2.3c'!$C177,UtilityList!$A$4:$A$251&amp;UtilityList!$B$4:$B$251&amp;UtilityList!$C$4:$C$251,0)),INDEX(UtilityList!K$4:K$251,MATCH('Table 2.3c'!$A177&amp;'Table 2.3c'!$C177,UtilityList!$A$4:$A$251&amp;UtilityList!$C$5:$C$251,0)))</f>
        <v>Bristol Bay</v>
      </c>
      <c r="Q177" s="452" t="str">
        <f t="array" ref="Q177">IFERROR(INDEX(UtilityList!L$4:L$251,MATCH('Table 2.3c'!$A177&amp;'Table 2.3c'!$B177&amp;'Table 2.3c'!$C177,UtilityList!$A$4:$A$251&amp;UtilityList!$B$4:$B$251&amp;UtilityList!$C$4:$C$251,0)),INDEX(UtilityList!L$4:L$251,MATCH('Table 2.3c'!$A177&amp;'Table 2.3c'!$C177,UtilityList!$A$4:$A$251&amp;UtilityList!$C$5:$C$251,0)))</f>
        <v>Bristol Bay</v>
      </c>
      <c r="R177" s="452" t="str">
        <f t="array" ref="R177">IFERROR(INDEX(UtilityList!M$4:M$251,MATCH('Table 2.3c'!$A177&amp;'Table 2.3c'!$B177&amp;'Table 2.3c'!$C177,UtilityList!$A$4:$A$251&amp;UtilityList!$B$4:$B$251&amp;UtilityList!$C$4:$C$251,0)),INDEX(UtilityList!M$4:M$251,MATCH('Table 2.3c'!$A177&amp;'Table 2.3c'!$C177,UtilityList!$A$4:$A$251&amp;UtilityList!$C$5:$C$251,0)))</f>
        <v>SW</v>
      </c>
    </row>
    <row r="178" spans="1:19" s="239" customFormat="1" ht="45" x14ac:dyDescent="0.25">
      <c r="A178" s="678" t="s">
        <v>260</v>
      </c>
      <c r="B178" s="361" t="s">
        <v>261</v>
      </c>
      <c r="C178" s="679" t="s">
        <v>261</v>
      </c>
      <c r="D178" s="680" t="s">
        <v>545</v>
      </c>
      <c r="E178" s="680" t="s">
        <v>546</v>
      </c>
      <c r="F178" s="681">
        <v>0</v>
      </c>
      <c r="G178" s="682">
        <v>0</v>
      </c>
      <c r="H178" s="681">
        <f t="shared" si="9"/>
        <v>0</v>
      </c>
      <c r="I178" s="682">
        <v>0.50760000000000005</v>
      </c>
      <c r="J178" s="682" t="str">
        <f t="shared" si="11"/>
        <v xml:space="preserve"> </v>
      </c>
      <c r="K178" s="682" t="str">
        <f t="shared" si="10"/>
        <v xml:space="preserve"> </v>
      </c>
      <c r="L178" s="682">
        <v>0.14000000000000001</v>
      </c>
      <c r="M178" s="658" t="s">
        <v>356</v>
      </c>
      <c r="N178" s="627" t="str">
        <f t="array" ref="N178">INDEX(UtilityList!Q$4:Q$251,MATCH('Table 2.3c'!$A178&amp;'Table 2.3c'!$B178&amp;'Table 2.3c'!$C178,UtilityList!$A$4:$A$251&amp;UtilityList!$B$4:$B$251&amp;UtilityList!$C$4:$C$251,0))</f>
        <v>Purchases power from Bethel Utilities Corporation</v>
      </c>
      <c r="O178" s="452" t="str">
        <f t="array" ref="O178">IFERROR(INDEX(UtilityList!J$4:J$251,MATCH('Table 2.3c'!$A178&amp;'Table 2.3c'!$B178&amp;'Table 2.3c'!$C178,UtilityList!$A$4:$A$251&amp;UtilityList!$B$4:$B$251&amp;UtilityList!$C$4:$C$251,0)),INDEX(UtilityList!J$4:J$251,MATCH('Table 2.3c'!$A178&amp;'Table 2.3c'!$C178,UtilityList!$A$4:$A$251&amp;UtilityList!$C$5:$C$251,0)))</f>
        <v>Lower Yukon-Kuskokwim</v>
      </c>
      <c r="P178" s="452" t="str">
        <f t="array" ref="P178">IFERROR(INDEX(UtilityList!K$4:K$251,MATCH('Table 2.3c'!$A178&amp;'Table 2.3c'!$B178&amp;'Table 2.3c'!$C178,UtilityList!$A$4:$A$251&amp;UtilityList!$B$4:$B$251&amp;UtilityList!$C$4:$C$251,0)),INDEX(UtilityList!K$4:K$251,MATCH('Table 2.3c'!$A178&amp;'Table 2.3c'!$C178,UtilityList!$A$4:$A$251&amp;UtilityList!$C$5:$C$251,0)))</f>
        <v>Bethel (CA)</v>
      </c>
      <c r="Q178" s="452" t="str">
        <f t="array" ref="Q178">IFERROR(INDEX(UtilityList!L$4:L$251,MATCH('Table 2.3c'!$A178&amp;'Table 2.3c'!$B178&amp;'Table 2.3c'!$C178,UtilityList!$A$4:$A$251&amp;UtilityList!$B$4:$B$251&amp;UtilityList!$C$4:$C$251,0)),INDEX(UtilityList!L$4:L$251,MATCH('Table 2.3c'!$A178&amp;'Table 2.3c'!$C178,UtilityList!$A$4:$A$251&amp;UtilityList!$C$5:$C$251,0)))</f>
        <v>Calista</v>
      </c>
      <c r="R178" s="452" t="str">
        <f t="array" ref="R178">IFERROR(INDEX(UtilityList!M$4:M$251,MATCH('Table 2.3c'!$A178&amp;'Table 2.3c'!$B178&amp;'Table 2.3c'!$C178,UtilityList!$A$4:$A$251&amp;UtilityList!$B$4:$B$251&amp;UtilityList!$C$4:$C$251,0)),INDEX(UtilityList!M$4:M$251,MATCH('Table 2.3c'!$A178&amp;'Table 2.3c'!$C178,UtilityList!$A$4:$A$251&amp;UtilityList!$C$5:$C$251,0)))</f>
        <v>SW</v>
      </c>
    </row>
    <row r="179" spans="1:19" s="239" customFormat="1" ht="30" x14ac:dyDescent="0.25">
      <c r="A179" s="678" t="s">
        <v>262</v>
      </c>
      <c r="B179" s="361" t="s">
        <v>263</v>
      </c>
      <c r="C179" s="679" t="s">
        <v>263</v>
      </c>
      <c r="D179" s="680" t="s">
        <v>545</v>
      </c>
      <c r="E179" s="680" t="s">
        <v>546</v>
      </c>
      <c r="F179" s="681">
        <v>979.45</v>
      </c>
      <c r="G179" s="682">
        <v>77093</v>
      </c>
      <c r="H179" s="681">
        <f t="shared" si="9"/>
        <v>10793.02</v>
      </c>
      <c r="I179" s="682">
        <v>4.0851249999999997</v>
      </c>
      <c r="J179" s="682">
        <f t="shared" si="11"/>
        <v>12.704785129648606</v>
      </c>
      <c r="K179" s="682">
        <f t="shared" si="10"/>
        <v>0.32154223454489761</v>
      </c>
      <c r="L179" s="682">
        <v>0.14000000000000001</v>
      </c>
      <c r="M179" s="658" t="s">
        <v>356</v>
      </c>
      <c r="N179" s="627">
        <f t="array" ref="N179">INDEX(UtilityList!Q$4:Q$251,MATCH('Table 2.3c'!$A179&amp;'Table 2.3c'!$B179&amp;'Table 2.3c'!$C179,UtilityList!$A$4:$A$251&amp;UtilityList!$B$4:$B$251&amp;UtilityList!$C$4:$C$251,0))</f>
        <v>0</v>
      </c>
      <c r="O179" s="452" t="str">
        <f t="array" ref="O179">IFERROR(INDEX(UtilityList!J$4:J$251,MATCH('Table 2.3c'!$A179&amp;'Table 2.3c'!$B179&amp;'Table 2.3c'!$C179,UtilityList!$A$4:$A$251&amp;UtilityList!$B$4:$B$251&amp;UtilityList!$C$4:$C$251,0)),INDEX(UtilityList!J$4:J$251,MATCH('Table 2.3c'!$A179&amp;'Table 2.3c'!$C179,UtilityList!$A$4:$A$251&amp;UtilityList!$C$5:$C$251,0)))</f>
        <v>Lower Yukon-Kuskokwim</v>
      </c>
      <c r="P179" s="452" t="str">
        <f t="array" ref="P179">IFERROR(INDEX(UtilityList!K$4:K$251,MATCH('Table 2.3c'!$A179&amp;'Table 2.3c'!$B179&amp;'Table 2.3c'!$C179,UtilityList!$A$4:$A$251&amp;UtilityList!$B$4:$B$251&amp;UtilityList!$C$4:$C$251,0)),INDEX(UtilityList!K$4:K$251,MATCH('Table 2.3c'!$A179&amp;'Table 2.3c'!$C179,UtilityList!$A$4:$A$251&amp;UtilityList!$C$5:$C$251,0)))</f>
        <v>Bethel (CA)</v>
      </c>
      <c r="Q179" s="452" t="str">
        <f t="array" ref="Q179">IFERROR(INDEX(UtilityList!L$4:L$251,MATCH('Table 2.3c'!$A179&amp;'Table 2.3c'!$B179&amp;'Table 2.3c'!$C179,UtilityList!$A$4:$A$251&amp;UtilityList!$B$4:$B$251&amp;UtilityList!$C$4:$C$251,0)),INDEX(UtilityList!L$4:L$251,MATCH('Table 2.3c'!$A179&amp;'Table 2.3c'!$C179,UtilityList!$A$4:$A$251&amp;UtilityList!$C$5:$C$251,0)))</f>
        <v>Calista</v>
      </c>
      <c r="R179" s="452" t="str">
        <f t="array" ref="R179">IFERROR(INDEX(UtilityList!M$4:M$251,MATCH('Table 2.3c'!$A179&amp;'Table 2.3c'!$B179&amp;'Table 2.3c'!$C179,UtilityList!$A$4:$A$251&amp;UtilityList!$B$4:$B$251&amp;UtilityList!$C$4:$C$251,0)),INDEX(UtilityList!M$4:M$251,MATCH('Table 2.3c'!$A179&amp;'Table 2.3c'!$C179,UtilityList!$A$4:$A$251&amp;UtilityList!$C$5:$C$251,0)))</f>
        <v>SW</v>
      </c>
    </row>
    <row r="180" spans="1:19" s="239" customFormat="1" ht="30" x14ac:dyDescent="0.25">
      <c r="A180" s="678" t="s">
        <v>264</v>
      </c>
      <c r="B180" s="361" t="s">
        <v>265</v>
      </c>
      <c r="C180" s="679" t="s">
        <v>265</v>
      </c>
      <c r="D180" s="680" t="s">
        <v>545</v>
      </c>
      <c r="E180" s="680" t="s">
        <v>546</v>
      </c>
      <c r="F180" s="681">
        <v>1630.624</v>
      </c>
      <c r="G180" s="682">
        <v>123703</v>
      </c>
      <c r="H180" s="681">
        <f t="shared" si="9"/>
        <v>17318.420000000002</v>
      </c>
      <c r="I180" s="682">
        <v>3.6972917000000001</v>
      </c>
      <c r="J180" s="682">
        <f t="shared" si="11"/>
        <v>13.181766004058106</v>
      </c>
      <c r="K180" s="682">
        <f t="shared" si="10"/>
        <v>0.28048530817962941</v>
      </c>
      <c r="L180" s="682">
        <v>0.14000000000000001</v>
      </c>
      <c r="M180" s="658" t="s">
        <v>356</v>
      </c>
      <c r="N180" s="627">
        <f t="array" ref="N180">INDEX(UtilityList!Q$4:Q$251,MATCH('Table 2.3c'!$A180&amp;'Table 2.3c'!$B180&amp;'Table 2.3c'!$C180,UtilityList!$A$4:$A$251&amp;UtilityList!$B$4:$B$251&amp;UtilityList!$C$4:$C$251,0))</f>
        <v>0</v>
      </c>
      <c r="O180" s="452" t="str">
        <f t="array" ref="O180">IFERROR(INDEX(UtilityList!J$4:J$251,MATCH('Table 2.3c'!$A180&amp;'Table 2.3c'!$B180&amp;'Table 2.3c'!$C180,UtilityList!$A$4:$A$251&amp;UtilityList!$B$4:$B$251&amp;UtilityList!$C$4:$C$251,0)),INDEX(UtilityList!J$4:J$251,MATCH('Table 2.3c'!$A180&amp;'Table 2.3c'!$C180,UtilityList!$A$4:$A$251&amp;UtilityList!$C$5:$C$251,0)))</f>
        <v>Lower Yukon-Kuskokwim</v>
      </c>
      <c r="P180" s="452" t="str">
        <f t="array" ref="P180">IFERROR(INDEX(UtilityList!K$4:K$251,MATCH('Table 2.3c'!$A180&amp;'Table 2.3c'!$B180&amp;'Table 2.3c'!$C180,UtilityList!$A$4:$A$251&amp;UtilityList!$B$4:$B$251&amp;UtilityList!$C$4:$C$251,0)),INDEX(UtilityList!K$4:K$251,MATCH('Table 2.3c'!$A180&amp;'Table 2.3c'!$C180,UtilityList!$A$4:$A$251&amp;UtilityList!$C$5:$C$251,0)))</f>
        <v>Bethel (CA)</v>
      </c>
      <c r="Q180" s="452" t="str">
        <f t="array" ref="Q180">IFERROR(INDEX(UtilityList!L$4:L$251,MATCH('Table 2.3c'!$A180&amp;'Table 2.3c'!$B180&amp;'Table 2.3c'!$C180,UtilityList!$A$4:$A$251&amp;UtilityList!$B$4:$B$251&amp;UtilityList!$C$4:$C$251,0)),INDEX(UtilityList!L$4:L$251,MATCH('Table 2.3c'!$A180&amp;'Table 2.3c'!$C180,UtilityList!$A$4:$A$251&amp;UtilityList!$C$5:$C$251,0)))</f>
        <v>Calista</v>
      </c>
      <c r="R180" s="452" t="str">
        <f t="array" ref="R180">IFERROR(INDEX(UtilityList!M$4:M$251,MATCH('Table 2.3c'!$A180&amp;'Table 2.3c'!$B180&amp;'Table 2.3c'!$C180,UtilityList!$A$4:$A$251&amp;UtilityList!$B$4:$B$251&amp;UtilityList!$C$4:$C$251,0)),INDEX(UtilityList!M$4:M$251,MATCH('Table 2.3c'!$A180&amp;'Table 2.3c'!$C180,UtilityList!$A$4:$A$251&amp;UtilityList!$C$5:$C$251,0)))</f>
        <v>SW</v>
      </c>
    </row>
    <row r="181" spans="1:19" s="239" customFormat="1" ht="30" x14ac:dyDescent="0.25">
      <c r="A181" s="678" t="s">
        <v>266</v>
      </c>
      <c r="B181" s="361" t="s">
        <v>267</v>
      </c>
      <c r="C181" s="654" t="s">
        <v>267</v>
      </c>
      <c r="D181" s="680" t="s">
        <v>545</v>
      </c>
      <c r="E181" s="680" t="s">
        <v>546</v>
      </c>
      <c r="F181" s="681">
        <v>176.43129999999999</v>
      </c>
      <c r="G181" s="682">
        <v>14464.000000000002</v>
      </c>
      <c r="H181" s="681">
        <f t="shared" si="9"/>
        <v>2024.9600000000005</v>
      </c>
      <c r="I181" s="682">
        <v>4.376125</v>
      </c>
      <c r="J181" s="682">
        <f t="shared" si="11"/>
        <v>12.197960453539821</v>
      </c>
      <c r="K181" s="682">
        <f t="shared" si="10"/>
        <v>0.35875874632222293</v>
      </c>
      <c r="L181" s="682">
        <v>0.14000000000000001</v>
      </c>
      <c r="M181" s="658" t="s">
        <v>356</v>
      </c>
      <c r="N181" s="627">
        <f t="array" ref="N181">INDEX(UtilityList!Q$4:Q$251,MATCH('Table 2.3c'!$A181&amp;'Table 2.3c'!$B181&amp;'Table 2.3c'!$C181,UtilityList!$A$4:$A$251&amp;UtilityList!$B$4:$B$251&amp;UtilityList!$C$4:$C$251,0))</f>
        <v>0</v>
      </c>
      <c r="O181" s="452" t="str">
        <f t="array" ref="O181">IFERROR(INDEX(UtilityList!J$4:J$251,MATCH('Table 2.3c'!$A181&amp;'Table 2.3c'!$B181&amp;'Table 2.3c'!$C181,UtilityList!$A$4:$A$251&amp;UtilityList!$B$4:$B$251&amp;UtilityList!$C$4:$C$251,0)),INDEX(UtilityList!J$4:J$251,MATCH('Table 2.3c'!$A181&amp;'Table 2.3c'!$C181,UtilityList!$A$4:$A$251&amp;UtilityList!$C$5:$C$251,0)))</f>
        <v>Bristol Bay</v>
      </c>
      <c r="P181" s="452" t="str">
        <f t="array" ref="P181">IFERROR(INDEX(UtilityList!K$4:K$251,MATCH('Table 2.3c'!$A181&amp;'Table 2.3c'!$B181&amp;'Table 2.3c'!$C181,UtilityList!$A$4:$A$251&amp;UtilityList!$B$4:$B$251&amp;UtilityList!$C$4:$C$251,0)),INDEX(UtilityList!K$4:K$251,MATCH('Table 2.3c'!$A181&amp;'Table 2.3c'!$C181,UtilityList!$A$4:$A$251&amp;UtilityList!$C$5:$C$251,0)))</f>
        <v>Lake and Peninsula</v>
      </c>
      <c r="Q181" s="452" t="str">
        <f t="array" ref="Q181">IFERROR(INDEX(UtilityList!L$4:L$251,MATCH('Table 2.3c'!$A181&amp;'Table 2.3c'!$B181&amp;'Table 2.3c'!$C181,UtilityList!$A$4:$A$251&amp;UtilityList!$B$4:$B$251&amp;UtilityList!$C$4:$C$251,0)),INDEX(UtilityList!L$4:L$251,MATCH('Table 2.3c'!$A181&amp;'Table 2.3c'!$C181,UtilityList!$A$4:$A$251&amp;UtilityList!$C$5:$C$251,0)))</f>
        <v>Bristol Bay</v>
      </c>
      <c r="R181" s="452" t="str">
        <f t="array" ref="R181">IFERROR(INDEX(UtilityList!M$4:M$251,MATCH('Table 2.3c'!$A181&amp;'Table 2.3c'!$B181&amp;'Table 2.3c'!$C181,UtilityList!$A$4:$A$251&amp;UtilityList!$B$4:$B$251&amp;UtilityList!$C$4:$C$251,0)),INDEX(UtilityList!M$4:M$251,MATCH('Table 2.3c'!$A181&amp;'Table 2.3c'!$C181,UtilityList!$A$4:$A$251&amp;UtilityList!$C$5:$C$251,0)))</f>
        <v>SW</v>
      </c>
    </row>
    <row r="182" spans="1:19" s="239" customFormat="1" ht="30" x14ac:dyDescent="0.25">
      <c r="A182" s="678" t="s">
        <v>268</v>
      </c>
      <c r="B182" s="361" t="s">
        <v>269</v>
      </c>
      <c r="C182" s="679" t="s">
        <v>269</v>
      </c>
      <c r="D182" s="680" t="s">
        <v>545</v>
      </c>
      <c r="E182" s="680" t="s">
        <v>546</v>
      </c>
      <c r="F182" s="681">
        <v>392.2319</v>
      </c>
      <c r="G182" s="682">
        <v>44500.000000000007</v>
      </c>
      <c r="H182" s="681">
        <f t="shared" si="9"/>
        <v>6230.0000000000018</v>
      </c>
      <c r="I182" s="682">
        <v>3.8227000000000002</v>
      </c>
      <c r="J182" s="682">
        <f t="shared" si="11"/>
        <v>8.8141999999999996</v>
      </c>
      <c r="K182" s="682">
        <f t="shared" si="10"/>
        <v>0.43369789657597974</v>
      </c>
      <c r="L182" s="682">
        <v>0.14000000000000001</v>
      </c>
      <c r="M182" s="658" t="s">
        <v>356</v>
      </c>
      <c r="N182" s="627">
        <f t="array" ref="N182">INDEX(UtilityList!Q$4:Q$251,MATCH('Table 2.3c'!$A182&amp;'Table 2.3c'!$B182&amp;'Table 2.3c'!$C182,UtilityList!$A$4:$A$251&amp;UtilityList!$B$4:$B$251&amp;UtilityList!$C$4:$C$251,0))</f>
        <v>0</v>
      </c>
      <c r="O182" s="452" t="str">
        <f t="array" ref="O182">IFERROR(INDEX(UtilityList!J$4:J$251,MATCH('Table 2.3c'!$A182&amp;'Table 2.3c'!$B182&amp;'Table 2.3c'!$C182,UtilityList!$A$4:$A$251&amp;UtilityList!$B$4:$B$251&amp;UtilityList!$C$4:$C$251,0)),INDEX(UtilityList!J$4:J$251,MATCH('Table 2.3c'!$A182&amp;'Table 2.3c'!$C182,UtilityList!$A$4:$A$251&amp;UtilityList!$C$5:$C$251,0)))</f>
        <v>Aleutians</v>
      </c>
      <c r="P182" s="452" t="str">
        <f t="array" ref="P182">IFERROR(INDEX(UtilityList!K$4:K$251,MATCH('Table 2.3c'!$A182&amp;'Table 2.3c'!$B182&amp;'Table 2.3c'!$C182,UtilityList!$A$4:$A$251&amp;UtilityList!$B$4:$B$251&amp;UtilityList!$C$4:$C$251,0)),INDEX(UtilityList!K$4:K$251,MATCH('Table 2.3c'!$A182&amp;'Table 2.3c'!$C182,UtilityList!$A$4:$A$251&amp;UtilityList!$C$5:$C$251,0)))</f>
        <v>Aleutians East</v>
      </c>
      <c r="Q182" s="452" t="str">
        <f t="array" ref="Q182">IFERROR(INDEX(UtilityList!L$4:L$251,MATCH('Table 2.3c'!$A182&amp;'Table 2.3c'!$B182&amp;'Table 2.3c'!$C182,UtilityList!$A$4:$A$251&amp;UtilityList!$B$4:$B$251&amp;UtilityList!$C$4:$C$251,0)),INDEX(UtilityList!L$4:L$251,MATCH('Table 2.3c'!$A182&amp;'Table 2.3c'!$C182,UtilityList!$A$4:$A$251&amp;UtilityList!$C$5:$C$251,0)))</f>
        <v>Aleut</v>
      </c>
      <c r="R182" s="452" t="str">
        <f t="array" ref="R182">IFERROR(INDEX(UtilityList!M$4:M$251,MATCH('Table 2.3c'!$A182&amp;'Table 2.3c'!$B182&amp;'Table 2.3c'!$C182,UtilityList!$A$4:$A$251&amp;UtilityList!$B$4:$B$251&amp;UtilityList!$C$4:$C$251,0)),INDEX(UtilityList!M$4:M$251,MATCH('Table 2.3c'!$A182&amp;'Table 2.3c'!$C182,UtilityList!$A$4:$A$251&amp;UtilityList!$C$5:$C$251,0)))</f>
        <v>SW</v>
      </c>
    </row>
    <row r="183" spans="1:19" s="239" customFormat="1" ht="30" x14ac:dyDescent="0.25">
      <c r="A183" s="678" t="s">
        <v>270</v>
      </c>
      <c r="B183" s="361" t="s">
        <v>271</v>
      </c>
      <c r="C183" s="679" t="s">
        <v>271</v>
      </c>
      <c r="D183" s="680" t="s">
        <v>545</v>
      </c>
      <c r="E183" s="680" t="s">
        <v>546</v>
      </c>
      <c r="F183" s="681">
        <v>648.44000000000005</v>
      </c>
      <c r="G183" s="682">
        <v>72207</v>
      </c>
      <c r="H183" s="681">
        <f t="shared" si="9"/>
        <v>10108.980000000001</v>
      </c>
      <c r="I183" s="682">
        <v>4.5217333000000002</v>
      </c>
      <c r="J183" s="682">
        <f t="shared" si="11"/>
        <v>8.9802927693990888</v>
      </c>
      <c r="K183" s="682">
        <f t="shared" si="10"/>
        <v>0.50351735918990193</v>
      </c>
      <c r="L183" s="682">
        <v>0.14000000000000001</v>
      </c>
      <c r="M183" s="658" t="s">
        <v>356</v>
      </c>
      <c r="N183" s="627">
        <f t="array" ref="N183">INDEX(UtilityList!Q$4:Q$251,MATCH('Table 2.3c'!$A183&amp;'Table 2.3c'!$B183&amp;'Table 2.3c'!$C183,UtilityList!$A$4:$A$251&amp;UtilityList!$B$4:$B$251&amp;UtilityList!$C$4:$C$251,0))</f>
        <v>0</v>
      </c>
      <c r="O183" s="452" t="str">
        <f t="array" ref="O183">IFERROR(INDEX(UtilityList!J$4:J$251,MATCH('Table 2.3c'!$A183&amp;'Table 2.3c'!$B183&amp;'Table 2.3c'!$C183,UtilityList!$A$4:$A$251&amp;UtilityList!$B$4:$B$251&amp;UtilityList!$C$4:$C$251,0)),INDEX(UtilityList!J$4:J$251,MATCH('Table 2.3c'!$A183&amp;'Table 2.3c'!$C183,UtilityList!$A$4:$A$251&amp;UtilityList!$C$5:$C$251,0)))</f>
        <v>Bristol Bay</v>
      </c>
      <c r="P183" s="452" t="str">
        <f t="array" ref="P183">IFERROR(INDEX(UtilityList!K$4:K$251,MATCH('Table 2.3c'!$A183&amp;'Table 2.3c'!$B183&amp;'Table 2.3c'!$C183,UtilityList!$A$4:$A$251&amp;UtilityList!$B$4:$B$251&amp;UtilityList!$C$4:$C$251,0)),INDEX(UtilityList!K$4:K$251,MATCH('Table 2.3c'!$A183&amp;'Table 2.3c'!$C183,UtilityList!$A$4:$A$251&amp;UtilityList!$C$5:$C$251,0)))</f>
        <v>Dillingham (CA)</v>
      </c>
      <c r="Q183" s="452" t="str">
        <f t="array" ref="Q183">IFERROR(INDEX(UtilityList!L$4:L$251,MATCH('Table 2.3c'!$A183&amp;'Table 2.3c'!$B183&amp;'Table 2.3c'!$C183,UtilityList!$A$4:$A$251&amp;UtilityList!$B$4:$B$251&amp;UtilityList!$C$4:$C$251,0)),INDEX(UtilityList!L$4:L$251,MATCH('Table 2.3c'!$A183&amp;'Table 2.3c'!$C183,UtilityList!$A$4:$A$251&amp;UtilityList!$C$5:$C$251,0)))</f>
        <v>Bristol Bay</v>
      </c>
      <c r="R183" s="452" t="str">
        <f t="array" ref="R183">IFERROR(INDEX(UtilityList!M$4:M$251,MATCH('Table 2.3c'!$A183&amp;'Table 2.3c'!$B183&amp;'Table 2.3c'!$C183,UtilityList!$A$4:$A$251&amp;UtilityList!$B$4:$B$251&amp;UtilityList!$C$4:$C$251,0)),INDEX(UtilityList!M$4:M$251,MATCH('Table 2.3c'!$A183&amp;'Table 2.3c'!$C183,UtilityList!$A$4:$A$251&amp;UtilityList!$C$5:$C$251,0)))</f>
        <v>SW</v>
      </c>
    </row>
    <row r="184" spans="1:19" s="239" customFormat="1" ht="30" x14ac:dyDescent="0.25">
      <c r="A184" s="678" t="s">
        <v>272</v>
      </c>
      <c r="B184" s="361" t="s">
        <v>273</v>
      </c>
      <c r="C184" s="679" t="s">
        <v>273</v>
      </c>
      <c r="D184" s="680" t="s">
        <v>545</v>
      </c>
      <c r="E184" s="680" t="s">
        <v>546</v>
      </c>
      <c r="F184" s="681">
        <v>399.21109999999999</v>
      </c>
      <c r="G184" s="682">
        <v>36527</v>
      </c>
      <c r="H184" s="681">
        <f t="shared" si="9"/>
        <v>5113.7800000000007</v>
      </c>
      <c r="I184" s="682">
        <v>5.5137166999999998</v>
      </c>
      <c r="J184" s="682">
        <f t="shared" si="11"/>
        <v>10.929205792975059</v>
      </c>
      <c r="K184" s="682">
        <f t="shared" si="10"/>
        <v>0.50449381267429683</v>
      </c>
      <c r="L184" s="682">
        <v>0.14000000000000001</v>
      </c>
      <c r="M184" s="658" t="s">
        <v>356</v>
      </c>
      <c r="N184" s="627">
        <f t="array" ref="N184">INDEX(UtilityList!Q$4:Q$251,MATCH('Table 2.3c'!$A184&amp;'Table 2.3c'!$B184&amp;'Table 2.3c'!$C184,UtilityList!$A$4:$A$251&amp;UtilityList!$B$4:$B$251&amp;UtilityList!$C$4:$C$251,0))</f>
        <v>0</v>
      </c>
      <c r="O184" s="452" t="str">
        <f t="array" ref="O184">IFERROR(INDEX(UtilityList!J$4:J$251,MATCH('Table 2.3c'!$A184&amp;'Table 2.3c'!$B184&amp;'Table 2.3c'!$C184,UtilityList!$A$4:$A$251&amp;UtilityList!$B$4:$B$251&amp;UtilityList!$C$4:$C$251,0)),INDEX(UtilityList!J$4:J$251,MATCH('Table 2.3c'!$A184&amp;'Table 2.3c'!$C184,UtilityList!$A$4:$A$251&amp;UtilityList!$C$5:$C$251,0)))</f>
        <v>Yukon-Koyukuk/Upper Tanana</v>
      </c>
      <c r="P184" s="452" t="str">
        <f t="array" ref="P184">IFERROR(INDEX(UtilityList!K$4:K$251,MATCH('Table 2.3c'!$A184&amp;'Table 2.3c'!$B184&amp;'Table 2.3c'!$C184,UtilityList!$A$4:$A$251&amp;UtilityList!$B$4:$B$251&amp;UtilityList!$C$4:$C$251,0)),INDEX(UtilityList!K$4:K$251,MATCH('Table 2.3c'!$A184&amp;'Table 2.3c'!$C184,UtilityList!$A$4:$A$251&amp;UtilityList!$C$5:$C$251,0)))</f>
        <v>Yukon-Koyukuk (CA)</v>
      </c>
      <c r="Q184" s="452" t="str">
        <f t="array" ref="Q184">IFERROR(INDEX(UtilityList!L$4:L$251,MATCH('Table 2.3c'!$A184&amp;'Table 2.3c'!$B184&amp;'Table 2.3c'!$C184,UtilityList!$A$4:$A$251&amp;UtilityList!$B$4:$B$251&amp;UtilityList!$C$4:$C$251,0)),INDEX(UtilityList!L$4:L$251,MATCH('Table 2.3c'!$A184&amp;'Table 2.3c'!$C184,UtilityList!$A$4:$A$251&amp;UtilityList!$C$5:$C$251,0)))</f>
        <v>Doyon</v>
      </c>
      <c r="R184" s="452" t="str">
        <f t="array" ref="R184">IFERROR(INDEX(UtilityList!M$4:M$251,MATCH('Table 2.3c'!$A184&amp;'Table 2.3c'!$B184&amp;'Table 2.3c'!$C184,UtilityList!$A$4:$A$251&amp;UtilityList!$B$4:$B$251&amp;UtilityList!$C$4:$C$251,0)),INDEX(UtilityList!M$4:M$251,MATCH('Table 2.3c'!$A184&amp;'Table 2.3c'!$C184,UtilityList!$A$4:$A$251&amp;UtilityList!$C$5:$C$251,0)))</f>
        <v>SW</v>
      </c>
      <c r="S184" s="344"/>
    </row>
    <row r="185" spans="1:19" s="239" customFormat="1" ht="30" x14ac:dyDescent="0.25">
      <c r="A185" s="678" t="s">
        <v>274</v>
      </c>
      <c r="B185" s="361" t="s">
        <v>275</v>
      </c>
      <c r="C185" s="679" t="s">
        <v>276</v>
      </c>
      <c r="D185" s="680" t="s">
        <v>545</v>
      </c>
      <c r="E185" s="680" t="s">
        <v>546</v>
      </c>
      <c r="F185" s="681">
        <v>33500</v>
      </c>
      <c r="G185" s="682">
        <v>2109802</v>
      </c>
      <c r="H185" s="681">
        <f t="shared" si="9"/>
        <v>295372.28000000003</v>
      </c>
      <c r="I185" s="682">
        <v>2.8809917</v>
      </c>
      <c r="J185" s="682">
        <f t="shared" si="11"/>
        <v>15.87826724972296</v>
      </c>
      <c r="K185" s="682">
        <f t="shared" si="10"/>
        <v>0.18144244927293732</v>
      </c>
      <c r="L185" s="682">
        <v>0.14000000000000001</v>
      </c>
      <c r="M185" s="658" t="s">
        <v>356</v>
      </c>
      <c r="N185" s="627">
        <f t="array" ref="N185">INDEX(UtilityList!Q$4:Q$251,MATCH('Table 2.3c'!$A185&amp;'Table 2.3c'!$B185&amp;'Table 2.3c'!$C185,UtilityList!$A$4:$A$251&amp;UtilityList!$B$4:$B$251&amp;UtilityList!$C$4:$C$251,0))</f>
        <v>0</v>
      </c>
      <c r="O185" s="452" t="str">
        <f t="array" ref="O185">IFERROR(INDEX(UtilityList!J$4:J$251,MATCH('Table 2.3c'!$A185&amp;'Table 2.3c'!$B185&amp;'Table 2.3c'!$C185,UtilityList!$A$4:$A$251&amp;UtilityList!$B$4:$B$251&amp;UtilityList!$C$4:$C$251,0)),INDEX(UtilityList!J$4:J$251,MATCH('Table 2.3c'!$A185&amp;'Table 2.3c'!$C185,UtilityList!$A$4:$A$251&amp;UtilityList!$C$5:$C$251,0)))</f>
        <v>Bering Straits</v>
      </c>
      <c r="P185" s="452" t="str">
        <f t="array" ref="P185">IFERROR(INDEX(UtilityList!K$4:K$251,MATCH('Table 2.3c'!$A185&amp;'Table 2.3c'!$B185&amp;'Table 2.3c'!$C185,UtilityList!$A$4:$A$251&amp;UtilityList!$B$4:$B$251&amp;UtilityList!$C$4:$C$251,0)),INDEX(UtilityList!K$4:K$251,MATCH('Table 2.3c'!$A185&amp;'Table 2.3c'!$C185,UtilityList!$A$4:$A$251&amp;UtilityList!$C$5:$C$251,0)))</f>
        <v>Nome (CA)</v>
      </c>
      <c r="Q185" s="452" t="str">
        <f t="array" ref="Q185">IFERROR(INDEX(UtilityList!L$4:L$251,MATCH('Table 2.3c'!$A185&amp;'Table 2.3c'!$B185&amp;'Table 2.3c'!$C185,UtilityList!$A$4:$A$251&amp;UtilityList!$B$4:$B$251&amp;UtilityList!$C$4:$C$251,0)),INDEX(UtilityList!L$4:L$251,MATCH('Table 2.3c'!$A185&amp;'Table 2.3c'!$C185,UtilityList!$A$4:$A$251&amp;UtilityList!$C$5:$C$251,0)))</f>
        <v>Bering Straits</v>
      </c>
      <c r="R185" s="452" t="str">
        <f t="array" ref="R185">IFERROR(INDEX(UtilityList!M$4:M$251,MATCH('Table 2.3c'!$A185&amp;'Table 2.3c'!$B185&amp;'Table 2.3c'!$C185,UtilityList!$A$4:$A$251&amp;UtilityList!$B$4:$B$251&amp;UtilityList!$C$4:$C$251,0)),INDEX(UtilityList!M$4:M$251,MATCH('Table 2.3c'!$A185&amp;'Table 2.3c'!$C185,UtilityList!$A$4:$A$251&amp;UtilityList!$C$5:$C$251,0)))</f>
        <v>AN</v>
      </c>
    </row>
    <row r="186" spans="1:19" s="126" customFormat="1" ht="45" x14ac:dyDescent="0.25">
      <c r="A186" s="684" t="s">
        <v>277</v>
      </c>
      <c r="B186" s="352" t="s">
        <v>278</v>
      </c>
      <c r="C186" s="352" t="s">
        <v>278</v>
      </c>
      <c r="D186" s="685" t="s">
        <v>545</v>
      </c>
      <c r="E186" s="685" t="s">
        <v>546</v>
      </c>
      <c r="F186" s="641">
        <v>2690</v>
      </c>
      <c r="G186" s="691">
        <v>213486</v>
      </c>
      <c r="H186" s="681">
        <f t="shared" si="9"/>
        <v>29888.040000000005</v>
      </c>
      <c r="I186" s="691">
        <v>4.9400000000000004</v>
      </c>
      <c r="J186" s="691">
        <f t="shared" si="11"/>
        <v>12.600357868900069</v>
      </c>
      <c r="K186" s="682">
        <f t="shared" si="10"/>
        <v>0.39205235687732343</v>
      </c>
      <c r="L186" s="682">
        <v>0.14000000000000001</v>
      </c>
      <c r="M186" s="685" t="s">
        <v>558</v>
      </c>
      <c r="N186" s="627">
        <f t="array" ref="N186">INDEX(UtilityList!Q$4:Q$251,MATCH('Table 2.3c'!$A186&amp;'Table 2.3c'!$B186&amp;'Table 2.3c'!$C186,UtilityList!$A$4:$A$251&amp;UtilityList!$B$4:$B$251&amp;UtilityList!$C$4:$C$251,0))</f>
        <v>0</v>
      </c>
      <c r="O186" s="452" t="str">
        <f t="array" ref="O186">IFERROR(INDEX(UtilityList!J$4:J$251,MATCH('Table 2.3c'!$A186&amp;'Table 2.3c'!$B186&amp;'Table 2.3c'!$C186,UtilityList!$A$4:$A$251&amp;UtilityList!$B$4:$B$251&amp;UtilityList!$C$4:$C$251,0)),INDEX(UtilityList!J$4:J$251,MATCH('Table 2.3c'!$A186&amp;'Table 2.3c'!$C186,UtilityList!$A$4:$A$251&amp;UtilityList!$C$5:$C$251,0)))</f>
        <v>North Slope</v>
      </c>
      <c r="P186" s="452" t="str">
        <f t="array" ref="P186">IFERROR(INDEX(UtilityList!K$4:K$251,MATCH('Table 2.3c'!$A186&amp;'Table 2.3c'!$B186&amp;'Table 2.3c'!$C186,UtilityList!$A$4:$A$251&amp;UtilityList!$B$4:$B$251&amp;UtilityList!$C$4:$C$251,0)),INDEX(UtilityList!K$4:K$251,MATCH('Table 2.3c'!$A186&amp;'Table 2.3c'!$C186,UtilityList!$A$4:$A$251&amp;UtilityList!$C$5:$C$251,0)))</f>
        <v>North Slope</v>
      </c>
      <c r="Q186" s="452" t="str">
        <f t="array" ref="Q186">IFERROR(INDEX(UtilityList!L$4:L$251,MATCH('Table 2.3c'!$A186&amp;'Table 2.3c'!$B186&amp;'Table 2.3c'!$C186,UtilityList!$A$4:$A$251&amp;UtilityList!$B$4:$B$251&amp;UtilityList!$C$4:$C$251,0)),INDEX(UtilityList!L$4:L$251,MATCH('Table 2.3c'!$A186&amp;'Table 2.3c'!$C186,UtilityList!$A$4:$A$251&amp;UtilityList!$C$5:$C$251,0)))</f>
        <v>Arctic Slope</v>
      </c>
      <c r="R186" s="452" t="str">
        <f t="array" ref="R186">IFERROR(INDEX(UtilityList!M$4:M$251,MATCH('Table 2.3c'!$A186&amp;'Table 2.3c'!$B186&amp;'Table 2.3c'!$C186,UtilityList!$A$4:$A$251&amp;UtilityList!$B$4:$B$251&amp;UtilityList!$C$4:$C$251,0)),INDEX(UtilityList!M$4:M$251,MATCH('Table 2.3c'!$A186&amp;'Table 2.3c'!$C186,UtilityList!$A$4:$A$251&amp;UtilityList!$C$5:$C$251,0)))</f>
        <v>AN</v>
      </c>
      <c r="S186" s="342"/>
    </row>
    <row r="187" spans="1:19" s="126" customFormat="1" ht="45" x14ac:dyDescent="0.25">
      <c r="A187" s="684" t="s">
        <v>277</v>
      </c>
      <c r="B187" s="352" t="s">
        <v>279</v>
      </c>
      <c r="C187" s="352" t="s">
        <v>279</v>
      </c>
      <c r="D187" s="685" t="s">
        <v>545</v>
      </c>
      <c r="E187" s="685" t="s">
        <v>546</v>
      </c>
      <c r="F187" s="641">
        <v>3241</v>
      </c>
      <c r="G187" s="691">
        <v>255318</v>
      </c>
      <c r="H187" s="681">
        <f t="shared" si="9"/>
        <v>35744.520000000004</v>
      </c>
      <c r="I187" s="691">
        <v>1.59</v>
      </c>
      <c r="J187" s="691">
        <f t="shared" si="11"/>
        <v>12.693973789548719</v>
      </c>
      <c r="K187" s="682">
        <f t="shared" si="10"/>
        <v>0.12525628509719222</v>
      </c>
      <c r="L187" s="682">
        <v>0.14000000000000001</v>
      </c>
      <c r="M187" s="685" t="s">
        <v>558</v>
      </c>
      <c r="N187" s="627">
        <f t="array" ref="N187">INDEX(UtilityList!Q$4:Q$251,MATCH('Table 2.3c'!$A187&amp;'Table 2.3c'!$B187&amp;'Table 2.3c'!$C187,UtilityList!$A$4:$A$251&amp;UtilityList!$B$4:$B$251&amp;UtilityList!$C$4:$C$251,0))</f>
        <v>0</v>
      </c>
      <c r="O187" s="452" t="str">
        <f t="array" ref="O187">IFERROR(INDEX(UtilityList!J$4:J$251,MATCH('Table 2.3c'!$A187&amp;'Table 2.3c'!$B187&amp;'Table 2.3c'!$C187,UtilityList!$A$4:$A$251&amp;UtilityList!$B$4:$B$251&amp;UtilityList!$C$4:$C$251,0)),INDEX(UtilityList!J$4:J$251,MATCH('Table 2.3c'!$A187&amp;'Table 2.3c'!$C187,UtilityList!$A$4:$A$251&amp;UtilityList!$C$5:$C$251,0)))</f>
        <v>North Slope</v>
      </c>
      <c r="P187" s="452" t="str">
        <f t="array" ref="P187">IFERROR(INDEX(UtilityList!K$4:K$251,MATCH('Table 2.3c'!$A187&amp;'Table 2.3c'!$B187&amp;'Table 2.3c'!$C187,UtilityList!$A$4:$A$251&amp;UtilityList!$B$4:$B$251&amp;UtilityList!$C$4:$C$251,0)),INDEX(UtilityList!K$4:K$251,MATCH('Table 2.3c'!$A187&amp;'Table 2.3c'!$C187,UtilityList!$A$4:$A$251&amp;UtilityList!$C$5:$C$251,0)))</f>
        <v>North Slope</v>
      </c>
      <c r="Q187" s="452" t="str">
        <f t="array" ref="Q187">IFERROR(INDEX(UtilityList!L$4:L$251,MATCH('Table 2.3c'!$A187&amp;'Table 2.3c'!$B187&amp;'Table 2.3c'!$C187,UtilityList!$A$4:$A$251&amp;UtilityList!$B$4:$B$251&amp;UtilityList!$C$4:$C$251,0)),INDEX(UtilityList!L$4:L$251,MATCH('Table 2.3c'!$A187&amp;'Table 2.3c'!$C187,UtilityList!$A$4:$A$251&amp;UtilityList!$C$5:$C$251,0)))</f>
        <v>Arctic Slope</v>
      </c>
      <c r="R187" s="452" t="str">
        <f t="array" ref="R187">IFERROR(INDEX(UtilityList!M$4:M$251,MATCH('Table 2.3c'!$A187&amp;'Table 2.3c'!$B187&amp;'Table 2.3c'!$C187,UtilityList!$A$4:$A$251&amp;UtilityList!$B$4:$B$251&amp;UtilityList!$C$4:$C$251,0)),INDEX(UtilityList!M$4:M$251,MATCH('Table 2.3c'!$A187&amp;'Table 2.3c'!$C187,UtilityList!$A$4:$A$251&amp;UtilityList!$C$5:$C$251,0)))</f>
        <v>AN</v>
      </c>
      <c r="S187" s="342"/>
    </row>
    <row r="188" spans="1:19" s="126" customFormat="1" ht="45" x14ac:dyDescent="0.25">
      <c r="A188" s="352" t="s">
        <v>277</v>
      </c>
      <c r="B188" s="352" t="s">
        <v>280</v>
      </c>
      <c r="C188" s="352" t="s">
        <v>280</v>
      </c>
      <c r="D188" s="685" t="s">
        <v>545</v>
      </c>
      <c r="E188" s="685" t="s">
        <v>546</v>
      </c>
      <c r="F188" s="641">
        <v>2603</v>
      </c>
      <c r="G188" s="691">
        <v>294588</v>
      </c>
      <c r="H188" s="681">
        <f t="shared" si="9"/>
        <v>41242.320000000007</v>
      </c>
      <c r="I188" s="691">
        <v>4.43</v>
      </c>
      <c r="J188" s="691">
        <f t="shared" si="11"/>
        <v>8.8360693578828737</v>
      </c>
      <c r="K188" s="682">
        <f t="shared" si="10"/>
        <v>0.50135414521705723</v>
      </c>
      <c r="L188" s="682">
        <v>0.14000000000000001</v>
      </c>
      <c r="M188" s="685" t="s">
        <v>558</v>
      </c>
      <c r="N188" s="627">
        <f t="array" ref="N188">INDEX(UtilityList!Q$4:Q$251,MATCH('Table 2.3c'!$A188&amp;'Table 2.3c'!$B188&amp;'Table 2.3c'!$C188,UtilityList!$A$4:$A$251&amp;UtilityList!$B$4:$B$251&amp;UtilityList!$C$4:$C$251,0))</f>
        <v>0</v>
      </c>
      <c r="O188" s="452" t="str">
        <f t="array" ref="O188">IFERROR(INDEX(UtilityList!J$4:J$251,MATCH('Table 2.3c'!$A188&amp;'Table 2.3c'!$B188&amp;'Table 2.3c'!$C188,UtilityList!$A$4:$A$251&amp;UtilityList!$B$4:$B$251&amp;UtilityList!$C$4:$C$251,0)),INDEX(UtilityList!J$4:J$251,MATCH('Table 2.3c'!$A188&amp;'Table 2.3c'!$C188,UtilityList!$A$4:$A$251&amp;UtilityList!$C$5:$C$251,0)))</f>
        <v>North Slope</v>
      </c>
      <c r="P188" s="452" t="str">
        <f t="array" ref="P188">IFERROR(INDEX(UtilityList!K$4:K$251,MATCH('Table 2.3c'!$A188&amp;'Table 2.3c'!$B188&amp;'Table 2.3c'!$C188,UtilityList!$A$4:$A$251&amp;UtilityList!$B$4:$B$251&amp;UtilityList!$C$4:$C$251,0)),INDEX(UtilityList!K$4:K$251,MATCH('Table 2.3c'!$A188&amp;'Table 2.3c'!$C188,UtilityList!$A$4:$A$251&amp;UtilityList!$C$5:$C$251,0)))</f>
        <v>North Slope</v>
      </c>
      <c r="Q188" s="452" t="str">
        <f t="array" ref="Q188">IFERROR(INDEX(UtilityList!L$4:L$251,MATCH('Table 2.3c'!$A188&amp;'Table 2.3c'!$B188&amp;'Table 2.3c'!$C188,UtilityList!$A$4:$A$251&amp;UtilityList!$B$4:$B$251&amp;UtilityList!$C$4:$C$251,0)),INDEX(UtilityList!L$4:L$251,MATCH('Table 2.3c'!$A188&amp;'Table 2.3c'!$C188,UtilityList!$A$4:$A$251&amp;UtilityList!$C$5:$C$251,0)))</f>
        <v>Arctic Slope</v>
      </c>
      <c r="R188" s="452" t="str">
        <f t="array" ref="R188">IFERROR(INDEX(UtilityList!M$4:M$251,MATCH('Table 2.3c'!$A188&amp;'Table 2.3c'!$B188&amp;'Table 2.3c'!$C188,UtilityList!$A$4:$A$251&amp;UtilityList!$B$4:$B$251&amp;UtilityList!$C$4:$C$251,0)),INDEX(UtilityList!M$4:M$251,MATCH('Table 2.3c'!$A188&amp;'Table 2.3c'!$C188,UtilityList!$A$4:$A$251&amp;UtilityList!$C$5:$C$251,0)))</f>
        <v>AN</v>
      </c>
      <c r="S188" s="342"/>
    </row>
    <row r="189" spans="1:19" s="126" customFormat="1" ht="45" x14ac:dyDescent="0.25">
      <c r="A189" s="352" t="s">
        <v>277</v>
      </c>
      <c r="B189" s="352" t="s">
        <v>281</v>
      </c>
      <c r="C189" s="352" t="s">
        <v>281</v>
      </c>
      <c r="D189" s="685" t="s">
        <v>545</v>
      </c>
      <c r="E189" s="685" t="s">
        <v>546</v>
      </c>
      <c r="F189" s="641">
        <v>1754</v>
      </c>
      <c r="G189" s="686">
        <v>88284</v>
      </c>
      <c r="H189" s="681">
        <f t="shared" si="9"/>
        <v>12359.760000000002</v>
      </c>
      <c r="I189" s="686"/>
      <c r="J189" s="686">
        <f t="shared" si="11"/>
        <v>19.867699696434237</v>
      </c>
      <c r="K189" s="682" t="str">
        <f t="shared" si="10"/>
        <v xml:space="preserve"> </v>
      </c>
      <c r="L189" s="682">
        <v>0.14000000000000001</v>
      </c>
      <c r="M189" s="685" t="s">
        <v>558</v>
      </c>
      <c r="N189" s="627">
        <f t="array" ref="N189">INDEX(UtilityList!Q$4:Q$251,MATCH('Table 2.3c'!$A189&amp;'Table 2.3c'!$B189&amp;'Table 2.3c'!$C189,UtilityList!$A$4:$A$251&amp;UtilityList!$B$4:$B$251&amp;UtilityList!$C$4:$C$251,0))</f>
        <v>0</v>
      </c>
      <c r="O189" s="452" t="str">
        <f t="array" ref="O189">IFERROR(INDEX(UtilityList!J$4:J$251,MATCH('Table 2.3c'!$A189&amp;'Table 2.3c'!$B189&amp;'Table 2.3c'!$C189,UtilityList!$A$4:$A$251&amp;UtilityList!$B$4:$B$251&amp;UtilityList!$C$4:$C$251,0)),INDEX(UtilityList!J$4:J$251,MATCH('Table 2.3c'!$A189&amp;'Table 2.3c'!$C189,UtilityList!$A$4:$A$251&amp;UtilityList!$C$5:$C$251,0)))</f>
        <v>North Slope</v>
      </c>
      <c r="P189" s="452" t="str">
        <f t="array" ref="P189">IFERROR(INDEX(UtilityList!K$4:K$251,MATCH('Table 2.3c'!$A189&amp;'Table 2.3c'!$B189&amp;'Table 2.3c'!$C189,UtilityList!$A$4:$A$251&amp;UtilityList!$B$4:$B$251&amp;UtilityList!$C$4:$C$251,0)),INDEX(UtilityList!K$4:K$251,MATCH('Table 2.3c'!$A189&amp;'Table 2.3c'!$C189,UtilityList!$A$4:$A$251&amp;UtilityList!$C$5:$C$251,0)))</f>
        <v>North Slope</v>
      </c>
      <c r="Q189" s="452" t="str">
        <f t="array" ref="Q189">IFERROR(INDEX(UtilityList!L$4:L$251,MATCH('Table 2.3c'!$A189&amp;'Table 2.3c'!$B189&amp;'Table 2.3c'!$C189,UtilityList!$A$4:$A$251&amp;UtilityList!$B$4:$B$251&amp;UtilityList!$C$4:$C$251,0)),INDEX(UtilityList!L$4:L$251,MATCH('Table 2.3c'!$A189&amp;'Table 2.3c'!$C189,UtilityList!$A$4:$A$251&amp;UtilityList!$C$5:$C$251,0)))</f>
        <v>Arctic Slope</v>
      </c>
      <c r="R189" s="452" t="str">
        <f t="array" ref="R189">IFERROR(INDEX(UtilityList!M$4:M$251,MATCH('Table 2.3c'!$A189&amp;'Table 2.3c'!$B189&amp;'Table 2.3c'!$C189,UtilityList!$A$4:$A$251&amp;UtilityList!$B$4:$B$251&amp;UtilityList!$C$4:$C$251,0)),INDEX(UtilityList!M$4:M$251,MATCH('Table 2.3c'!$A189&amp;'Table 2.3c'!$C189,UtilityList!$A$4:$A$251&amp;UtilityList!$C$5:$C$251,0)))</f>
        <v>AN</v>
      </c>
      <c r="S189" s="342"/>
    </row>
    <row r="190" spans="1:19" s="126" customFormat="1" ht="45" x14ac:dyDescent="0.25">
      <c r="A190" s="352" t="s">
        <v>277</v>
      </c>
      <c r="B190" s="352" t="s">
        <v>281</v>
      </c>
      <c r="C190" s="352" t="s">
        <v>281</v>
      </c>
      <c r="D190" s="685" t="s">
        <v>564</v>
      </c>
      <c r="E190" s="685" t="s">
        <v>546</v>
      </c>
      <c r="F190" s="641">
        <v>1475</v>
      </c>
      <c r="G190" s="686">
        <v>10329</v>
      </c>
      <c r="H190" s="681">
        <f t="shared" si="9"/>
        <v>10556.237999999999</v>
      </c>
      <c r="I190" s="686"/>
      <c r="J190" s="686">
        <f>IF(F190&gt;0, IFERROR((F190*1000)/G190," "), " ")</f>
        <v>142.80182011811405</v>
      </c>
      <c r="K190" s="682" t="str">
        <f t="shared" si="10"/>
        <v xml:space="preserve"> </v>
      </c>
      <c r="L190" s="682">
        <v>1.022</v>
      </c>
      <c r="M190" s="685" t="s">
        <v>558</v>
      </c>
      <c r="N190" s="627">
        <f t="array" ref="N190">INDEX(UtilityList!Q$4:Q$251,MATCH('Table 2.3c'!$A190&amp;'Table 2.3c'!$B190&amp;'Table 2.3c'!$C190,UtilityList!$A$4:$A$251&amp;UtilityList!$B$4:$B$251&amp;UtilityList!$C$4:$C$251,0))</f>
        <v>0</v>
      </c>
      <c r="O190" s="452" t="str">
        <f t="array" ref="O190">IFERROR(INDEX(UtilityList!J$4:J$251,MATCH('Table 2.3c'!$A190&amp;'Table 2.3c'!$B190&amp;'Table 2.3c'!$C190,UtilityList!$A$4:$A$251&amp;UtilityList!$B$4:$B$251&amp;UtilityList!$C$4:$C$251,0)),INDEX(UtilityList!J$4:J$251,MATCH('Table 2.3c'!$A190&amp;'Table 2.3c'!$C190,UtilityList!$A$4:$A$251&amp;UtilityList!$C$5:$C$251,0)))</f>
        <v>North Slope</v>
      </c>
      <c r="P190" s="452" t="str">
        <f t="array" ref="P190">IFERROR(INDEX(UtilityList!K$4:K$251,MATCH('Table 2.3c'!$A190&amp;'Table 2.3c'!$B190&amp;'Table 2.3c'!$C190,UtilityList!$A$4:$A$251&amp;UtilityList!$B$4:$B$251&amp;UtilityList!$C$4:$C$251,0)),INDEX(UtilityList!K$4:K$251,MATCH('Table 2.3c'!$A190&amp;'Table 2.3c'!$C190,UtilityList!$A$4:$A$251&amp;UtilityList!$C$5:$C$251,0)))</f>
        <v>North Slope</v>
      </c>
      <c r="Q190" s="452" t="str">
        <f t="array" ref="Q190">IFERROR(INDEX(UtilityList!L$4:L$251,MATCH('Table 2.3c'!$A190&amp;'Table 2.3c'!$B190&amp;'Table 2.3c'!$C190,UtilityList!$A$4:$A$251&amp;UtilityList!$B$4:$B$251&amp;UtilityList!$C$4:$C$251,0)),INDEX(UtilityList!L$4:L$251,MATCH('Table 2.3c'!$A190&amp;'Table 2.3c'!$C190,UtilityList!$A$4:$A$251&amp;UtilityList!$C$5:$C$251,0)))</f>
        <v>Arctic Slope</v>
      </c>
      <c r="R190" s="452" t="str">
        <f t="array" ref="R190">IFERROR(INDEX(UtilityList!M$4:M$251,MATCH('Table 2.3c'!$A190&amp;'Table 2.3c'!$B190&amp;'Table 2.3c'!$C190,UtilityList!$A$4:$A$251&amp;UtilityList!$B$4:$B$251&amp;UtilityList!$C$4:$C$251,0)),INDEX(UtilityList!M$4:M$251,MATCH('Table 2.3c'!$A190&amp;'Table 2.3c'!$C190,UtilityList!$A$4:$A$251&amp;UtilityList!$C$5:$C$251,0)))</f>
        <v>AN</v>
      </c>
      <c r="S190" s="342"/>
    </row>
    <row r="191" spans="1:19" s="126" customFormat="1" ht="45" x14ac:dyDescent="0.25">
      <c r="A191" s="352" t="s">
        <v>277</v>
      </c>
      <c r="B191" s="352" t="s">
        <v>282</v>
      </c>
      <c r="C191" s="352" t="s">
        <v>282</v>
      </c>
      <c r="D191" s="685" t="s">
        <v>545</v>
      </c>
      <c r="E191" s="685" t="s">
        <v>546</v>
      </c>
      <c r="F191" s="641">
        <v>6153</v>
      </c>
      <c r="G191" s="686">
        <v>412482</v>
      </c>
      <c r="H191" s="681">
        <f t="shared" si="9"/>
        <v>57747.48</v>
      </c>
      <c r="I191" s="686"/>
      <c r="J191" s="686">
        <f t="shared" ref="J191:J225" si="12">IF(F191&gt;0,IFERROR((F191*1000)/G191, " ")," ")</f>
        <v>14.917014560635373</v>
      </c>
      <c r="K191" s="682" t="str">
        <f t="shared" si="10"/>
        <v xml:space="preserve"> </v>
      </c>
      <c r="L191" s="682">
        <v>0.14000000000000001</v>
      </c>
      <c r="M191" s="685" t="s">
        <v>558</v>
      </c>
      <c r="N191" s="627">
        <f t="array" ref="N191">INDEX(UtilityList!Q$4:Q$251,MATCH('Table 2.3c'!$A191&amp;'Table 2.3c'!$B191&amp;'Table 2.3c'!$C191,UtilityList!$A$4:$A$251&amp;UtilityList!$B$4:$B$251&amp;UtilityList!$C$4:$C$251,0))</f>
        <v>0</v>
      </c>
      <c r="O191" s="452" t="str">
        <f t="array" ref="O191">IFERROR(INDEX(UtilityList!J$4:J$251,MATCH('Table 2.3c'!$A191&amp;'Table 2.3c'!$B191&amp;'Table 2.3c'!$C191,UtilityList!$A$4:$A$251&amp;UtilityList!$B$4:$B$251&amp;UtilityList!$C$4:$C$251,0)),INDEX(UtilityList!J$4:J$251,MATCH('Table 2.3c'!$A191&amp;'Table 2.3c'!$C191,UtilityList!$A$4:$A$251&amp;UtilityList!$C$5:$C$251,0)))</f>
        <v>North Slope</v>
      </c>
      <c r="P191" s="452" t="str">
        <f t="array" ref="P191">IFERROR(INDEX(UtilityList!K$4:K$251,MATCH('Table 2.3c'!$A191&amp;'Table 2.3c'!$B191&amp;'Table 2.3c'!$C191,UtilityList!$A$4:$A$251&amp;UtilityList!$B$4:$B$251&amp;UtilityList!$C$4:$C$251,0)),INDEX(UtilityList!K$4:K$251,MATCH('Table 2.3c'!$A191&amp;'Table 2.3c'!$C191,UtilityList!$A$4:$A$251&amp;UtilityList!$C$5:$C$251,0)))</f>
        <v>North Slope</v>
      </c>
      <c r="Q191" s="452" t="str">
        <f t="array" ref="Q191">IFERROR(INDEX(UtilityList!L$4:L$251,MATCH('Table 2.3c'!$A191&amp;'Table 2.3c'!$B191&amp;'Table 2.3c'!$C191,UtilityList!$A$4:$A$251&amp;UtilityList!$B$4:$B$251&amp;UtilityList!$C$4:$C$251,0)),INDEX(UtilityList!L$4:L$251,MATCH('Table 2.3c'!$A191&amp;'Table 2.3c'!$C191,UtilityList!$A$4:$A$251&amp;UtilityList!$C$5:$C$251,0)))</f>
        <v>Arctic Slope</v>
      </c>
      <c r="R191" s="452" t="str">
        <f t="array" ref="R191">IFERROR(INDEX(UtilityList!M$4:M$251,MATCH('Table 2.3c'!$A191&amp;'Table 2.3c'!$B191&amp;'Table 2.3c'!$C191,UtilityList!$A$4:$A$251&amp;UtilityList!$B$4:$B$251&amp;UtilityList!$C$4:$C$251,0)),INDEX(UtilityList!M$4:M$251,MATCH('Table 2.3c'!$A191&amp;'Table 2.3c'!$C191,UtilityList!$A$4:$A$251&amp;UtilityList!$C$5:$C$251,0)))</f>
        <v>AN</v>
      </c>
      <c r="S191" s="342"/>
    </row>
    <row r="192" spans="1:19" s="126" customFormat="1" ht="45" x14ac:dyDescent="0.25">
      <c r="A192" s="352" t="s">
        <v>277</v>
      </c>
      <c r="B192" s="352" t="s">
        <v>283</v>
      </c>
      <c r="C192" s="352" t="s">
        <v>283</v>
      </c>
      <c r="D192" s="685" t="s">
        <v>545</v>
      </c>
      <c r="E192" s="685" t="s">
        <v>546</v>
      </c>
      <c r="F192" s="641">
        <v>18214</v>
      </c>
      <c r="G192" s="691">
        <v>1296582</v>
      </c>
      <c r="H192" s="681">
        <f t="shared" si="9"/>
        <v>181521.48</v>
      </c>
      <c r="I192" s="691">
        <v>4.43</v>
      </c>
      <c r="J192" s="691">
        <f t="shared" si="12"/>
        <v>14.047703886063511</v>
      </c>
      <c r="K192" s="682">
        <f t="shared" si="10"/>
        <v>0.31535402767102227</v>
      </c>
      <c r="L192" s="682">
        <v>0.14000000000000001</v>
      </c>
      <c r="M192" s="685" t="s">
        <v>558</v>
      </c>
      <c r="N192" s="627">
        <f t="array" ref="N192">INDEX(UtilityList!Q$4:Q$251,MATCH('Table 2.3c'!$A192&amp;'Table 2.3c'!$B192&amp;'Table 2.3c'!$C192,UtilityList!$A$4:$A$251&amp;UtilityList!$B$4:$B$251&amp;UtilityList!$C$4:$C$251,0))</f>
        <v>0</v>
      </c>
      <c r="O192" s="452" t="str">
        <f t="array" ref="O192">IFERROR(INDEX(UtilityList!J$4:J$251,MATCH('Table 2.3c'!$A192&amp;'Table 2.3c'!$B192&amp;'Table 2.3c'!$C192,UtilityList!$A$4:$A$251&amp;UtilityList!$B$4:$B$251&amp;UtilityList!$C$4:$C$251,0)),INDEX(UtilityList!J$4:J$251,MATCH('Table 2.3c'!$A192&amp;'Table 2.3c'!$C192,UtilityList!$A$4:$A$251&amp;UtilityList!$C$5:$C$251,0)))</f>
        <v>North Slope</v>
      </c>
      <c r="P192" s="452" t="str">
        <f t="array" ref="P192">IFERROR(INDEX(UtilityList!K$4:K$251,MATCH('Table 2.3c'!$A192&amp;'Table 2.3c'!$B192&amp;'Table 2.3c'!$C192,UtilityList!$A$4:$A$251&amp;UtilityList!$B$4:$B$251&amp;UtilityList!$C$4:$C$251,0)),INDEX(UtilityList!K$4:K$251,MATCH('Table 2.3c'!$A192&amp;'Table 2.3c'!$C192,UtilityList!$A$4:$A$251&amp;UtilityList!$C$5:$C$251,0)))</f>
        <v>North Slope</v>
      </c>
      <c r="Q192" s="452" t="str">
        <f t="array" ref="Q192">IFERROR(INDEX(UtilityList!L$4:L$251,MATCH('Table 2.3c'!$A192&amp;'Table 2.3c'!$B192&amp;'Table 2.3c'!$C192,UtilityList!$A$4:$A$251&amp;UtilityList!$B$4:$B$251&amp;UtilityList!$C$4:$C$251,0)),INDEX(UtilityList!L$4:L$251,MATCH('Table 2.3c'!$A192&amp;'Table 2.3c'!$C192,UtilityList!$A$4:$A$251&amp;UtilityList!$C$5:$C$251,0)))</f>
        <v>Arctic Slope</v>
      </c>
      <c r="R192" s="452" t="str">
        <f t="array" ref="R192">IFERROR(INDEX(UtilityList!M$4:M$251,MATCH('Table 2.3c'!$A192&amp;'Table 2.3c'!$B192&amp;'Table 2.3c'!$C192,UtilityList!$A$4:$A$251&amp;UtilityList!$B$4:$B$251&amp;UtilityList!$C$4:$C$251,0)),INDEX(UtilityList!M$4:M$251,MATCH('Table 2.3c'!$A192&amp;'Table 2.3c'!$C192,UtilityList!$A$4:$A$251&amp;UtilityList!$C$5:$C$251,0)))</f>
        <v>AN</v>
      </c>
      <c r="S192" s="342"/>
    </row>
    <row r="193" spans="1:19" s="126" customFormat="1" ht="45" x14ac:dyDescent="0.25">
      <c r="A193" s="352" t="s">
        <v>277</v>
      </c>
      <c r="B193" s="352" t="s">
        <v>284</v>
      </c>
      <c r="C193" s="352" t="s">
        <v>284</v>
      </c>
      <c r="D193" s="685" t="s">
        <v>545</v>
      </c>
      <c r="E193" s="685" t="s">
        <v>546</v>
      </c>
      <c r="F193" s="641">
        <v>3568</v>
      </c>
      <c r="G193" s="691">
        <v>350490</v>
      </c>
      <c r="H193" s="681">
        <f t="shared" si="9"/>
        <v>49068.600000000006</v>
      </c>
      <c r="I193" s="691">
        <v>4.43</v>
      </c>
      <c r="J193" s="691">
        <f t="shared" si="12"/>
        <v>10.180033667151703</v>
      </c>
      <c r="K193" s="682">
        <f t="shared" si="10"/>
        <v>0.43516555493273534</v>
      </c>
      <c r="L193" s="682">
        <v>0.14000000000000001</v>
      </c>
      <c r="M193" s="685" t="s">
        <v>558</v>
      </c>
      <c r="N193" s="627">
        <f t="array" ref="N193">INDEX(UtilityList!Q$4:Q$251,MATCH('Table 2.3c'!$A193&amp;'Table 2.3c'!$B193&amp;'Table 2.3c'!$C193,UtilityList!$A$4:$A$251&amp;UtilityList!$B$4:$B$251&amp;UtilityList!$C$4:$C$251,0))</f>
        <v>0</v>
      </c>
      <c r="O193" s="452" t="str">
        <f t="array" ref="O193">IFERROR(INDEX(UtilityList!J$4:J$251,MATCH('Table 2.3c'!$A193&amp;'Table 2.3c'!$B193&amp;'Table 2.3c'!$C193,UtilityList!$A$4:$A$251&amp;UtilityList!$B$4:$B$251&amp;UtilityList!$C$4:$C$251,0)),INDEX(UtilityList!J$4:J$251,MATCH('Table 2.3c'!$A193&amp;'Table 2.3c'!$C193,UtilityList!$A$4:$A$251&amp;UtilityList!$C$5:$C$251,0)))</f>
        <v>North Slope</v>
      </c>
      <c r="P193" s="452" t="str">
        <f t="array" ref="P193">IFERROR(INDEX(UtilityList!K$4:K$251,MATCH('Table 2.3c'!$A193&amp;'Table 2.3c'!$B193&amp;'Table 2.3c'!$C193,UtilityList!$A$4:$A$251&amp;UtilityList!$B$4:$B$251&amp;UtilityList!$C$4:$C$251,0)),INDEX(UtilityList!K$4:K$251,MATCH('Table 2.3c'!$A193&amp;'Table 2.3c'!$C193,UtilityList!$A$4:$A$251&amp;UtilityList!$C$5:$C$251,0)))</f>
        <v>North Slope</v>
      </c>
      <c r="Q193" s="452" t="str">
        <f t="array" ref="Q193">IFERROR(INDEX(UtilityList!L$4:L$251,MATCH('Table 2.3c'!$A193&amp;'Table 2.3c'!$B193&amp;'Table 2.3c'!$C193,UtilityList!$A$4:$A$251&amp;UtilityList!$B$4:$B$251&amp;UtilityList!$C$4:$C$251,0)),INDEX(UtilityList!L$4:L$251,MATCH('Table 2.3c'!$A193&amp;'Table 2.3c'!$C193,UtilityList!$A$4:$A$251&amp;UtilityList!$C$5:$C$251,0)))</f>
        <v>Arctic Slope</v>
      </c>
      <c r="R193" s="452" t="str">
        <f t="array" ref="R193">IFERROR(INDEX(UtilityList!M$4:M$251,MATCH('Table 2.3c'!$A193&amp;'Table 2.3c'!$B193&amp;'Table 2.3c'!$C193,UtilityList!$A$4:$A$251&amp;UtilityList!$B$4:$B$251&amp;UtilityList!$C$4:$C$251,0)),INDEX(UtilityList!M$4:M$251,MATCH('Table 2.3c'!$A193&amp;'Table 2.3c'!$C193,UtilityList!$A$4:$A$251&amp;UtilityList!$C$5:$C$251,0)))</f>
        <v>AN</v>
      </c>
      <c r="S193" s="342"/>
    </row>
    <row r="194" spans="1:19" s="239" customFormat="1" ht="45" x14ac:dyDescent="0.25">
      <c r="A194" s="678" t="s">
        <v>285</v>
      </c>
      <c r="B194" s="361" t="s">
        <v>521</v>
      </c>
      <c r="C194" s="679" t="s">
        <v>286</v>
      </c>
      <c r="D194" s="680" t="s">
        <v>545</v>
      </c>
      <c r="E194" s="680" t="s">
        <v>546</v>
      </c>
      <c r="F194" s="681">
        <v>829.24900000000002</v>
      </c>
      <c r="G194" s="682">
        <v>67849</v>
      </c>
      <c r="H194" s="681">
        <f t="shared" si="9"/>
        <v>9498.86</v>
      </c>
      <c r="I194" s="682">
        <v>3.7703000000000002</v>
      </c>
      <c r="J194" s="682">
        <f t="shared" si="12"/>
        <v>12.221978216333328</v>
      </c>
      <c r="K194" s="682">
        <f t="shared" si="10"/>
        <v>0.30848524954507034</v>
      </c>
      <c r="L194" s="682">
        <v>0.14000000000000001</v>
      </c>
      <c r="M194" s="658" t="s">
        <v>356</v>
      </c>
      <c r="N194" s="627">
        <f t="array" ref="N194">INDEX(UtilityList!Q$4:Q$251,MATCH('Table 2.3c'!$A194&amp;'Table 2.3c'!$B194&amp;'Table 2.3c'!$C194,UtilityList!$A$4:$A$251&amp;UtilityList!$B$4:$B$251&amp;UtilityList!$C$4:$C$251,0))</f>
        <v>0</v>
      </c>
      <c r="O194" s="452" t="str">
        <f t="array" ref="O194">IFERROR(INDEX(UtilityList!J$4:J$251,MATCH('Table 2.3c'!$A194&amp;'Table 2.3c'!$B194&amp;'Table 2.3c'!$C194,UtilityList!$A$4:$A$251&amp;UtilityList!$B$4:$B$251&amp;UtilityList!$C$4:$C$251,0)),INDEX(UtilityList!J$4:J$251,MATCH('Table 2.3c'!$A194&amp;'Table 2.3c'!$C194,UtilityList!$A$4:$A$251&amp;UtilityList!$C$5:$C$251,0)))</f>
        <v>Lower Yukon-Kuskokwim</v>
      </c>
      <c r="P194" s="452" t="str">
        <f t="array" ref="P194">IFERROR(INDEX(UtilityList!K$4:K$251,MATCH('Table 2.3c'!$A194&amp;'Table 2.3c'!$B194&amp;'Table 2.3c'!$C194,UtilityList!$A$4:$A$251&amp;UtilityList!$B$4:$B$251&amp;UtilityList!$C$4:$C$251,0)),INDEX(UtilityList!K$4:K$251,MATCH('Table 2.3c'!$A194&amp;'Table 2.3c'!$C194,UtilityList!$A$4:$A$251&amp;UtilityList!$C$5:$C$251,0)))</f>
        <v>Wade Hampton (CA)</v>
      </c>
      <c r="Q194" s="452" t="str">
        <f t="array" ref="Q194">IFERROR(INDEX(UtilityList!L$4:L$251,MATCH('Table 2.3c'!$A194&amp;'Table 2.3c'!$B194&amp;'Table 2.3c'!$C194,UtilityList!$A$4:$A$251&amp;UtilityList!$B$4:$B$251&amp;UtilityList!$C$4:$C$251,0)),INDEX(UtilityList!L$4:L$251,MATCH('Table 2.3c'!$A194&amp;'Table 2.3c'!$C194,UtilityList!$A$4:$A$251&amp;UtilityList!$C$5:$C$251,0)))</f>
        <v>Calista</v>
      </c>
      <c r="R194" s="452" t="str">
        <f t="array" ref="R194">IFERROR(INDEX(UtilityList!M$4:M$251,MATCH('Table 2.3c'!$A194&amp;'Table 2.3c'!$B194&amp;'Table 2.3c'!$C194,UtilityList!$A$4:$A$251&amp;UtilityList!$B$4:$B$251&amp;UtilityList!$C$4:$C$251,0)),INDEX(UtilityList!M$4:M$251,MATCH('Table 2.3c'!$A194&amp;'Table 2.3c'!$C194,UtilityList!$A$4:$A$251&amp;UtilityList!$C$5:$C$251,0)))</f>
        <v>YU</v>
      </c>
    </row>
    <row r="195" spans="1:19" s="239" customFormat="1" ht="60" x14ac:dyDescent="0.25">
      <c r="A195" s="678" t="s">
        <v>536</v>
      </c>
      <c r="B195" s="361" t="s">
        <v>287</v>
      </c>
      <c r="C195" s="679" t="s">
        <v>687</v>
      </c>
      <c r="D195" s="680" t="s">
        <v>545</v>
      </c>
      <c r="E195" s="680" t="s">
        <v>546</v>
      </c>
      <c r="F195" s="681">
        <v>18800</v>
      </c>
      <c r="G195" s="682">
        <v>1276725</v>
      </c>
      <c r="H195" s="681">
        <f t="shared" si="9"/>
        <v>178741.50000000003</v>
      </c>
      <c r="I195" s="682">
        <v>2.6583833000000001</v>
      </c>
      <c r="J195" s="682">
        <f t="shared" si="12"/>
        <v>14.725175742622726</v>
      </c>
      <c r="K195" s="682">
        <f t="shared" si="10"/>
        <v>0.18053321376023937</v>
      </c>
      <c r="L195" s="682">
        <v>0.14000000000000001</v>
      </c>
      <c r="M195" s="658" t="s">
        <v>356</v>
      </c>
      <c r="N195" s="627" t="str">
        <f t="array" ref="N195">INDEX(UtilityList!Q$4:Q$251,MATCH('Table 2.3c'!$A195&amp;'Table 2.3c'!$B195&amp;'Table 2.3c'!$C195,UtilityList!$A$4:$A$251&amp;UtilityList!$B$4:$B$251&amp;UtilityList!$C$4:$C$251,0))</f>
        <v>Provides power to Aleknagik via intertie. Data includes Aleknagik's information.</v>
      </c>
      <c r="O195" s="452" t="str">
        <f t="array" ref="O195">IFERROR(INDEX(UtilityList!J$4:J$251,MATCH('Table 2.3c'!$A195&amp;'Table 2.3c'!$B195&amp;'Table 2.3c'!$C195,UtilityList!$A$4:$A$251&amp;UtilityList!$B$4:$B$251&amp;UtilityList!$C$4:$C$251,0)),INDEX(UtilityList!J$4:J$251,MATCH('Table 2.3c'!$A195&amp;'Table 2.3c'!$C195,UtilityList!$A$4:$A$251&amp;UtilityList!$C$5:$C$251,0)))</f>
        <v>Bristol Bay</v>
      </c>
      <c r="P195" s="452" t="str">
        <f t="array" ref="P195">IFERROR(INDEX(UtilityList!K$4:K$251,MATCH('Table 2.3c'!$A195&amp;'Table 2.3c'!$B195&amp;'Table 2.3c'!$C195,UtilityList!$A$4:$A$251&amp;UtilityList!$B$4:$B$251&amp;UtilityList!$C$4:$C$251,0)),INDEX(UtilityList!K$4:K$251,MATCH('Table 2.3c'!$A195&amp;'Table 2.3c'!$C195,UtilityList!$A$4:$A$251&amp;UtilityList!$C$5:$C$251,0)))</f>
        <v>Dillingham (CA)</v>
      </c>
      <c r="Q195" s="452" t="str">
        <f t="array" ref="Q195">IFERROR(INDEX(UtilityList!L$4:L$251,MATCH('Table 2.3c'!$A195&amp;'Table 2.3c'!$B195&amp;'Table 2.3c'!$C195,UtilityList!$A$4:$A$251&amp;UtilityList!$B$4:$B$251&amp;UtilityList!$C$4:$C$251,0)),INDEX(UtilityList!L$4:L$251,MATCH('Table 2.3c'!$A195&amp;'Table 2.3c'!$C195,UtilityList!$A$4:$A$251&amp;UtilityList!$C$5:$C$251,0)))</f>
        <v>Bristol Bay</v>
      </c>
      <c r="R195" s="452" t="str">
        <f t="array" ref="R195">IFERROR(INDEX(UtilityList!M$4:M$251,MATCH('Table 2.3c'!$A195&amp;'Table 2.3c'!$B195&amp;'Table 2.3c'!$C195,UtilityList!$A$4:$A$251&amp;UtilityList!$B$4:$B$251&amp;UtilityList!$C$4:$C$251,0)),INDEX(UtilityList!M$4:M$251,MATCH('Table 2.3c'!$A195&amp;'Table 2.3c'!$C195,UtilityList!$A$4:$A$251&amp;UtilityList!$C$5:$C$251,0)))</f>
        <v>SW</v>
      </c>
    </row>
    <row r="196" spans="1:19" s="239" customFormat="1" x14ac:dyDescent="0.25">
      <c r="A196" s="678" t="s">
        <v>288</v>
      </c>
      <c r="B196" s="361" t="s">
        <v>289</v>
      </c>
      <c r="C196" s="679" t="s">
        <v>289</v>
      </c>
      <c r="D196" s="680" t="s">
        <v>545</v>
      </c>
      <c r="E196" s="680" t="s">
        <v>546</v>
      </c>
      <c r="F196" s="681">
        <v>328.82</v>
      </c>
      <c r="G196" s="682">
        <v>26152</v>
      </c>
      <c r="H196" s="681">
        <f t="shared" si="9"/>
        <v>3661.28</v>
      </c>
      <c r="I196" s="682">
        <v>4.0841666999999999</v>
      </c>
      <c r="J196" s="682">
        <f t="shared" si="12"/>
        <v>12.573416947078618</v>
      </c>
      <c r="K196" s="682">
        <f t="shared" si="10"/>
        <v>0.3248255201581412</v>
      </c>
      <c r="L196" s="682">
        <v>0.14000000000000001</v>
      </c>
      <c r="M196" s="658" t="s">
        <v>356</v>
      </c>
      <c r="N196" s="627">
        <f t="array" ref="N196">INDEX(UtilityList!Q$4:Q$251,MATCH('Table 2.3c'!$A196&amp;'Table 2.3c'!$B196&amp;'Table 2.3c'!$C196,UtilityList!$A$4:$A$251&amp;UtilityList!$B$4:$B$251&amp;UtilityList!$C$4:$C$251,0))</f>
        <v>0</v>
      </c>
      <c r="O196" s="452" t="str">
        <f t="array" ref="O196">IFERROR(INDEX(UtilityList!J$4:J$251,MATCH('Table 2.3c'!$A196&amp;'Table 2.3c'!$B196&amp;'Table 2.3c'!$C196,UtilityList!$A$4:$A$251&amp;UtilityList!$B$4:$B$251&amp;UtilityList!$C$4:$C$251,0)),INDEX(UtilityList!J$4:J$251,MATCH('Table 2.3c'!$A196&amp;'Table 2.3c'!$C196,UtilityList!$A$4:$A$251&amp;UtilityList!$C$5:$C$251,0)))</f>
        <v>Kodiak</v>
      </c>
      <c r="P196" s="452" t="str">
        <f t="array" ref="P196">IFERROR(INDEX(UtilityList!K$4:K$251,MATCH('Table 2.3c'!$A196&amp;'Table 2.3c'!$B196&amp;'Table 2.3c'!$C196,UtilityList!$A$4:$A$251&amp;UtilityList!$B$4:$B$251&amp;UtilityList!$C$4:$C$251,0)),INDEX(UtilityList!K$4:K$251,MATCH('Table 2.3c'!$A196&amp;'Table 2.3c'!$C196,UtilityList!$A$4:$A$251&amp;UtilityList!$C$5:$C$251,0)))</f>
        <v>Kodiak Island</v>
      </c>
      <c r="Q196" s="452" t="str">
        <f t="array" ref="Q196">IFERROR(INDEX(UtilityList!L$4:L$251,MATCH('Table 2.3c'!$A196&amp;'Table 2.3c'!$B196&amp;'Table 2.3c'!$C196,UtilityList!$A$4:$A$251&amp;UtilityList!$B$4:$B$251&amp;UtilityList!$C$4:$C$251,0)),INDEX(UtilityList!L$4:L$251,MATCH('Table 2.3c'!$A196&amp;'Table 2.3c'!$C196,UtilityList!$A$4:$A$251&amp;UtilityList!$C$5:$C$251,0)))</f>
        <v>Koniag</v>
      </c>
      <c r="R196" s="452" t="str">
        <f t="array" ref="R196">IFERROR(INDEX(UtilityList!M$4:M$251,MATCH('Table 2.3c'!$A196&amp;'Table 2.3c'!$B196&amp;'Table 2.3c'!$C196,UtilityList!$A$4:$A$251&amp;UtilityList!$B$4:$B$251&amp;UtilityList!$C$4:$C$251,0)),INDEX(UtilityList!M$4:M$251,MATCH('Table 2.3c'!$A196&amp;'Table 2.3c'!$C196,UtilityList!$A$4:$A$251&amp;UtilityList!$C$5:$C$251,0)))</f>
        <v>SC</v>
      </c>
    </row>
    <row r="197" spans="1:19" s="239" customFormat="1" ht="30" x14ac:dyDescent="0.25">
      <c r="A197" s="678" t="s">
        <v>290</v>
      </c>
      <c r="B197" s="361" t="s">
        <v>291</v>
      </c>
      <c r="C197" s="679" t="s">
        <v>291</v>
      </c>
      <c r="D197" s="680" t="s">
        <v>545</v>
      </c>
      <c r="E197" s="680" t="s">
        <v>546</v>
      </c>
      <c r="F197" s="681">
        <v>211.78700000000001</v>
      </c>
      <c r="G197" s="682">
        <v>19514</v>
      </c>
      <c r="H197" s="681">
        <f t="shared" si="9"/>
        <v>2731.96</v>
      </c>
      <c r="I197" s="682">
        <v>5.2443333000000001</v>
      </c>
      <c r="J197" s="682">
        <f t="shared" si="12"/>
        <v>10.853079840114789</v>
      </c>
      <c r="K197" s="682">
        <f t="shared" si="10"/>
        <v>0.4832115286405681</v>
      </c>
      <c r="L197" s="682">
        <v>0.14000000000000001</v>
      </c>
      <c r="M197" s="658" t="s">
        <v>356</v>
      </c>
      <c r="N197" s="627">
        <f t="array" ref="N197">INDEX(UtilityList!Q$4:Q$251,MATCH('Table 2.3c'!$A197&amp;'Table 2.3c'!$B197&amp;'Table 2.3c'!$C197,UtilityList!$A$4:$A$251&amp;UtilityList!$B$4:$B$251&amp;UtilityList!$C$4:$C$251,0))</f>
        <v>0</v>
      </c>
      <c r="O197" s="452" t="str">
        <f t="array" ref="O197">IFERROR(INDEX(UtilityList!J$4:J$251,MATCH('Table 2.3c'!$A197&amp;'Table 2.3c'!$B197&amp;'Table 2.3c'!$C197,UtilityList!$A$4:$A$251&amp;UtilityList!$B$4:$B$251&amp;UtilityList!$C$4:$C$251,0)),INDEX(UtilityList!J$4:J$251,MATCH('Table 2.3c'!$A197&amp;'Table 2.3c'!$C197,UtilityList!$A$4:$A$251&amp;UtilityList!$C$5:$C$251,0)))</f>
        <v>Bristol Bay</v>
      </c>
      <c r="P197" s="452" t="str">
        <f t="array" ref="P197">IFERROR(INDEX(UtilityList!K$4:K$251,MATCH('Table 2.3c'!$A197&amp;'Table 2.3c'!$B197&amp;'Table 2.3c'!$C197,UtilityList!$A$4:$A$251&amp;UtilityList!$B$4:$B$251&amp;UtilityList!$C$4:$C$251,0)),INDEX(UtilityList!K$4:K$251,MATCH('Table 2.3c'!$A197&amp;'Table 2.3c'!$C197,UtilityList!$A$4:$A$251&amp;UtilityList!$C$5:$C$251,0)))</f>
        <v>Lake and Peninsula</v>
      </c>
      <c r="Q197" s="452" t="str">
        <f t="array" ref="Q197">IFERROR(INDEX(UtilityList!L$4:L$251,MATCH('Table 2.3c'!$A197&amp;'Table 2.3c'!$B197&amp;'Table 2.3c'!$C197,UtilityList!$A$4:$A$251&amp;UtilityList!$B$4:$B$251&amp;UtilityList!$C$4:$C$251,0)),INDEX(UtilityList!L$4:L$251,MATCH('Table 2.3c'!$A197&amp;'Table 2.3c'!$C197,UtilityList!$A$4:$A$251&amp;UtilityList!$C$5:$C$251,0)))</f>
        <v>Bristol Bay</v>
      </c>
      <c r="R197" s="452" t="str">
        <f t="array" ref="R197">IFERROR(INDEX(UtilityList!M$4:M$251,MATCH('Table 2.3c'!$A197&amp;'Table 2.3c'!$B197&amp;'Table 2.3c'!$C197,UtilityList!$A$4:$A$251&amp;UtilityList!$B$4:$B$251&amp;UtilityList!$C$4:$C$251,0)),INDEX(UtilityList!M$4:M$251,MATCH('Table 2.3c'!$A197&amp;'Table 2.3c'!$C197,UtilityList!$A$4:$A$251&amp;UtilityList!$C$5:$C$251,0)))</f>
        <v>SW</v>
      </c>
    </row>
    <row r="198" spans="1:19" s="239" customFormat="1" x14ac:dyDescent="0.25">
      <c r="A198" s="678" t="s">
        <v>292</v>
      </c>
      <c r="B198" s="361" t="s">
        <v>293</v>
      </c>
      <c r="C198" s="679" t="s">
        <v>293</v>
      </c>
      <c r="D198" s="680" t="s">
        <v>545</v>
      </c>
      <c r="E198" s="680" t="s">
        <v>546</v>
      </c>
      <c r="F198" s="681">
        <v>798.50199999999995</v>
      </c>
      <c r="G198" s="682">
        <v>66631</v>
      </c>
      <c r="H198" s="681">
        <f t="shared" si="9"/>
        <v>9328.34</v>
      </c>
      <c r="I198" s="682">
        <v>3.9841666999999998</v>
      </c>
      <c r="J198" s="682">
        <f t="shared" si="12"/>
        <v>11.98394140865363</v>
      </c>
      <c r="K198" s="682">
        <f t="shared" si="10"/>
        <v>0.33245879332512629</v>
      </c>
      <c r="L198" s="682">
        <v>0.14000000000000001</v>
      </c>
      <c r="M198" s="658" t="s">
        <v>356</v>
      </c>
      <c r="N198" s="627">
        <f t="array" ref="N198">INDEX(UtilityList!Q$4:Q$251,MATCH('Table 2.3c'!$A198&amp;'Table 2.3c'!$B198&amp;'Table 2.3c'!$C198,UtilityList!$A$4:$A$251&amp;UtilityList!$B$4:$B$251&amp;UtilityList!$C$4:$C$251,0))</f>
        <v>0</v>
      </c>
      <c r="O198" s="452" t="str">
        <f t="array" ref="O198">IFERROR(INDEX(UtilityList!J$4:J$251,MATCH('Table 2.3c'!$A198&amp;'Table 2.3c'!$B198&amp;'Table 2.3c'!$C198,UtilityList!$A$4:$A$251&amp;UtilityList!$B$4:$B$251&amp;UtilityList!$C$4:$C$251,0)),INDEX(UtilityList!J$4:J$251,MATCH('Table 2.3c'!$A198&amp;'Table 2.3c'!$C198,UtilityList!$A$4:$A$251&amp;UtilityList!$C$5:$C$251,0)))</f>
        <v>Southeast</v>
      </c>
      <c r="P198" s="452" t="str">
        <f t="array" ref="P198">IFERROR(INDEX(UtilityList!K$4:K$251,MATCH('Table 2.3c'!$A198&amp;'Table 2.3c'!$B198&amp;'Table 2.3c'!$C198,UtilityList!$A$4:$A$251&amp;UtilityList!$B$4:$B$251&amp;UtilityList!$C$4:$C$251,0)),INDEX(UtilityList!K$4:K$251,MATCH('Table 2.3c'!$A198&amp;'Table 2.3c'!$C198,UtilityList!$A$4:$A$251&amp;UtilityList!$C$5:$C$251,0)))</f>
        <v>Hoonah-Angoon (CA)</v>
      </c>
      <c r="Q198" s="452" t="str">
        <f t="array" ref="Q198">IFERROR(INDEX(UtilityList!L$4:L$251,MATCH('Table 2.3c'!$A198&amp;'Table 2.3c'!$B198&amp;'Table 2.3c'!$C198,UtilityList!$A$4:$A$251&amp;UtilityList!$B$4:$B$251&amp;UtilityList!$C$4:$C$251,0)),INDEX(UtilityList!L$4:L$251,MATCH('Table 2.3c'!$A198&amp;'Table 2.3c'!$C198,UtilityList!$A$4:$A$251&amp;UtilityList!$C$5:$C$251,0)))</f>
        <v>Sealaska</v>
      </c>
      <c r="R198" s="452" t="str">
        <f t="array" ref="R198">IFERROR(INDEX(UtilityList!M$4:M$251,MATCH('Table 2.3c'!$A198&amp;'Table 2.3c'!$B198&amp;'Table 2.3c'!$C198,UtilityList!$A$4:$A$251&amp;UtilityList!$B$4:$B$251&amp;UtilityList!$C$4:$C$251,0)),INDEX(UtilityList!M$4:M$251,MATCH('Table 2.3c'!$A198&amp;'Table 2.3c'!$C198,UtilityList!$A$4:$A$251&amp;UtilityList!$C$5:$C$251,0)))</f>
        <v>SE</v>
      </c>
    </row>
    <row r="199" spans="1:19" s="63" customFormat="1" ht="30" x14ac:dyDescent="0.25">
      <c r="A199" s="361" t="s">
        <v>294</v>
      </c>
      <c r="B199" s="361" t="s">
        <v>522</v>
      </c>
      <c r="C199" s="361" t="s">
        <v>295</v>
      </c>
      <c r="D199" s="622" t="s">
        <v>545</v>
      </c>
      <c r="E199" s="622" t="s">
        <v>546</v>
      </c>
      <c r="F199" s="642">
        <v>2741</v>
      </c>
      <c r="G199" s="683">
        <v>191856</v>
      </c>
      <c r="H199" s="681">
        <f t="shared" si="9"/>
        <v>26859.840000000004</v>
      </c>
      <c r="I199" s="683"/>
      <c r="J199" s="683">
        <f t="shared" si="12"/>
        <v>14.286756734217329</v>
      </c>
      <c r="K199" s="682" t="str">
        <f t="shared" si="10"/>
        <v xml:space="preserve"> </v>
      </c>
      <c r="L199" s="682">
        <v>0.14000000000000001</v>
      </c>
      <c r="M199" s="622" t="s">
        <v>558</v>
      </c>
      <c r="N199" s="627">
        <f t="array" ref="N199">INDEX(UtilityList!Q$4:Q$251,MATCH('Table 2.3c'!$A199&amp;'Table 2.3c'!$B199&amp;'Table 2.3c'!$C199,UtilityList!$A$4:$A$251&amp;UtilityList!$B$4:$B$251&amp;UtilityList!$C$4:$C$251,0))</f>
        <v>0</v>
      </c>
      <c r="O199" s="452" t="str">
        <f t="array" ref="O199">IFERROR(INDEX(UtilityList!J$4:J$251,MATCH('Table 2.3c'!$A199&amp;'Table 2.3c'!$B199&amp;'Table 2.3c'!$C199,UtilityList!$A$4:$A$251&amp;UtilityList!$B$4:$B$251&amp;UtilityList!$C$4:$C$251,0)),INDEX(UtilityList!J$4:J$251,MATCH('Table 2.3c'!$A199&amp;'Table 2.3c'!$C199,UtilityList!$A$4:$A$251&amp;UtilityList!$C$5:$C$251,0)))</f>
        <v>Southeast</v>
      </c>
      <c r="P199" s="452" t="str">
        <f t="array" ref="P199">IFERROR(INDEX(UtilityList!K$4:K$251,MATCH('Table 2.3c'!$A199&amp;'Table 2.3c'!$B199&amp;'Table 2.3c'!$C199,UtilityList!$A$4:$A$251&amp;UtilityList!$B$4:$B$251&amp;UtilityList!$C$4:$C$251,0)),INDEX(UtilityList!K$4:K$251,MATCH('Table 2.3c'!$A199&amp;'Table 2.3c'!$C199,UtilityList!$A$4:$A$251&amp;UtilityList!$C$5:$C$251,0)))</f>
        <v>Petersburg (CA)</v>
      </c>
      <c r="Q199" s="452" t="str">
        <f t="array" ref="Q199">IFERROR(INDEX(UtilityList!L$4:L$251,MATCH('Table 2.3c'!$A199&amp;'Table 2.3c'!$B199&amp;'Table 2.3c'!$C199,UtilityList!$A$4:$A$251&amp;UtilityList!$B$4:$B$251&amp;UtilityList!$C$4:$C$251,0)),INDEX(UtilityList!L$4:L$251,MATCH('Table 2.3c'!$A199&amp;'Table 2.3c'!$C199,UtilityList!$A$4:$A$251&amp;UtilityList!$C$5:$C$251,0)))</f>
        <v>Sealaska</v>
      </c>
      <c r="R199" s="452" t="str">
        <f t="array" ref="R199">IFERROR(INDEX(UtilityList!M$4:M$251,MATCH('Table 2.3c'!$A199&amp;'Table 2.3c'!$B199&amp;'Table 2.3c'!$C199,UtilityList!$A$4:$A$251&amp;UtilityList!$B$4:$B$251&amp;UtilityList!$C$4:$C$251,0)),INDEX(UtilityList!M$4:M$251,MATCH('Table 2.3c'!$A199&amp;'Table 2.3c'!$C199,UtilityList!$A$4:$A$251&amp;UtilityList!$C$5:$C$251,0)))</f>
        <v>SE</v>
      </c>
      <c r="S199" s="342"/>
    </row>
    <row r="200" spans="1:19" s="239" customFormat="1" ht="30" x14ac:dyDescent="0.25">
      <c r="A200" s="678" t="s">
        <v>296</v>
      </c>
      <c r="B200" s="361" t="s">
        <v>297</v>
      </c>
      <c r="C200" s="679" t="s">
        <v>297</v>
      </c>
      <c r="D200" s="680" t="s">
        <v>545</v>
      </c>
      <c r="E200" s="680" t="s">
        <v>546</v>
      </c>
      <c r="F200" s="681">
        <v>443.084</v>
      </c>
      <c r="G200" s="682">
        <v>44192</v>
      </c>
      <c r="H200" s="681">
        <f t="shared" si="9"/>
        <v>6186.880000000001</v>
      </c>
      <c r="I200" s="682">
        <v>4.1797917</v>
      </c>
      <c r="J200" s="682">
        <f t="shared" si="12"/>
        <v>10.026339608979001</v>
      </c>
      <c r="K200" s="682">
        <f t="shared" si="10"/>
        <v>0.41688112142708833</v>
      </c>
      <c r="L200" s="682">
        <v>0.14000000000000001</v>
      </c>
      <c r="M200" s="658" t="s">
        <v>356</v>
      </c>
      <c r="N200" s="627">
        <f t="array" ref="N200">INDEX(UtilityList!Q$4:Q$251,MATCH('Table 2.3c'!$A200&amp;'Table 2.3c'!$B200&amp;'Table 2.3c'!$C200,UtilityList!$A$4:$A$251&amp;UtilityList!$B$4:$B$251&amp;UtilityList!$C$4:$C$251,0))</f>
        <v>0</v>
      </c>
      <c r="O200" s="452" t="str">
        <f t="array" ref="O200">IFERROR(INDEX(UtilityList!J$4:J$251,MATCH('Table 2.3c'!$A200&amp;'Table 2.3c'!$B200&amp;'Table 2.3c'!$C200,UtilityList!$A$4:$A$251&amp;UtilityList!$B$4:$B$251&amp;UtilityList!$C$4:$C$251,0)),INDEX(UtilityList!J$4:J$251,MATCH('Table 2.3c'!$A200&amp;'Table 2.3c'!$C200,UtilityList!$A$4:$A$251&amp;UtilityList!$C$5:$C$251,0)))</f>
        <v>Bristol Bay</v>
      </c>
      <c r="P200" s="452" t="str">
        <f t="array" ref="P200">IFERROR(INDEX(UtilityList!K$4:K$251,MATCH('Table 2.3c'!$A200&amp;'Table 2.3c'!$B200&amp;'Table 2.3c'!$C200,UtilityList!$A$4:$A$251&amp;UtilityList!$B$4:$B$251&amp;UtilityList!$C$4:$C$251,0)),INDEX(UtilityList!K$4:K$251,MATCH('Table 2.3c'!$A200&amp;'Table 2.3c'!$C200,UtilityList!$A$4:$A$251&amp;UtilityList!$C$5:$C$251,0)))</f>
        <v>Lake and Peninsula</v>
      </c>
      <c r="Q200" s="452" t="str">
        <f t="array" ref="Q200">IFERROR(INDEX(UtilityList!L$4:L$251,MATCH('Table 2.3c'!$A200&amp;'Table 2.3c'!$B200&amp;'Table 2.3c'!$C200,UtilityList!$A$4:$A$251&amp;UtilityList!$B$4:$B$251&amp;UtilityList!$C$4:$C$251,0)),INDEX(UtilityList!L$4:L$251,MATCH('Table 2.3c'!$A200&amp;'Table 2.3c'!$C200,UtilityList!$A$4:$A$251&amp;UtilityList!$C$5:$C$251,0)))</f>
        <v>Bristol Bay</v>
      </c>
      <c r="R200" s="452" t="str">
        <f t="array" ref="R200">IFERROR(INDEX(UtilityList!M$4:M$251,MATCH('Table 2.3c'!$A200&amp;'Table 2.3c'!$B200&amp;'Table 2.3c'!$C200,UtilityList!$A$4:$A$251&amp;UtilityList!$B$4:$B$251&amp;UtilityList!$C$4:$C$251,0)),INDEX(UtilityList!M$4:M$251,MATCH('Table 2.3c'!$A200&amp;'Table 2.3c'!$C200,UtilityList!$A$4:$A$251&amp;UtilityList!$C$5:$C$251,0)))</f>
        <v>SW</v>
      </c>
    </row>
    <row r="201" spans="1:19" s="239" customFormat="1" ht="30" x14ac:dyDescent="0.25">
      <c r="A201" s="678" t="s">
        <v>300</v>
      </c>
      <c r="B201" s="361" t="s">
        <v>301</v>
      </c>
      <c r="C201" s="654" t="s">
        <v>301</v>
      </c>
      <c r="D201" s="680" t="s">
        <v>545</v>
      </c>
      <c r="E201" s="680" t="s">
        <v>546</v>
      </c>
      <c r="F201" s="681">
        <v>490.07</v>
      </c>
      <c r="G201" s="682">
        <v>57543.000000000007</v>
      </c>
      <c r="H201" s="681">
        <f t="shared" si="9"/>
        <v>8056.0200000000013</v>
      </c>
      <c r="I201" s="682">
        <v>3.6751667000000001</v>
      </c>
      <c r="J201" s="682">
        <f t="shared" si="12"/>
        <v>8.5165875953634664</v>
      </c>
      <c r="K201" s="682">
        <f t="shared" si="10"/>
        <v>0.43153042915930384</v>
      </c>
      <c r="L201" s="682">
        <v>0.14000000000000001</v>
      </c>
      <c r="M201" s="658" t="s">
        <v>356</v>
      </c>
      <c r="N201" s="627">
        <f t="array" ref="N201">INDEX(UtilityList!Q$4:Q$251,MATCH('Table 2.3c'!$A201&amp;'Table 2.3c'!$B201&amp;'Table 2.3c'!$C201,UtilityList!$A$4:$A$251&amp;UtilityList!$B$4:$B$251&amp;UtilityList!$C$4:$C$251,0))</f>
        <v>0</v>
      </c>
      <c r="O201" s="452" t="str">
        <f t="array" ref="O201">IFERROR(INDEX(UtilityList!J$4:J$251,MATCH('Table 2.3c'!$A201&amp;'Table 2.3c'!$B201&amp;'Table 2.3c'!$C201,UtilityList!$A$4:$A$251&amp;UtilityList!$B$4:$B$251&amp;UtilityList!$C$4:$C$251,0)),INDEX(UtilityList!J$4:J$251,MATCH('Table 2.3c'!$A201&amp;'Table 2.3c'!$C201,UtilityList!$A$4:$A$251&amp;UtilityList!$C$5:$C$251,0)))</f>
        <v>Bristol Bay</v>
      </c>
      <c r="P201" s="452" t="str">
        <f t="array" ref="P201">IFERROR(INDEX(UtilityList!K$4:K$251,MATCH('Table 2.3c'!$A201&amp;'Table 2.3c'!$B201&amp;'Table 2.3c'!$C201,UtilityList!$A$4:$A$251&amp;UtilityList!$B$4:$B$251&amp;UtilityList!$C$4:$C$251,0)),INDEX(UtilityList!K$4:K$251,MATCH('Table 2.3c'!$A201&amp;'Table 2.3c'!$C201,UtilityList!$A$4:$A$251&amp;UtilityList!$C$5:$C$251,0)))</f>
        <v>Lake and Peninsula</v>
      </c>
      <c r="Q201" s="452" t="str">
        <f t="array" ref="Q201">IFERROR(INDEX(UtilityList!L$4:L$251,MATCH('Table 2.3c'!$A201&amp;'Table 2.3c'!$B201&amp;'Table 2.3c'!$C201,UtilityList!$A$4:$A$251&amp;UtilityList!$B$4:$B$251&amp;UtilityList!$C$4:$C$251,0)),INDEX(UtilityList!L$4:L$251,MATCH('Table 2.3c'!$A201&amp;'Table 2.3c'!$C201,UtilityList!$A$4:$A$251&amp;UtilityList!$C$5:$C$251,0)))</f>
        <v>Bristol Bay</v>
      </c>
      <c r="R201" s="452" t="str">
        <f t="array" ref="R201">IFERROR(INDEX(UtilityList!M$4:M$251,MATCH('Table 2.3c'!$A201&amp;'Table 2.3c'!$B201&amp;'Table 2.3c'!$C201,UtilityList!$A$4:$A$251&amp;UtilityList!$B$4:$B$251&amp;UtilityList!$C$4:$C$251,0)),INDEX(UtilityList!M$4:M$251,MATCH('Table 2.3c'!$A201&amp;'Table 2.3c'!$C201,UtilityList!$A$4:$A$251&amp;UtilityList!$C$5:$C$251,0)))</f>
        <v>SW</v>
      </c>
    </row>
    <row r="202" spans="1:19" s="239" customFormat="1" ht="30" x14ac:dyDescent="0.25">
      <c r="A202" s="678" t="s">
        <v>302</v>
      </c>
      <c r="B202" s="361" t="s">
        <v>303</v>
      </c>
      <c r="C202" s="679" t="s">
        <v>303</v>
      </c>
      <c r="D202" s="680" t="s">
        <v>545</v>
      </c>
      <c r="E202" s="680" t="s">
        <v>546</v>
      </c>
      <c r="F202" s="681">
        <v>671.83900000000006</v>
      </c>
      <c r="G202" s="682">
        <v>88397</v>
      </c>
      <c r="H202" s="681">
        <f t="shared" si="9"/>
        <v>12375.580000000002</v>
      </c>
      <c r="I202" s="682">
        <v>3.9009166999999998</v>
      </c>
      <c r="J202" s="682">
        <f t="shared" si="12"/>
        <v>7.600246614704119</v>
      </c>
      <c r="K202" s="682">
        <f t="shared" si="10"/>
        <v>0.51326185816825154</v>
      </c>
      <c r="L202" s="682">
        <v>0.14000000000000001</v>
      </c>
      <c r="M202" s="658" t="s">
        <v>356</v>
      </c>
      <c r="N202" s="627">
        <f t="array" ref="N202">INDEX(UtilityList!Q$4:Q$251,MATCH('Table 2.3c'!$A202&amp;'Table 2.3c'!$B202&amp;'Table 2.3c'!$C202,UtilityList!$A$4:$A$251&amp;UtilityList!$B$4:$B$251&amp;UtilityList!$C$4:$C$251,0))</f>
        <v>0</v>
      </c>
      <c r="O202" s="452" t="str">
        <f t="array" ref="O202">IFERROR(INDEX(UtilityList!J$4:J$251,MATCH('Table 2.3c'!$A202&amp;'Table 2.3c'!$B202&amp;'Table 2.3c'!$C202,UtilityList!$A$4:$A$251&amp;UtilityList!$B$4:$B$251&amp;UtilityList!$C$4:$C$251,0)),INDEX(UtilityList!J$4:J$251,MATCH('Table 2.3c'!$A202&amp;'Table 2.3c'!$C202,UtilityList!$A$4:$A$251&amp;UtilityList!$C$5:$C$251,0)))</f>
        <v>Lower Yukon-Kuskokwim</v>
      </c>
      <c r="P202" s="452" t="str">
        <f t="array" ref="P202">IFERROR(INDEX(UtilityList!K$4:K$251,MATCH('Table 2.3c'!$A202&amp;'Table 2.3c'!$B202&amp;'Table 2.3c'!$C202,UtilityList!$A$4:$A$251&amp;UtilityList!$B$4:$B$251&amp;UtilityList!$C$4:$C$251,0)),INDEX(UtilityList!K$4:K$251,MATCH('Table 2.3c'!$A202&amp;'Table 2.3c'!$C202,UtilityList!$A$4:$A$251&amp;UtilityList!$C$5:$C$251,0)))</f>
        <v>Bethel (CA)</v>
      </c>
      <c r="Q202" s="452" t="str">
        <f t="array" ref="Q202">IFERROR(INDEX(UtilityList!L$4:L$251,MATCH('Table 2.3c'!$A202&amp;'Table 2.3c'!$B202&amp;'Table 2.3c'!$C202,UtilityList!$A$4:$A$251&amp;UtilityList!$B$4:$B$251&amp;UtilityList!$C$4:$C$251,0)),INDEX(UtilityList!L$4:L$251,MATCH('Table 2.3c'!$A202&amp;'Table 2.3c'!$C202,UtilityList!$A$4:$A$251&amp;UtilityList!$C$5:$C$251,0)))</f>
        <v>Calista</v>
      </c>
      <c r="R202" s="452" t="str">
        <f t="array" ref="R202">IFERROR(INDEX(UtilityList!M$4:M$251,MATCH('Table 2.3c'!$A202&amp;'Table 2.3c'!$B202&amp;'Table 2.3c'!$C202,UtilityList!$A$4:$A$251&amp;UtilityList!$B$4:$B$251&amp;UtilityList!$C$4:$C$251,0)),INDEX(UtilityList!M$4:M$251,MATCH('Table 2.3c'!$A202&amp;'Table 2.3c'!$C202,UtilityList!$A$4:$A$251&amp;UtilityList!$C$5:$C$251,0)))</f>
        <v>SW</v>
      </c>
    </row>
    <row r="203" spans="1:19" s="239" customFormat="1" ht="30" x14ac:dyDescent="0.25">
      <c r="A203" s="678" t="s">
        <v>306</v>
      </c>
      <c r="B203" s="361" t="s">
        <v>307</v>
      </c>
      <c r="C203" s="679" t="s">
        <v>307</v>
      </c>
      <c r="D203" s="680" t="s">
        <v>545</v>
      </c>
      <c r="E203" s="680" t="s">
        <v>546</v>
      </c>
      <c r="F203" s="681">
        <v>732.57640000000004</v>
      </c>
      <c r="G203" s="682">
        <v>53248</v>
      </c>
      <c r="H203" s="681">
        <f t="shared" ref="H203:H225" si="13">G203*L203</f>
        <v>7454.7200000000012</v>
      </c>
      <c r="I203" s="682">
        <v>3.6066666999999999</v>
      </c>
      <c r="J203" s="682">
        <f t="shared" si="12"/>
        <v>13.757820012019231</v>
      </c>
      <c r="K203" s="682">
        <f t="shared" ref="K203:K225" si="14">IF(I203&gt;0,IFERROR(I203/J203, " "), " ")</f>
        <v>0.26215393840369411</v>
      </c>
      <c r="L203" s="682">
        <v>0.14000000000000001</v>
      </c>
      <c r="M203" s="658" t="s">
        <v>356</v>
      </c>
      <c r="N203" s="627">
        <f t="array" ref="N203">INDEX(UtilityList!Q$4:Q$251,MATCH('Table 2.3c'!$A203&amp;'Table 2.3c'!$B203&amp;'Table 2.3c'!$C203,UtilityList!$A$4:$A$251&amp;UtilityList!$B$4:$B$251&amp;UtilityList!$C$4:$C$251,0))</f>
        <v>0</v>
      </c>
      <c r="O203" s="452" t="str">
        <f t="array" ref="O203">IFERROR(INDEX(UtilityList!J$4:J$251,MATCH('Table 2.3c'!$A203&amp;'Table 2.3c'!$B203&amp;'Table 2.3c'!$C203,UtilityList!$A$4:$A$251&amp;UtilityList!$B$4:$B$251&amp;UtilityList!$C$4:$C$251,0)),INDEX(UtilityList!J$4:J$251,MATCH('Table 2.3c'!$A203&amp;'Table 2.3c'!$C203,UtilityList!$A$4:$A$251&amp;UtilityList!$C$5:$C$251,0)))</f>
        <v>Yukon-Koyukuk/Upper Tanana</v>
      </c>
      <c r="P203" s="452" t="str">
        <f t="array" ref="P203">IFERROR(INDEX(UtilityList!K$4:K$251,MATCH('Table 2.3c'!$A203&amp;'Table 2.3c'!$B203&amp;'Table 2.3c'!$C203,UtilityList!$A$4:$A$251&amp;UtilityList!$B$4:$B$251&amp;UtilityList!$C$4:$C$251,0)),INDEX(UtilityList!K$4:K$251,MATCH('Table 2.3c'!$A203&amp;'Table 2.3c'!$C203,UtilityList!$A$4:$A$251&amp;UtilityList!$C$5:$C$251,0)))</f>
        <v>Yukon-Koyukuk (CA)</v>
      </c>
      <c r="Q203" s="452" t="str">
        <f t="array" ref="Q203">IFERROR(INDEX(UtilityList!L$4:L$251,MATCH('Table 2.3c'!$A203&amp;'Table 2.3c'!$B203&amp;'Table 2.3c'!$C203,UtilityList!$A$4:$A$251&amp;UtilityList!$B$4:$B$251&amp;UtilityList!$C$4:$C$251,0)),INDEX(UtilityList!L$4:L$251,MATCH('Table 2.3c'!$A203&amp;'Table 2.3c'!$C203,UtilityList!$A$4:$A$251&amp;UtilityList!$C$5:$C$251,0)))</f>
        <v>Doyon</v>
      </c>
      <c r="R203" s="452" t="str">
        <f t="array" ref="R203">IFERROR(INDEX(UtilityList!M$4:M$251,MATCH('Table 2.3c'!$A203&amp;'Table 2.3c'!$B203&amp;'Table 2.3c'!$C203,UtilityList!$A$4:$A$251&amp;UtilityList!$B$4:$B$251&amp;UtilityList!$C$4:$C$251,0)),INDEX(UtilityList!M$4:M$251,MATCH('Table 2.3c'!$A203&amp;'Table 2.3c'!$C203,UtilityList!$A$4:$A$251&amp;UtilityList!$C$5:$C$251,0)))</f>
        <v>YU</v>
      </c>
    </row>
    <row r="204" spans="1:19" s="239" customFormat="1" ht="30" x14ac:dyDescent="0.25">
      <c r="A204" s="678" t="s">
        <v>308</v>
      </c>
      <c r="B204" s="361" t="s">
        <v>309</v>
      </c>
      <c r="C204" s="654" t="s">
        <v>309</v>
      </c>
      <c r="D204" s="680" t="s">
        <v>545</v>
      </c>
      <c r="E204" s="680" t="s">
        <v>546</v>
      </c>
      <c r="F204" s="681">
        <v>420.73200000000003</v>
      </c>
      <c r="G204" s="682">
        <v>35990</v>
      </c>
      <c r="H204" s="681">
        <f t="shared" si="13"/>
        <v>5038.6000000000004</v>
      </c>
      <c r="I204" s="682">
        <v>6.0449999999999999</v>
      </c>
      <c r="J204" s="682">
        <f t="shared" si="12"/>
        <v>11.690247290914142</v>
      </c>
      <c r="K204" s="682">
        <f t="shared" si="14"/>
        <v>0.51709770114942533</v>
      </c>
      <c r="L204" s="682">
        <v>0.14000000000000001</v>
      </c>
      <c r="M204" s="658" t="s">
        <v>356</v>
      </c>
      <c r="N204" s="627">
        <f t="array" ref="N204">INDEX(UtilityList!Q$4:Q$251,MATCH('Table 2.3c'!$A204&amp;'Table 2.3c'!$B204&amp;'Table 2.3c'!$C204,UtilityList!$A$4:$A$251&amp;UtilityList!$B$4:$B$251&amp;UtilityList!$C$4:$C$251,0))</f>
        <v>0</v>
      </c>
      <c r="O204" s="452" t="str">
        <f t="array" ref="O204">IFERROR(INDEX(UtilityList!J$4:J$251,MATCH('Table 2.3c'!$A204&amp;'Table 2.3c'!$B204&amp;'Table 2.3c'!$C204,UtilityList!$A$4:$A$251&amp;UtilityList!$B$4:$B$251&amp;UtilityList!$C$4:$C$251,0)),INDEX(UtilityList!J$4:J$251,MATCH('Table 2.3c'!$A204&amp;'Table 2.3c'!$C204,UtilityList!$A$4:$A$251&amp;UtilityList!$C$5:$C$251,0)))</f>
        <v>Aleutians</v>
      </c>
      <c r="P204" s="452" t="str">
        <f t="array" ref="P204">IFERROR(INDEX(UtilityList!K$4:K$251,MATCH('Table 2.3c'!$A204&amp;'Table 2.3c'!$B204&amp;'Table 2.3c'!$C204,UtilityList!$A$4:$A$251&amp;UtilityList!$B$4:$B$251&amp;UtilityList!$C$4:$C$251,0)),INDEX(UtilityList!K$4:K$251,MATCH('Table 2.3c'!$A204&amp;'Table 2.3c'!$C204,UtilityList!$A$4:$A$251&amp;UtilityList!$C$5:$C$251,0)))</f>
        <v>Aleutians West (CA)</v>
      </c>
      <c r="Q204" s="452" t="str">
        <f t="array" ref="Q204">IFERROR(INDEX(UtilityList!L$4:L$251,MATCH('Table 2.3c'!$A204&amp;'Table 2.3c'!$B204&amp;'Table 2.3c'!$C204,UtilityList!$A$4:$A$251&amp;UtilityList!$B$4:$B$251&amp;UtilityList!$C$4:$C$251,0)),INDEX(UtilityList!L$4:L$251,MATCH('Table 2.3c'!$A204&amp;'Table 2.3c'!$C204,UtilityList!$A$4:$A$251&amp;UtilityList!$C$5:$C$251,0)))</f>
        <v>Aleut</v>
      </c>
      <c r="R204" s="452" t="str">
        <f t="array" ref="R204">IFERROR(INDEX(UtilityList!M$4:M$251,MATCH('Table 2.3c'!$A204&amp;'Table 2.3c'!$B204&amp;'Table 2.3c'!$C204,UtilityList!$A$4:$A$251&amp;UtilityList!$B$4:$B$251&amp;UtilityList!$C$4:$C$251,0)),INDEX(UtilityList!M$4:M$251,MATCH('Table 2.3c'!$A204&amp;'Table 2.3c'!$C204,UtilityList!$A$4:$A$251&amp;UtilityList!$C$5:$C$251,0)))</f>
        <v>SW</v>
      </c>
    </row>
    <row r="205" spans="1:19" s="63" customFormat="1" ht="45" x14ac:dyDescent="0.25">
      <c r="A205" s="678" t="s">
        <v>633</v>
      </c>
      <c r="B205" s="361" t="s">
        <v>320</v>
      </c>
      <c r="C205" s="679" t="s">
        <v>320</v>
      </c>
      <c r="D205" s="680" t="s">
        <v>545</v>
      </c>
      <c r="E205" s="680" t="s">
        <v>546</v>
      </c>
      <c r="F205" s="681">
        <v>4295.9750000000004</v>
      </c>
      <c r="G205" s="682">
        <v>316222</v>
      </c>
      <c r="H205" s="681">
        <f t="shared" si="13"/>
        <v>44271.08</v>
      </c>
      <c r="I205" s="682">
        <v>4.5374999999999996</v>
      </c>
      <c r="J205" s="682">
        <f t="shared" si="12"/>
        <v>13.585313482300409</v>
      </c>
      <c r="K205" s="682">
        <f t="shared" si="14"/>
        <v>0.33400038989984809</v>
      </c>
      <c r="L205" s="682">
        <v>0.14000000000000001</v>
      </c>
      <c r="M205" s="658" t="s">
        <v>356</v>
      </c>
      <c r="N205" s="627">
        <f t="array" ref="N205">INDEX(UtilityList!Q$4:Q$251,MATCH('Table 2.3c'!$A205&amp;'Table 2.3c'!$B205&amp;'Table 2.3c'!$C205,UtilityList!$A$4:$A$251&amp;UtilityList!$B$4:$B$251&amp;UtilityList!$C$4:$C$251,0))</f>
        <v>0</v>
      </c>
      <c r="O205" s="452" t="str">
        <f t="array" ref="O205">IFERROR(INDEX(UtilityList!J$4:J$251,MATCH('Table 2.3c'!$A205&amp;'Table 2.3c'!$B205&amp;'Table 2.3c'!$C205,UtilityList!$A$4:$A$251&amp;UtilityList!$B$4:$B$251&amp;UtilityList!$C$4:$C$251,0)),INDEX(UtilityList!J$4:J$251,MATCH('Table 2.3c'!$A205&amp;'Table 2.3c'!$C205,UtilityList!$A$4:$A$251&amp;UtilityList!$C$5:$C$251,0)))</f>
        <v>Aleutians</v>
      </c>
      <c r="P205" s="452" t="str">
        <f t="array" ref="P205">IFERROR(INDEX(UtilityList!K$4:K$251,MATCH('Table 2.3c'!$A205&amp;'Table 2.3c'!$B205&amp;'Table 2.3c'!$C205,UtilityList!$A$4:$A$251&amp;UtilityList!$B$4:$B$251&amp;UtilityList!$C$4:$C$251,0)),INDEX(UtilityList!K$4:K$251,MATCH('Table 2.3c'!$A205&amp;'Table 2.3c'!$C205,UtilityList!$A$4:$A$251&amp;UtilityList!$C$5:$C$251,0)))</f>
        <v>Aleutians West (CA)</v>
      </c>
      <c r="Q205" s="452" t="str">
        <f t="array" ref="Q205">IFERROR(INDEX(UtilityList!L$4:L$251,MATCH('Table 2.3c'!$A205&amp;'Table 2.3c'!$B205&amp;'Table 2.3c'!$C205,UtilityList!$A$4:$A$251&amp;UtilityList!$B$4:$B$251&amp;UtilityList!$C$4:$C$251,0)),INDEX(UtilityList!L$4:L$251,MATCH('Table 2.3c'!$A205&amp;'Table 2.3c'!$C205,UtilityList!$A$4:$A$251&amp;UtilityList!$C$5:$C$251,0)))</f>
        <v>Aleut</v>
      </c>
      <c r="R205" s="452" t="str">
        <f t="array" ref="R205">IFERROR(INDEX(UtilityList!M$4:M$251,MATCH('Table 2.3c'!$A205&amp;'Table 2.3c'!$B205&amp;'Table 2.3c'!$C205,UtilityList!$A$4:$A$251&amp;UtilityList!$B$4:$B$251&amp;UtilityList!$C$4:$C$251,0)),INDEX(UtilityList!M$4:M$251,MATCH('Table 2.3c'!$A205&amp;'Table 2.3c'!$C205,UtilityList!$A$4:$A$251&amp;UtilityList!$C$5:$C$251,0)))</f>
        <v>SW</v>
      </c>
      <c r="S205" s="342"/>
    </row>
    <row r="206" spans="1:19" s="63" customFormat="1" x14ac:dyDescent="0.25">
      <c r="A206" s="361" t="s">
        <v>310</v>
      </c>
      <c r="B206" s="636" t="s">
        <v>311</v>
      </c>
      <c r="C206" s="361" t="s">
        <v>311</v>
      </c>
      <c r="D206" s="622" t="s">
        <v>545</v>
      </c>
      <c r="E206" s="622" t="s">
        <v>546</v>
      </c>
      <c r="F206" s="642">
        <v>6153</v>
      </c>
      <c r="G206" s="683">
        <v>412482</v>
      </c>
      <c r="H206" s="681">
        <f t="shared" si="13"/>
        <v>57747.48</v>
      </c>
      <c r="I206" s="683"/>
      <c r="J206" s="683">
        <f t="shared" si="12"/>
        <v>14.917014560635373</v>
      </c>
      <c r="K206" s="682" t="str">
        <f t="shared" si="14"/>
        <v xml:space="preserve"> </v>
      </c>
      <c r="L206" s="682">
        <v>0.14000000000000001</v>
      </c>
      <c r="M206" s="622" t="s">
        <v>558</v>
      </c>
      <c r="N206" s="627">
        <f t="array" ref="N206">INDEX(UtilityList!Q$4:Q$251,MATCH('Table 2.3c'!$A206&amp;'Table 2.3c'!$B206&amp;'Table 2.3c'!$C206,UtilityList!$A$4:$A$251&amp;UtilityList!$B$4:$B$251&amp;UtilityList!$C$4:$C$251,0))</f>
        <v>0</v>
      </c>
      <c r="O206" s="452" t="str">
        <f t="array" ref="O206">IFERROR(INDEX(UtilityList!J$4:J$251,MATCH('Table 2.3c'!$A206&amp;'Table 2.3c'!$B206&amp;'Table 2.3c'!$C206,UtilityList!$A$4:$A$251&amp;UtilityList!$B$4:$B$251&amp;UtilityList!$C$4:$C$251,0)),INDEX(UtilityList!J$4:J$251,MATCH('Table 2.3c'!$A206&amp;'Table 2.3c'!$C206,UtilityList!$A$4:$A$251&amp;UtilityList!$C$5:$C$251,0)))</f>
        <v>Railbelt</v>
      </c>
      <c r="P206" s="452" t="str">
        <f t="array" ref="P206">IFERROR(INDEX(UtilityList!K$4:K$251,MATCH('Table 2.3c'!$A206&amp;'Table 2.3c'!$B206&amp;'Table 2.3c'!$C206,UtilityList!$A$4:$A$251&amp;UtilityList!$B$4:$B$251&amp;UtilityList!$C$4:$C$251,0)),INDEX(UtilityList!K$4:K$251,MATCH('Table 2.3c'!$A206&amp;'Table 2.3c'!$C206,UtilityList!$A$4:$A$251&amp;UtilityList!$C$5:$C$251,0)))</f>
        <v>Kenai Peninsula</v>
      </c>
      <c r="Q206" s="452" t="str">
        <f t="array" ref="Q206">IFERROR(INDEX(UtilityList!L$4:L$251,MATCH('Table 2.3c'!$A206&amp;'Table 2.3c'!$B206&amp;'Table 2.3c'!$C206,UtilityList!$A$4:$A$251&amp;UtilityList!$B$4:$B$251&amp;UtilityList!$C$4:$C$251,0)),INDEX(UtilityList!L$4:L$251,MATCH('Table 2.3c'!$A206&amp;'Table 2.3c'!$C206,UtilityList!$A$4:$A$251&amp;UtilityList!$C$5:$C$251,0)))</f>
        <v>Chugach</v>
      </c>
      <c r="R206" s="452" t="str">
        <f t="array" ref="R206">IFERROR(INDEX(UtilityList!M$4:M$251,MATCH('Table 2.3c'!$A206&amp;'Table 2.3c'!$B206&amp;'Table 2.3c'!$C206,UtilityList!$A$4:$A$251&amp;UtilityList!$B$4:$B$251&amp;UtilityList!$C$4:$C$251,0)),INDEX(UtilityList!M$4:M$251,MATCH('Table 2.3c'!$A206&amp;'Table 2.3c'!$C206,UtilityList!$A$4:$A$251&amp;UtilityList!$C$5:$C$251,0)))</f>
        <v>SC</v>
      </c>
      <c r="S206" s="342"/>
    </row>
    <row r="207" spans="1:19" s="239" customFormat="1" ht="30" x14ac:dyDescent="0.25">
      <c r="A207" s="361" t="s">
        <v>638</v>
      </c>
      <c r="B207" s="361" t="s">
        <v>316</v>
      </c>
      <c r="C207" s="361" t="s">
        <v>314</v>
      </c>
      <c r="D207" s="622" t="s">
        <v>545</v>
      </c>
      <c r="E207" s="622" t="s">
        <v>546</v>
      </c>
      <c r="F207" s="642">
        <v>1386</v>
      </c>
      <c r="G207" s="683">
        <v>161028</v>
      </c>
      <c r="H207" s="681">
        <f t="shared" si="13"/>
        <v>22543.920000000002</v>
      </c>
      <c r="I207" s="683"/>
      <c r="J207" s="683">
        <f t="shared" si="12"/>
        <v>8.6071987480438192</v>
      </c>
      <c r="K207" s="682" t="str">
        <f t="shared" si="14"/>
        <v xml:space="preserve"> </v>
      </c>
      <c r="L207" s="682">
        <v>0.14000000000000001</v>
      </c>
      <c r="M207" s="622" t="s">
        <v>558</v>
      </c>
      <c r="N207" s="627">
        <f t="array" ref="N207">INDEX(UtilityList!Q$4:Q$251,MATCH('Table 2.3c'!$A207&amp;'Table 2.3c'!$B207&amp;'Table 2.3c'!$C207,UtilityList!$A$4:$A$251&amp;UtilityList!$B$4:$B$251&amp;UtilityList!$C$4:$C$251,0))</f>
        <v>0</v>
      </c>
      <c r="O207" s="452" t="str">
        <f t="array" ref="O207">IFERROR(INDEX(UtilityList!J$4:J$251,MATCH('Table 2.3c'!$A207&amp;'Table 2.3c'!$B207&amp;'Table 2.3c'!$C207,UtilityList!$A$4:$A$251&amp;UtilityList!$B$4:$B$251&amp;UtilityList!$C$4:$C$251,0)),INDEX(UtilityList!J$4:J$251,MATCH('Table 2.3c'!$A207&amp;'Table 2.3c'!$C207,UtilityList!$A$4:$A$251&amp;UtilityList!$C$5:$C$251,0)))</f>
        <v>Southeast</v>
      </c>
      <c r="P207" s="452" t="str">
        <f t="array" ref="P207">IFERROR(INDEX(UtilityList!K$4:K$251,MATCH('Table 2.3c'!$A207&amp;'Table 2.3c'!$B207&amp;'Table 2.3c'!$C207,UtilityList!$A$4:$A$251&amp;UtilityList!$B$4:$B$251&amp;UtilityList!$C$4:$C$251,0)),INDEX(UtilityList!K$4:K$251,MATCH('Table 2.3c'!$A207&amp;'Table 2.3c'!$C207,UtilityList!$A$4:$A$251&amp;UtilityList!$C$5:$C$251,0)))</f>
        <v>Sitka</v>
      </c>
      <c r="Q207" s="452" t="str">
        <f t="array" ref="Q207">IFERROR(INDEX(UtilityList!L$4:L$251,MATCH('Table 2.3c'!$A207&amp;'Table 2.3c'!$B207&amp;'Table 2.3c'!$C207,UtilityList!$A$4:$A$251&amp;UtilityList!$B$4:$B$251&amp;UtilityList!$C$4:$C$251,0)),INDEX(UtilityList!L$4:L$251,MATCH('Table 2.3c'!$A207&amp;'Table 2.3c'!$C207,UtilityList!$A$4:$A$251&amp;UtilityList!$C$5:$C$251,0)))</f>
        <v>Sealaska</v>
      </c>
      <c r="R207" s="452" t="str">
        <f t="array" ref="R207">IFERROR(INDEX(UtilityList!M$4:M$251,MATCH('Table 2.3c'!$A207&amp;'Table 2.3c'!$B207&amp;'Table 2.3c'!$C207,UtilityList!$A$4:$A$251&amp;UtilityList!$B$4:$B$251&amp;UtilityList!$C$4:$C$251,0)),INDEX(UtilityList!M$4:M$251,MATCH('Table 2.3c'!$A207&amp;'Table 2.3c'!$C207,UtilityList!$A$4:$A$251&amp;UtilityList!$C$5:$C$251,0)))</f>
        <v>SE</v>
      </c>
    </row>
    <row r="208" spans="1:19" s="239" customFormat="1" ht="45" x14ac:dyDescent="0.25">
      <c r="A208" s="678" t="s">
        <v>323</v>
      </c>
      <c r="B208" s="361" t="s">
        <v>324</v>
      </c>
      <c r="C208" s="679" t="s">
        <v>324</v>
      </c>
      <c r="D208" s="680" t="s">
        <v>545</v>
      </c>
      <c r="E208" s="680" t="s">
        <v>546</v>
      </c>
      <c r="F208" s="681">
        <v>194.57050000000001</v>
      </c>
      <c r="G208" s="682">
        <v>21799</v>
      </c>
      <c r="H208" s="681">
        <f t="shared" si="13"/>
        <v>3051.86</v>
      </c>
      <c r="I208" s="682">
        <v>4.2352999999999996</v>
      </c>
      <c r="J208" s="682">
        <f t="shared" si="12"/>
        <v>8.9256617276021828</v>
      </c>
      <c r="K208" s="682">
        <f t="shared" si="14"/>
        <v>0.47450823583225615</v>
      </c>
      <c r="L208" s="682">
        <v>0.14000000000000001</v>
      </c>
      <c r="M208" s="658" t="s">
        <v>356</v>
      </c>
      <c r="N208" s="627">
        <f t="array" ref="N208">INDEX(UtilityList!Q$4:Q$251,MATCH('Table 2.3c'!$A208&amp;'Table 2.3c'!$B208&amp;'Table 2.3c'!$C208,UtilityList!$A$4:$A$251&amp;UtilityList!$B$4:$B$251&amp;UtilityList!$C$4:$C$251,0))</f>
        <v>0</v>
      </c>
      <c r="O208" s="452" t="str">
        <f t="array" ref="O208">IFERROR(INDEX(UtilityList!J$4:J$251,MATCH('Table 2.3c'!$A208&amp;'Table 2.3c'!$B208&amp;'Table 2.3c'!$C208,UtilityList!$A$4:$A$251&amp;UtilityList!$B$4:$B$251&amp;UtilityList!$C$4:$C$251,0)),INDEX(UtilityList!J$4:J$251,MATCH('Table 2.3c'!$A208&amp;'Table 2.3c'!$C208,UtilityList!$A$4:$A$251&amp;UtilityList!$C$5:$C$251,0)))</f>
        <v>Yukon-Koyukuk/Upper Tanana</v>
      </c>
      <c r="P208" s="452" t="str">
        <f t="array" ref="P208">IFERROR(INDEX(UtilityList!K$4:K$251,MATCH('Table 2.3c'!$A208&amp;'Table 2.3c'!$B208&amp;'Table 2.3c'!$C208,UtilityList!$A$4:$A$251&amp;UtilityList!$B$4:$B$251&amp;UtilityList!$C$4:$C$251,0)),INDEX(UtilityList!K$4:K$251,MATCH('Table 2.3c'!$A208&amp;'Table 2.3c'!$C208,UtilityList!$A$4:$A$251&amp;UtilityList!$C$5:$C$251,0)))</f>
        <v>Yukon-Koyukuk (CA)</v>
      </c>
      <c r="Q208" s="452" t="str">
        <f t="array" ref="Q208">IFERROR(INDEX(UtilityList!L$4:L$251,MATCH('Table 2.3c'!$A208&amp;'Table 2.3c'!$B208&amp;'Table 2.3c'!$C208,UtilityList!$A$4:$A$251&amp;UtilityList!$B$4:$B$251&amp;UtilityList!$C$4:$C$251,0)),INDEX(UtilityList!L$4:L$251,MATCH('Table 2.3c'!$A208&amp;'Table 2.3c'!$C208,UtilityList!$A$4:$A$251&amp;UtilityList!$C$5:$C$251,0)))</f>
        <v>Doyon</v>
      </c>
      <c r="R208" s="452" t="str">
        <f t="array" ref="R208">IFERROR(INDEX(UtilityList!M$4:M$251,MATCH('Table 2.3c'!$A208&amp;'Table 2.3c'!$B208&amp;'Table 2.3c'!$C208,UtilityList!$A$4:$A$251&amp;UtilityList!$B$4:$B$251&amp;UtilityList!$C$4:$C$251,0)),INDEX(UtilityList!M$4:M$251,MATCH('Table 2.3c'!$A208&amp;'Table 2.3c'!$C208,UtilityList!$A$4:$A$251&amp;UtilityList!$C$5:$C$251,0)))</f>
        <v>SW</v>
      </c>
      <c r="S208" s="344"/>
    </row>
    <row r="209" spans="1:19" s="239" customFormat="1" ht="30" x14ac:dyDescent="0.25">
      <c r="A209" s="678" t="s">
        <v>325</v>
      </c>
      <c r="B209" s="361" t="s">
        <v>326</v>
      </c>
      <c r="C209" s="679" t="s">
        <v>326</v>
      </c>
      <c r="D209" s="680" t="s">
        <v>545</v>
      </c>
      <c r="E209" s="680" t="s">
        <v>546</v>
      </c>
      <c r="F209" s="681">
        <v>648.31299999999999</v>
      </c>
      <c r="G209" s="682">
        <v>54661</v>
      </c>
      <c r="H209" s="681">
        <f t="shared" si="13"/>
        <v>7652.5400000000009</v>
      </c>
      <c r="I209" s="682">
        <v>5.1008832999999996</v>
      </c>
      <c r="J209" s="682">
        <f t="shared" si="12"/>
        <v>11.860613600190264</v>
      </c>
      <c r="K209" s="682">
        <f t="shared" si="14"/>
        <v>0.43006909017912637</v>
      </c>
      <c r="L209" s="682">
        <v>0.14000000000000001</v>
      </c>
      <c r="M209" s="658" t="s">
        <v>356</v>
      </c>
      <c r="N209" s="627">
        <f t="array" ref="N209">INDEX(UtilityList!Q$4:Q$251,MATCH('Table 2.3c'!$A209&amp;'Table 2.3c'!$B209&amp;'Table 2.3c'!$C209,UtilityList!$A$4:$A$251&amp;UtilityList!$B$4:$B$251&amp;UtilityList!$C$4:$C$251,0))</f>
        <v>0</v>
      </c>
      <c r="O209" s="452" t="str">
        <f t="array" ref="O209">IFERROR(INDEX(UtilityList!J$4:J$251,MATCH('Table 2.3c'!$A209&amp;'Table 2.3c'!$B209&amp;'Table 2.3c'!$C209,UtilityList!$A$4:$A$251&amp;UtilityList!$B$4:$B$251&amp;UtilityList!$C$4:$C$251,0)),INDEX(UtilityList!J$4:J$251,MATCH('Table 2.3c'!$A209&amp;'Table 2.3c'!$C209,UtilityList!$A$4:$A$251&amp;UtilityList!$C$5:$C$251,0)))</f>
        <v>Bristol Bay</v>
      </c>
      <c r="P209" s="452" t="str">
        <f t="array" ref="P209">IFERROR(INDEX(UtilityList!K$4:K$251,MATCH('Table 2.3c'!$A209&amp;'Table 2.3c'!$B209&amp;'Table 2.3c'!$C209,UtilityList!$A$4:$A$251&amp;UtilityList!$B$4:$B$251&amp;UtilityList!$C$4:$C$251,0)),INDEX(UtilityList!K$4:K$251,MATCH('Table 2.3c'!$A209&amp;'Table 2.3c'!$C209,UtilityList!$A$4:$A$251&amp;UtilityList!$C$5:$C$251,0)))</f>
        <v>Lake and Peninsula</v>
      </c>
      <c r="Q209" s="452" t="str">
        <f t="array" ref="Q209">IFERROR(INDEX(UtilityList!L$4:L$251,MATCH('Table 2.3c'!$A209&amp;'Table 2.3c'!$B209&amp;'Table 2.3c'!$C209,UtilityList!$A$4:$A$251&amp;UtilityList!$B$4:$B$251&amp;UtilityList!$C$4:$C$251,0)),INDEX(UtilityList!L$4:L$251,MATCH('Table 2.3c'!$A209&amp;'Table 2.3c'!$C209,UtilityList!$A$4:$A$251&amp;UtilityList!$C$5:$C$251,0)))</f>
        <v>Cook Inlet</v>
      </c>
      <c r="R209" s="452" t="str">
        <f t="array" ref="R209">IFERROR(INDEX(UtilityList!M$4:M$251,MATCH('Table 2.3c'!$A209&amp;'Table 2.3c'!$B209&amp;'Table 2.3c'!$C209,UtilityList!$A$4:$A$251&amp;UtilityList!$B$4:$B$251&amp;UtilityList!$C$4:$C$251,0)),INDEX(UtilityList!M$4:M$251,MATCH('Table 2.3c'!$A209&amp;'Table 2.3c'!$C209,UtilityList!$A$4:$A$251&amp;UtilityList!$C$5:$C$251,0)))</f>
        <v>SW</v>
      </c>
    </row>
    <row r="210" spans="1:19" s="239" customFormat="1" ht="30" x14ac:dyDescent="0.25">
      <c r="A210" s="678" t="s">
        <v>510</v>
      </c>
      <c r="B210" s="361" t="s">
        <v>327</v>
      </c>
      <c r="C210" s="679" t="s">
        <v>327</v>
      </c>
      <c r="D210" s="680" t="s">
        <v>545</v>
      </c>
      <c r="E210" s="680" t="s">
        <v>546</v>
      </c>
      <c r="F210" s="681">
        <v>1146.596</v>
      </c>
      <c r="G210" s="682">
        <v>88911</v>
      </c>
      <c r="H210" s="681">
        <f t="shared" si="13"/>
        <v>12447.54</v>
      </c>
      <c r="I210" s="682">
        <v>3.2365667</v>
      </c>
      <c r="J210" s="682">
        <f t="shared" si="12"/>
        <v>12.895997120716222</v>
      </c>
      <c r="K210" s="682">
        <f t="shared" si="14"/>
        <v>0.25097452098533396</v>
      </c>
      <c r="L210" s="682">
        <v>0.14000000000000001</v>
      </c>
      <c r="M210" s="658" t="s">
        <v>356</v>
      </c>
      <c r="N210" s="627">
        <f t="array" ref="N210">INDEX(UtilityList!Q$4:Q$251,MATCH('Table 2.3c'!$A210&amp;'Table 2.3c'!$B210&amp;'Table 2.3c'!$C210,UtilityList!$A$4:$A$251&amp;UtilityList!$B$4:$B$251&amp;UtilityList!$C$4:$C$251,0))</f>
        <v>0</v>
      </c>
      <c r="O210" s="452" t="str">
        <f t="array" ref="O210">IFERROR(INDEX(UtilityList!J$4:J$251,MATCH('Table 2.3c'!$A210&amp;'Table 2.3c'!$B210&amp;'Table 2.3c'!$C210,UtilityList!$A$4:$A$251&amp;UtilityList!$B$4:$B$251&amp;UtilityList!$C$4:$C$251,0)),INDEX(UtilityList!J$4:J$251,MATCH('Table 2.3c'!$A210&amp;'Table 2.3c'!$C210,UtilityList!$A$4:$A$251&amp;UtilityList!$C$5:$C$251,0)))</f>
        <v>Yukon-Koyukuk/Upper Tanana</v>
      </c>
      <c r="P210" s="452" t="str">
        <f t="array" ref="P210">IFERROR(INDEX(UtilityList!K$4:K$251,MATCH('Table 2.3c'!$A210&amp;'Table 2.3c'!$B210&amp;'Table 2.3c'!$C210,UtilityList!$A$4:$A$251&amp;UtilityList!$B$4:$B$251&amp;UtilityList!$C$4:$C$251,0)),INDEX(UtilityList!K$4:K$251,MATCH('Table 2.3c'!$A210&amp;'Table 2.3c'!$C210,UtilityList!$A$4:$A$251&amp;UtilityList!$C$5:$C$251,0)))</f>
        <v>Yukon-Koyukuk (CA)</v>
      </c>
      <c r="Q210" s="452" t="str">
        <f t="array" ref="Q210">IFERROR(INDEX(UtilityList!L$4:L$251,MATCH('Table 2.3c'!$A210&amp;'Table 2.3c'!$B210&amp;'Table 2.3c'!$C210,UtilityList!$A$4:$A$251&amp;UtilityList!$B$4:$B$251&amp;UtilityList!$C$4:$C$251,0)),INDEX(UtilityList!L$4:L$251,MATCH('Table 2.3c'!$A210&amp;'Table 2.3c'!$C210,UtilityList!$A$4:$A$251&amp;UtilityList!$C$5:$C$251,0)))</f>
        <v>Doyon</v>
      </c>
      <c r="R210" s="452" t="str">
        <f t="array" ref="R210">IFERROR(INDEX(UtilityList!M$4:M$251,MATCH('Table 2.3c'!$A210&amp;'Table 2.3c'!$B210&amp;'Table 2.3c'!$C210,UtilityList!$A$4:$A$251&amp;UtilityList!$B$4:$B$251&amp;UtilityList!$C$4:$C$251,0)),INDEX(UtilityList!M$4:M$251,MATCH('Table 2.3c'!$A210&amp;'Table 2.3c'!$C210,UtilityList!$A$4:$A$251&amp;UtilityList!$C$5:$C$251,0)))</f>
        <v>YU</v>
      </c>
    </row>
    <row r="211" spans="1:19" s="239" customFormat="1" ht="30" x14ac:dyDescent="0.25">
      <c r="A211" s="678" t="s">
        <v>328</v>
      </c>
      <c r="B211" s="361" t="s">
        <v>329</v>
      </c>
      <c r="C211" s="679" t="s">
        <v>329</v>
      </c>
      <c r="D211" s="680" t="s">
        <v>545</v>
      </c>
      <c r="E211" s="680" t="s">
        <v>546</v>
      </c>
      <c r="F211" s="681">
        <v>472.20400000000001</v>
      </c>
      <c r="G211" s="682">
        <v>42599</v>
      </c>
      <c r="H211" s="681">
        <f t="shared" si="13"/>
        <v>5963.8600000000006</v>
      </c>
      <c r="I211" s="682">
        <v>4.6981250000000001</v>
      </c>
      <c r="J211" s="682">
        <f t="shared" si="12"/>
        <v>11.084861146975282</v>
      </c>
      <c r="K211" s="682">
        <f t="shared" si="14"/>
        <v>0.42383255303851725</v>
      </c>
      <c r="L211" s="682">
        <v>0.14000000000000001</v>
      </c>
      <c r="M211" s="658" t="s">
        <v>356</v>
      </c>
      <c r="N211" s="627">
        <f t="array" ref="N211">INDEX(UtilityList!Q$4:Q$251,MATCH('Table 2.3c'!$A211&amp;'Table 2.3c'!$B211&amp;'Table 2.3c'!$C211,UtilityList!$A$4:$A$251&amp;UtilityList!$B$4:$B$251&amp;UtilityList!$C$4:$C$251,0))</f>
        <v>0</v>
      </c>
      <c r="O211" s="452" t="str">
        <f t="array" ref="O211">IFERROR(INDEX(UtilityList!J$4:J$251,MATCH('Table 2.3c'!$A211&amp;'Table 2.3c'!$B211&amp;'Table 2.3c'!$C211,UtilityList!$A$4:$A$251&amp;UtilityList!$B$4:$B$251&amp;UtilityList!$C$4:$C$251,0)),INDEX(UtilityList!J$4:J$251,MATCH('Table 2.3c'!$A211&amp;'Table 2.3c'!$C211,UtilityList!$A$4:$A$251&amp;UtilityList!$C$5:$C$251,0)))</f>
        <v>Copper River/Chugach</v>
      </c>
      <c r="P211" s="452" t="str">
        <f t="array" ref="P211">IFERROR(INDEX(UtilityList!K$4:K$251,MATCH('Table 2.3c'!$A211&amp;'Table 2.3c'!$B211&amp;'Table 2.3c'!$C211,UtilityList!$A$4:$A$251&amp;UtilityList!$B$4:$B$251&amp;UtilityList!$C$4:$C$251,0)),INDEX(UtilityList!K$4:K$251,MATCH('Table 2.3c'!$A211&amp;'Table 2.3c'!$C211,UtilityList!$A$4:$A$251&amp;UtilityList!$C$5:$C$251,0)))</f>
        <v>Valdez-Cordova (CA)</v>
      </c>
      <c r="Q211" s="452" t="str">
        <f t="array" ref="Q211">IFERROR(INDEX(UtilityList!L$4:L$251,MATCH('Table 2.3c'!$A211&amp;'Table 2.3c'!$B211&amp;'Table 2.3c'!$C211,UtilityList!$A$4:$A$251&amp;UtilityList!$B$4:$B$251&amp;UtilityList!$C$4:$C$251,0)),INDEX(UtilityList!L$4:L$251,MATCH('Table 2.3c'!$A211&amp;'Table 2.3c'!$C211,UtilityList!$A$4:$A$251&amp;UtilityList!$C$5:$C$251,0)))</f>
        <v>Chugach</v>
      </c>
      <c r="R211" s="452" t="str">
        <f t="array" ref="R211">IFERROR(INDEX(UtilityList!M$4:M$251,MATCH('Table 2.3c'!$A211&amp;'Table 2.3c'!$B211&amp;'Table 2.3c'!$C211,UtilityList!$A$4:$A$251&amp;UtilityList!$B$4:$B$251&amp;UtilityList!$C$4:$C$251,0)),INDEX(UtilityList!M$4:M$251,MATCH('Table 2.3c'!$A211&amp;'Table 2.3c'!$C211,UtilityList!$A$4:$A$251&amp;UtilityList!$C$5:$C$251,0)))</f>
        <v>SC</v>
      </c>
    </row>
    <row r="212" spans="1:19" s="239" customFormat="1" ht="30" x14ac:dyDescent="0.25">
      <c r="A212" s="678" t="s">
        <v>1080</v>
      </c>
      <c r="B212" s="361" t="s">
        <v>330</v>
      </c>
      <c r="C212" s="654" t="s">
        <v>330</v>
      </c>
      <c r="D212" s="680" t="s">
        <v>545</v>
      </c>
      <c r="E212" s="680" t="s">
        <v>546</v>
      </c>
      <c r="F212" s="681">
        <v>1908.4159999999999</v>
      </c>
      <c r="G212" s="682">
        <v>217292.2</v>
      </c>
      <c r="H212" s="681">
        <f t="shared" si="13"/>
        <v>30420.908000000003</v>
      </c>
      <c r="I212" s="682">
        <v>3.9018978999999998</v>
      </c>
      <c r="J212" s="682">
        <f t="shared" si="12"/>
        <v>8.7827174652380524</v>
      </c>
      <c r="K212" s="682">
        <f t="shared" si="14"/>
        <v>0.44427000133428979</v>
      </c>
      <c r="L212" s="682">
        <v>0.14000000000000001</v>
      </c>
      <c r="M212" s="658" t="s">
        <v>356</v>
      </c>
      <c r="N212" s="627">
        <f t="array" ref="N212">INDEX(UtilityList!Q$4:Q$251,MATCH('Table 2.3c'!$A212&amp;'Table 2.3c'!$B212&amp;'Table 2.3c'!$C212,UtilityList!$A$4:$A$251&amp;UtilityList!$B$4:$B$251&amp;UtilityList!$C$4:$C$251,0))</f>
        <v>0</v>
      </c>
      <c r="O212" s="452" t="str">
        <f t="array" ref="O212">IFERROR(INDEX(UtilityList!J$4:J$251,MATCH('Table 2.3c'!$A212&amp;'Table 2.3c'!$B212&amp;'Table 2.3c'!$C212,UtilityList!$A$4:$A$251&amp;UtilityList!$B$4:$B$251&amp;UtilityList!$C$4:$C$251,0)),INDEX(UtilityList!J$4:J$251,MATCH('Table 2.3c'!$A212&amp;'Table 2.3c'!$C212,UtilityList!$A$4:$A$251&amp;UtilityList!$C$5:$C$251,0)))</f>
        <v>Aleutians</v>
      </c>
      <c r="P212" s="452" t="str">
        <f t="array" ref="P212">IFERROR(INDEX(UtilityList!K$4:K$251,MATCH('Table 2.3c'!$A212&amp;'Table 2.3c'!$B212&amp;'Table 2.3c'!$C212,UtilityList!$A$4:$A$251&amp;UtilityList!$B$4:$B$251&amp;UtilityList!$C$4:$C$251,0)),INDEX(UtilityList!K$4:K$251,MATCH('Table 2.3c'!$A212&amp;'Table 2.3c'!$C212,UtilityList!$A$4:$A$251&amp;UtilityList!$C$5:$C$251,0)))</f>
        <v>Aleutians West (CA)</v>
      </c>
      <c r="Q212" s="452" t="str">
        <f t="array" ref="Q212">IFERROR(INDEX(UtilityList!L$4:L$251,MATCH('Table 2.3c'!$A212&amp;'Table 2.3c'!$B212&amp;'Table 2.3c'!$C212,UtilityList!$A$4:$A$251&amp;UtilityList!$B$4:$B$251&amp;UtilityList!$C$4:$C$251,0)),INDEX(UtilityList!L$4:L$251,MATCH('Table 2.3c'!$A212&amp;'Table 2.3c'!$C212,UtilityList!$A$4:$A$251&amp;UtilityList!$C$5:$C$251,0)))</f>
        <v>Aleut</v>
      </c>
      <c r="R212" s="452" t="str">
        <f t="array" ref="R212">IFERROR(INDEX(UtilityList!M$4:M$251,MATCH('Table 2.3c'!$A212&amp;'Table 2.3c'!$B212&amp;'Table 2.3c'!$C212,UtilityList!$A$4:$A$251&amp;UtilityList!$B$4:$B$251&amp;UtilityList!$C$4:$C$251,0)),INDEX(UtilityList!M$4:M$251,MATCH('Table 2.3c'!$A212&amp;'Table 2.3c'!$C212,UtilityList!$A$4:$A$251&amp;UtilityList!$C$5:$C$251,0)))</f>
        <v>SW</v>
      </c>
    </row>
    <row r="213" spans="1:19" s="239" customFormat="1" x14ac:dyDescent="0.25">
      <c r="A213" s="678" t="s">
        <v>331</v>
      </c>
      <c r="B213" s="361" t="s">
        <v>332</v>
      </c>
      <c r="C213" s="679" t="s">
        <v>332</v>
      </c>
      <c r="D213" s="680" t="s">
        <v>545</v>
      </c>
      <c r="E213" s="680" t="s">
        <v>546</v>
      </c>
      <c r="F213" s="681">
        <v>4313.7950000000001</v>
      </c>
      <c r="G213" s="682">
        <v>299184</v>
      </c>
      <c r="H213" s="681">
        <f t="shared" si="13"/>
        <v>41885.760000000002</v>
      </c>
      <c r="I213" s="682">
        <v>4.1466666999999999</v>
      </c>
      <c r="J213" s="682">
        <f t="shared" si="12"/>
        <v>14.418535082089951</v>
      </c>
      <c r="K213" s="682">
        <f t="shared" si="14"/>
        <v>0.28759278778263686</v>
      </c>
      <c r="L213" s="682">
        <v>0.14000000000000001</v>
      </c>
      <c r="M213" s="658" t="s">
        <v>356</v>
      </c>
      <c r="N213" s="627">
        <f t="array" ref="N213">INDEX(UtilityList!Q$4:Q$251,MATCH('Table 2.3c'!$A213&amp;'Table 2.3c'!$B213&amp;'Table 2.3c'!$C213,UtilityList!$A$4:$A$251&amp;UtilityList!$B$4:$B$251&amp;UtilityList!$C$4:$C$251,0))</f>
        <v>0</v>
      </c>
      <c r="O213" s="452" t="str">
        <f t="array" ref="O213">IFERROR(INDEX(UtilityList!J$4:J$251,MATCH('Table 2.3c'!$A213&amp;'Table 2.3c'!$B213&amp;'Table 2.3c'!$C213,UtilityList!$A$4:$A$251&amp;UtilityList!$B$4:$B$251&amp;UtilityList!$C$4:$C$251,0)),INDEX(UtilityList!J$4:J$251,MATCH('Table 2.3c'!$A213&amp;'Table 2.3c'!$C213,UtilityList!$A$4:$A$251&amp;UtilityList!$C$5:$C$251,0)))</f>
        <v>Aleutians</v>
      </c>
      <c r="P213" s="452" t="str">
        <f t="array" ref="P213">IFERROR(INDEX(UtilityList!K$4:K$251,MATCH('Table 2.3c'!$A213&amp;'Table 2.3c'!$B213&amp;'Table 2.3c'!$C213,UtilityList!$A$4:$A$251&amp;UtilityList!$B$4:$B$251&amp;UtilityList!$C$4:$C$251,0)),INDEX(UtilityList!K$4:K$251,MATCH('Table 2.3c'!$A213&amp;'Table 2.3c'!$C213,UtilityList!$A$4:$A$251&amp;UtilityList!$C$5:$C$251,0)))</f>
        <v>Aleutians East</v>
      </c>
      <c r="Q213" s="452" t="str">
        <f t="array" ref="Q213">IFERROR(INDEX(UtilityList!L$4:L$251,MATCH('Table 2.3c'!$A213&amp;'Table 2.3c'!$B213&amp;'Table 2.3c'!$C213,UtilityList!$A$4:$A$251&amp;UtilityList!$B$4:$B$251&amp;UtilityList!$C$4:$C$251,0)),INDEX(UtilityList!L$4:L$251,MATCH('Table 2.3c'!$A213&amp;'Table 2.3c'!$C213,UtilityList!$A$4:$A$251&amp;UtilityList!$C$5:$C$251,0)))</f>
        <v>Aleut</v>
      </c>
      <c r="R213" s="452" t="str">
        <f t="array" ref="R213">IFERROR(INDEX(UtilityList!M$4:M$251,MATCH('Table 2.3c'!$A213&amp;'Table 2.3c'!$B213&amp;'Table 2.3c'!$C213,UtilityList!$A$4:$A$251&amp;UtilityList!$B$4:$B$251&amp;UtilityList!$C$4:$C$251,0)),INDEX(UtilityList!M$4:M$251,MATCH('Table 2.3c'!$A213&amp;'Table 2.3c'!$C213,UtilityList!$A$4:$A$251&amp;UtilityList!$C$5:$C$251,0)))</f>
        <v>SW</v>
      </c>
    </row>
    <row r="214" spans="1:19" s="239" customFormat="1" ht="30" x14ac:dyDescent="0.25">
      <c r="A214" s="678" t="s">
        <v>333</v>
      </c>
      <c r="B214" s="361" t="s">
        <v>334</v>
      </c>
      <c r="C214" s="654" t="s">
        <v>334</v>
      </c>
      <c r="D214" s="680" t="s">
        <v>545</v>
      </c>
      <c r="E214" s="680" t="s">
        <v>546</v>
      </c>
      <c r="F214" s="681">
        <v>434.1617</v>
      </c>
      <c r="G214" s="682">
        <v>34534.667000000001</v>
      </c>
      <c r="H214" s="681">
        <f t="shared" si="13"/>
        <v>4834.8533800000005</v>
      </c>
      <c r="I214" s="682">
        <v>3.8580239000000001</v>
      </c>
      <c r="J214" s="682">
        <f t="shared" si="12"/>
        <v>12.571764482338862</v>
      </c>
      <c r="K214" s="682">
        <f t="shared" si="14"/>
        <v>0.3068800648802999</v>
      </c>
      <c r="L214" s="682">
        <v>0.14000000000000001</v>
      </c>
      <c r="M214" s="658" t="s">
        <v>356</v>
      </c>
      <c r="N214" s="627">
        <f t="array" ref="N214">INDEX(UtilityList!Q$4:Q$251,MATCH('Table 2.3c'!$A214&amp;'Table 2.3c'!$B214&amp;'Table 2.3c'!$C214,UtilityList!$A$4:$A$251&amp;UtilityList!$B$4:$B$251&amp;UtilityList!$C$4:$C$251,0))</f>
        <v>0</v>
      </c>
      <c r="O214" s="452" t="str">
        <f t="array" ref="O214">IFERROR(INDEX(UtilityList!J$4:J$251,MATCH('Table 2.3c'!$A214&amp;'Table 2.3c'!$B214&amp;'Table 2.3c'!$C214,UtilityList!$A$4:$A$251&amp;UtilityList!$B$4:$B$251&amp;UtilityList!$C$4:$C$251,0)),INDEX(UtilityList!J$4:J$251,MATCH('Table 2.3c'!$A214&amp;'Table 2.3c'!$C214,UtilityList!$A$4:$A$251&amp;UtilityList!$C$5:$C$251,0)))</f>
        <v>Yukon-Koyukuk/Upper Tanana</v>
      </c>
      <c r="P214" s="452" t="str">
        <f t="array" ref="P214">IFERROR(INDEX(UtilityList!K$4:K$251,MATCH('Table 2.3c'!$A214&amp;'Table 2.3c'!$B214&amp;'Table 2.3c'!$C214,UtilityList!$A$4:$A$251&amp;UtilityList!$B$4:$B$251&amp;UtilityList!$C$4:$C$251,0)),INDEX(UtilityList!K$4:K$251,MATCH('Table 2.3c'!$A214&amp;'Table 2.3c'!$C214,UtilityList!$A$4:$A$251&amp;UtilityList!$C$5:$C$251,0)))</f>
        <v>Yukon-Koyukuk (CA)</v>
      </c>
      <c r="Q214" s="452" t="str">
        <f t="array" ref="Q214">IFERROR(INDEX(UtilityList!L$4:L$251,MATCH('Table 2.3c'!$A214&amp;'Table 2.3c'!$B214&amp;'Table 2.3c'!$C214,UtilityList!$A$4:$A$251&amp;UtilityList!$B$4:$B$251&amp;UtilityList!$C$4:$C$251,0)),INDEX(UtilityList!L$4:L$251,MATCH('Table 2.3c'!$A214&amp;'Table 2.3c'!$C214,UtilityList!$A$4:$A$251&amp;UtilityList!$C$5:$C$251,0)))</f>
        <v>Doyon</v>
      </c>
      <c r="R214" s="452" t="str">
        <f t="array" ref="R214">IFERROR(INDEX(UtilityList!M$4:M$251,MATCH('Table 2.3c'!$A214&amp;'Table 2.3c'!$B214&amp;'Table 2.3c'!$C214,UtilityList!$A$4:$A$251&amp;UtilityList!$B$4:$B$251&amp;UtilityList!$C$4:$C$251,0)),INDEX(UtilityList!M$4:M$251,MATCH('Table 2.3c'!$A214&amp;'Table 2.3c'!$C214,UtilityList!$A$4:$A$251&amp;UtilityList!$C$5:$C$251,0)))</f>
        <v>YU</v>
      </c>
    </row>
    <row r="215" spans="1:19" s="239" customFormat="1" ht="30" x14ac:dyDescent="0.25">
      <c r="A215" s="678" t="s">
        <v>335</v>
      </c>
      <c r="B215" s="361" t="s">
        <v>336</v>
      </c>
      <c r="C215" s="679" t="s">
        <v>336</v>
      </c>
      <c r="D215" s="680" t="s">
        <v>545</v>
      </c>
      <c r="E215" s="680" t="s">
        <v>546</v>
      </c>
      <c r="F215" s="681">
        <v>416.31299999999999</v>
      </c>
      <c r="G215" s="682">
        <v>33616</v>
      </c>
      <c r="H215" s="681">
        <f t="shared" si="13"/>
        <v>4706.2400000000007</v>
      </c>
      <c r="I215" s="682">
        <v>4.1741666999999998</v>
      </c>
      <c r="J215" s="682">
        <f t="shared" si="12"/>
        <v>12.384370537839125</v>
      </c>
      <c r="K215" s="682">
        <f t="shared" si="14"/>
        <v>0.33705117973063531</v>
      </c>
      <c r="L215" s="682">
        <v>0.14000000000000001</v>
      </c>
      <c r="M215" s="658" t="s">
        <v>356</v>
      </c>
      <c r="N215" s="627">
        <f t="array" ref="N215">INDEX(UtilityList!Q$4:Q$251,MATCH('Table 2.3c'!$A215&amp;'Table 2.3c'!$B215&amp;'Table 2.3c'!$C215,UtilityList!$A$4:$A$251&amp;UtilityList!$B$4:$B$251&amp;UtilityList!$C$4:$C$251,0))</f>
        <v>0</v>
      </c>
      <c r="O215" s="452" t="str">
        <f t="array" ref="O215">IFERROR(INDEX(UtilityList!J$4:J$251,MATCH('Table 2.3c'!$A215&amp;'Table 2.3c'!$B215&amp;'Table 2.3c'!$C215,UtilityList!$A$4:$A$251&amp;UtilityList!$B$4:$B$251&amp;UtilityList!$C$4:$C$251,0)),INDEX(UtilityList!J$4:J$251,MATCH('Table 2.3c'!$A215&amp;'Table 2.3c'!$C215,UtilityList!$A$4:$A$251&amp;UtilityList!$C$5:$C$251,0)))</f>
        <v>Southeast</v>
      </c>
      <c r="P215" s="452" t="str">
        <f t="array" ref="P215">IFERROR(INDEX(UtilityList!K$4:K$251,MATCH('Table 2.3c'!$A215&amp;'Table 2.3c'!$B215&amp;'Table 2.3c'!$C215,UtilityList!$A$4:$A$251&amp;UtilityList!$B$4:$B$251&amp;UtilityList!$C$4:$C$251,0)),INDEX(UtilityList!K$4:K$251,MATCH('Table 2.3c'!$A215&amp;'Table 2.3c'!$C215,UtilityList!$A$4:$A$251&amp;UtilityList!$C$5:$C$251,0)))</f>
        <v>Hoonah-Angoon (CA)</v>
      </c>
      <c r="Q215" s="452" t="str">
        <f t="array" ref="Q215">IFERROR(INDEX(UtilityList!L$4:L$251,MATCH('Table 2.3c'!$A215&amp;'Table 2.3c'!$B215&amp;'Table 2.3c'!$C215,UtilityList!$A$4:$A$251&amp;UtilityList!$B$4:$B$251&amp;UtilityList!$C$4:$C$251,0)),INDEX(UtilityList!L$4:L$251,MATCH('Table 2.3c'!$A215&amp;'Table 2.3c'!$C215,UtilityList!$A$4:$A$251&amp;UtilityList!$C$5:$C$251,0)))</f>
        <v>Sealaska</v>
      </c>
      <c r="R215" s="452" t="str">
        <f t="array" ref="R215">IFERROR(INDEX(UtilityList!M$4:M$251,MATCH('Table 2.3c'!$A215&amp;'Table 2.3c'!$B215&amp;'Table 2.3c'!$C215,UtilityList!$A$4:$A$251&amp;UtilityList!$B$4:$B$251&amp;UtilityList!$C$4:$C$251,0)),INDEX(UtilityList!M$4:M$251,MATCH('Table 2.3c'!$A215&amp;'Table 2.3c'!$C215,UtilityList!$A$4:$A$251&amp;UtilityList!$C$5:$C$251,0)))</f>
        <v>SE</v>
      </c>
    </row>
    <row r="216" spans="1:19" s="239" customFormat="1" ht="30" x14ac:dyDescent="0.25">
      <c r="A216" s="678" t="s">
        <v>337</v>
      </c>
      <c r="B216" s="361" t="s">
        <v>338</v>
      </c>
      <c r="C216" s="679" t="s">
        <v>338</v>
      </c>
      <c r="D216" s="680" t="s">
        <v>545</v>
      </c>
      <c r="E216" s="680" t="s">
        <v>546</v>
      </c>
      <c r="F216" s="681">
        <v>606.72309999999993</v>
      </c>
      <c r="G216" s="682">
        <v>58214</v>
      </c>
      <c r="H216" s="681">
        <f t="shared" si="13"/>
        <v>8149.9600000000009</v>
      </c>
      <c r="I216" s="682">
        <v>3.24905</v>
      </c>
      <c r="J216" s="682">
        <f t="shared" si="12"/>
        <v>10.422288452949461</v>
      </c>
      <c r="K216" s="682">
        <f t="shared" si="14"/>
        <v>0.31174055627682551</v>
      </c>
      <c r="L216" s="682">
        <v>0.14000000000000001</v>
      </c>
      <c r="M216" s="658" t="s">
        <v>356</v>
      </c>
      <c r="N216" s="627">
        <f t="array" ref="N216">INDEX(UtilityList!Q$4:Q$251,MATCH('Table 2.3c'!$A216&amp;'Table 2.3c'!$B216&amp;'Table 2.3c'!$C216,UtilityList!$A$4:$A$251&amp;UtilityList!$B$4:$B$251&amp;UtilityList!$C$4:$C$251,0))</f>
        <v>0</v>
      </c>
      <c r="O216" s="452" t="str">
        <f t="array" ref="O216">IFERROR(INDEX(UtilityList!J$4:J$251,MATCH('Table 2.3c'!$A216&amp;'Table 2.3c'!$B216&amp;'Table 2.3c'!$C216,UtilityList!$A$4:$A$251&amp;UtilityList!$B$4:$B$251&amp;UtilityList!$C$4:$C$251,0)),INDEX(UtilityList!J$4:J$251,MATCH('Table 2.3c'!$A216&amp;'Table 2.3c'!$C216,UtilityList!$A$4:$A$251&amp;UtilityList!$C$5:$C$251,0)))</f>
        <v>Lower Yukon-Kuskokwim</v>
      </c>
      <c r="P216" s="452" t="str">
        <f t="array" ref="P216">IFERROR(INDEX(UtilityList!K$4:K$251,MATCH('Table 2.3c'!$A216&amp;'Table 2.3c'!$B216&amp;'Table 2.3c'!$C216,UtilityList!$A$4:$A$251&amp;UtilityList!$B$4:$B$251&amp;UtilityList!$C$4:$C$251,0)),INDEX(UtilityList!K$4:K$251,MATCH('Table 2.3c'!$A216&amp;'Table 2.3c'!$C216,UtilityList!$A$4:$A$251&amp;UtilityList!$C$5:$C$251,0)))</f>
        <v>Bethel (CA)</v>
      </c>
      <c r="Q216" s="452" t="str">
        <f t="array" ref="Q216">IFERROR(INDEX(UtilityList!L$4:L$251,MATCH('Table 2.3c'!$A216&amp;'Table 2.3c'!$B216&amp;'Table 2.3c'!$C216,UtilityList!$A$4:$A$251&amp;UtilityList!$B$4:$B$251&amp;UtilityList!$C$4:$C$251,0)),INDEX(UtilityList!L$4:L$251,MATCH('Table 2.3c'!$A216&amp;'Table 2.3c'!$C216,UtilityList!$A$4:$A$251&amp;UtilityList!$C$5:$C$251,0)))</f>
        <v>Calista</v>
      </c>
      <c r="R216" s="452" t="str">
        <f t="array" ref="R216">IFERROR(INDEX(UtilityList!M$4:M$251,MATCH('Table 2.3c'!$A216&amp;'Table 2.3c'!$B216&amp;'Table 2.3c'!$C216,UtilityList!$A$4:$A$251&amp;UtilityList!$B$4:$B$251&amp;UtilityList!$C$4:$C$251,0)),INDEX(UtilityList!M$4:M$251,MATCH('Table 2.3c'!$A216&amp;'Table 2.3c'!$C216,UtilityList!$A$4:$A$251&amp;UtilityList!$C$5:$C$251,0)))</f>
        <v>SW</v>
      </c>
    </row>
    <row r="217" spans="1:19" s="239" customFormat="1" ht="30" x14ac:dyDescent="0.25">
      <c r="A217" s="678" t="s">
        <v>339</v>
      </c>
      <c r="B217" s="361" t="s">
        <v>340</v>
      </c>
      <c r="C217" s="679" t="s">
        <v>340</v>
      </c>
      <c r="D217" s="680" t="s">
        <v>545</v>
      </c>
      <c r="E217" s="680" t="s">
        <v>546</v>
      </c>
      <c r="F217" s="681">
        <v>970.95100000000002</v>
      </c>
      <c r="G217" s="682">
        <v>92280.000000000015</v>
      </c>
      <c r="H217" s="681">
        <f t="shared" si="13"/>
        <v>12919.200000000003</v>
      </c>
      <c r="I217" s="682">
        <v>3.4099249999999999</v>
      </c>
      <c r="J217" s="682">
        <f t="shared" si="12"/>
        <v>10.521792371044645</v>
      </c>
      <c r="K217" s="682">
        <f t="shared" si="14"/>
        <v>0.32408214111731698</v>
      </c>
      <c r="L217" s="682">
        <v>0.14000000000000001</v>
      </c>
      <c r="M217" s="658" t="s">
        <v>356</v>
      </c>
      <c r="N217" s="627">
        <f t="array" ref="N217">INDEX(UtilityList!Q$4:Q$251,MATCH('Table 2.3c'!$A217&amp;'Table 2.3c'!$B217&amp;'Table 2.3c'!$C217,UtilityList!$A$4:$A$251&amp;UtilityList!$B$4:$B$251&amp;UtilityList!$C$4:$C$251,0))</f>
        <v>0</v>
      </c>
      <c r="O217" s="452" t="str">
        <f t="array" ref="O217">IFERROR(INDEX(UtilityList!J$4:J$251,MATCH('Table 2.3c'!$A217&amp;'Table 2.3c'!$B217&amp;'Table 2.3c'!$C217,UtilityList!$A$4:$A$251&amp;UtilityList!$B$4:$B$251&amp;UtilityList!$C$4:$C$251,0)),INDEX(UtilityList!J$4:J$251,MATCH('Table 2.3c'!$A217&amp;'Table 2.3c'!$C217,UtilityList!$A$4:$A$251&amp;UtilityList!$C$5:$C$251,0)))</f>
        <v>Lower Yukon-Kuskokwim</v>
      </c>
      <c r="P217" s="452" t="str">
        <f t="array" ref="P217">IFERROR(INDEX(UtilityList!K$4:K$251,MATCH('Table 2.3c'!$A217&amp;'Table 2.3c'!$B217&amp;'Table 2.3c'!$C217,UtilityList!$A$4:$A$251&amp;UtilityList!$B$4:$B$251&amp;UtilityList!$C$4:$C$251,0)),INDEX(UtilityList!K$4:K$251,MATCH('Table 2.3c'!$A217&amp;'Table 2.3c'!$C217,UtilityList!$A$4:$A$251&amp;UtilityList!$C$5:$C$251,0)))</f>
        <v>Bethel (CA)</v>
      </c>
      <c r="Q217" s="452" t="str">
        <f t="array" ref="Q217">IFERROR(INDEX(UtilityList!L$4:L$251,MATCH('Table 2.3c'!$A217&amp;'Table 2.3c'!$B217&amp;'Table 2.3c'!$C217,UtilityList!$A$4:$A$251&amp;UtilityList!$B$4:$B$251&amp;UtilityList!$C$4:$C$251,0)),INDEX(UtilityList!L$4:L$251,MATCH('Table 2.3c'!$A217&amp;'Table 2.3c'!$C217,UtilityList!$A$4:$A$251&amp;UtilityList!$C$5:$C$251,0)))</f>
        <v>Calista</v>
      </c>
      <c r="R217" s="452" t="str">
        <f t="array" ref="R217">IFERROR(INDEX(UtilityList!M$4:M$251,MATCH('Table 2.3c'!$A217&amp;'Table 2.3c'!$B217&amp;'Table 2.3c'!$C217,UtilityList!$A$4:$A$251&amp;UtilityList!$B$4:$B$251&amp;UtilityList!$C$4:$C$251,0)),INDEX(UtilityList!M$4:M$251,MATCH('Table 2.3c'!$A217&amp;'Table 2.3c'!$C217,UtilityList!$A$4:$A$251&amp;UtilityList!$C$5:$C$251,0)))</f>
        <v>SW</v>
      </c>
    </row>
    <row r="218" spans="1:19" s="239" customFormat="1" ht="30" x14ac:dyDescent="0.25">
      <c r="A218" s="678" t="s">
        <v>341</v>
      </c>
      <c r="B218" s="361" t="s">
        <v>342</v>
      </c>
      <c r="C218" s="679" t="s">
        <v>342</v>
      </c>
      <c r="D218" s="680" t="s">
        <v>545</v>
      </c>
      <c r="E218" s="680" t="s">
        <v>546</v>
      </c>
      <c r="F218" s="681">
        <v>282.24180000000001</v>
      </c>
      <c r="G218" s="682">
        <v>30161</v>
      </c>
      <c r="H218" s="681">
        <f t="shared" si="13"/>
        <v>4222.54</v>
      </c>
      <c r="I218" s="682">
        <v>3.9224999999999999</v>
      </c>
      <c r="J218" s="682">
        <f t="shared" si="12"/>
        <v>9.3578395941779107</v>
      </c>
      <c r="K218" s="682">
        <f t="shared" si="14"/>
        <v>0.41916726190096582</v>
      </c>
      <c r="L218" s="682">
        <v>0.14000000000000001</v>
      </c>
      <c r="M218" s="658" t="s">
        <v>356</v>
      </c>
      <c r="N218" s="627">
        <f t="array" ref="N218">INDEX(UtilityList!Q$4:Q$251,MATCH('Table 2.3c'!$A218&amp;'Table 2.3c'!$B218&amp;'Table 2.3c'!$C218,UtilityList!$A$4:$A$251&amp;UtilityList!$B$4:$B$251&amp;UtilityList!$C$4:$C$251,0))</f>
        <v>0</v>
      </c>
      <c r="O218" s="452" t="str">
        <f t="array" ref="O218">IFERROR(INDEX(UtilityList!J$4:J$251,MATCH('Table 2.3c'!$A218&amp;'Table 2.3c'!$B218&amp;'Table 2.3c'!$C218,UtilityList!$A$4:$A$251&amp;UtilityList!$B$4:$B$251&amp;UtilityList!$C$4:$C$251,0)),INDEX(UtilityList!J$4:J$251,MATCH('Table 2.3c'!$A218&amp;'Table 2.3c'!$C218,UtilityList!$A$4:$A$251&amp;UtilityList!$C$5:$C$251,0)))</f>
        <v>Bristol Bay</v>
      </c>
      <c r="P218" s="452" t="str">
        <f t="array" ref="P218">IFERROR(INDEX(UtilityList!K$4:K$251,MATCH('Table 2.3c'!$A218&amp;'Table 2.3c'!$B218&amp;'Table 2.3c'!$C218,UtilityList!$A$4:$A$251&amp;UtilityList!$B$4:$B$251&amp;UtilityList!$C$4:$C$251,0)),INDEX(UtilityList!K$4:K$251,MATCH('Table 2.3c'!$A218&amp;'Table 2.3c'!$C218,UtilityList!$A$4:$A$251&amp;UtilityList!$C$5:$C$251,0)))</f>
        <v>Dillingham (CA)</v>
      </c>
      <c r="Q218" s="452" t="str">
        <f t="array" ref="Q218">IFERROR(INDEX(UtilityList!L$4:L$251,MATCH('Table 2.3c'!$A218&amp;'Table 2.3c'!$B218&amp;'Table 2.3c'!$C218,UtilityList!$A$4:$A$251&amp;UtilityList!$B$4:$B$251&amp;UtilityList!$C$4:$C$251,0)),INDEX(UtilityList!L$4:L$251,MATCH('Table 2.3c'!$A218&amp;'Table 2.3c'!$C218,UtilityList!$A$4:$A$251&amp;UtilityList!$C$5:$C$251,0)))</f>
        <v>Bristol Bay</v>
      </c>
      <c r="R218" s="452" t="str">
        <f t="array" ref="R218">IFERROR(INDEX(UtilityList!M$4:M$251,MATCH('Table 2.3c'!$A218&amp;'Table 2.3c'!$B218&amp;'Table 2.3c'!$C218,UtilityList!$A$4:$A$251&amp;UtilityList!$B$4:$B$251&amp;UtilityList!$C$4:$C$251,0)),INDEX(UtilityList!M$4:M$251,MATCH('Table 2.3c'!$A218&amp;'Table 2.3c'!$C218,UtilityList!$A$4:$A$251&amp;UtilityList!$C$5:$C$251,0)))</f>
        <v>SW</v>
      </c>
    </row>
    <row r="219" spans="1:19" s="239" customFormat="1" ht="30" x14ac:dyDescent="0.25">
      <c r="A219" s="678" t="s">
        <v>343</v>
      </c>
      <c r="B219" s="361" t="s">
        <v>344</v>
      </c>
      <c r="C219" s="679" t="s">
        <v>344</v>
      </c>
      <c r="D219" s="680" t="s">
        <v>545</v>
      </c>
      <c r="E219" s="680" t="s">
        <v>546</v>
      </c>
      <c r="F219" s="681">
        <v>211.643</v>
      </c>
      <c r="G219" s="682">
        <v>24532</v>
      </c>
      <c r="H219" s="681">
        <f t="shared" si="13"/>
        <v>3434.4800000000005</v>
      </c>
      <c r="I219" s="682">
        <v>3.9649999999999999</v>
      </c>
      <c r="J219" s="682">
        <f t="shared" si="12"/>
        <v>8.6272215881297889</v>
      </c>
      <c r="K219" s="682">
        <f t="shared" si="14"/>
        <v>0.45959176537849117</v>
      </c>
      <c r="L219" s="682">
        <v>0.14000000000000001</v>
      </c>
      <c r="M219" s="658" t="s">
        <v>356</v>
      </c>
      <c r="N219" s="627">
        <f t="array" ref="N219">INDEX(UtilityList!Q$4:Q$251,MATCH('Table 2.3c'!$A219&amp;'Table 2.3c'!$B219&amp;'Table 2.3c'!$C219,UtilityList!$A$4:$A$251&amp;UtilityList!$B$4:$B$251&amp;UtilityList!$C$4:$C$251,0))</f>
        <v>0</v>
      </c>
      <c r="O219" s="452" t="str">
        <f t="array" ref="O219">IFERROR(INDEX(UtilityList!J$4:J$251,MATCH('Table 2.3c'!$A219&amp;'Table 2.3c'!$B219&amp;'Table 2.3c'!$C219,UtilityList!$A$4:$A$251&amp;UtilityList!$B$4:$B$251&amp;UtilityList!$C$4:$C$251,0)),INDEX(UtilityList!J$4:J$251,MATCH('Table 2.3c'!$A219&amp;'Table 2.3c'!$C219,UtilityList!$A$4:$A$251&amp;UtilityList!$C$5:$C$251,0)))</f>
        <v>Aleutians</v>
      </c>
      <c r="P219" s="452" t="str">
        <f t="array" ref="P219">IFERROR(INDEX(UtilityList!K$4:K$251,MATCH('Table 2.3c'!$A219&amp;'Table 2.3c'!$B219&amp;'Table 2.3c'!$C219,UtilityList!$A$4:$A$251&amp;UtilityList!$B$4:$B$251&amp;UtilityList!$C$4:$C$251,0)),INDEX(UtilityList!K$4:K$251,MATCH('Table 2.3c'!$A219&amp;'Table 2.3c'!$C219,UtilityList!$A$4:$A$251&amp;UtilityList!$C$5:$C$251,0)))</f>
        <v>Aleutians West (CA)</v>
      </c>
      <c r="Q219" s="452" t="str">
        <f t="array" ref="Q219">IFERROR(INDEX(UtilityList!L$4:L$251,MATCH('Table 2.3c'!$A219&amp;'Table 2.3c'!$B219&amp;'Table 2.3c'!$C219,UtilityList!$A$4:$A$251&amp;UtilityList!$B$4:$B$251&amp;UtilityList!$C$4:$C$251,0)),INDEX(UtilityList!L$4:L$251,MATCH('Table 2.3c'!$A219&amp;'Table 2.3c'!$C219,UtilityList!$A$4:$A$251&amp;UtilityList!$C$5:$C$251,0)))</f>
        <v>Aleut</v>
      </c>
      <c r="R219" s="452" t="str">
        <f t="array" ref="R219">IFERROR(INDEX(UtilityList!M$4:M$251,MATCH('Table 2.3c'!$A219&amp;'Table 2.3c'!$B219&amp;'Table 2.3c'!$C219,UtilityList!$A$4:$A$251&amp;UtilityList!$B$4:$B$251&amp;UtilityList!$C$4:$C$251,0)),INDEX(UtilityList!M$4:M$251,MATCH('Table 2.3c'!$A219&amp;'Table 2.3c'!$C219,UtilityList!$A$4:$A$251&amp;UtilityList!$C$5:$C$251,0)))</f>
        <v>SW</v>
      </c>
    </row>
    <row r="220" spans="1:19" s="239" customFormat="1" ht="45" x14ac:dyDescent="0.25">
      <c r="A220" s="678" t="s">
        <v>537</v>
      </c>
      <c r="B220" s="361" t="s">
        <v>345</v>
      </c>
      <c r="C220" s="679" t="s">
        <v>345</v>
      </c>
      <c r="D220" s="680" t="s">
        <v>545</v>
      </c>
      <c r="E220" s="680" t="s">
        <v>546</v>
      </c>
      <c r="F220" s="681">
        <v>3497.944</v>
      </c>
      <c r="G220" s="682">
        <v>233637.00000000003</v>
      </c>
      <c r="H220" s="681">
        <f t="shared" si="13"/>
        <v>32709.180000000008</v>
      </c>
      <c r="I220" s="682">
        <v>2.9563666999999998</v>
      </c>
      <c r="J220" s="682">
        <f t="shared" si="12"/>
        <v>14.971703968121485</v>
      </c>
      <c r="K220" s="682">
        <f t="shared" si="14"/>
        <v>0.19746360910520583</v>
      </c>
      <c r="L220" s="682">
        <v>0.14000000000000001</v>
      </c>
      <c r="M220" s="658" t="s">
        <v>356</v>
      </c>
      <c r="N220" s="627">
        <f t="array" ref="N220">INDEX(UtilityList!Q$4:Q$251,MATCH('Table 2.3c'!$A220&amp;'Table 2.3c'!$B220&amp;'Table 2.3c'!$C220,UtilityList!$A$4:$A$251&amp;UtilityList!$B$4:$B$251&amp;UtilityList!$C$4:$C$251,0))</f>
        <v>0</v>
      </c>
      <c r="O220" s="452" t="str">
        <f t="array" ref="O220">IFERROR(INDEX(UtilityList!J$4:J$251,MATCH('Table 2.3c'!$A220&amp;'Table 2.3c'!$B220&amp;'Table 2.3c'!$C220,UtilityList!$A$4:$A$251&amp;UtilityList!$B$4:$B$251&amp;UtilityList!$C$4:$C$251,0)),INDEX(UtilityList!J$4:J$251,MATCH('Table 2.3c'!$A220&amp;'Table 2.3c'!$C220,UtilityList!$A$4:$A$251&amp;UtilityList!$C$5:$C$251,0)))</f>
        <v>Bering Straits</v>
      </c>
      <c r="P220" s="452" t="str">
        <f t="array" ref="P220">IFERROR(INDEX(UtilityList!K$4:K$251,MATCH('Table 2.3c'!$A220&amp;'Table 2.3c'!$B220&amp;'Table 2.3c'!$C220,UtilityList!$A$4:$A$251&amp;UtilityList!$B$4:$B$251&amp;UtilityList!$C$4:$C$251,0)),INDEX(UtilityList!K$4:K$251,MATCH('Table 2.3c'!$A220&amp;'Table 2.3c'!$C220,UtilityList!$A$4:$A$251&amp;UtilityList!$C$5:$C$251,0)))</f>
        <v>Nome (CA)</v>
      </c>
      <c r="Q220" s="452" t="str">
        <f t="array" ref="Q220">IFERROR(INDEX(UtilityList!L$4:L$251,MATCH('Table 2.3c'!$A220&amp;'Table 2.3c'!$B220&amp;'Table 2.3c'!$C220,UtilityList!$A$4:$A$251&amp;UtilityList!$B$4:$B$251&amp;UtilityList!$C$4:$C$251,0)),INDEX(UtilityList!L$4:L$251,MATCH('Table 2.3c'!$A220&amp;'Table 2.3c'!$C220,UtilityList!$A$4:$A$251&amp;UtilityList!$C$5:$C$251,0)))</f>
        <v>Bering Straits</v>
      </c>
      <c r="R220" s="452" t="str">
        <f t="array" ref="R220">IFERROR(INDEX(UtilityList!M$4:M$251,MATCH('Table 2.3c'!$A220&amp;'Table 2.3c'!$B220&amp;'Table 2.3c'!$C220,UtilityList!$A$4:$A$251&amp;UtilityList!$B$4:$B$251&amp;UtilityList!$C$4:$C$251,0)),INDEX(UtilityList!M$4:M$251,MATCH('Table 2.3c'!$A220&amp;'Table 2.3c'!$C220,UtilityList!$A$4:$A$251&amp;UtilityList!$C$5:$C$251,0)))</f>
        <v>AN</v>
      </c>
    </row>
    <row r="221" spans="1:19" s="239" customFormat="1" ht="45" x14ac:dyDescent="0.25">
      <c r="A221" s="678" t="s">
        <v>637</v>
      </c>
      <c r="B221" s="361"/>
      <c r="C221" s="654" t="s">
        <v>492</v>
      </c>
      <c r="D221" s="680" t="s">
        <v>545</v>
      </c>
      <c r="E221" s="680" t="s">
        <v>546</v>
      </c>
      <c r="F221" s="681">
        <v>43500</v>
      </c>
      <c r="G221" s="682">
        <v>2794440</v>
      </c>
      <c r="H221" s="681">
        <f t="shared" si="13"/>
        <v>391221.60000000003</v>
      </c>
      <c r="I221" s="682">
        <v>3.3789332999999999</v>
      </c>
      <c r="J221" s="682">
        <f t="shared" si="12"/>
        <v>15.566625155666252</v>
      </c>
      <c r="K221" s="682">
        <f t="shared" si="14"/>
        <v>0.21706267519199998</v>
      </c>
      <c r="L221" s="682">
        <v>0.14000000000000001</v>
      </c>
      <c r="M221" s="658" t="s">
        <v>356</v>
      </c>
      <c r="N221" s="627" t="s">
        <v>721</v>
      </c>
      <c r="O221" s="452" t="str">
        <f t="array" ref="O221">IFERROR(INDEX(UtilityList!J$4:J$251,MATCH('Table 2.3c'!$A221&amp;'Table 2.3c'!$B221&amp;'Table 2.3c'!$C221,UtilityList!$A$4:$A$251&amp;UtilityList!$B$4:$B$251&amp;UtilityList!$C$4:$C$251,0)),INDEX(UtilityList!J$4:J$251,MATCH('Table 2.3c'!$A221&amp;'Table 2.3c'!$C221,UtilityList!$A$4:$A$251&amp;UtilityList!$C$5:$C$251,0)))</f>
        <v>Aleutians</v>
      </c>
      <c r="P221" s="452" t="str">
        <f t="array" ref="P221">IFERROR(INDEX(UtilityList!K$4:K$251,MATCH('Table 2.3c'!$A221&amp;'Table 2.3c'!$B221&amp;'Table 2.3c'!$C221,UtilityList!$A$4:$A$251&amp;UtilityList!$B$4:$B$251&amp;UtilityList!$C$4:$C$251,0)),INDEX(UtilityList!K$4:K$251,MATCH('Table 2.3c'!$A221&amp;'Table 2.3c'!$C221,UtilityList!$A$4:$A$251&amp;UtilityList!$C$5:$C$251,0)))</f>
        <v>Aleutians West (CA)</v>
      </c>
      <c r="Q221" s="452" t="str">
        <f t="array" ref="Q221">IFERROR(INDEX(UtilityList!L$4:L$251,MATCH('Table 2.3c'!$A221&amp;'Table 2.3c'!$B221&amp;'Table 2.3c'!$C221,UtilityList!$A$4:$A$251&amp;UtilityList!$B$4:$B$251&amp;UtilityList!$C$4:$C$251,0)),INDEX(UtilityList!L$4:L$251,MATCH('Table 2.3c'!$A221&amp;'Table 2.3c'!$C221,UtilityList!$A$4:$A$251&amp;UtilityList!$C$5:$C$251,0)))</f>
        <v>Aleut</v>
      </c>
      <c r="R221" s="452" t="str">
        <f t="array" ref="R221">IFERROR(INDEX(UtilityList!M$4:M$251,MATCH('Table 2.3c'!$A221&amp;'Table 2.3c'!$B221&amp;'Table 2.3c'!$C221,UtilityList!$A$4:$A$251&amp;UtilityList!$B$4:$B$251&amp;UtilityList!$C$4:$C$251,0)),INDEX(UtilityList!M$4:M$251,MATCH('Table 2.3c'!$A221&amp;'Table 2.3c'!$C221,UtilityList!$A$4:$A$251&amp;UtilityList!$C$5:$C$251,0)))</f>
        <v>SW</v>
      </c>
    </row>
    <row r="222" spans="1:19" s="239" customFormat="1" ht="30" x14ac:dyDescent="0.25">
      <c r="A222" s="678" t="s">
        <v>346</v>
      </c>
      <c r="B222" s="361" t="s">
        <v>347</v>
      </c>
      <c r="C222" s="679" t="s">
        <v>347</v>
      </c>
      <c r="D222" s="680" t="s">
        <v>545</v>
      </c>
      <c r="E222" s="680" t="s">
        <v>546</v>
      </c>
      <c r="F222" s="681">
        <v>426.98399999999998</v>
      </c>
      <c r="G222" s="682">
        <v>41159</v>
      </c>
      <c r="H222" s="681">
        <f t="shared" si="13"/>
        <v>5762.26</v>
      </c>
      <c r="I222" s="682">
        <v>3.5615250000000001</v>
      </c>
      <c r="J222" s="682">
        <f t="shared" si="12"/>
        <v>10.374012974076143</v>
      </c>
      <c r="K222" s="682">
        <f t="shared" si="14"/>
        <v>0.34331217908633582</v>
      </c>
      <c r="L222" s="682">
        <v>0.14000000000000001</v>
      </c>
      <c r="M222" s="658" t="s">
        <v>356</v>
      </c>
      <c r="N222" s="627">
        <f t="array" ref="N222">INDEX(UtilityList!Q$4:Q$251,MATCH('Table 2.3c'!$A222&amp;'Table 2.3c'!$B222&amp;'Table 2.3c'!$C222,UtilityList!$A$4:$A$251&amp;UtilityList!$B$4:$B$251&amp;UtilityList!$C$4:$C$251,0))</f>
        <v>0</v>
      </c>
      <c r="O222" s="452" t="str">
        <f t="array" ref="O222">IFERROR(INDEX(UtilityList!J$4:J$251,MATCH('Table 2.3c'!$A222&amp;'Table 2.3c'!$B222&amp;'Table 2.3c'!$C222,UtilityList!$A$4:$A$251&amp;UtilityList!$B$4:$B$251&amp;UtilityList!$C$4:$C$251,0)),INDEX(UtilityList!J$4:J$251,MATCH('Table 2.3c'!$A222&amp;'Table 2.3c'!$C222,UtilityList!$A$4:$A$251&amp;UtilityList!$C$5:$C$251,0)))</f>
        <v>Lower Yukon-Kuskokwim</v>
      </c>
      <c r="P222" s="452" t="str">
        <f t="array" ref="P222">IFERROR(INDEX(UtilityList!K$4:K$251,MATCH('Table 2.3c'!$A222&amp;'Table 2.3c'!$B222&amp;'Table 2.3c'!$C222,UtilityList!$A$4:$A$251&amp;UtilityList!$B$4:$B$251&amp;UtilityList!$C$4:$C$251,0)),INDEX(UtilityList!K$4:K$251,MATCH('Table 2.3c'!$A222&amp;'Table 2.3c'!$C222,UtilityList!$A$4:$A$251&amp;UtilityList!$C$5:$C$251,0)))</f>
        <v>Bethel (CA)</v>
      </c>
      <c r="Q222" s="452" t="str">
        <f t="array" ref="Q222">IFERROR(INDEX(UtilityList!L$4:L$251,MATCH('Table 2.3c'!$A222&amp;'Table 2.3c'!$B222&amp;'Table 2.3c'!$C222,UtilityList!$A$4:$A$251&amp;UtilityList!$B$4:$B$251&amp;UtilityList!$C$4:$C$251,0)),INDEX(UtilityList!L$4:L$251,MATCH('Table 2.3c'!$A222&amp;'Table 2.3c'!$C222,UtilityList!$A$4:$A$251&amp;UtilityList!$C$5:$C$251,0)))</f>
        <v>Calista</v>
      </c>
      <c r="R222" s="452" t="str">
        <f t="array" ref="R222">IFERROR(INDEX(UtilityList!M$4:M$251,MATCH('Table 2.3c'!$A222&amp;'Table 2.3c'!$B222&amp;'Table 2.3c'!$C222,UtilityList!$A$4:$A$251&amp;UtilityList!$B$4:$B$251&amp;UtilityList!$C$4:$C$251,0)),INDEX(UtilityList!M$4:M$251,MATCH('Table 2.3c'!$A222&amp;'Table 2.3c'!$C222,UtilityList!$A$4:$A$251&amp;UtilityList!$C$5:$C$251,0)))</f>
        <v>SW</v>
      </c>
    </row>
    <row r="223" spans="1:19" s="239" customFormat="1" ht="45" x14ac:dyDescent="0.25">
      <c r="A223" s="678" t="s">
        <v>350</v>
      </c>
      <c r="B223" s="361" t="s">
        <v>351</v>
      </c>
      <c r="C223" s="654" t="s">
        <v>351</v>
      </c>
      <c r="D223" s="680" t="s">
        <v>545</v>
      </c>
      <c r="E223" s="680" t="s">
        <v>546</v>
      </c>
      <c r="F223" s="681">
        <v>369.21600000000001</v>
      </c>
      <c r="G223" s="682">
        <v>29509</v>
      </c>
      <c r="H223" s="681">
        <f t="shared" si="13"/>
        <v>4131.26</v>
      </c>
      <c r="I223" s="682">
        <v>3.1284667000000002</v>
      </c>
      <c r="J223" s="682">
        <f t="shared" si="12"/>
        <v>12.511979396116439</v>
      </c>
      <c r="K223" s="682">
        <f t="shared" si="14"/>
        <v>0.25003771193637331</v>
      </c>
      <c r="L223" s="682">
        <v>0.14000000000000001</v>
      </c>
      <c r="M223" s="658" t="s">
        <v>356</v>
      </c>
      <c r="N223" s="627">
        <f t="array" ref="N223">INDEX(UtilityList!Q$4:Q$251,MATCH('Table 2.3c'!$A223&amp;'Table 2.3c'!$B223&amp;'Table 2.3c'!$C223,UtilityList!$A$4:$A$251&amp;UtilityList!$B$4:$B$251&amp;UtilityList!$C$4:$C$251,0))</f>
        <v>0</v>
      </c>
      <c r="O223" s="452" t="str">
        <f t="array" ref="O223">IFERROR(INDEX(UtilityList!J$4:J$251,MATCH('Table 2.3c'!$A223&amp;'Table 2.3c'!$B223&amp;'Table 2.3c'!$C223,UtilityList!$A$4:$A$251&amp;UtilityList!$B$4:$B$251&amp;UtilityList!$C$4:$C$251,0)),INDEX(UtilityList!J$4:J$251,MATCH('Table 2.3c'!$A223&amp;'Table 2.3c'!$C223,UtilityList!$A$4:$A$251&amp;UtilityList!$C$5:$C$251,0)))</f>
        <v>Bering Straits</v>
      </c>
      <c r="P223" s="452" t="str">
        <f t="array" ref="P223">IFERROR(INDEX(UtilityList!K$4:K$251,MATCH('Table 2.3c'!$A223&amp;'Table 2.3c'!$B223&amp;'Table 2.3c'!$C223,UtilityList!$A$4:$A$251&amp;UtilityList!$B$4:$B$251&amp;UtilityList!$C$4:$C$251,0)),INDEX(UtilityList!K$4:K$251,MATCH('Table 2.3c'!$A223&amp;'Table 2.3c'!$C223,UtilityList!$A$4:$A$251&amp;UtilityList!$C$5:$C$251,0)))</f>
        <v>Nome (CA)</v>
      </c>
      <c r="Q223" s="452" t="str">
        <f t="array" ref="Q223">IFERROR(INDEX(UtilityList!L$4:L$251,MATCH('Table 2.3c'!$A223&amp;'Table 2.3c'!$B223&amp;'Table 2.3c'!$C223,UtilityList!$A$4:$A$251&amp;UtilityList!$B$4:$B$251&amp;UtilityList!$C$4:$C$251,0)),INDEX(UtilityList!L$4:L$251,MATCH('Table 2.3c'!$A223&amp;'Table 2.3c'!$C223,UtilityList!$A$4:$A$251&amp;UtilityList!$C$5:$C$251,0)))</f>
        <v>Bering Straits</v>
      </c>
      <c r="R223" s="452" t="str">
        <f t="array" ref="R223">IFERROR(INDEX(UtilityList!M$4:M$251,MATCH('Table 2.3c'!$A223&amp;'Table 2.3c'!$B223&amp;'Table 2.3c'!$C223,UtilityList!$A$4:$A$251&amp;UtilityList!$B$4:$B$251&amp;UtilityList!$C$4:$C$251,0)),INDEX(UtilityList!M$4:M$251,MATCH('Table 2.3c'!$A223&amp;'Table 2.3c'!$C223,UtilityList!$A$4:$A$251&amp;UtilityList!$C$5:$C$251,0)))</f>
        <v>AN</v>
      </c>
    </row>
    <row r="224" spans="1:19" s="63" customFormat="1" ht="30" x14ac:dyDescent="0.25">
      <c r="A224" s="361" t="s">
        <v>352</v>
      </c>
      <c r="B224" s="361" t="s">
        <v>353</v>
      </c>
      <c r="C224" s="361" t="s">
        <v>353</v>
      </c>
      <c r="D224" s="622" t="s">
        <v>545</v>
      </c>
      <c r="E224" s="622" t="s">
        <v>546</v>
      </c>
      <c r="F224" s="642">
        <v>490</v>
      </c>
      <c r="G224" s="683">
        <v>39816</v>
      </c>
      <c r="H224" s="681">
        <f t="shared" si="13"/>
        <v>5574.2400000000007</v>
      </c>
      <c r="I224" s="683"/>
      <c r="J224" s="683">
        <f t="shared" si="12"/>
        <v>12.306610407876232</v>
      </c>
      <c r="K224" s="682" t="str">
        <f t="shared" si="14"/>
        <v xml:space="preserve"> </v>
      </c>
      <c r="L224" s="682">
        <v>0.14000000000000001</v>
      </c>
      <c r="M224" s="622" t="s">
        <v>558</v>
      </c>
      <c r="N224" s="627">
        <f t="array" ref="N224">INDEX(UtilityList!Q$4:Q$251,MATCH('Table 2.3c'!$A224&amp;'Table 2.3c'!$B224&amp;'Table 2.3c'!$C224,UtilityList!$A$4:$A$251&amp;UtilityList!$B$4:$B$251&amp;UtilityList!$C$4:$C$251,0))</f>
        <v>0</v>
      </c>
      <c r="O224" s="452" t="str">
        <f t="array" ref="O224">IFERROR(INDEX(UtilityList!J$4:J$251,MATCH('Table 2.3c'!$A224&amp;'Table 2.3c'!$B224&amp;'Table 2.3c'!$C224,UtilityList!$A$4:$A$251&amp;UtilityList!$B$4:$B$251&amp;UtilityList!$C$4:$C$251,0)),INDEX(UtilityList!J$4:J$251,MATCH('Table 2.3c'!$A224&amp;'Table 2.3c'!$C224,UtilityList!$A$4:$A$251&amp;UtilityList!$C$5:$C$251,0)))</f>
        <v>Southeast</v>
      </c>
      <c r="P224" s="452" t="str">
        <f t="array" ref="P224">IFERROR(INDEX(UtilityList!K$4:K$251,MATCH('Table 2.3c'!$A224&amp;'Table 2.3c'!$B224&amp;'Table 2.3c'!$C224,UtilityList!$A$4:$A$251&amp;UtilityList!$B$4:$B$251&amp;UtilityList!$C$4:$C$251,0)),INDEX(UtilityList!K$4:K$251,MATCH('Table 2.3c'!$A224&amp;'Table 2.3c'!$C224,UtilityList!$A$4:$A$251&amp;UtilityList!$C$5:$C$251,0)))</f>
        <v>Wrangell</v>
      </c>
      <c r="Q224" s="452" t="str">
        <f t="array" ref="Q224">IFERROR(INDEX(UtilityList!L$4:L$251,MATCH('Table 2.3c'!$A224&amp;'Table 2.3c'!$B224&amp;'Table 2.3c'!$C224,UtilityList!$A$4:$A$251&amp;UtilityList!$B$4:$B$251&amp;UtilityList!$C$4:$C$251,0)),INDEX(UtilityList!L$4:L$251,MATCH('Table 2.3c'!$A224&amp;'Table 2.3c'!$C224,UtilityList!$A$4:$A$251&amp;UtilityList!$C$5:$C$251,0)))</f>
        <v>Sealaska</v>
      </c>
      <c r="R224" s="452" t="str">
        <f t="array" ref="R224">IFERROR(INDEX(UtilityList!M$4:M$251,MATCH('Table 2.3c'!$A224&amp;'Table 2.3c'!$B224&amp;'Table 2.3c'!$C224,UtilityList!$A$4:$A$251&amp;UtilityList!$B$4:$B$251&amp;UtilityList!$C$4:$C$251,0)),INDEX(UtilityList!M$4:M$251,MATCH('Table 2.3c'!$A224&amp;'Table 2.3c'!$C224,UtilityList!$A$4:$A$251&amp;UtilityList!$C$5:$C$251,0)))</f>
        <v>SE</v>
      </c>
      <c r="S224" s="342"/>
    </row>
    <row r="225" spans="1:18" s="239" customFormat="1" ht="30" x14ac:dyDescent="0.25">
      <c r="A225" s="678" t="s">
        <v>354</v>
      </c>
      <c r="B225" s="361" t="s">
        <v>355</v>
      </c>
      <c r="C225" s="654" t="s">
        <v>355</v>
      </c>
      <c r="D225" s="680" t="s">
        <v>545</v>
      </c>
      <c r="E225" s="680" t="s">
        <v>546</v>
      </c>
      <c r="F225" s="681">
        <v>6511.7089999999998</v>
      </c>
      <c r="G225" s="682">
        <v>450578</v>
      </c>
      <c r="H225" s="681">
        <f t="shared" si="13"/>
        <v>63080.920000000006</v>
      </c>
      <c r="I225" s="682">
        <v>3.9975499999999999</v>
      </c>
      <c r="J225" s="682">
        <f t="shared" si="12"/>
        <v>14.451901779492118</v>
      </c>
      <c r="K225" s="682">
        <f t="shared" si="14"/>
        <v>0.27661065380839345</v>
      </c>
      <c r="L225" s="682">
        <v>0.14000000000000001</v>
      </c>
      <c r="M225" s="658" t="s">
        <v>356</v>
      </c>
      <c r="N225" s="627">
        <f t="array" ref="N225">INDEX(UtilityList!Q$4:Q$251,MATCH('Table 2.3c'!$A225&amp;'Table 2.3c'!$B225&amp;'Table 2.3c'!$C225,UtilityList!$A$4:$A$251&amp;UtilityList!$B$4:$B$251&amp;UtilityList!$C$4:$C$251,0))</f>
        <v>0</v>
      </c>
      <c r="O225" s="452" t="str">
        <f t="array" ref="O225">IFERROR(INDEX(UtilityList!J$4:J$251,MATCH('Table 2.3c'!$A225&amp;'Table 2.3c'!$B225&amp;'Table 2.3c'!$C225,UtilityList!$A$4:$A$251&amp;UtilityList!$B$4:$B$251&amp;UtilityList!$C$4:$C$251,0)),INDEX(UtilityList!J$4:J$251,MATCH('Table 2.3c'!$A225&amp;'Table 2.3c'!$C225,UtilityList!$A$4:$A$251&amp;UtilityList!$C$5:$C$251,0)))</f>
        <v>Southeast</v>
      </c>
      <c r="P225" s="452" t="str">
        <f t="array" ref="P225">IFERROR(INDEX(UtilityList!K$4:K$251,MATCH('Table 2.3c'!$A225&amp;'Table 2.3c'!$B225&amp;'Table 2.3c'!$C225,UtilityList!$A$4:$A$251&amp;UtilityList!$B$4:$B$251&amp;UtilityList!$C$4:$C$251,0)),INDEX(UtilityList!K$4:K$251,MATCH('Table 2.3c'!$A225&amp;'Table 2.3c'!$C225,UtilityList!$A$4:$A$251&amp;UtilityList!$C$5:$C$251,0)))</f>
        <v>Yakutat</v>
      </c>
      <c r="Q225" s="452" t="str">
        <f t="array" ref="Q225">IFERROR(INDEX(UtilityList!L$4:L$251,MATCH('Table 2.3c'!$A225&amp;'Table 2.3c'!$B225&amp;'Table 2.3c'!$C225,UtilityList!$A$4:$A$251&amp;UtilityList!$B$4:$B$251&amp;UtilityList!$C$4:$C$251,0)),INDEX(UtilityList!L$4:L$251,MATCH('Table 2.3c'!$A225&amp;'Table 2.3c'!$C225,UtilityList!$A$4:$A$251&amp;UtilityList!$C$5:$C$251,0)))</f>
        <v>Sealaska</v>
      </c>
      <c r="R225" s="452" t="str">
        <f t="array" ref="R225">IFERROR(INDEX(UtilityList!M$4:M$251,MATCH('Table 2.3c'!$A225&amp;'Table 2.3c'!$B225&amp;'Table 2.3c'!$C225,UtilityList!$A$4:$A$251&amp;UtilityList!$B$4:$B$251&amp;UtilityList!$C$4:$C$251,0)),INDEX(UtilityList!M$4:M$251,MATCH('Table 2.3c'!$A225&amp;'Table 2.3c'!$C225,UtilityList!$A$4:$A$251&amp;UtilityList!$C$5:$C$251,0)))</f>
        <v>SE</v>
      </c>
    </row>
    <row r="226" spans="1:18" customFormat="1" x14ac:dyDescent="0.25">
      <c r="A226" s="164"/>
      <c r="B226" s="111"/>
      <c r="C226" s="111"/>
      <c r="D226" s="11"/>
      <c r="E226" s="11"/>
      <c r="F226" s="11"/>
      <c r="G226" s="11"/>
      <c r="H226" s="11"/>
      <c r="I226" s="11"/>
      <c r="J226" s="11"/>
      <c r="K226" s="26"/>
      <c r="L226" s="11"/>
      <c r="M226" s="112"/>
      <c r="N226" s="11"/>
      <c r="O226" s="281"/>
    </row>
    <row r="227" spans="1:18" customFormat="1" x14ac:dyDescent="0.25">
      <c r="A227" s="164"/>
      <c r="B227" s="111"/>
      <c r="C227" s="111"/>
      <c r="D227" s="11"/>
      <c r="E227" s="11"/>
      <c r="F227" s="11"/>
      <c r="G227" s="11"/>
      <c r="H227" s="11"/>
      <c r="I227" s="11"/>
      <c r="J227" s="11"/>
      <c r="K227" s="26"/>
      <c r="L227" s="11"/>
      <c r="M227" s="112"/>
      <c r="N227" s="11"/>
      <c r="O227" s="281"/>
    </row>
    <row r="228" spans="1:18" customFormat="1" x14ac:dyDescent="0.25">
      <c r="A228" s="164"/>
      <c r="B228" s="111"/>
      <c r="C228" s="111"/>
      <c r="D228" s="11"/>
      <c r="E228" s="11"/>
      <c r="F228" s="11"/>
      <c r="G228" s="11"/>
      <c r="H228" s="11"/>
      <c r="I228" s="11"/>
      <c r="J228" s="11"/>
      <c r="K228" s="26"/>
      <c r="L228" s="11"/>
      <c r="M228" s="112"/>
      <c r="N228" s="11"/>
      <c r="O228" s="281"/>
    </row>
    <row r="229" spans="1:18" customFormat="1" x14ac:dyDescent="0.25">
      <c r="A229" s="164"/>
      <c r="B229" s="111"/>
      <c r="C229" s="111"/>
      <c r="D229" s="11"/>
      <c r="E229" s="11"/>
      <c r="F229" s="11"/>
      <c r="G229" s="11"/>
      <c r="H229" s="11"/>
      <c r="I229" s="11"/>
      <c r="J229" s="11"/>
      <c r="K229" s="26"/>
      <c r="L229" s="11"/>
      <c r="M229" s="112"/>
      <c r="N229" s="191"/>
      <c r="O229" s="281"/>
    </row>
    <row r="230" spans="1:18" customFormat="1" x14ac:dyDescent="0.25">
      <c r="A230" s="164"/>
      <c r="B230" s="111"/>
      <c r="C230" s="111"/>
      <c r="D230" s="11"/>
      <c r="E230" s="11"/>
      <c r="F230" s="11"/>
      <c r="G230" s="11"/>
      <c r="H230" s="11"/>
      <c r="I230" s="11"/>
      <c r="J230" s="11"/>
      <c r="K230" s="26"/>
      <c r="L230" s="11"/>
      <c r="M230" s="112"/>
      <c r="N230" s="11"/>
      <c r="O230" s="281"/>
    </row>
    <row r="231" spans="1:18" customFormat="1" ht="30" customHeight="1" x14ac:dyDescent="0.25">
      <c r="A231" s="164"/>
      <c r="B231" s="111"/>
      <c r="C231" s="111"/>
      <c r="D231" s="11"/>
      <c r="E231" s="11"/>
      <c r="F231" s="11"/>
      <c r="G231" s="11"/>
      <c r="H231" s="11"/>
      <c r="I231" s="11"/>
      <c r="J231" s="11"/>
      <c r="K231" s="26"/>
      <c r="L231" s="11"/>
      <c r="M231" s="112"/>
      <c r="N231" s="11"/>
      <c r="O231" s="281"/>
    </row>
    <row r="232" spans="1:18" customFormat="1" ht="30" customHeight="1" x14ac:dyDescent="0.25">
      <c r="A232" s="164"/>
      <c r="B232" s="111"/>
      <c r="C232" s="111"/>
      <c r="D232" s="11"/>
      <c r="E232" s="11"/>
      <c r="F232" s="11"/>
      <c r="G232" s="11"/>
      <c r="H232" s="11"/>
      <c r="I232" s="11"/>
      <c r="J232" s="11"/>
      <c r="K232" s="26"/>
      <c r="L232" s="11"/>
      <c r="M232" s="112"/>
      <c r="N232" s="11"/>
      <c r="O232" s="281"/>
    </row>
    <row r="233" spans="1:18" customFormat="1" ht="30" customHeight="1" x14ac:dyDescent="0.25">
      <c r="A233" s="164"/>
      <c r="B233" s="111"/>
      <c r="C233" s="111"/>
      <c r="D233" s="11"/>
      <c r="E233" s="11"/>
      <c r="F233" s="11"/>
      <c r="G233" s="11"/>
      <c r="H233" s="11"/>
      <c r="I233" s="11"/>
      <c r="J233" s="11"/>
      <c r="K233" s="26"/>
      <c r="L233" s="11"/>
      <c r="M233" s="112"/>
      <c r="N233" s="11"/>
      <c r="O233" s="281"/>
    </row>
    <row r="234" spans="1:18" customFormat="1" ht="30" customHeight="1" x14ac:dyDescent="0.25">
      <c r="A234" s="164"/>
      <c r="B234" s="111"/>
      <c r="C234" s="111"/>
      <c r="D234" s="11"/>
      <c r="E234" s="11"/>
      <c r="F234" s="11"/>
      <c r="G234" s="11"/>
      <c r="H234" s="11"/>
      <c r="I234" s="11"/>
      <c r="J234" s="11"/>
      <c r="K234" s="26"/>
      <c r="L234" s="11"/>
      <c r="M234" s="112"/>
      <c r="N234" s="11"/>
      <c r="O234" s="281"/>
    </row>
    <row r="235" spans="1:18" customFormat="1" ht="30" customHeight="1" x14ac:dyDescent="0.25">
      <c r="A235" s="164"/>
      <c r="B235" s="111"/>
      <c r="C235" s="111"/>
      <c r="D235" s="11"/>
      <c r="E235" s="11"/>
      <c r="F235" s="11"/>
      <c r="G235" s="11"/>
      <c r="H235" s="11"/>
      <c r="I235" s="11"/>
      <c r="J235" s="11"/>
      <c r="K235" s="26"/>
      <c r="L235" s="11"/>
      <c r="M235" s="112"/>
      <c r="N235" s="11"/>
      <c r="O235" s="281"/>
    </row>
    <row r="236" spans="1:18" customFormat="1" ht="30" customHeight="1" x14ac:dyDescent="0.25">
      <c r="A236" s="164"/>
      <c r="B236" s="111"/>
      <c r="C236" s="111"/>
      <c r="D236" s="11"/>
      <c r="E236" s="11"/>
      <c r="F236" s="11"/>
      <c r="G236" s="11"/>
      <c r="H236" s="11"/>
      <c r="I236" s="11"/>
      <c r="J236" s="11"/>
      <c r="K236" s="26"/>
      <c r="L236" s="11"/>
      <c r="M236" s="112"/>
      <c r="N236" s="11"/>
      <c r="O236" s="281"/>
    </row>
    <row r="237" spans="1:18" customFormat="1" ht="30" customHeight="1" x14ac:dyDescent="0.25">
      <c r="A237" s="164"/>
      <c r="B237" s="111"/>
      <c r="C237" s="111"/>
      <c r="D237" s="11"/>
      <c r="E237" s="11"/>
      <c r="F237" s="11"/>
      <c r="G237" s="11"/>
      <c r="H237" s="11"/>
      <c r="I237" s="11"/>
      <c r="J237" s="11"/>
      <c r="K237" s="26"/>
      <c r="L237" s="11"/>
      <c r="M237" s="112"/>
      <c r="N237" s="11"/>
      <c r="O237" s="281"/>
    </row>
    <row r="238" spans="1:18" customFormat="1" ht="30" customHeight="1" x14ac:dyDescent="0.25">
      <c r="A238" s="164"/>
      <c r="B238" s="111"/>
      <c r="C238" s="111"/>
      <c r="D238" s="11"/>
      <c r="E238" s="11"/>
      <c r="F238" s="11"/>
      <c r="G238" s="11"/>
      <c r="H238" s="11"/>
      <c r="I238" s="11"/>
      <c r="J238" s="11"/>
      <c r="K238" s="26"/>
      <c r="L238" s="11"/>
      <c r="M238" s="112"/>
      <c r="N238" s="11"/>
      <c r="O238" s="281"/>
    </row>
    <row r="239" spans="1:18" customFormat="1" ht="30" customHeight="1" x14ac:dyDescent="0.25">
      <c r="A239" s="164"/>
      <c r="B239" s="111"/>
      <c r="C239" s="111"/>
      <c r="D239" s="11"/>
      <c r="E239" s="11"/>
      <c r="F239" s="11"/>
      <c r="G239" s="11"/>
      <c r="H239" s="11"/>
      <c r="I239" s="11"/>
      <c r="J239" s="11"/>
      <c r="K239" s="26"/>
      <c r="L239" s="11"/>
      <c r="M239" s="112"/>
      <c r="N239" s="11"/>
      <c r="O239" s="281"/>
    </row>
    <row r="240" spans="1:18" customFormat="1" ht="30" customHeight="1" x14ac:dyDescent="0.25">
      <c r="A240" s="164"/>
      <c r="B240" s="111"/>
      <c r="C240" s="111"/>
      <c r="D240" s="11"/>
      <c r="E240" s="11"/>
      <c r="F240" s="11"/>
      <c r="G240" s="11"/>
      <c r="H240" s="11"/>
      <c r="I240" s="11"/>
      <c r="J240" s="11"/>
      <c r="K240" s="26"/>
      <c r="L240" s="11"/>
      <c r="M240" s="112"/>
      <c r="N240" s="11"/>
      <c r="O240" s="281"/>
    </row>
    <row r="241" spans="1:15" customFormat="1" ht="30" customHeight="1" x14ac:dyDescent="0.25">
      <c r="A241" s="164"/>
      <c r="B241" s="111"/>
      <c r="C241" s="111"/>
      <c r="D241" s="11"/>
      <c r="E241" s="11"/>
      <c r="F241" s="11"/>
      <c r="G241" s="11"/>
      <c r="H241" s="11"/>
      <c r="I241" s="11"/>
      <c r="J241" s="11"/>
      <c r="K241" s="26"/>
      <c r="L241" s="11"/>
      <c r="M241" s="112"/>
      <c r="N241" s="11"/>
      <c r="O241" s="281"/>
    </row>
    <row r="242" spans="1:15" customFormat="1" ht="30" customHeight="1" x14ac:dyDescent="0.25">
      <c r="A242" s="164"/>
      <c r="B242" s="111"/>
      <c r="C242" s="111"/>
      <c r="D242" s="11"/>
      <c r="E242" s="11"/>
      <c r="F242" s="11"/>
      <c r="G242" s="11"/>
      <c r="H242" s="11"/>
      <c r="I242" s="11"/>
      <c r="J242" s="11"/>
      <c r="K242" s="26"/>
      <c r="L242" s="11"/>
      <c r="M242" s="112"/>
      <c r="N242" s="11"/>
      <c r="O242" s="281"/>
    </row>
    <row r="243" spans="1:15" customFormat="1" ht="30" customHeight="1" x14ac:dyDescent="0.25">
      <c r="A243" s="164"/>
      <c r="B243" s="111"/>
      <c r="C243" s="111"/>
      <c r="D243" s="11"/>
      <c r="E243" s="11"/>
      <c r="F243" s="11"/>
      <c r="G243" s="11"/>
      <c r="H243" s="11"/>
      <c r="I243" s="11"/>
      <c r="J243" s="11"/>
      <c r="K243" s="26"/>
      <c r="L243" s="11"/>
      <c r="M243" s="112"/>
      <c r="N243" s="11"/>
      <c r="O243" s="281"/>
    </row>
    <row r="244" spans="1:15" customFormat="1" ht="30" customHeight="1" x14ac:dyDescent="0.25">
      <c r="A244" s="164"/>
      <c r="B244" s="111"/>
      <c r="C244" s="111"/>
      <c r="D244" s="11"/>
      <c r="E244" s="11"/>
      <c r="F244" s="11"/>
      <c r="G244" s="11"/>
      <c r="H244" s="11"/>
      <c r="I244" s="11"/>
      <c r="J244" s="11"/>
      <c r="K244" s="26"/>
      <c r="L244" s="11"/>
      <c r="M244" s="112"/>
      <c r="N244" s="11"/>
      <c r="O244" s="281"/>
    </row>
    <row r="245" spans="1:15" customFormat="1" ht="30" customHeight="1" x14ac:dyDescent="0.25">
      <c r="A245" s="164"/>
      <c r="B245" s="111"/>
      <c r="C245" s="111"/>
      <c r="D245" s="11"/>
      <c r="E245" s="11"/>
      <c r="F245" s="11"/>
      <c r="G245" s="11"/>
      <c r="H245" s="11"/>
      <c r="I245" s="11"/>
      <c r="J245" s="11"/>
      <c r="K245" s="26"/>
      <c r="L245" s="11"/>
      <c r="M245" s="112"/>
      <c r="N245" s="11"/>
      <c r="O245" s="281"/>
    </row>
    <row r="246" spans="1:15" customFormat="1" ht="30" customHeight="1" x14ac:dyDescent="0.25">
      <c r="A246" s="164"/>
      <c r="B246" s="111"/>
      <c r="C246" s="111"/>
      <c r="D246" s="11"/>
      <c r="E246" s="11"/>
      <c r="F246" s="11"/>
      <c r="G246" s="11"/>
      <c r="H246" s="11"/>
      <c r="I246" s="11"/>
      <c r="J246" s="11"/>
      <c r="K246" s="26"/>
      <c r="L246" s="11"/>
      <c r="M246" s="112"/>
      <c r="N246" s="11"/>
      <c r="O246" s="281"/>
    </row>
    <row r="247" spans="1:15" customFormat="1" ht="30" customHeight="1" x14ac:dyDescent="0.25">
      <c r="A247" s="164"/>
      <c r="B247" s="111"/>
      <c r="C247" s="111"/>
      <c r="D247" s="11"/>
      <c r="E247" s="11"/>
      <c r="F247" s="11"/>
      <c r="G247" s="11"/>
      <c r="H247" s="11"/>
      <c r="I247" s="11"/>
      <c r="J247" s="11"/>
      <c r="K247" s="26"/>
      <c r="L247" s="11"/>
      <c r="M247" s="112"/>
      <c r="N247" s="11"/>
      <c r="O247" s="281"/>
    </row>
    <row r="248" spans="1:15" customFormat="1" ht="30" customHeight="1" x14ac:dyDescent="0.25">
      <c r="A248" s="164"/>
      <c r="B248" s="111"/>
      <c r="C248" s="111"/>
      <c r="D248" s="11"/>
      <c r="E248" s="11"/>
      <c r="F248" s="11"/>
      <c r="G248" s="11"/>
      <c r="H248" s="11"/>
      <c r="I248" s="11"/>
      <c r="J248" s="11"/>
      <c r="K248" s="26"/>
      <c r="L248" s="11"/>
      <c r="M248" s="112"/>
      <c r="N248" s="11"/>
      <c r="O248" s="281"/>
    </row>
    <row r="249" spans="1:15" customFormat="1" ht="30" customHeight="1" x14ac:dyDescent="0.25">
      <c r="A249" s="164"/>
      <c r="B249" s="111"/>
      <c r="C249" s="111"/>
      <c r="D249" s="11"/>
      <c r="E249" s="11"/>
      <c r="F249" s="11"/>
      <c r="G249" s="11"/>
      <c r="H249" s="11"/>
      <c r="I249" s="11"/>
      <c r="J249" s="11"/>
      <c r="K249" s="26"/>
      <c r="L249" s="11"/>
      <c r="M249" s="112"/>
      <c r="N249" s="11"/>
      <c r="O249" s="281"/>
    </row>
    <row r="250" spans="1:15" customFormat="1" ht="30" customHeight="1" x14ac:dyDescent="0.25">
      <c r="A250" s="164"/>
      <c r="B250" s="111"/>
      <c r="C250" s="111"/>
      <c r="D250" s="11"/>
      <c r="E250" s="11"/>
      <c r="F250" s="11"/>
      <c r="G250" s="11"/>
      <c r="H250" s="11"/>
      <c r="I250" s="11"/>
      <c r="J250" s="11"/>
      <c r="K250" s="26"/>
      <c r="L250" s="11"/>
      <c r="M250" s="112"/>
      <c r="N250" s="11"/>
      <c r="O250" s="281"/>
    </row>
    <row r="251" spans="1:15" customFormat="1" ht="30" customHeight="1" x14ac:dyDescent="0.25">
      <c r="A251" s="164"/>
      <c r="B251" s="111"/>
      <c r="C251" s="111"/>
      <c r="D251" s="11"/>
      <c r="E251" s="11"/>
      <c r="F251" s="11"/>
      <c r="G251" s="11"/>
      <c r="H251" s="11"/>
      <c r="I251" s="11"/>
      <c r="J251" s="11"/>
      <c r="K251" s="26"/>
      <c r="L251" s="11"/>
      <c r="M251" s="112"/>
      <c r="N251" s="11"/>
      <c r="O251" s="281"/>
    </row>
    <row r="252" spans="1:15" customFormat="1" ht="30" customHeight="1" x14ac:dyDescent="0.25">
      <c r="A252" s="164"/>
      <c r="B252" s="111"/>
      <c r="C252" s="111"/>
      <c r="D252" s="11"/>
      <c r="E252" s="11"/>
      <c r="F252" s="11"/>
      <c r="G252" s="11"/>
      <c r="H252" s="11"/>
      <c r="I252" s="11"/>
      <c r="J252" s="11"/>
      <c r="K252" s="26"/>
      <c r="L252" s="11"/>
      <c r="M252" s="112"/>
      <c r="N252" s="11"/>
      <c r="O252" s="281"/>
    </row>
    <row r="253" spans="1:15" customFormat="1" ht="30" customHeight="1" x14ac:dyDescent="0.25">
      <c r="A253" s="164"/>
      <c r="B253" s="111"/>
      <c r="C253" s="111"/>
      <c r="D253" s="11"/>
      <c r="E253" s="11"/>
      <c r="F253" s="11"/>
      <c r="G253" s="11"/>
      <c r="H253" s="11"/>
      <c r="I253" s="11"/>
      <c r="J253" s="11"/>
      <c r="K253" s="26"/>
      <c r="L253" s="11"/>
      <c r="M253" s="112"/>
      <c r="N253" s="11"/>
      <c r="O253" s="281"/>
    </row>
    <row r="254" spans="1:15" customFormat="1" ht="30" customHeight="1" x14ac:dyDescent="0.25">
      <c r="A254" s="164"/>
      <c r="B254" s="111"/>
      <c r="C254" s="111"/>
      <c r="D254" s="11"/>
      <c r="E254" s="11"/>
      <c r="F254" s="11"/>
      <c r="G254" s="11"/>
      <c r="H254" s="11"/>
      <c r="I254" s="11"/>
      <c r="J254" s="11"/>
      <c r="K254" s="26"/>
      <c r="L254" s="11"/>
      <c r="M254" s="112"/>
      <c r="N254" s="11"/>
      <c r="O254" s="281"/>
    </row>
    <row r="255" spans="1:15" customFormat="1" ht="30" customHeight="1" x14ac:dyDescent="0.25">
      <c r="A255" s="164"/>
      <c r="B255" s="111"/>
      <c r="C255" s="111"/>
      <c r="D255" s="11"/>
      <c r="E255" s="11"/>
      <c r="F255" s="11"/>
      <c r="G255" s="11"/>
      <c r="H255" s="11"/>
      <c r="I255" s="11"/>
      <c r="J255" s="11"/>
      <c r="K255" s="26"/>
      <c r="L255" s="11"/>
      <c r="M255" s="112"/>
      <c r="N255" s="11"/>
      <c r="O255" s="281"/>
    </row>
    <row r="256" spans="1:15" customFormat="1" ht="30" customHeight="1" x14ac:dyDescent="0.25">
      <c r="A256" s="164"/>
      <c r="B256" s="111"/>
      <c r="C256" s="111"/>
      <c r="D256" s="11"/>
      <c r="E256" s="11"/>
      <c r="F256" s="11"/>
      <c r="G256" s="11"/>
      <c r="H256" s="11"/>
      <c r="I256" s="11"/>
      <c r="J256" s="11"/>
      <c r="K256" s="26"/>
      <c r="L256" s="11"/>
      <c r="M256" s="112"/>
      <c r="N256" s="11"/>
      <c r="O256" s="281"/>
    </row>
    <row r="257" spans="1:16" customFormat="1" ht="30" customHeight="1" x14ac:dyDescent="0.25">
      <c r="A257" s="164"/>
      <c r="B257" s="111"/>
      <c r="C257" s="111"/>
      <c r="D257" s="11"/>
      <c r="E257" s="11"/>
      <c r="F257" s="11"/>
      <c r="G257" s="11"/>
      <c r="H257" s="11"/>
      <c r="I257" s="11"/>
      <c r="J257" s="11"/>
      <c r="K257" s="26"/>
      <c r="L257" s="11"/>
      <c r="M257" s="112"/>
      <c r="N257" s="11"/>
      <c r="O257" s="281"/>
    </row>
    <row r="258" spans="1:16" customFormat="1" ht="30" customHeight="1" x14ac:dyDescent="0.25">
      <c r="A258" s="164"/>
      <c r="B258" s="111"/>
      <c r="C258" s="111"/>
      <c r="D258" s="11"/>
      <c r="E258" s="11"/>
      <c r="F258" s="11"/>
      <c r="G258" s="11"/>
      <c r="H258" s="11"/>
      <c r="I258" s="11"/>
      <c r="J258" s="11"/>
      <c r="K258" s="26"/>
      <c r="L258" s="11"/>
      <c r="M258" s="112"/>
      <c r="N258" s="11"/>
      <c r="O258" s="281"/>
    </row>
    <row r="259" spans="1:16" s="86" customFormat="1" ht="30" customHeight="1" x14ac:dyDescent="0.25">
      <c r="A259" s="164"/>
      <c r="B259" s="111"/>
      <c r="C259" s="111"/>
      <c r="D259" s="11"/>
      <c r="E259" s="11"/>
      <c r="F259" s="11"/>
      <c r="G259" s="11"/>
      <c r="H259" s="11"/>
      <c r="I259" s="11"/>
      <c r="J259" s="11"/>
      <c r="K259" s="26"/>
      <c r="L259" s="11"/>
      <c r="M259" s="112"/>
      <c r="N259" s="11"/>
      <c r="O259" s="281"/>
      <c r="P259"/>
    </row>
    <row r="260" spans="1:16" s="86" customFormat="1" ht="30" customHeight="1" x14ac:dyDescent="0.25">
      <c r="A260" s="164"/>
      <c r="B260" s="111"/>
      <c r="C260" s="111"/>
      <c r="D260" s="11"/>
      <c r="E260" s="11"/>
      <c r="F260" s="11"/>
      <c r="G260" s="11"/>
      <c r="H260" s="11"/>
      <c r="I260" s="11"/>
      <c r="J260" s="11"/>
      <c r="K260" s="26"/>
      <c r="L260" s="11"/>
      <c r="M260" s="112"/>
      <c r="N260" s="11"/>
      <c r="O260" s="281"/>
      <c r="P260"/>
    </row>
    <row r="261" spans="1:16" s="86" customFormat="1" ht="30" customHeight="1" x14ac:dyDescent="0.25">
      <c r="A261" s="164"/>
      <c r="B261" s="111"/>
      <c r="C261" s="111"/>
      <c r="D261" s="11"/>
      <c r="E261" s="11"/>
      <c r="F261" s="11"/>
      <c r="G261" s="11"/>
      <c r="H261" s="11"/>
      <c r="I261" s="11"/>
      <c r="J261" s="11"/>
      <c r="K261" s="26"/>
      <c r="L261" s="11"/>
      <c r="M261" s="112"/>
      <c r="N261" s="11"/>
      <c r="O261" s="281"/>
      <c r="P261"/>
    </row>
    <row r="262" spans="1:16" s="86" customFormat="1" ht="30" customHeight="1" x14ac:dyDescent="0.25">
      <c r="A262" s="164"/>
      <c r="B262" s="111"/>
      <c r="C262" s="111"/>
      <c r="D262" s="11"/>
      <c r="E262" s="11"/>
      <c r="F262" s="11"/>
      <c r="G262" s="11"/>
      <c r="H262" s="11"/>
      <c r="I262" s="11"/>
      <c r="J262" s="11"/>
      <c r="K262" s="26"/>
      <c r="L262" s="11"/>
      <c r="M262" s="112"/>
      <c r="N262" s="11"/>
      <c r="O262" s="281"/>
      <c r="P262"/>
    </row>
    <row r="263" spans="1:16" s="86" customFormat="1" ht="30" customHeight="1" x14ac:dyDescent="0.25">
      <c r="A263" s="164"/>
      <c r="B263" s="111"/>
      <c r="C263" s="111"/>
      <c r="D263" s="11"/>
      <c r="E263" s="11"/>
      <c r="F263" s="11"/>
      <c r="G263" s="11"/>
      <c r="H263" s="11"/>
      <c r="I263" s="11"/>
      <c r="J263" s="11"/>
      <c r="K263" s="26"/>
      <c r="L263" s="11"/>
      <c r="M263" s="112"/>
      <c r="N263" s="11"/>
      <c r="O263" s="281"/>
      <c r="P263"/>
    </row>
    <row r="264" spans="1:16" customFormat="1" ht="30" customHeight="1" x14ac:dyDescent="0.25">
      <c r="A264" s="164"/>
      <c r="B264" s="111"/>
      <c r="C264" s="111"/>
      <c r="D264" s="11"/>
      <c r="E264" s="11"/>
      <c r="F264" s="11"/>
      <c r="G264" s="11"/>
      <c r="H264" s="11"/>
      <c r="I264" s="11"/>
      <c r="J264" s="11"/>
      <c r="K264" s="26"/>
      <c r="L264" s="11"/>
      <c r="M264" s="112"/>
      <c r="N264" s="11"/>
      <c r="O264" s="281"/>
    </row>
    <row r="265" spans="1:16" s="86" customFormat="1" ht="30" customHeight="1" x14ac:dyDescent="0.25">
      <c r="A265" s="164"/>
      <c r="B265" s="111"/>
      <c r="C265" s="111"/>
      <c r="D265" s="11"/>
      <c r="E265" s="11"/>
      <c r="F265" s="11"/>
      <c r="G265" s="11"/>
      <c r="H265" s="11"/>
      <c r="I265" s="11"/>
      <c r="J265" s="11"/>
      <c r="K265" s="26"/>
      <c r="L265" s="11"/>
      <c r="M265" s="112"/>
      <c r="N265" s="11"/>
      <c r="O265" s="281"/>
      <c r="P265"/>
    </row>
    <row r="266" spans="1:16" s="86" customFormat="1" ht="30" customHeight="1" x14ac:dyDescent="0.25">
      <c r="A266" s="164"/>
      <c r="B266" s="111"/>
      <c r="C266" s="111"/>
      <c r="D266" s="11"/>
      <c r="E266" s="11"/>
      <c r="F266" s="11"/>
      <c r="G266" s="11"/>
      <c r="H266" s="11"/>
      <c r="I266" s="11"/>
      <c r="J266" s="11"/>
      <c r="K266" s="26"/>
      <c r="L266" s="11"/>
      <c r="M266" s="112"/>
      <c r="N266" s="11"/>
      <c r="O266" s="281"/>
      <c r="P266"/>
    </row>
    <row r="267" spans="1:16" customFormat="1" ht="30" customHeight="1" x14ac:dyDescent="0.25">
      <c r="A267" s="164"/>
      <c r="B267" s="111"/>
      <c r="C267" s="111"/>
      <c r="D267" s="11"/>
      <c r="E267" s="11"/>
      <c r="F267" s="11"/>
      <c r="G267" s="11"/>
      <c r="H267" s="11"/>
      <c r="I267" s="11"/>
      <c r="J267" s="11"/>
      <c r="K267" s="26"/>
      <c r="L267" s="11"/>
      <c r="M267" s="112"/>
      <c r="N267" s="11"/>
      <c r="O267" s="281"/>
    </row>
    <row r="268" spans="1:16" customFormat="1" ht="30" customHeight="1" x14ac:dyDescent="0.25">
      <c r="A268" s="164"/>
      <c r="B268" s="111"/>
      <c r="C268" s="111"/>
      <c r="D268" s="11"/>
      <c r="E268" s="11"/>
      <c r="F268" s="11"/>
      <c r="G268" s="11"/>
      <c r="H268" s="11"/>
      <c r="I268" s="11"/>
      <c r="J268" s="11"/>
      <c r="K268" s="26"/>
      <c r="L268" s="11"/>
      <c r="M268" s="112"/>
      <c r="N268" s="11"/>
      <c r="O268" s="281"/>
    </row>
    <row r="269" spans="1:16" customFormat="1" ht="30" customHeight="1" x14ac:dyDescent="0.25">
      <c r="A269" s="164"/>
      <c r="B269" s="111"/>
      <c r="C269" s="111"/>
      <c r="D269" s="11"/>
      <c r="E269" s="11"/>
      <c r="F269" s="11"/>
      <c r="G269" s="11"/>
      <c r="H269" s="11"/>
      <c r="I269" s="11"/>
      <c r="J269" s="11"/>
      <c r="K269" s="26"/>
      <c r="L269" s="11"/>
      <c r="M269" s="112"/>
      <c r="N269" s="11"/>
      <c r="O269" s="281"/>
    </row>
    <row r="270" spans="1:16" customFormat="1" ht="30" customHeight="1" x14ac:dyDescent="0.25">
      <c r="A270" s="164"/>
      <c r="B270" s="111"/>
      <c r="C270" s="111"/>
      <c r="D270" s="11"/>
      <c r="E270" s="11"/>
      <c r="F270" s="11"/>
      <c r="G270" s="11"/>
      <c r="H270" s="11"/>
      <c r="I270" s="11"/>
      <c r="J270" s="11"/>
      <c r="K270" s="26"/>
      <c r="L270" s="11"/>
      <c r="M270" s="112"/>
      <c r="N270" s="11"/>
      <c r="O270" s="281"/>
    </row>
    <row r="271" spans="1:16" s="86" customFormat="1" ht="30" customHeight="1" x14ac:dyDescent="0.25">
      <c r="A271" s="164"/>
      <c r="B271" s="111"/>
      <c r="C271" s="111"/>
      <c r="D271" s="11"/>
      <c r="E271" s="11"/>
      <c r="F271" s="11"/>
      <c r="G271" s="11"/>
      <c r="H271" s="11"/>
      <c r="I271" s="11"/>
      <c r="J271" s="11"/>
      <c r="K271" s="26"/>
      <c r="L271" s="11"/>
      <c r="M271" s="112"/>
      <c r="N271" s="11"/>
      <c r="O271" s="281"/>
      <c r="P271"/>
    </row>
    <row r="272" spans="1:16" s="86" customFormat="1" ht="30" customHeight="1" x14ac:dyDescent="0.25">
      <c r="A272" s="164"/>
      <c r="B272" s="111"/>
      <c r="C272" s="111"/>
      <c r="D272" s="11"/>
      <c r="E272" s="11"/>
      <c r="F272" s="11"/>
      <c r="G272" s="11"/>
      <c r="H272" s="11"/>
      <c r="I272" s="11"/>
      <c r="J272" s="11"/>
      <c r="K272" s="26"/>
      <c r="L272" s="11"/>
      <c r="M272" s="112"/>
      <c r="N272" s="11"/>
      <c r="O272" s="281"/>
      <c r="P272"/>
    </row>
    <row r="273" spans="1:16" customFormat="1" ht="30" customHeight="1" x14ac:dyDescent="0.25">
      <c r="A273" s="164"/>
      <c r="B273" s="111"/>
      <c r="C273" s="111"/>
      <c r="D273" s="11"/>
      <c r="E273" s="11"/>
      <c r="F273" s="11"/>
      <c r="G273" s="11"/>
      <c r="H273" s="11"/>
      <c r="I273" s="11"/>
      <c r="J273" s="11"/>
      <c r="K273" s="26"/>
      <c r="L273" s="11"/>
      <c r="M273" s="112"/>
      <c r="N273" s="11"/>
      <c r="O273" s="281"/>
    </row>
    <row r="274" spans="1:16" s="86" customFormat="1" ht="30" customHeight="1" x14ac:dyDescent="0.25">
      <c r="A274" s="164"/>
      <c r="B274" s="111"/>
      <c r="C274" s="111"/>
      <c r="D274" s="11"/>
      <c r="E274" s="11"/>
      <c r="F274" s="11"/>
      <c r="G274" s="11"/>
      <c r="H274" s="11"/>
      <c r="I274" s="11"/>
      <c r="J274" s="11"/>
      <c r="K274" s="26"/>
      <c r="L274" s="11"/>
      <c r="M274" s="112"/>
      <c r="N274" s="11"/>
      <c r="O274" s="281"/>
      <c r="P274"/>
    </row>
    <row r="275" spans="1:16" s="86" customFormat="1" ht="30" customHeight="1" x14ac:dyDescent="0.25">
      <c r="A275" s="164"/>
      <c r="B275" s="111"/>
      <c r="C275" s="111"/>
      <c r="D275" s="11"/>
      <c r="E275" s="11"/>
      <c r="F275" s="11"/>
      <c r="G275" s="11"/>
      <c r="H275" s="11"/>
      <c r="I275" s="11"/>
      <c r="J275" s="11"/>
      <c r="K275" s="26"/>
      <c r="L275" s="11"/>
      <c r="M275" s="112"/>
      <c r="N275" s="11"/>
      <c r="O275" s="281"/>
      <c r="P275"/>
    </row>
    <row r="276" spans="1:16" s="86" customFormat="1" ht="30" customHeight="1" x14ac:dyDescent="0.25">
      <c r="A276" s="164"/>
      <c r="B276" s="111"/>
      <c r="C276" s="111"/>
      <c r="D276" s="11"/>
      <c r="E276" s="11"/>
      <c r="F276" s="11"/>
      <c r="G276" s="11"/>
      <c r="H276" s="11"/>
      <c r="I276" s="11"/>
      <c r="J276" s="11"/>
      <c r="K276" s="26"/>
      <c r="L276" s="11"/>
      <c r="M276" s="112"/>
      <c r="N276" s="11"/>
      <c r="O276" s="281"/>
      <c r="P276"/>
    </row>
    <row r="277" spans="1:16" s="86" customFormat="1" ht="30" customHeight="1" x14ac:dyDescent="0.25">
      <c r="A277" s="164"/>
      <c r="B277" s="111"/>
      <c r="C277" s="111"/>
      <c r="D277" s="11"/>
      <c r="E277" s="11"/>
      <c r="F277" s="11"/>
      <c r="G277" s="11"/>
      <c r="H277" s="11"/>
      <c r="I277" s="11"/>
      <c r="J277" s="11"/>
      <c r="K277" s="26"/>
      <c r="L277" s="11"/>
      <c r="M277" s="112"/>
      <c r="N277" s="11"/>
      <c r="O277" s="281"/>
      <c r="P277"/>
    </row>
    <row r="278" spans="1:16" s="86" customFormat="1" ht="30" customHeight="1" x14ac:dyDescent="0.25">
      <c r="A278" s="164"/>
      <c r="B278" s="111"/>
      <c r="C278" s="111"/>
      <c r="D278" s="11"/>
      <c r="E278" s="11"/>
      <c r="F278" s="11"/>
      <c r="G278" s="11"/>
      <c r="H278" s="11"/>
      <c r="I278" s="11"/>
      <c r="J278" s="11"/>
      <c r="K278" s="26"/>
      <c r="L278" s="11"/>
      <c r="M278" s="112"/>
      <c r="N278" s="11"/>
      <c r="O278" s="281"/>
      <c r="P278"/>
    </row>
    <row r="279" spans="1:16" customFormat="1" ht="30" customHeight="1" x14ac:dyDescent="0.25">
      <c r="A279" s="164"/>
      <c r="B279" s="111"/>
      <c r="C279" s="111"/>
      <c r="D279" s="11"/>
      <c r="E279" s="11"/>
      <c r="F279" s="11"/>
      <c r="G279" s="11"/>
      <c r="H279" s="11"/>
      <c r="I279" s="11"/>
      <c r="J279" s="11"/>
      <c r="K279" s="26"/>
      <c r="L279" s="11"/>
      <c r="M279" s="112"/>
      <c r="N279" s="11"/>
      <c r="O279" s="281"/>
    </row>
    <row r="280" spans="1:16" customFormat="1" ht="30" customHeight="1" x14ac:dyDescent="0.25">
      <c r="A280" s="166"/>
      <c r="B280" s="108"/>
      <c r="C280" s="108"/>
      <c r="D280" s="9"/>
      <c r="E280" s="9"/>
      <c r="F280" s="25"/>
      <c r="G280" s="51"/>
      <c r="H280" s="25"/>
      <c r="I280" s="9"/>
      <c r="J280" s="25"/>
      <c r="K280" s="27"/>
      <c r="L280" s="9"/>
      <c r="M280" s="109"/>
      <c r="N280" s="9"/>
      <c r="O280" s="278"/>
      <c r="P280" s="2"/>
    </row>
    <row r="281" spans="1:16" customFormat="1" ht="30" customHeight="1" x14ac:dyDescent="0.25">
      <c r="A281" s="166"/>
      <c r="B281" s="108"/>
      <c r="C281" s="108"/>
      <c r="D281" s="9"/>
      <c r="E281" s="9"/>
      <c r="F281" s="25"/>
      <c r="G281" s="51"/>
      <c r="H281" s="25"/>
      <c r="I281" s="9"/>
      <c r="J281" s="25"/>
      <c r="K281" s="27"/>
      <c r="L281" s="9"/>
      <c r="M281" s="109"/>
      <c r="N281" s="9"/>
      <c r="O281" s="278"/>
      <c r="P281" s="2"/>
    </row>
    <row r="282" spans="1:16" customFormat="1" ht="30" customHeight="1" x14ac:dyDescent="0.25">
      <c r="A282" s="166"/>
      <c r="B282" s="108"/>
      <c r="C282" s="108"/>
      <c r="D282" s="9"/>
      <c r="E282" s="9"/>
      <c r="F282" s="25"/>
      <c r="G282" s="51"/>
      <c r="H282" s="25"/>
      <c r="I282" s="9"/>
      <c r="J282" s="25"/>
      <c r="K282" s="27"/>
      <c r="L282" s="9"/>
      <c r="M282" s="109"/>
      <c r="N282" s="9"/>
      <c r="O282" s="278"/>
      <c r="P282" s="2"/>
    </row>
    <row r="283" spans="1:16" s="86" customFormat="1" ht="30" customHeight="1" x14ac:dyDescent="0.25">
      <c r="A283" s="166"/>
      <c r="B283" s="108"/>
      <c r="C283" s="108"/>
      <c r="D283" s="9"/>
      <c r="E283" s="9"/>
      <c r="F283" s="25"/>
      <c r="G283" s="51"/>
      <c r="H283" s="25"/>
      <c r="I283" s="9"/>
      <c r="J283" s="25"/>
      <c r="K283" s="27"/>
      <c r="L283" s="9"/>
      <c r="M283" s="109"/>
      <c r="N283" s="9"/>
      <c r="O283" s="278"/>
      <c r="P283" s="2"/>
    </row>
    <row r="284" spans="1:16" s="86" customFormat="1" ht="30" customHeight="1" x14ac:dyDescent="0.25">
      <c r="A284" s="166"/>
      <c r="B284" s="108"/>
      <c r="C284" s="108"/>
      <c r="D284" s="9"/>
      <c r="E284" s="9"/>
      <c r="F284" s="25"/>
      <c r="G284" s="51"/>
      <c r="H284" s="25"/>
      <c r="I284" s="9"/>
      <c r="J284" s="25"/>
      <c r="K284" s="27"/>
      <c r="L284" s="9"/>
      <c r="M284" s="109"/>
      <c r="N284" s="9"/>
      <c r="O284" s="278"/>
      <c r="P284" s="2"/>
    </row>
    <row r="285" spans="1:16" customFormat="1" ht="30" customHeight="1" x14ac:dyDescent="0.25">
      <c r="A285" s="166"/>
      <c r="B285" s="108"/>
      <c r="C285" s="108"/>
      <c r="D285" s="9"/>
      <c r="E285" s="9"/>
      <c r="F285" s="25"/>
      <c r="G285" s="51"/>
      <c r="H285" s="25"/>
      <c r="I285" s="9"/>
      <c r="J285" s="25"/>
      <c r="K285" s="27"/>
      <c r="L285" s="9"/>
      <c r="M285" s="109"/>
      <c r="N285" s="9"/>
      <c r="O285" s="278"/>
      <c r="P285" s="2"/>
    </row>
    <row r="286" spans="1:16" customFormat="1" ht="30" customHeight="1" x14ac:dyDescent="0.25">
      <c r="A286" s="166"/>
      <c r="B286" s="108"/>
      <c r="C286" s="108"/>
      <c r="D286" s="9"/>
      <c r="E286" s="9"/>
      <c r="F286" s="25"/>
      <c r="G286" s="51"/>
      <c r="H286" s="25"/>
      <c r="I286" s="9"/>
      <c r="J286" s="25"/>
      <c r="K286" s="27"/>
      <c r="L286" s="9"/>
      <c r="M286" s="109"/>
      <c r="N286" s="9"/>
      <c r="O286" s="278"/>
      <c r="P286" s="2"/>
    </row>
    <row r="287" spans="1:16" customFormat="1" ht="30" customHeight="1" x14ac:dyDescent="0.25">
      <c r="A287" s="166"/>
      <c r="B287" s="108"/>
      <c r="C287" s="108"/>
      <c r="D287" s="9"/>
      <c r="E287" s="9"/>
      <c r="F287" s="25"/>
      <c r="G287" s="51"/>
      <c r="H287" s="25"/>
      <c r="I287" s="9"/>
      <c r="J287" s="25"/>
      <c r="K287" s="27"/>
      <c r="L287" s="9"/>
      <c r="M287" s="109"/>
      <c r="N287" s="9"/>
      <c r="O287" s="278"/>
      <c r="P287" s="2"/>
    </row>
    <row r="288" spans="1:16" customFormat="1" ht="30" customHeight="1" x14ac:dyDescent="0.25">
      <c r="A288" s="166"/>
      <c r="B288" s="108"/>
      <c r="C288" s="108"/>
      <c r="D288" s="9"/>
      <c r="E288" s="9"/>
      <c r="F288" s="25"/>
      <c r="G288" s="51"/>
      <c r="H288" s="25"/>
      <c r="I288" s="9"/>
      <c r="J288" s="25"/>
      <c r="K288" s="27"/>
      <c r="L288" s="9"/>
      <c r="M288" s="109"/>
      <c r="N288" s="9"/>
      <c r="O288" s="278"/>
      <c r="P288" s="2"/>
    </row>
    <row r="289" spans="1:16" customFormat="1" ht="30" customHeight="1" x14ac:dyDescent="0.25">
      <c r="A289" s="166"/>
      <c r="B289" s="108"/>
      <c r="C289" s="108"/>
      <c r="D289" s="9"/>
      <c r="E289" s="9"/>
      <c r="F289" s="25"/>
      <c r="G289" s="51"/>
      <c r="H289" s="25"/>
      <c r="I289" s="9"/>
      <c r="J289" s="25"/>
      <c r="K289" s="27"/>
      <c r="L289" s="9"/>
      <c r="M289" s="109"/>
      <c r="N289" s="9"/>
      <c r="O289" s="278"/>
      <c r="P289" s="2"/>
    </row>
    <row r="290" spans="1:16" customFormat="1" ht="30" customHeight="1" x14ac:dyDescent="0.25">
      <c r="A290" s="166"/>
      <c r="B290" s="108"/>
      <c r="C290" s="108"/>
      <c r="D290" s="9"/>
      <c r="E290" s="9"/>
      <c r="F290" s="25"/>
      <c r="G290" s="51"/>
      <c r="H290" s="25"/>
      <c r="I290" s="9"/>
      <c r="J290" s="25"/>
      <c r="K290" s="27"/>
      <c r="L290" s="9"/>
      <c r="M290" s="109"/>
      <c r="N290" s="9"/>
      <c r="O290" s="278"/>
      <c r="P290" s="2"/>
    </row>
    <row r="291" spans="1:16" customFormat="1" ht="48.75" customHeight="1" x14ac:dyDescent="0.25">
      <c r="A291" s="166"/>
      <c r="B291" s="108"/>
      <c r="C291" s="108"/>
      <c r="D291" s="9"/>
      <c r="E291" s="9"/>
      <c r="F291" s="25"/>
      <c r="G291" s="51"/>
      <c r="H291" s="25"/>
      <c r="I291" s="9"/>
      <c r="J291" s="25"/>
      <c r="K291" s="27"/>
      <c r="L291" s="9"/>
      <c r="M291" s="109"/>
      <c r="N291" s="9"/>
      <c r="O291" s="278"/>
      <c r="P291" s="2"/>
    </row>
    <row r="292" spans="1:16" customFormat="1" ht="30" customHeight="1" x14ac:dyDescent="0.25">
      <c r="A292" s="166"/>
      <c r="B292" s="108"/>
      <c r="C292" s="108"/>
      <c r="D292" s="9"/>
      <c r="E292" s="9"/>
      <c r="F292" s="25"/>
      <c r="G292" s="51"/>
      <c r="H292" s="25"/>
      <c r="I292" s="9"/>
      <c r="J292" s="25"/>
      <c r="K292" s="27"/>
      <c r="L292" s="9"/>
      <c r="M292" s="109"/>
      <c r="N292" s="9"/>
      <c r="O292" s="278"/>
      <c r="P292" s="2"/>
    </row>
    <row r="293" spans="1:16" customFormat="1" ht="30" customHeight="1" x14ac:dyDescent="0.25">
      <c r="A293" s="166"/>
      <c r="B293" s="108"/>
      <c r="C293" s="108"/>
      <c r="D293" s="9"/>
      <c r="E293" s="9"/>
      <c r="F293" s="25"/>
      <c r="G293" s="51"/>
      <c r="H293" s="25"/>
      <c r="I293" s="9"/>
      <c r="J293" s="25"/>
      <c r="K293" s="27"/>
      <c r="L293" s="9"/>
      <c r="M293" s="109"/>
      <c r="N293" s="9"/>
      <c r="O293" s="278"/>
      <c r="P293" s="2"/>
    </row>
    <row r="294" spans="1:16" customFormat="1" ht="30" customHeight="1" x14ac:dyDescent="0.25">
      <c r="A294" s="166"/>
      <c r="B294" s="108"/>
      <c r="C294" s="108"/>
      <c r="D294" s="9"/>
      <c r="E294" s="9"/>
      <c r="F294" s="25"/>
      <c r="G294" s="51"/>
      <c r="H294" s="25"/>
      <c r="I294" s="9"/>
      <c r="J294" s="25"/>
      <c r="K294" s="27"/>
      <c r="L294" s="9"/>
      <c r="M294" s="109"/>
      <c r="N294" s="9"/>
      <c r="O294" s="278"/>
      <c r="P294" s="2"/>
    </row>
    <row r="295" spans="1:16" customFormat="1" ht="30" customHeight="1" x14ac:dyDescent="0.25">
      <c r="A295" s="166"/>
      <c r="B295" s="108"/>
      <c r="C295" s="108"/>
      <c r="D295" s="9"/>
      <c r="E295" s="9"/>
      <c r="F295" s="25"/>
      <c r="G295" s="51"/>
      <c r="H295" s="25"/>
      <c r="I295" s="9"/>
      <c r="J295" s="25"/>
      <c r="K295" s="27"/>
      <c r="L295" s="9"/>
      <c r="M295" s="109"/>
      <c r="N295" s="9"/>
      <c r="O295" s="278"/>
      <c r="P295" s="2"/>
    </row>
    <row r="296" spans="1:16" customFormat="1" ht="30" customHeight="1" x14ac:dyDescent="0.25">
      <c r="A296" s="166"/>
      <c r="B296" s="108"/>
      <c r="C296" s="108"/>
      <c r="D296" s="9"/>
      <c r="E296" s="9"/>
      <c r="F296" s="25"/>
      <c r="G296" s="51"/>
      <c r="H296" s="25"/>
      <c r="I296" s="9"/>
      <c r="J296" s="25"/>
      <c r="K296" s="27"/>
      <c r="L296" s="9"/>
      <c r="M296" s="109"/>
      <c r="N296" s="9"/>
      <c r="O296" s="278"/>
      <c r="P296" s="2"/>
    </row>
    <row r="297" spans="1:16" customFormat="1" ht="30" customHeight="1" x14ac:dyDescent="0.25">
      <c r="A297" s="166"/>
      <c r="B297" s="108"/>
      <c r="C297" s="108"/>
      <c r="D297" s="9"/>
      <c r="E297" s="9"/>
      <c r="F297" s="25"/>
      <c r="G297" s="51"/>
      <c r="H297" s="25"/>
      <c r="I297" s="9"/>
      <c r="J297" s="25"/>
      <c r="K297" s="27"/>
      <c r="L297" s="9"/>
      <c r="M297" s="109"/>
      <c r="N297" s="9"/>
      <c r="O297" s="278"/>
      <c r="P297" s="2"/>
    </row>
    <row r="298" spans="1:16" customFormat="1" ht="30" customHeight="1" x14ac:dyDescent="0.25">
      <c r="A298" s="166"/>
      <c r="B298" s="108"/>
      <c r="C298" s="108"/>
      <c r="D298" s="9"/>
      <c r="E298" s="9"/>
      <c r="F298" s="25"/>
      <c r="G298" s="51"/>
      <c r="H298" s="25"/>
      <c r="I298" s="9"/>
      <c r="J298" s="25"/>
      <c r="K298" s="27"/>
      <c r="L298" s="9"/>
      <c r="M298" s="109"/>
      <c r="N298" s="9"/>
      <c r="O298" s="278"/>
      <c r="P298" s="2"/>
    </row>
    <row r="299" spans="1:16" customFormat="1" ht="30" customHeight="1" x14ac:dyDescent="0.25">
      <c r="A299" s="166"/>
      <c r="B299" s="108"/>
      <c r="C299" s="108"/>
      <c r="D299" s="9"/>
      <c r="E299" s="9"/>
      <c r="F299" s="25"/>
      <c r="G299" s="51"/>
      <c r="H299" s="25"/>
      <c r="I299" s="9"/>
      <c r="J299" s="25"/>
      <c r="K299" s="27"/>
      <c r="L299" s="9"/>
      <c r="M299" s="109"/>
      <c r="N299" s="9"/>
      <c r="O299" s="278"/>
      <c r="P299" s="2"/>
    </row>
    <row r="300" spans="1:16" customFormat="1" ht="30" customHeight="1" x14ac:dyDescent="0.25">
      <c r="A300" s="166"/>
      <c r="B300" s="108"/>
      <c r="C300" s="108"/>
      <c r="D300" s="9"/>
      <c r="E300" s="9"/>
      <c r="F300" s="25"/>
      <c r="G300" s="51"/>
      <c r="H300" s="25"/>
      <c r="I300" s="9"/>
      <c r="J300" s="25"/>
      <c r="K300" s="27"/>
      <c r="L300" s="9"/>
      <c r="M300" s="109"/>
      <c r="N300" s="9"/>
      <c r="O300" s="278"/>
      <c r="P300" s="2"/>
    </row>
    <row r="301" spans="1:16" customFormat="1" ht="30" customHeight="1" x14ac:dyDescent="0.25">
      <c r="A301" s="166"/>
      <c r="B301" s="108"/>
      <c r="C301" s="108"/>
      <c r="D301" s="9"/>
      <c r="E301" s="9"/>
      <c r="F301" s="25"/>
      <c r="G301" s="51"/>
      <c r="H301" s="25"/>
      <c r="I301" s="9"/>
      <c r="J301" s="25"/>
      <c r="K301" s="27"/>
      <c r="L301" s="9"/>
      <c r="M301" s="109"/>
      <c r="N301" s="9"/>
      <c r="O301" s="278"/>
      <c r="P301" s="2"/>
    </row>
    <row r="302" spans="1:16" customFormat="1" ht="30" customHeight="1" x14ac:dyDescent="0.25">
      <c r="A302" s="166"/>
      <c r="B302" s="108"/>
      <c r="C302" s="108"/>
      <c r="D302" s="9"/>
      <c r="E302" s="9"/>
      <c r="F302" s="25"/>
      <c r="G302" s="51"/>
      <c r="H302" s="25"/>
      <c r="I302" s="9"/>
      <c r="J302" s="25"/>
      <c r="K302" s="27"/>
      <c r="L302" s="9"/>
      <c r="M302" s="109"/>
      <c r="N302" s="9"/>
      <c r="O302" s="278"/>
      <c r="P302" s="2"/>
    </row>
    <row r="303" spans="1:16" customFormat="1" ht="30" customHeight="1" x14ac:dyDescent="0.25">
      <c r="A303" s="166"/>
      <c r="B303" s="108"/>
      <c r="C303" s="108"/>
      <c r="D303" s="9"/>
      <c r="E303" s="9"/>
      <c r="F303" s="25"/>
      <c r="G303" s="51"/>
      <c r="H303" s="25"/>
      <c r="I303" s="9"/>
      <c r="J303" s="25"/>
      <c r="K303" s="27"/>
      <c r="L303" s="9"/>
      <c r="M303" s="109"/>
      <c r="N303" s="9"/>
      <c r="O303" s="278"/>
      <c r="P303" s="2"/>
    </row>
    <row r="304" spans="1:16" customFormat="1" ht="30" customHeight="1" x14ac:dyDescent="0.25">
      <c r="A304" s="166"/>
      <c r="B304" s="108"/>
      <c r="C304" s="108"/>
      <c r="D304" s="9"/>
      <c r="E304" s="9"/>
      <c r="F304" s="25"/>
      <c r="G304" s="51"/>
      <c r="H304" s="25"/>
      <c r="I304" s="9"/>
      <c r="J304" s="25"/>
      <c r="K304" s="27"/>
      <c r="L304" s="9"/>
      <c r="M304" s="109"/>
      <c r="N304" s="9"/>
      <c r="O304" s="278"/>
      <c r="P304" s="2"/>
    </row>
    <row r="305" spans="1:16" customFormat="1" ht="30" customHeight="1" x14ac:dyDescent="0.25">
      <c r="A305" s="166"/>
      <c r="B305" s="108"/>
      <c r="C305" s="108"/>
      <c r="D305" s="9"/>
      <c r="E305" s="9"/>
      <c r="F305" s="25"/>
      <c r="G305" s="51"/>
      <c r="H305" s="25"/>
      <c r="I305" s="9"/>
      <c r="J305" s="25"/>
      <c r="K305" s="27"/>
      <c r="L305" s="9"/>
      <c r="M305" s="109"/>
      <c r="N305" s="9"/>
      <c r="O305" s="278"/>
      <c r="P305" s="2"/>
    </row>
    <row r="306" spans="1:16" customFormat="1" ht="30" customHeight="1" x14ac:dyDescent="0.25">
      <c r="A306" s="166"/>
      <c r="B306" s="108"/>
      <c r="C306" s="108"/>
      <c r="D306" s="9"/>
      <c r="E306" s="9"/>
      <c r="F306" s="25"/>
      <c r="G306" s="51"/>
      <c r="H306" s="25"/>
      <c r="I306" s="9"/>
      <c r="J306" s="25"/>
      <c r="K306" s="27"/>
      <c r="L306" s="9"/>
      <c r="M306" s="109"/>
      <c r="N306" s="9"/>
      <c r="O306" s="278"/>
      <c r="P306" s="2"/>
    </row>
    <row r="307" spans="1:16" customFormat="1" ht="30" customHeight="1" x14ac:dyDescent="0.25">
      <c r="A307" s="166"/>
      <c r="B307" s="108"/>
      <c r="C307" s="108"/>
      <c r="D307" s="9"/>
      <c r="E307" s="9"/>
      <c r="F307" s="25"/>
      <c r="G307" s="51"/>
      <c r="H307" s="25"/>
      <c r="I307" s="9"/>
      <c r="J307" s="25"/>
      <c r="K307" s="27"/>
      <c r="L307" s="9"/>
      <c r="M307" s="109"/>
      <c r="N307" s="9"/>
      <c r="O307" s="278"/>
      <c r="P307" s="2"/>
    </row>
    <row r="308" spans="1:16" customFormat="1" ht="30" customHeight="1" x14ac:dyDescent="0.25">
      <c r="A308" s="166"/>
      <c r="B308" s="108"/>
      <c r="C308" s="108"/>
      <c r="D308" s="9"/>
      <c r="E308" s="9"/>
      <c r="F308" s="25"/>
      <c r="G308" s="51"/>
      <c r="H308" s="25"/>
      <c r="I308" s="9"/>
      <c r="J308" s="25"/>
      <c r="K308" s="27"/>
      <c r="L308" s="9"/>
      <c r="M308" s="109"/>
      <c r="N308" s="9"/>
      <c r="O308" s="278"/>
      <c r="P308" s="2"/>
    </row>
    <row r="309" spans="1:16" customFormat="1" ht="30" customHeight="1" x14ac:dyDescent="0.25">
      <c r="A309" s="166"/>
      <c r="B309" s="108"/>
      <c r="C309" s="108"/>
      <c r="D309" s="9"/>
      <c r="E309" s="9"/>
      <c r="F309" s="25"/>
      <c r="G309" s="51"/>
      <c r="H309" s="25"/>
      <c r="I309" s="9"/>
      <c r="J309" s="25"/>
      <c r="K309" s="27"/>
      <c r="L309" s="9"/>
      <c r="M309" s="109"/>
      <c r="N309" s="9"/>
      <c r="O309" s="278"/>
      <c r="P309" s="2"/>
    </row>
    <row r="310" spans="1:16" customFormat="1" ht="30" customHeight="1" x14ac:dyDescent="0.25">
      <c r="A310" s="166"/>
      <c r="B310" s="108"/>
      <c r="C310" s="108"/>
      <c r="D310" s="9"/>
      <c r="E310" s="9"/>
      <c r="F310" s="25"/>
      <c r="G310" s="51"/>
      <c r="H310" s="25"/>
      <c r="I310" s="9"/>
      <c r="J310" s="25"/>
      <c r="K310" s="27"/>
      <c r="L310" s="9"/>
      <c r="M310" s="109"/>
      <c r="N310" s="9"/>
      <c r="O310" s="278"/>
      <c r="P310" s="2"/>
    </row>
    <row r="311" spans="1:16" customFormat="1" ht="30" customHeight="1" x14ac:dyDescent="0.25">
      <c r="A311" s="166"/>
      <c r="B311" s="108"/>
      <c r="C311" s="108"/>
      <c r="D311" s="9"/>
      <c r="E311" s="9"/>
      <c r="F311" s="25"/>
      <c r="G311" s="51"/>
      <c r="H311" s="25"/>
      <c r="I311" s="9"/>
      <c r="J311" s="25"/>
      <c r="K311" s="27"/>
      <c r="L311" s="9"/>
      <c r="M311" s="109"/>
      <c r="N311" s="9"/>
      <c r="O311" s="278"/>
      <c r="P311" s="2"/>
    </row>
    <row r="312" spans="1:16" customFormat="1" ht="30" customHeight="1" x14ac:dyDescent="0.25">
      <c r="A312" s="166"/>
      <c r="B312" s="108"/>
      <c r="C312" s="108"/>
      <c r="D312" s="9"/>
      <c r="E312" s="9"/>
      <c r="F312" s="25"/>
      <c r="G312" s="51"/>
      <c r="H312" s="25"/>
      <c r="I312" s="9"/>
      <c r="J312" s="25"/>
      <c r="K312" s="27"/>
      <c r="L312" s="9"/>
      <c r="M312" s="109"/>
      <c r="N312" s="9"/>
      <c r="O312" s="278"/>
      <c r="P312" s="2"/>
    </row>
    <row r="313" spans="1:16" customFormat="1" ht="30" customHeight="1" x14ac:dyDescent="0.25">
      <c r="A313" s="166"/>
      <c r="B313" s="108"/>
      <c r="C313" s="108"/>
      <c r="D313" s="9"/>
      <c r="E313" s="9"/>
      <c r="F313" s="25"/>
      <c r="G313" s="51"/>
      <c r="H313" s="25"/>
      <c r="I313" s="9"/>
      <c r="J313" s="25"/>
      <c r="K313" s="27"/>
      <c r="L313" s="9"/>
      <c r="M313" s="109"/>
      <c r="N313" s="9"/>
      <c r="O313" s="278"/>
      <c r="P313" s="2"/>
    </row>
    <row r="314" spans="1:16" customFormat="1" ht="30" customHeight="1" x14ac:dyDescent="0.25">
      <c r="A314" s="166"/>
      <c r="B314" s="108"/>
      <c r="C314" s="108"/>
      <c r="D314" s="9"/>
      <c r="E314" s="9"/>
      <c r="F314" s="25"/>
      <c r="G314" s="51"/>
      <c r="H314" s="25"/>
      <c r="I314" s="9"/>
      <c r="J314" s="25"/>
      <c r="K314" s="27"/>
      <c r="L314" s="9"/>
      <c r="M314" s="109"/>
      <c r="N314" s="9"/>
      <c r="O314" s="278"/>
      <c r="P314" s="2"/>
    </row>
    <row r="315" spans="1:16" customFormat="1" ht="30" customHeight="1" x14ac:dyDescent="0.25">
      <c r="A315" s="166"/>
      <c r="B315" s="108"/>
      <c r="C315" s="108"/>
      <c r="D315" s="9"/>
      <c r="E315" s="9"/>
      <c r="F315" s="25"/>
      <c r="G315" s="51"/>
      <c r="H315" s="25"/>
      <c r="I315" s="9"/>
      <c r="J315" s="25"/>
      <c r="K315" s="27"/>
      <c r="L315" s="9"/>
      <c r="M315" s="109"/>
      <c r="N315" s="9"/>
      <c r="O315" s="278"/>
      <c r="P315" s="2"/>
    </row>
    <row r="316" spans="1:16" customFormat="1" ht="30" customHeight="1" x14ac:dyDescent="0.25">
      <c r="A316" s="166"/>
      <c r="B316" s="108"/>
      <c r="C316" s="108"/>
      <c r="D316" s="9"/>
      <c r="E316" s="9"/>
      <c r="F316" s="25"/>
      <c r="G316" s="51"/>
      <c r="H316" s="25"/>
      <c r="I316" s="9"/>
      <c r="J316" s="25"/>
      <c r="K316" s="27"/>
      <c r="L316" s="9"/>
      <c r="M316" s="109"/>
      <c r="N316" s="9"/>
      <c r="O316" s="278"/>
      <c r="P316" s="2"/>
    </row>
    <row r="317" spans="1:16" customFormat="1" ht="30" customHeight="1" x14ac:dyDescent="0.25">
      <c r="A317" s="166"/>
      <c r="B317" s="108"/>
      <c r="C317" s="108"/>
      <c r="D317" s="9"/>
      <c r="E317" s="9"/>
      <c r="F317" s="25"/>
      <c r="G317" s="51"/>
      <c r="H317" s="25"/>
      <c r="I317" s="9"/>
      <c r="J317" s="25"/>
      <c r="K317" s="27"/>
      <c r="L317" s="9"/>
      <c r="M317" s="109"/>
      <c r="N317" s="9"/>
      <c r="O317" s="278"/>
      <c r="P317" s="2"/>
    </row>
    <row r="318" spans="1:16" customFormat="1" ht="30" customHeight="1" x14ac:dyDescent="0.25">
      <c r="A318" s="166"/>
      <c r="B318" s="108"/>
      <c r="C318" s="108"/>
      <c r="D318" s="9"/>
      <c r="E318" s="9"/>
      <c r="F318" s="25"/>
      <c r="G318" s="51"/>
      <c r="H318" s="25"/>
      <c r="I318" s="9"/>
      <c r="J318" s="25"/>
      <c r="K318" s="27"/>
      <c r="L318" s="9"/>
      <c r="M318" s="109"/>
      <c r="N318" s="9"/>
      <c r="O318" s="278"/>
      <c r="P318" s="2"/>
    </row>
    <row r="319" spans="1:16" customFormat="1" ht="30" customHeight="1" x14ac:dyDescent="0.25">
      <c r="A319" s="166"/>
      <c r="B319" s="108"/>
      <c r="C319" s="108"/>
      <c r="D319" s="9"/>
      <c r="E319" s="9"/>
      <c r="F319" s="25"/>
      <c r="G319" s="51"/>
      <c r="H319" s="25"/>
      <c r="I319" s="9"/>
      <c r="J319" s="25"/>
      <c r="K319" s="27"/>
      <c r="L319" s="9"/>
      <c r="M319" s="109"/>
      <c r="N319" s="9"/>
      <c r="O319" s="278"/>
      <c r="P319" s="2"/>
    </row>
    <row r="320" spans="1:16" customFormat="1" ht="30" customHeight="1" x14ac:dyDescent="0.25">
      <c r="A320" s="166"/>
      <c r="B320" s="108"/>
      <c r="C320" s="108"/>
      <c r="D320" s="9"/>
      <c r="E320" s="9"/>
      <c r="F320" s="25"/>
      <c r="G320" s="51"/>
      <c r="H320" s="25"/>
      <c r="I320" s="9"/>
      <c r="J320" s="25"/>
      <c r="K320" s="27"/>
      <c r="L320" s="9"/>
      <c r="M320" s="109"/>
      <c r="N320" s="9"/>
      <c r="O320" s="278"/>
      <c r="P320" s="2"/>
    </row>
    <row r="321" spans="1:16" customFormat="1" ht="30" customHeight="1" x14ac:dyDescent="0.25">
      <c r="A321" s="166"/>
      <c r="B321" s="108"/>
      <c r="C321" s="108"/>
      <c r="D321" s="9"/>
      <c r="E321" s="9"/>
      <c r="F321" s="25"/>
      <c r="G321" s="51"/>
      <c r="H321" s="25"/>
      <c r="I321" s="9"/>
      <c r="J321" s="25"/>
      <c r="K321" s="27"/>
      <c r="L321" s="9"/>
      <c r="M321" s="109"/>
      <c r="N321" s="9"/>
      <c r="O321" s="278"/>
      <c r="P321" s="2"/>
    </row>
    <row r="322" spans="1:16" customFormat="1" ht="30" customHeight="1" x14ac:dyDescent="0.25">
      <c r="A322" s="166"/>
      <c r="B322" s="108"/>
      <c r="C322" s="108"/>
      <c r="D322" s="9"/>
      <c r="E322" s="9"/>
      <c r="F322" s="25"/>
      <c r="G322" s="51"/>
      <c r="H322" s="25"/>
      <c r="I322" s="9"/>
      <c r="J322" s="25"/>
      <c r="K322" s="27"/>
      <c r="L322" s="9"/>
      <c r="M322" s="109"/>
      <c r="N322" s="9"/>
      <c r="O322" s="278"/>
      <c r="P322" s="2"/>
    </row>
    <row r="323" spans="1:16" customFormat="1" ht="30" customHeight="1" x14ac:dyDescent="0.25">
      <c r="A323" s="166"/>
      <c r="B323" s="108"/>
      <c r="C323" s="108"/>
      <c r="D323" s="9"/>
      <c r="E323" s="9"/>
      <c r="F323" s="25"/>
      <c r="G323" s="51"/>
      <c r="H323" s="25"/>
      <c r="I323" s="9"/>
      <c r="J323" s="25"/>
      <c r="K323" s="27"/>
      <c r="L323" s="9"/>
      <c r="M323" s="109"/>
      <c r="N323" s="9"/>
      <c r="O323" s="278"/>
      <c r="P323" s="2"/>
    </row>
    <row r="324" spans="1:16" customFormat="1" ht="30" customHeight="1" x14ac:dyDescent="0.25">
      <c r="A324" s="166"/>
      <c r="B324" s="108"/>
      <c r="C324" s="108"/>
      <c r="D324" s="9"/>
      <c r="E324" s="9"/>
      <c r="F324" s="25"/>
      <c r="G324" s="51"/>
      <c r="H324" s="25"/>
      <c r="I324" s="9"/>
      <c r="J324" s="25"/>
      <c r="K324" s="27"/>
      <c r="L324" s="9"/>
      <c r="M324" s="109"/>
      <c r="N324" s="9"/>
      <c r="O324" s="278"/>
      <c r="P324" s="2"/>
    </row>
    <row r="325" spans="1:16" customFormat="1" ht="30" customHeight="1" x14ac:dyDescent="0.25">
      <c r="A325" s="166"/>
      <c r="B325" s="108"/>
      <c r="C325" s="108"/>
      <c r="D325" s="9"/>
      <c r="E325" s="9"/>
      <c r="F325" s="25"/>
      <c r="G325" s="51"/>
      <c r="H325" s="25"/>
      <c r="I325" s="9"/>
      <c r="J325" s="25"/>
      <c r="K325" s="27"/>
      <c r="L325" s="9"/>
      <c r="M325" s="109"/>
      <c r="N325" s="9"/>
      <c r="O325" s="278"/>
      <c r="P325" s="2"/>
    </row>
    <row r="326" spans="1:16" customFormat="1" ht="30" customHeight="1" x14ac:dyDescent="0.25">
      <c r="A326" s="166"/>
      <c r="B326" s="108"/>
      <c r="C326" s="108"/>
      <c r="D326" s="9"/>
      <c r="E326" s="9"/>
      <c r="F326" s="25"/>
      <c r="G326" s="51"/>
      <c r="H326" s="25"/>
      <c r="I326" s="9"/>
      <c r="J326" s="25"/>
      <c r="K326" s="27"/>
      <c r="L326" s="9"/>
      <c r="M326" s="109"/>
      <c r="N326" s="9"/>
      <c r="O326" s="278"/>
      <c r="P326" s="2"/>
    </row>
    <row r="327" spans="1:16" customFormat="1" ht="30" customHeight="1" x14ac:dyDescent="0.25">
      <c r="A327" s="166"/>
      <c r="B327" s="108"/>
      <c r="C327" s="108"/>
      <c r="D327" s="9"/>
      <c r="E327" s="9"/>
      <c r="F327" s="25"/>
      <c r="G327" s="51"/>
      <c r="H327" s="25"/>
      <c r="I327" s="9"/>
      <c r="J327" s="25"/>
      <c r="K327" s="27"/>
      <c r="L327" s="9"/>
      <c r="M327" s="109"/>
      <c r="N327" s="9"/>
      <c r="O327" s="278"/>
      <c r="P327" s="2"/>
    </row>
    <row r="328" spans="1:16" customFormat="1" ht="30" customHeight="1" x14ac:dyDescent="0.25">
      <c r="A328" s="166"/>
      <c r="B328" s="108"/>
      <c r="C328" s="108"/>
      <c r="D328" s="9"/>
      <c r="E328" s="9"/>
      <c r="F328" s="25"/>
      <c r="G328" s="51"/>
      <c r="H328" s="25"/>
      <c r="I328" s="9"/>
      <c r="J328" s="25"/>
      <c r="K328" s="27"/>
      <c r="L328" s="9"/>
      <c r="M328" s="109"/>
      <c r="N328" s="9"/>
      <c r="O328" s="278"/>
      <c r="P328" s="2"/>
    </row>
    <row r="329" spans="1:16" customFormat="1" ht="30" customHeight="1" x14ac:dyDescent="0.25">
      <c r="A329" s="166"/>
      <c r="B329" s="108"/>
      <c r="C329" s="108"/>
      <c r="D329" s="9"/>
      <c r="E329" s="9"/>
      <c r="F329" s="25"/>
      <c r="G329" s="51"/>
      <c r="H329" s="25"/>
      <c r="I329" s="9"/>
      <c r="J329" s="25"/>
      <c r="K329" s="27"/>
      <c r="L329" s="9"/>
      <c r="M329" s="109"/>
      <c r="N329" s="9"/>
      <c r="O329" s="278"/>
      <c r="P329" s="2"/>
    </row>
    <row r="330" spans="1:16" customFormat="1" ht="30" customHeight="1" x14ac:dyDescent="0.25">
      <c r="A330" s="166"/>
      <c r="B330" s="108"/>
      <c r="C330" s="108"/>
      <c r="D330" s="9"/>
      <c r="E330" s="9"/>
      <c r="F330" s="25"/>
      <c r="G330" s="51"/>
      <c r="H330" s="25"/>
      <c r="I330" s="9"/>
      <c r="J330" s="25"/>
      <c r="K330" s="27"/>
      <c r="L330" s="9"/>
      <c r="M330" s="109"/>
      <c r="N330" s="9"/>
      <c r="O330" s="278"/>
      <c r="P330" s="2"/>
    </row>
    <row r="331" spans="1:16" customFormat="1" ht="30" customHeight="1" x14ac:dyDescent="0.25">
      <c r="A331" s="166"/>
      <c r="B331" s="108"/>
      <c r="C331" s="108"/>
      <c r="D331" s="9"/>
      <c r="E331" s="9"/>
      <c r="F331" s="25"/>
      <c r="G331" s="51"/>
      <c r="H331" s="25"/>
      <c r="I331" s="9"/>
      <c r="J331" s="25"/>
      <c r="K331" s="27"/>
      <c r="L331" s="9"/>
      <c r="M331" s="109"/>
      <c r="N331" s="9"/>
      <c r="O331" s="278"/>
      <c r="P331" s="2"/>
    </row>
    <row r="332" spans="1:16" customFormat="1" ht="30" customHeight="1" x14ac:dyDescent="0.25">
      <c r="A332" s="166"/>
      <c r="B332" s="108"/>
      <c r="C332" s="108"/>
      <c r="D332" s="9"/>
      <c r="E332" s="9"/>
      <c r="F332" s="25"/>
      <c r="G332" s="51"/>
      <c r="H332" s="25"/>
      <c r="I332" s="9"/>
      <c r="J332" s="25"/>
      <c r="K332" s="27"/>
      <c r="L332" s="9"/>
      <c r="M332" s="109"/>
      <c r="N332" s="9"/>
      <c r="O332" s="278"/>
      <c r="P332" s="2"/>
    </row>
    <row r="333" spans="1:16" customFormat="1" ht="30" customHeight="1" x14ac:dyDescent="0.25">
      <c r="A333" s="166"/>
      <c r="B333" s="108"/>
      <c r="C333" s="108"/>
      <c r="D333" s="9"/>
      <c r="E333" s="9"/>
      <c r="F333" s="25"/>
      <c r="G333" s="51"/>
      <c r="H333" s="25"/>
      <c r="I333" s="9"/>
      <c r="J333" s="25"/>
      <c r="K333" s="27"/>
      <c r="L333" s="9"/>
      <c r="M333" s="109"/>
      <c r="N333" s="9"/>
      <c r="O333" s="278"/>
      <c r="P333" s="2"/>
    </row>
    <row r="334" spans="1:16" customFormat="1" ht="30" customHeight="1" x14ac:dyDescent="0.25">
      <c r="A334" s="166"/>
      <c r="B334" s="108"/>
      <c r="C334" s="108"/>
      <c r="D334" s="9"/>
      <c r="E334" s="9"/>
      <c r="F334" s="25"/>
      <c r="G334" s="51"/>
      <c r="H334" s="25"/>
      <c r="I334" s="9"/>
      <c r="J334" s="25"/>
      <c r="K334" s="27"/>
      <c r="L334" s="9"/>
      <c r="M334" s="109"/>
      <c r="N334" s="9"/>
      <c r="O334" s="278"/>
      <c r="P334" s="2"/>
    </row>
    <row r="335" spans="1:16" customFormat="1" ht="30" customHeight="1" x14ac:dyDescent="0.25">
      <c r="A335" s="166"/>
      <c r="B335" s="108"/>
      <c r="C335" s="108"/>
      <c r="D335" s="9"/>
      <c r="E335" s="9"/>
      <c r="F335" s="25"/>
      <c r="G335" s="51"/>
      <c r="H335" s="25"/>
      <c r="I335" s="9"/>
      <c r="J335" s="25"/>
      <c r="K335" s="27"/>
      <c r="L335" s="9"/>
      <c r="M335" s="109"/>
      <c r="N335" s="9"/>
      <c r="O335" s="278"/>
      <c r="P335" s="2"/>
    </row>
    <row r="336" spans="1:16" customFormat="1" ht="30" customHeight="1" x14ac:dyDescent="0.25">
      <c r="A336" s="166"/>
      <c r="B336" s="108"/>
      <c r="C336" s="108"/>
      <c r="D336" s="9"/>
      <c r="E336" s="9"/>
      <c r="F336" s="25"/>
      <c r="G336" s="51"/>
      <c r="H336" s="25"/>
      <c r="I336" s="9"/>
      <c r="J336" s="25"/>
      <c r="K336" s="27"/>
      <c r="L336" s="9"/>
      <c r="M336" s="109"/>
      <c r="N336" s="9"/>
      <c r="O336" s="278"/>
      <c r="P336" s="2"/>
    </row>
    <row r="337" spans="1:16" customFormat="1" ht="30" customHeight="1" x14ac:dyDescent="0.25">
      <c r="A337" s="166"/>
      <c r="B337" s="108"/>
      <c r="C337" s="108"/>
      <c r="D337" s="9"/>
      <c r="E337" s="9"/>
      <c r="F337" s="25"/>
      <c r="G337" s="51"/>
      <c r="H337" s="25"/>
      <c r="I337" s="9"/>
      <c r="J337" s="25"/>
      <c r="K337" s="27"/>
      <c r="L337" s="9"/>
      <c r="M337" s="109"/>
      <c r="N337" s="9"/>
      <c r="O337" s="278"/>
      <c r="P337" s="2"/>
    </row>
    <row r="338" spans="1:16" customFormat="1" ht="30" customHeight="1" x14ac:dyDescent="0.25">
      <c r="A338" s="166"/>
      <c r="B338" s="108"/>
      <c r="C338" s="108"/>
      <c r="D338" s="9"/>
      <c r="E338" s="9"/>
      <c r="F338" s="25"/>
      <c r="G338" s="51"/>
      <c r="H338" s="25"/>
      <c r="I338" s="9"/>
      <c r="J338" s="25"/>
      <c r="K338" s="27"/>
      <c r="L338" s="9"/>
      <c r="M338" s="109"/>
      <c r="N338" s="9"/>
      <c r="O338" s="278"/>
      <c r="P338" s="2"/>
    </row>
    <row r="339" spans="1:16" customFormat="1" ht="30" customHeight="1" x14ac:dyDescent="0.25">
      <c r="A339" s="166"/>
      <c r="B339" s="108"/>
      <c r="C339" s="108"/>
      <c r="D339" s="9"/>
      <c r="E339" s="9"/>
      <c r="F339" s="25"/>
      <c r="G339" s="51"/>
      <c r="H339" s="25"/>
      <c r="I339" s="9"/>
      <c r="J339" s="25"/>
      <c r="K339" s="27"/>
      <c r="L339" s="9"/>
      <c r="M339" s="109"/>
      <c r="N339" s="9"/>
      <c r="O339" s="278"/>
      <c r="P339" s="2"/>
    </row>
    <row r="340" spans="1:16" customFormat="1" ht="30" customHeight="1" x14ac:dyDescent="0.25">
      <c r="A340" s="166"/>
      <c r="B340" s="108"/>
      <c r="C340" s="108"/>
      <c r="D340" s="9"/>
      <c r="E340" s="9"/>
      <c r="F340" s="25"/>
      <c r="G340" s="51"/>
      <c r="H340" s="25"/>
      <c r="I340" s="9"/>
      <c r="J340" s="25"/>
      <c r="K340" s="27"/>
      <c r="L340" s="9"/>
      <c r="M340" s="109"/>
      <c r="N340" s="9"/>
      <c r="O340" s="278"/>
      <c r="P340" s="2"/>
    </row>
    <row r="341" spans="1:16" customFormat="1" ht="30" customHeight="1" x14ac:dyDescent="0.25">
      <c r="A341" s="166"/>
      <c r="B341" s="108"/>
      <c r="C341" s="108"/>
      <c r="D341" s="9"/>
      <c r="E341" s="9"/>
      <c r="F341" s="25"/>
      <c r="G341" s="51"/>
      <c r="H341" s="25"/>
      <c r="I341" s="9"/>
      <c r="J341" s="25"/>
      <c r="K341" s="27"/>
      <c r="L341" s="9"/>
      <c r="M341" s="109"/>
      <c r="N341" s="9"/>
      <c r="O341" s="278"/>
      <c r="P341" s="2"/>
    </row>
    <row r="342" spans="1:16" customFormat="1" ht="30" customHeight="1" x14ac:dyDescent="0.25">
      <c r="A342" s="166"/>
      <c r="B342" s="108"/>
      <c r="C342" s="108"/>
      <c r="D342" s="9"/>
      <c r="E342" s="9"/>
      <c r="F342" s="25"/>
      <c r="G342" s="51"/>
      <c r="H342" s="25"/>
      <c r="I342" s="9"/>
      <c r="J342" s="25"/>
      <c r="K342" s="27"/>
      <c r="L342" s="9"/>
      <c r="M342" s="109"/>
      <c r="N342" s="9"/>
      <c r="O342" s="278"/>
      <c r="P342" s="2"/>
    </row>
    <row r="343" spans="1:16" customFormat="1" ht="30" customHeight="1" x14ac:dyDescent="0.25">
      <c r="A343" s="166"/>
      <c r="B343" s="108"/>
      <c r="C343" s="108"/>
      <c r="D343" s="9"/>
      <c r="E343" s="9"/>
      <c r="F343" s="25"/>
      <c r="G343" s="51"/>
      <c r="H343" s="25"/>
      <c r="I343" s="9"/>
      <c r="J343" s="25"/>
      <c r="K343" s="27"/>
      <c r="L343" s="9"/>
      <c r="M343" s="109"/>
      <c r="N343" s="9"/>
      <c r="O343" s="278"/>
      <c r="P343" s="2"/>
    </row>
    <row r="344" spans="1:16" customFormat="1" ht="30" customHeight="1" x14ac:dyDescent="0.25">
      <c r="A344" s="166"/>
      <c r="B344" s="108"/>
      <c r="C344" s="108"/>
      <c r="D344" s="9"/>
      <c r="E344" s="9"/>
      <c r="F344" s="25"/>
      <c r="G344" s="51"/>
      <c r="H344" s="25"/>
      <c r="I344" s="9"/>
      <c r="J344" s="25"/>
      <c r="K344" s="27"/>
      <c r="L344" s="9"/>
      <c r="M344" s="109"/>
      <c r="N344" s="9"/>
      <c r="O344" s="278"/>
      <c r="P344" s="2"/>
    </row>
    <row r="345" spans="1:16" customFormat="1" ht="30" customHeight="1" x14ac:dyDescent="0.25">
      <c r="A345" s="166"/>
      <c r="B345" s="108"/>
      <c r="C345" s="108"/>
      <c r="D345" s="9"/>
      <c r="E345" s="9"/>
      <c r="F345" s="25"/>
      <c r="G345" s="51"/>
      <c r="H345" s="25"/>
      <c r="I345" s="9"/>
      <c r="J345" s="25"/>
      <c r="K345" s="27"/>
      <c r="L345" s="9"/>
      <c r="M345" s="109"/>
      <c r="N345" s="9"/>
      <c r="O345" s="278"/>
      <c r="P345" s="2"/>
    </row>
  </sheetData>
  <autoFilter ref="A9:R225"/>
  <sortState ref="A10:R223">
    <sortCondition ref="A10:A223"/>
    <sortCondition ref="C10:C223"/>
    <sortCondition ref="B10:B223"/>
  </sortState>
  <mergeCells count="8">
    <mergeCell ref="D8:L8"/>
    <mergeCell ref="A1:S1"/>
    <mergeCell ref="A4:S4"/>
    <mergeCell ref="A2:S2"/>
    <mergeCell ref="A7:S7"/>
    <mergeCell ref="A6:S6"/>
    <mergeCell ref="A3:O3"/>
    <mergeCell ref="A5:N5"/>
  </mergeCells>
  <printOptions gridLines="1"/>
  <pageMargins left="0.7" right="0.7" top="0.25" bottom="0.25" header="0.3" footer="0.3"/>
  <pageSetup scale="6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249977111117893"/>
    <pageSetUpPr fitToPage="1"/>
  </sheetPr>
  <dimension ref="A1:V344"/>
  <sheetViews>
    <sheetView workbookViewId="0">
      <pane xSplit="5" ySplit="8" topLeftCell="F9" activePane="bottomRight" state="frozen"/>
      <selection pane="topRight" activeCell="F1" sqref="F1"/>
      <selection pane="bottomLeft" activeCell="A9" sqref="A9"/>
      <selection pane="bottomRight" activeCell="C26" sqref="C26"/>
    </sheetView>
  </sheetViews>
  <sheetFormatPr defaultRowHeight="24.95" customHeight="1" x14ac:dyDescent="0.2"/>
  <cols>
    <col min="1" max="2" width="20.7109375" style="118" customWidth="1"/>
    <col min="3" max="7" width="15.7109375" style="118" customWidth="1"/>
    <col min="8" max="8" width="12.42578125" style="32" customWidth="1"/>
    <col min="9" max="9" width="12" style="32" customWidth="1"/>
    <col min="10" max="10" width="11.7109375" style="33" customWidth="1"/>
    <col min="11" max="11" width="16.42578125" style="33" customWidth="1"/>
    <col min="12" max="12" width="12.28515625" style="34" customWidth="1"/>
    <col min="13" max="13" width="12" style="794" customWidth="1"/>
    <col min="14" max="14" width="11.140625" style="35" customWidth="1"/>
    <col min="15" max="15" width="27.5703125" style="366" customWidth="1"/>
    <col min="16" max="16" width="15.7109375" style="32" customWidth="1"/>
    <col min="17" max="17" width="15.140625" style="32" customWidth="1"/>
    <col min="18" max="18" width="33" style="260" customWidth="1"/>
    <col min="19" max="19" width="28.28515625" style="32" bestFit="1" customWidth="1"/>
    <col min="20" max="20" width="25.5703125" style="3" bestFit="1" customWidth="1"/>
    <col min="21" max="21" width="20.42578125" style="3" bestFit="1" customWidth="1"/>
    <col min="22" max="22" width="17.85546875" style="3" bestFit="1" customWidth="1"/>
    <col min="23" max="16384" width="9.140625" style="3"/>
  </cols>
  <sheetData>
    <row r="1" spans="1:22" s="45" customFormat="1" ht="12.75" x14ac:dyDescent="0.2">
      <c r="A1" s="895" t="s">
        <v>1083</v>
      </c>
      <c r="B1" s="895"/>
      <c r="C1" s="895"/>
      <c r="D1" s="895"/>
      <c r="E1" s="895"/>
      <c r="F1" s="895"/>
      <c r="G1" s="895"/>
      <c r="H1" s="895"/>
      <c r="I1" s="895"/>
      <c r="J1" s="895"/>
      <c r="K1" s="895"/>
      <c r="L1" s="895"/>
      <c r="M1" s="895"/>
      <c r="N1" s="895"/>
      <c r="O1" s="895"/>
      <c r="P1" s="895"/>
      <c r="Q1" s="895"/>
      <c r="R1" s="260"/>
      <c r="S1" s="119"/>
    </row>
    <row r="2" spans="1:22" s="45" customFormat="1" ht="12.75" x14ac:dyDescent="0.2">
      <c r="A2" s="895" t="s">
        <v>541</v>
      </c>
      <c r="B2" s="895"/>
      <c r="C2" s="895"/>
      <c r="D2" s="895"/>
      <c r="E2" s="895"/>
      <c r="F2" s="895"/>
      <c r="G2" s="895"/>
      <c r="H2" s="895"/>
      <c r="I2" s="895"/>
      <c r="J2" s="895"/>
      <c r="K2" s="895"/>
      <c r="L2" s="895"/>
      <c r="M2" s="895"/>
      <c r="N2" s="895"/>
      <c r="O2" s="895"/>
      <c r="P2" s="895"/>
      <c r="Q2" s="895"/>
      <c r="R2" s="260"/>
      <c r="S2" s="119"/>
    </row>
    <row r="3" spans="1:22" s="45" customFormat="1" ht="12.75" x14ac:dyDescent="0.2">
      <c r="A3" s="895" t="s">
        <v>635</v>
      </c>
      <c r="B3" s="895"/>
      <c r="C3" s="895"/>
      <c r="D3" s="895"/>
      <c r="E3" s="895"/>
      <c r="F3" s="895"/>
      <c r="G3" s="895"/>
      <c r="H3" s="895"/>
      <c r="I3" s="895"/>
      <c r="J3" s="895"/>
      <c r="K3" s="895"/>
      <c r="L3" s="895"/>
      <c r="M3" s="895"/>
      <c r="N3" s="895"/>
      <c r="O3" s="895"/>
      <c r="P3" s="895"/>
      <c r="Q3" s="895"/>
      <c r="R3" s="260"/>
      <c r="S3" s="119"/>
    </row>
    <row r="4" spans="1:22" s="45" customFormat="1" ht="12.75" x14ac:dyDescent="0.2">
      <c r="A4" s="895" t="s">
        <v>1202</v>
      </c>
      <c r="B4" s="895"/>
      <c r="C4" s="895"/>
      <c r="D4" s="895"/>
      <c r="E4" s="895"/>
      <c r="F4" s="895"/>
      <c r="G4" s="895"/>
      <c r="H4" s="895"/>
      <c r="I4" s="895"/>
      <c r="J4" s="895"/>
      <c r="K4" s="895"/>
      <c r="L4" s="895"/>
      <c r="M4" s="895"/>
      <c r="N4" s="895"/>
      <c r="O4" s="895"/>
      <c r="P4" s="895"/>
      <c r="Q4" s="895"/>
      <c r="R4" s="260"/>
      <c r="S4" s="119"/>
    </row>
    <row r="5" spans="1:22" s="45" customFormat="1" ht="29.25" customHeight="1" x14ac:dyDescent="0.25">
      <c r="A5" s="894" t="s">
        <v>1043</v>
      </c>
      <c r="B5" s="894"/>
      <c r="C5" s="894"/>
      <c r="D5" s="894"/>
      <c r="E5" s="894"/>
      <c r="F5" s="894"/>
      <c r="G5" s="894"/>
      <c r="H5" s="894"/>
      <c r="I5" s="894"/>
      <c r="J5" s="894"/>
      <c r="K5" s="894"/>
      <c r="L5" s="894"/>
      <c r="M5" s="894"/>
      <c r="N5" s="894"/>
      <c r="O5" s="894"/>
      <c r="P5" s="894"/>
      <c r="Q5" s="894"/>
      <c r="R5" s="894"/>
      <c r="S5" s="99"/>
      <c r="T5" s="47"/>
      <c r="U5" s="47"/>
      <c r="V5" s="47"/>
    </row>
    <row r="6" spans="1:22" s="45" customFormat="1" ht="15" x14ac:dyDescent="0.25">
      <c r="A6" s="895" t="s">
        <v>623</v>
      </c>
      <c r="B6" s="895"/>
      <c r="C6" s="895"/>
      <c r="D6" s="895"/>
      <c r="E6" s="895"/>
      <c r="F6" s="895"/>
      <c r="G6" s="895"/>
      <c r="H6" s="895"/>
      <c r="I6" s="895"/>
      <c r="J6" s="895"/>
      <c r="K6" s="895"/>
      <c r="L6" s="895"/>
      <c r="M6" s="895"/>
      <c r="N6" s="895"/>
      <c r="O6" s="895"/>
      <c r="P6" s="895"/>
      <c r="Q6" s="895"/>
      <c r="R6" s="895"/>
      <c r="S6" s="99"/>
      <c r="T6" s="47"/>
      <c r="U6" s="47"/>
      <c r="V6" s="47"/>
    </row>
    <row r="7" spans="1:22" s="45" customFormat="1" ht="24.95" customHeight="1" thickBot="1" x14ac:dyDescent="0.3">
      <c r="A7" s="893" t="s">
        <v>1144</v>
      </c>
      <c r="B7" s="893"/>
      <c r="C7" s="893"/>
      <c r="D7" s="893"/>
      <c r="E7" s="893"/>
      <c r="F7" s="893"/>
      <c r="G7" s="893"/>
      <c r="H7" s="893"/>
      <c r="I7" s="893"/>
      <c r="J7" s="893"/>
      <c r="K7" s="893"/>
      <c r="L7" s="893"/>
      <c r="M7" s="893"/>
      <c r="N7" s="893"/>
      <c r="O7" s="893"/>
      <c r="P7" s="893"/>
      <c r="Q7" s="893"/>
      <c r="R7" s="893"/>
      <c r="S7" s="893"/>
      <c r="T7" s="332"/>
      <c r="U7" s="332"/>
      <c r="V7" s="740"/>
    </row>
    <row r="8" spans="1:22" ht="120.75" thickBot="1" x14ac:dyDescent="0.3">
      <c r="A8" s="91" t="s">
        <v>0</v>
      </c>
      <c r="B8" s="91" t="s">
        <v>1</v>
      </c>
      <c r="C8" s="91" t="s">
        <v>604</v>
      </c>
      <c r="D8" s="92" t="s">
        <v>618</v>
      </c>
      <c r="E8" s="92" t="s">
        <v>620</v>
      </c>
      <c r="F8" s="94" t="s">
        <v>18</v>
      </c>
      <c r="G8" s="94" t="s">
        <v>19</v>
      </c>
      <c r="H8" s="93" t="s">
        <v>556</v>
      </c>
      <c r="I8" s="94" t="s">
        <v>557</v>
      </c>
      <c r="J8" s="95" t="s">
        <v>626</v>
      </c>
      <c r="K8" s="94" t="s">
        <v>555</v>
      </c>
      <c r="L8" s="94" t="s">
        <v>627</v>
      </c>
      <c r="M8" s="93" t="s">
        <v>1201</v>
      </c>
      <c r="N8" s="96" t="s">
        <v>4</v>
      </c>
      <c r="O8" s="363" t="s">
        <v>20</v>
      </c>
      <c r="P8" s="255" t="s">
        <v>5</v>
      </c>
      <c r="Q8" s="255" t="s">
        <v>6</v>
      </c>
      <c r="R8" s="255" t="s">
        <v>552</v>
      </c>
      <c r="S8" s="137" t="s">
        <v>553</v>
      </c>
    </row>
    <row r="9" spans="1:22" customFormat="1" ht="30" x14ac:dyDescent="0.25">
      <c r="A9" s="157" t="s">
        <v>29</v>
      </c>
      <c r="B9" s="347" t="s">
        <v>30</v>
      </c>
      <c r="C9" s="257" t="s">
        <v>30</v>
      </c>
      <c r="D9" s="171" t="s">
        <v>545</v>
      </c>
      <c r="E9" s="171" t="s">
        <v>546</v>
      </c>
      <c r="F9" s="265">
        <f>K9*3.412</f>
        <v>6317.4340080000002</v>
      </c>
      <c r="G9" s="265">
        <f t="shared" ref="G9:G72" si="0">L9*M9</f>
        <v>19622.63</v>
      </c>
      <c r="H9" s="264">
        <v>73.150000000000006</v>
      </c>
      <c r="I9" s="265">
        <f>(G9*H9)/1000</f>
        <v>1435.3953845000001</v>
      </c>
      <c r="J9" s="261">
        <f>IF(F9&gt;0,IFERROR(F9/G9," ")," ")</f>
        <v>0.32194634501083697</v>
      </c>
      <c r="K9" s="266">
        <v>1851.5340000000001</v>
      </c>
      <c r="L9" s="266">
        <v>141170</v>
      </c>
      <c r="M9" s="789">
        <v>0.13900000000000001</v>
      </c>
      <c r="N9" s="97" t="s">
        <v>356</v>
      </c>
      <c r="O9" s="367">
        <f t="array" ref="O9">INDEX(UtilityList!Q$4:Q$251,MATCH('Table 2.4a'!$A9&amp;'Table 2.4a'!$B9&amp;'Table 2.4a'!$C9,UtilityList!$A$4:$A$251&amp;UtilityList!$B$4:$B$251&amp;UtilityList!$C$4:$C$251,0))</f>
        <v>0</v>
      </c>
      <c r="P9" s="367" t="str">
        <f t="array" ref="P9">IFERROR(INDEX(UtilityList!J$4:J$251,MATCH('Table 2.4a'!$A9&amp;'Table 2.4a'!$B9&amp;'Table 2.4a'!$C9,UtilityList!$A$4:$A$251&amp;UtilityList!$B$4:$B$251&amp;UtilityList!$C$4:$C$251,0)), INDEX(UtilityList!J$4:J$251,MATCH('Table 2.4a'!$A9&amp;'Table 2.4a'!$C9,UtilityList!$A$4:$A$251&amp;UtilityList!$C$4:$C$251,0)))</f>
        <v>Lower Yukon-Kuskokwim</v>
      </c>
      <c r="Q9" s="367" t="str">
        <f t="array" ref="Q9">IFERROR(INDEX(UtilityList!K$4:K$251,MATCH('Table 2.4a'!$A9&amp;'Table 2.4a'!$B9&amp;'Table 2.4a'!$C9,UtilityList!$A$4:$A$251&amp;UtilityList!$B$4:$B$251&amp;UtilityList!$C$4:$C$251,0)), INDEX(UtilityList!K$4:K$251,MATCH('Table 2.4a'!$A9&amp;'Table 2.4a'!$C9,UtilityList!$A$4:$A$251&amp;UtilityList!$C$4:$C$251,0)))</f>
        <v>Bethel (CA)</v>
      </c>
      <c r="R9" s="367" t="str">
        <f t="array" ref="R9">IFERROR(INDEX(UtilityList!L$4:L$251,MATCH('Table 2.4a'!$A9&amp;'Table 2.4a'!$B9&amp;'Table 2.4a'!$C9,UtilityList!$A$4:$A$251&amp;UtilityList!$B$4:$B$251&amp;UtilityList!$C$4:$C$251,0)), INDEX(UtilityList!L$4:L$251,MATCH('Table 2.4a'!$A9&amp;'Table 2.4a'!$C9,UtilityList!$A$4:$A$251&amp;UtilityList!$C$4:$C$251,0)))</f>
        <v>Calista</v>
      </c>
      <c r="S9" s="367" t="str">
        <f t="array" ref="S9">IFERROR(INDEX(UtilityList!M$4:M$251,MATCH('Table 2.4a'!$A9&amp;'Table 2.4a'!$B9&amp;'Table 2.4a'!$C9,UtilityList!$A$4:$A$251&amp;UtilityList!$B$4:$B$251&amp;UtilityList!$C$4:$C$251,0)), INDEX(UtilityList!M$4:M$251,MATCH('Table 2.4a'!$A9&amp;'Table 2.4a'!$C9,UtilityList!$A$4:$A$251&amp;UtilityList!$C$4:$C$251,0)))</f>
        <v>SW</v>
      </c>
    </row>
    <row r="10" spans="1:22" customFormat="1" ht="30" x14ac:dyDescent="0.25">
      <c r="A10" s="678" t="s">
        <v>31</v>
      </c>
      <c r="B10" s="361" t="s">
        <v>32</v>
      </c>
      <c r="C10" s="679" t="s">
        <v>32</v>
      </c>
      <c r="D10" s="680" t="s">
        <v>545</v>
      </c>
      <c r="E10" s="680" t="s">
        <v>546</v>
      </c>
      <c r="F10" s="694">
        <f t="shared" ref="F10:F73" si="1">K10*3.412</f>
        <v>3512.7597719999999</v>
      </c>
      <c r="G10" s="694">
        <f t="shared" si="0"/>
        <v>12092.027000000002</v>
      </c>
      <c r="H10" s="695">
        <v>73.150000000000006</v>
      </c>
      <c r="I10" s="694">
        <f t="shared" ref="I10:I73" si="2">(G10*H10)/1000</f>
        <v>884.53177505000019</v>
      </c>
      <c r="J10" s="696">
        <f t="shared" ref="J10:J73" si="3">IF(F10&gt;0,IFERROR(F10/G10," ")," ")</f>
        <v>0.29050214426415022</v>
      </c>
      <c r="K10" s="697">
        <v>1029.5309999999999</v>
      </c>
      <c r="L10" s="697">
        <v>86993</v>
      </c>
      <c r="M10" s="790">
        <v>0.13900000000000001</v>
      </c>
      <c r="N10" s="658" t="s">
        <v>356</v>
      </c>
      <c r="O10" s="698">
        <f t="array" ref="O10">INDEX(UtilityList!Q$4:Q$251,MATCH('Table 2.4a'!$A10&amp;'Table 2.4a'!$B10&amp;'Table 2.4a'!$C10,UtilityList!$A$4:$A$251&amp;UtilityList!$B$4:$B$251&amp;UtilityList!$C$4:$C$251,0))</f>
        <v>0</v>
      </c>
      <c r="P10" s="698" t="str">
        <f t="array" ref="P10">IFERROR(INDEX(UtilityList!J$4:J$251,MATCH('Table 2.4a'!$A10&amp;'Table 2.4a'!$B10&amp;'Table 2.4a'!$C10,UtilityList!$A$4:$A$251&amp;UtilityList!$B$4:$B$251&amp;UtilityList!$C$4:$C$251,0)), INDEX(UtilityList!J$4:J$251,MATCH('Table 2.4a'!$A10&amp;'Table 2.4a'!$C10,UtilityList!$A$4:$A$251&amp;UtilityList!$C$4:$C$251,0)))</f>
        <v>Lower Yukon-Kuskokwim</v>
      </c>
      <c r="Q10" s="698" t="str">
        <f t="array" ref="Q10">IFERROR(INDEX(UtilityList!K$4:K$251,MATCH('Table 2.4a'!$A10&amp;'Table 2.4a'!$B10&amp;'Table 2.4a'!$C10,UtilityList!$A$4:$A$251&amp;UtilityList!$B$4:$B$251&amp;UtilityList!$C$4:$C$251,0)), INDEX(UtilityList!K$4:K$251,MATCH('Table 2.4a'!$A10&amp;'Table 2.4a'!$C10,UtilityList!$A$4:$A$251&amp;UtilityList!$C$4:$C$251,0)))</f>
        <v>Bethel (CA)</v>
      </c>
      <c r="R10" s="698" t="str">
        <f t="array" ref="R10">IFERROR(INDEX(UtilityList!L$4:L$251,MATCH('Table 2.4a'!$A10&amp;'Table 2.4a'!$B10&amp;'Table 2.4a'!$C10,UtilityList!$A$4:$A$251&amp;UtilityList!$B$4:$B$251&amp;UtilityList!$C$4:$C$251,0)), INDEX(UtilityList!L$4:L$251,MATCH('Table 2.4a'!$A10&amp;'Table 2.4a'!$C10,UtilityList!$A$4:$A$251&amp;UtilityList!$C$4:$C$251,0)))</f>
        <v>Calista</v>
      </c>
      <c r="S10" s="698" t="str">
        <f t="array" ref="S10">IFERROR(INDEX(UtilityList!M$4:M$251,MATCH('Table 2.4a'!$A10&amp;'Table 2.4a'!$B10&amp;'Table 2.4a'!$C10,UtilityList!$A$4:$A$251&amp;UtilityList!$B$4:$B$251&amp;UtilityList!$C$4:$C$251,0)), INDEX(UtilityList!M$4:M$251,MATCH('Table 2.4a'!$A10&amp;'Table 2.4a'!$C10,UtilityList!$A$4:$A$251&amp;UtilityList!$C$4:$C$251,0)))</f>
        <v>SW</v>
      </c>
    </row>
    <row r="11" spans="1:22" customFormat="1" ht="15" x14ac:dyDescent="0.25">
      <c r="A11" s="678" t="s">
        <v>33</v>
      </c>
      <c r="B11" s="361" t="s">
        <v>34</v>
      </c>
      <c r="C11" s="679" t="s">
        <v>34</v>
      </c>
      <c r="D11" s="680" t="s">
        <v>545</v>
      </c>
      <c r="E11" s="680" t="s">
        <v>546</v>
      </c>
      <c r="F11" s="694">
        <f t="shared" si="1"/>
        <v>1670.4148871999998</v>
      </c>
      <c r="G11" s="694">
        <f t="shared" si="0"/>
        <v>6302.9550000000008</v>
      </c>
      <c r="H11" s="695">
        <v>73.150000000000006</v>
      </c>
      <c r="I11" s="694">
        <f t="shared" si="2"/>
        <v>461.06115825000012</v>
      </c>
      <c r="J11" s="696">
        <f t="shared" si="3"/>
        <v>0.26502091276234713</v>
      </c>
      <c r="K11" s="697">
        <v>489.57059999999996</v>
      </c>
      <c r="L11" s="697">
        <v>45345</v>
      </c>
      <c r="M11" s="790">
        <v>0.13900000000000001</v>
      </c>
      <c r="N11" s="658" t="s">
        <v>356</v>
      </c>
      <c r="O11" s="698">
        <f t="array" ref="O11">INDEX(UtilityList!Q$4:Q$251,MATCH('Table 2.4a'!$A11&amp;'Table 2.4a'!$B11&amp;'Table 2.4a'!$C11,UtilityList!$A$4:$A$251&amp;UtilityList!$B$4:$B$251&amp;UtilityList!$C$4:$C$251,0))</f>
        <v>0</v>
      </c>
      <c r="P11" s="698" t="str">
        <f t="array" ref="P11">IFERROR(INDEX(UtilityList!J$4:J$251,MATCH('Table 2.4a'!$A11&amp;'Table 2.4a'!$B11&amp;'Table 2.4a'!$C11,UtilityList!$A$4:$A$251&amp;UtilityList!$B$4:$B$251&amp;UtilityList!$C$4:$C$251,0)), INDEX(UtilityList!J$4:J$251,MATCH('Table 2.4a'!$A11&amp;'Table 2.4a'!$C11,UtilityList!$A$4:$A$251&amp;UtilityList!$C$4:$C$251,0)))</f>
        <v>Aleutians</v>
      </c>
      <c r="Q11" s="698" t="str">
        <f t="array" ref="Q11">IFERROR(INDEX(UtilityList!K$4:K$251,MATCH('Table 2.4a'!$A11&amp;'Table 2.4a'!$B11&amp;'Table 2.4a'!$C11,UtilityList!$A$4:$A$251&amp;UtilityList!$B$4:$B$251&amp;UtilityList!$C$4:$C$251,0)), INDEX(UtilityList!K$4:K$251,MATCH('Table 2.4a'!$A11&amp;'Table 2.4a'!$C11,UtilityList!$A$4:$A$251&amp;UtilityList!$C$4:$C$251,0)))</f>
        <v>Aleutians East</v>
      </c>
      <c r="R11" s="698" t="str">
        <f t="array" ref="R11">IFERROR(INDEX(UtilityList!L$4:L$251,MATCH('Table 2.4a'!$A11&amp;'Table 2.4a'!$B11&amp;'Table 2.4a'!$C11,UtilityList!$A$4:$A$251&amp;UtilityList!$B$4:$B$251&amp;UtilityList!$C$4:$C$251,0)), INDEX(UtilityList!L$4:L$251,MATCH('Table 2.4a'!$A11&amp;'Table 2.4a'!$C11,UtilityList!$A$4:$A$251&amp;UtilityList!$C$4:$C$251,0)))</f>
        <v>Aleut</v>
      </c>
      <c r="S11" s="698" t="str">
        <f t="array" ref="S11">IFERROR(INDEX(UtilityList!M$4:M$251,MATCH('Table 2.4a'!$A11&amp;'Table 2.4a'!$B11&amp;'Table 2.4a'!$C11,UtilityList!$A$4:$A$251&amp;UtilityList!$B$4:$B$251&amp;UtilityList!$C$4:$C$251,0)), INDEX(UtilityList!M$4:M$251,MATCH('Table 2.4a'!$A11&amp;'Table 2.4a'!$C11,UtilityList!$A$4:$A$251&amp;UtilityList!$C$4:$C$251,0)))</f>
        <v>SW</v>
      </c>
    </row>
    <row r="12" spans="1:22" s="169" customFormat="1" ht="30" x14ac:dyDescent="0.25">
      <c r="A12" s="361" t="s">
        <v>523</v>
      </c>
      <c r="B12" s="361" t="s">
        <v>37</v>
      </c>
      <c r="C12" s="361" t="s">
        <v>36</v>
      </c>
      <c r="D12" s="622" t="s">
        <v>545</v>
      </c>
      <c r="E12" s="622" t="s">
        <v>560</v>
      </c>
      <c r="F12" s="694">
        <f t="shared" si="1"/>
        <v>3633.7799999999997</v>
      </c>
      <c r="G12" s="694">
        <f t="shared" si="0"/>
        <v>18903.444000000003</v>
      </c>
      <c r="H12" s="695">
        <v>73.150000000000006</v>
      </c>
      <c r="I12" s="694">
        <f t="shared" si="2"/>
        <v>1382.7869286000005</v>
      </c>
      <c r="J12" s="696">
        <f t="shared" si="3"/>
        <v>0.19222846376565028</v>
      </c>
      <c r="K12" s="697">
        <v>1065</v>
      </c>
      <c r="L12" s="697">
        <v>135996</v>
      </c>
      <c r="M12" s="790">
        <v>0.13900000000000001</v>
      </c>
      <c r="N12" s="658" t="s">
        <v>558</v>
      </c>
      <c r="O12" s="698">
        <f t="array" ref="O12">INDEX(UtilityList!Q$4:Q$251,MATCH('Table 2.4a'!$A12&amp;'Table 2.4a'!$B12&amp;'Table 2.4a'!$C12,UtilityList!$A$4:$A$251&amp;UtilityList!$B$4:$B$251&amp;UtilityList!$C$4:$C$251,0))</f>
        <v>0</v>
      </c>
      <c r="P12" s="698" t="str">
        <f t="array" ref="P12">IFERROR(INDEX(UtilityList!J$4:J$251,MATCH('Table 2.4a'!$A12&amp;'Table 2.4a'!$B12&amp;'Table 2.4a'!$C12,UtilityList!$A$4:$A$251&amp;UtilityList!$B$4:$B$251&amp;UtilityList!$C$4:$C$251,0)), INDEX(UtilityList!J$4:J$251,MATCH('Table 2.4a'!$A12&amp;'Table 2.4a'!$C12,UtilityList!$A$4:$A$251&amp;UtilityList!$C$4:$C$251,0)))</f>
        <v>Southeast</v>
      </c>
      <c r="Q12" s="698" t="str">
        <f t="array" ref="Q12">IFERROR(INDEX(UtilityList!K$4:K$251,MATCH('Table 2.4a'!$A12&amp;'Table 2.4a'!$B12&amp;'Table 2.4a'!$C12,UtilityList!$A$4:$A$251&amp;UtilityList!$B$4:$B$251&amp;UtilityList!$C$4:$C$251,0)), INDEX(UtilityList!K$4:K$251,MATCH('Table 2.4a'!$A12&amp;'Table 2.4a'!$C12,UtilityList!$A$4:$A$251&amp;UtilityList!$C$4:$C$251,0)))</f>
        <v>Juneau</v>
      </c>
      <c r="R12" s="698" t="str">
        <f t="array" ref="R12">IFERROR(INDEX(UtilityList!L$4:L$251,MATCH('Table 2.4a'!$A12&amp;'Table 2.4a'!$B12&amp;'Table 2.4a'!$C12,UtilityList!$A$4:$A$251&amp;UtilityList!$B$4:$B$251&amp;UtilityList!$C$4:$C$251,0)), INDEX(UtilityList!L$4:L$251,MATCH('Table 2.4a'!$A12&amp;'Table 2.4a'!$C12,UtilityList!$A$4:$A$251&amp;UtilityList!$C$4:$C$251,0)))</f>
        <v>Sealaska</v>
      </c>
      <c r="S12" s="698" t="str">
        <f t="array" ref="S12">IFERROR(INDEX(UtilityList!M$4:M$251,MATCH('Table 2.4a'!$A12&amp;'Table 2.4a'!$B12&amp;'Table 2.4a'!$C12,UtilityList!$A$4:$A$251&amp;UtilityList!$B$4:$B$251&amp;UtilityList!$C$4:$C$251,0)), INDEX(UtilityList!M$4:M$251,MATCH('Table 2.4a'!$A12&amp;'Table 2.4a'!$C12,UtilityList!$A$4:$A$251&amp;UtilityList!$C$4:$C$251,0)))</f>
        <v>SE</v>
      </c>
    </row>
    <row r="13" spans="1:22" s="169" customFormat="1" ht="30" x14ac:dyDescent="0.25">
      <c r="A13" s="361" t="s">
        <v>523</v>
      </c>
      <c r="B13" s="361" t="s">
        <v>37</v>
      </c>
      <c r="C13" s="361" t="s">
        <v>36</v>
      </c>
      <c r="D13" s="622" t="s">
        <v>545</v>
      </c>
      <c r="E13" s="622" t="s">
        <v>546</v>
      </c>
      <c r="F13" s="694">
        <f t="shared" si="1"/>
        <v>184.24799999999999</v>
      </c>
      <c r="G13" s="694">
        <f t="shared" si="0"/>
        <v>683.04600000000005</v>
      </c>
      <c r="H13" s="695">
        <v>73.150000000000006</v>
      </c>
      <c r="I13" s="694">
        <f t="shared" si="2"/>
        <v>49.964814900000007</v>
      </c>
      <c r="J13" s="696">
        <f t="shared" si="3"/>
        <v>0.26974464384536323</v>
      </c>
      <c r="K13" s="697">
        <v>54</v>
      </c>
      <c r="L13" s="697">
        <v>4914</v>
      </c>
      <c r="M13" s="790">
        <v>0.13900000000000001</v>
      </c>
      <c r="N13" s="658" t="s">
        <v>558</v>
      </c>
      <c r="O13" s="698">
        <f t="array" ref="O13">INDEX(UtilityList!Q$4:Q$251,MATCH('Table 2.4a'!$A13&amp;'Table 2.4a'!$B13&amp;'Table 2.4a'!$C13,UtilityList!$A$4:$A$251&amp;UtilityList!$B$4:$B$251&amp;UtilityList!$C$4:$C$251,0))</f>
        <v>0</v>
      </c>
      <c r="P13" s="698" t="str">
        <f t="array" ref="P13">IFERROR(INDEX(UtilityList!J$4:J$251,MATCH('Table 2.4a'!$A13&amp;'Table 2.4a'!$B13&amp;'Table 2.4a'!$C13,UtilityList!$A$4:$A$251&amp;UtilityList!$B$4:$B$251&amp;UtilityList!$C$4:$C$251,0)), INDEX(UtilityList!J$4:J$251,MATCH('Table 2.4a'!$A13&amp;'Table 2.4a'!$C13,UtilityList!$A$4:$A$251&amp;UtilityList!$C$4:$C$251,0)))</f>
        <v>Southeast</v>
      </c>
      <c r="Q13" s="698" t="str">
        <f t="array" ref="Q13">IFERROR(INDEX(UtilityList!K$4:K$251,MATCH('Table 2.4a'!$A13&amp;'Table 2.4a'!$B13&amp;'Table 2.4a'!$C13,UtilityList!$A$4:$A$251&amp;UtilityList!$B$4:$B$251&amp;UtilityList!$C$4:$C$251,0)), INDEX(UtilityList!K$4:K$251,MATCH('Table 2.4a'!$A13&amp;'Table 2.4a'!$C13,UtilityList!$A$4:$A$251&amp;UtilityList!$C$4:$C$251,0)))</f>
        <v>Juneau</v>
      </c>
      <c r="R13" s="698" t="str">
        <f t="array" ref="R13">IFERROR(INDEX(UtilityList!L$4:L$251,MATCH('Table 2.4a'!$A13&amp;'Table 2.4a'!$B13&amp;'Table 2.4a'!$C13,UtilityList!$A$4:$A$251&amp;UtilityList!$B$4:$B$251&amp;UtilityList!$C$4:$C$251,0)), INDEX(UtilityList!L$4:L$251,MATCH('Table 2.4a'!$A13&amp;'Table 2.4a'!$C13,UtilityList!$A$4:$A$251&amp;UtilityList!$C$4:$C$251,0)))</f>
        <v>Sealaska</v>
      </c>
      <c r="S13" s="698" t="str">
        <f t="array" ref="S13">IFERROR(INDEX(UtilityList!M$4:M$251,MATCH('Table 2.4a'!$A13&amp;'Table 2.4a'!$B13&amp;'Table 2.4a'!$C13,UtilityList!$A$4:$A$251&amp;UtilityList!$B$4:$B$251&amp;UtilityList!$C$4:$C$251,0)), INDEX(UtilityList!M$4:M$251,MATCH('Table 2.4a'!$A13&amp;'Table 2.4a'!$C13,UtilityList!$A$4:$A$251&amp;UtilityList!$C$4:$C$251,0)))</f>
        <v>SE</v>
      </c>
    </row>
    <row r="14" spans="1:22" s="169" customFormat="1" ht="30" x14ac:dyDescent="0.25">
      <c r="A14" s="361" t="s">
        <v>523</v>
      </c>
      <c r="B14" s="361" t="s">
        <v>38</v>
      </c>
      <c r="C14" s="361" t="s">
        <v>36</v>
      </c>
      <c r="D14" s="622" t="s">
        <v>545</v>
      </c>
      <c r="E14" s="622" t="s">
        <v>546</v>
      </c>
      <c r="F14" s="694">
        <f t="shared" si="1"/>
        <v>78.475999999999999</v>
      </c>
      <c r="G14" s="694">
        <f t="shared" si="0"/>
        <v>169.30200000000002</v>
      </c>
      <c r="H14" s="695">
        <v>73.150000000000006</v>
      </c>
      <c r="I14" s="694">
        <f t="shared" si="2"/>
        <v>12.384441300000002</v>
      </c>
      <c r="J14" s="696">
        <f t="shared" si="3"/>
        <v>0.46352671557335406</v>
      </c>
      <c r="K14" s="697">
        <v>23</v>
      </c>
      <c r="L14" s="697">
        <v>1218</v>
      </c>
      <c r="M14" s="790">
        <v>0.13900000000000001</v>
      </c>
      <c r="N14" s="658" t="s">
        <v>558</v>
      </c>
      <c r="O14" s="698">
        <f t="array" ref="O14">INDEX(UtilityList!Q$4:Q$251,MATCH('Table 2.4a'!$A14&amp;'Table 2.4a'!$B14&amp;'Table 2.4a'!$C14,UtilityList!$A$4:$A$251&amp;UtilityList!$B$4:$B$251&amp;UtilityList!$C$4:$C$251,0))</f>
        <v>0</v>
      </c>
      <c r="P14" s="698" t="str">
        <f t="array" ref="P14">IFERROR(INDEX(UtilityList!J$4:J$251,MATCH('Table 2.4a'!$A14&amp;'Table 2.4a'!$B14&amp;'Table 2.4a'!$C14,UtilityList!$A$4:$A$251&amp;UtilityList!$B$4:$B$251&amp;UtilityList!$C$4:$C$251,0)), INDEX(UtilityList!J$4:J$251,MATCH('Table 2.4a'!$A14&amp;'Table 2.4a'!$C14,UtilityList!$A$4:$A$251&amp;UtilityList!$C$4:$C$251,0)))</f>
        <v>Southeast</v>
      </c>
      <c r="Q14" s="698" t="str">
        <f t="array" ref="Q14">IFERROR(INDEX(UtilityList!K$4:K$251,MATCH('Table 2.4a'!$A14&amp;'Table 2.4a'!$B14&amp;'Table 2.4a'!$C14,UtilityList!$A$4:$A$251&amp;UtilityList!$B$4:$B$251&amp;UtilityList!$C$4:$C$251,0)), INDEX(UtilityList!K$4:K$251,MATCH('Table 2.4a'!$A14&amp;'Table 2.4a'!$C14,UtilityList!$A$4:$A$251&amp;UtilityList!$C$4:$C$251,0)))</f>
        <v>Juneau</v>
      </c>
      <c r="R14" s="698" t="str">
        <f t="array" ref="R14">IFERROR(INDEX(UtilityList!L$4:L$251,MATCH('Table 2.4a'!$A14&amp;'Table 2.4a'!$B14&amp;'Table 2.4a'!$C14,UtilityList!$A$4:$A$251&amp;UtilityList!$B$4:$B$251&amp;UtilityList!$C$4:$C$251,0)), INDEX(UtilityList!L$4:L$251,MATCH('Table 2.4a'!$A14&amp;'Table 2.4a'!$C14,UtilityList!$A$4:$A$251&amp;UtilityList!$C$4:$C$251,0)))</f>
        <v>Sealaska</v>
      </c>
      <c r="S14" s="698" t="str">
        <f t="array" ref="S14">IFERROR(INDEX(UtilityList!M$4:M$251,MATCH('Table 2.4a'!$A14&amp;'Table 2.4a'!$B14&amp;'Table 2.4a'!$C14,UtilityList!$A$4:$A$251&amp;UtilityList!$B$4:$B$251&amp;UtilityList!$C$4:$C$251,0)), INDEX(UtilityList!M$4:M$251,MATCH('Table 2.4a'!$A14&amp;'Table 2.4a'!$C14,UtilityList!$A$4:$A$251&amp;UtilityList!$C$4:$C$251,0)))</f>
        <v>SE</v>
      </c>
    </row>
    <row r="15" spans="1:22" s="169" customFormat="1" ht="30" x14ac:dyDescent="0.25">
      <c r="A15" s="360" t="s">
        <v>523</v>
      </c>
      <c r="B15" s="452" t="s">
        <v>40</v>
      </c>
      <c r="C15" s="452" t="s">
        <v>36</v>
      </c>
      <c r="D15" s="622" t="s">
        <v>545</v>
      </c>
      <c r="E15" s="622" t="s">
        <v>560</v>
      </c>
      <c r="F15" s="694">
        <f t="shared" si="1"/>
        <v>4346.8879999999999</v>
      </c>
      <c r="G15" s="694">
        <f t="shared" si="0"/>
        <v>23369.514000000003</v>
      </c>
      <c r="H15" s="695">
        <v>73.150000000000006</v>
      </c>
      <c r="I15" s="694">
        <f t="shared" si="2"/>
        <v>1709.4799491000003</v>
      </c>
      <c r="J15" s="696">
        <f t="shared" si="3"/>
        <v>0.18600677789020342</v>
      </c>
      <c r="K15" s="697">
        <v>1274</v>
      </c>
      <c r="L15" s="697">
        <v>168126</v>
      </c>
      <c r="M15" s="790">
        <v>0.13900000000000001</v>
      </c>
      <c r="N15" s="658" t="s">
        <v>558</v>
      </c>
      <c r="O15" s="698">
        <f t="array" ref="O15">INDEX(UtilityList!Q$4:Q$251,MATCH('Table 2.4a'!$A15&amp;'Table 2.4a'!$B15&amp;'Table 2.4a'!$C15,UtilityList!$A$4:$A$251&amp;UtilityList!$B$4:$B$251&amp;UtilityList!$C$4:$C$251,0))</f>
        <v>0</v>
      </c>
      <c r="P15" s="698" t="str">
        <f t="array" ref="P15">IFERROR(INDEX(UtilityList!J$4:J$251,MATCH('Table 2.4a'!$A15&amp;'Table 2.4a'!$B15&amp;'Table 2.4a'!$C15,UtilityList!$A$4:$A$251&amp;UtilityList!$B$4:$B$251&amp;UtilityList!$C$4:$C$251,0)), INDEX(UtilityList!J$4:J$251,MATCH('Table 2.4a'!$A15&amp;'Table 2.4a'!$C15,UtilityList!$A$4:$A$251&amp;UtilityList!$C$4:$C$251,0)))</f>
        <v>Southeast</v>
      </c>
      <c r="Q15" s="698" t="str">
        <f t="array" ref="Q15">IFERROR(INDEX(UtilityList!K$4:K$251,MATCH('Table 2.4a'!$A15&amp;'Table 2.4a'!$B15&amp;'Table 2.4a'!$C15,UtilityList!$A$4:$A$251&amp;UtilityList!$B$4:$B$251&amp;UtilityList!$C$4:$C$251,0)), INDEX(UtilityList!K$4:K$251,MATCH('Table 2.4a'!$A15&amp;'Table 2.4a'!$C15,UtilityList!$A$4:$A$251&amp;UtilityList!$C$4:$C$251,0)))</f>
        <v>Juneau</v>
      </c>
      <c r="R15" s="698" t="str">
        <f t="array" ref="R15">IFERROR(INDEX(UtilityList!L$4:L$251,MATCH('Table 2.4a'!$A15&amp;'Table 2.4a'!$B15&amp;'Table 2.4a'!$C15,UtilityList!$A$4:$A$251&amp;UtilityList!$B$4:$B$251&amp;UtilityList!$C$4:$C$251,0)), INDEX(UtilityList!L$4:L$251,MATCH('Table 2.4a'!$A15&amp;'Table 2.4a'!$C15,UtilityList!$A$4:$A$251&amp;UtilityList!$C$4:$C$251,0)))</f>
        <v>Sealaska</v>
      </c>
      <c r="S15" s="698" t="str">
        <f t="array" ref="S15">IFERROR(INDEX(UtilityList!M$4:M$251,MATCH('Table 2.4a'!$A15&amp;'Table 2.4a'!$B15&amp;'Table 2.4a'!$C15,UtilityList!$A$4:$A$251&amp;UtilityList!$B$4:$B$251&amp;UtilityList!$C$4:$C$251,0)), INDEX(UtilityList!M$4:M$251,MATCH('Table 2.4a'!$A15&amp;'Table 2.4a'!$C15,UtilityList!$A$4:$A$251&amp;UtilityList!$C$4:$C$251,0)))</f>
        <v>SE</v>
      </c>
    </row>
    <row r="16" spans="1:22" s="169" customFormat="1" ht="30" x14ac:dyDescent="0.25">
      <c r="A16" s="360" t="s">
        <v>523</v>
      </c>
      <c r="B16" s="452" t="s">
        <v>40</v>
      </c>
      <c r="C16" s="452" t="s">
        <v>36</v>
      </c>
      <c r="D16" s="622" t="s">
        <v>545</v>
      </c>
      <c r="E16" s="622" t="s">
        <v>546</v>
      </c>
      <c r="F16" s="694">
        <f t="shared" si="1"/>
        <v>3442.7080000000001</v>
      </c>
      <c r="G16" s="694">
        <f t="shared" si="0"/>
        <v>11728.542000000001</v>
      </c>
      <c r="H16" s="695">
        <v>73.150000000000006</v>
      </c>
      <c r="I16" s="694">
        <f t="shared" si="2"/>
        <v>857.94284730000015</v>
      </c>
      <c r="J16" s="696">
        <f t="shared" si="3"/>
        <v>0.29353247829099299</v>
      </c>
      <c r="K16" s="697">
        <v>1009</v>
      </c>
      <c r="L16" s="697">
        <v>84378</v>
      </c>
      <c r="M16" s="790">
        <v>0.13900000000000001</v>
      </c>
      <c r="N16" s="658" t="s">
        <v>558</v>
      </c>
      <c r="O16" s="698">
        <f t="array" ref="O16">INDEX(UtilityList!Q$4:Q$251,MATCH('Table 2.4a'!$A16&amp;'Table 2.4a'!$B16&amp;'Table 2.4a'!$C16,UtilityList!$A$4:$A$251&amp;UtilityList!$B$4:$B$251&amp;UtilityList!$C$4:$C$251,0))</f>
        <v>0</v>
      </c>
      <c r="P16" s="698" t="str">
        <f t="array" ref="P16">IFERROR(INDEX(UtilityList!J$4:J$251,MATCH('Table 2.4a'!$A16&amp;'Table 2.4a'!$B16&amp;'Table 2.4a'!$C16,UtilityList!$A$4:$A$251&amp;UtilityList!$B$4:$B$251&amp;UtilityList!$C$4:$C$251,0)), INDEX(UtilityList!J$4:J$251,MATCH('Table 2.4a'!$A16&amp;'Table 2.4a'!$C16,UtilityList!$A$4:$A$251&amp;UtilityList!$C$4:$C$251,0)))</f>
        <v>Southeast</v>
      </c>
      <c r="Q16" s="698" t="str">
        <f t="array" ref="Q16">IFERROR(INDEX(UtilityList!K$4:K$251,MATCH('Table 2.4a'!$A16&amp;'Table 2.4a'!$B16&amp;'Table 2.4a'!$C16,UtilityList!$A$4:$A$251&amp;UtilityList!$B$4:$B$251&amp;UtilityList!$C$4:$C$251,0)), INDEX(UtilityList!K$4:K$251,MATCH('Table 2.4a'!$A16&amp;'Table 2.4a'!$C16,UtilityList!$A$4:$A$251&amp;UtilityList!$C$4:$C$251,0)))</f>
        <v>Juneau</v>
      </c>
      <c r="R16" s="698" t="str">
        <f t="array" ref="R16">IFERROR(INDEX(UtilityList!L$4:L$251,MATCH('Table 2.4a'!$A16&amp;'Table 2.4a'!$B16&amp;'Table 2.4a'!$C16,UtilityList!$A$4:$A$251&amp;UtilityList!$B$4:$B$251&amp;UtilityList!$C$4:$C$251,0)), INDEX(UtilityList!L$4:L$251,MATCH('Table 2.4a'!$A16&amp;'Table 2.4a'!$C16,UtilityList!$A$4:$A$251&amp;UtilityList!$C$4:$C$251,0)))</f>
        <v>Sealaska</v>
      </c>
      <c r="S16" s="698" t="str">
        <f t="array" ref="S16">IFERROR(INDEX(UtilityList!M$4:M$251,MATCH('Table 2.4a'!$A16&amp;'Table 2.4a'!$B16&amp;'Table 2.4a'!$C16,UtilityList!$A$4:$A$251&amp;UtilityList!$B$4:$B$251&amp;UtilityList!$C$4:$C$251,0)), INDEX(UtilityList!M$4:M$251,MATCH('Table 2.4a'!$A16&amp;'Table 2.4a'!$C16,UtilityList!$A$4:$A$251&amp;UtilityList!$C$4:$C$251,0)))</f>
        <v>SE</v>
      </c>
    </row>
    <row r="17" spans="1:19" customFormat="1" ht="45" x14ac:dyDescent="0.25">
      <c r="A17" s="678" t="s">
        <v>43</v>
      </c>
      <c r="B17" s="361" t="s">
        <v>44</v>
      </c>
      <c r="C17" s="679" t="s">
        <v>678</v>
      </c>
      <c r="D17" s="680" t="s">
        <v>545</v>
      </c>
      <c r="E17" s="680" t="s">
        <v>546</v>
      </c>
      <c r="F17" s="694">
        <f t="shared" si="1"/>
        <v>2236.115616</v>
      </c>
      <c r="G17" s="694">
        <f t="shared" si="0"/>
        <v>7928.56</v>
      </c>
      <c r="H17" s="695">
        <v>73.150000000000006</v>
      </c>
      <c r="I17" s="694">
        <f t="shared" si="2"/>
        <v>579.97416400000009</v>
      </c>
      <c r="J17" s="696">
        <f t="shared" si="3"/>
        <v>0.28203300675027998</v>
      </c>
      <c r="K17" s="697">
        <v>655.36800000000005</v>
      </c>
      <c r="L17" s="697">
        <v>57040</v>
      </c>
      <c r="M17" s="790">
        <v>0.13900000000000001</v>
      </c>
      <c r="N17" s="658" t="s">
        <v>356</v>
      </c>
      <c r="O17" s="698" t="str">
        <f t="array" ref="O17">INDEX(UtilityList!Q$4:Q$251,MATCH('Table 2.4a'!$A17&amp;'Table 2.4a'!$B17&amp;'Table 2.4a'!$C17,UtilityList!$A$4:$A$251&amp;UtilityList!$B$4:$B$251&amp;UtilityList!$C$4:$C$251,0))</f>
        <v>Provides power to Alatna via intertie. Data includes Alatna's information.</v>
      </c>
      <c r="P17" s="698" t="str">
        <f t="array" ref="P17">IFERROR(INDEX(UtilityList!J$4:J$251,MATCH('Table 2.4a'!$A17&amp;'Table 2.4a'!$B17&amp;'Table 2.4a'!$C17,UtilityList!$A$4:$A$251&amp;UtilityList!$B$4:$B$251&amp;UtilityList!$C$4:$C$251,0)), INDEX(UtilityList!J$4:J$251,MATCH('Table 2.4a'!$A17&amp;'Table 2.4a'!$C17,UtilityList!$A$4:$A$251&amp;UtilityList!$C$4:$C$251,0)))</f>
        <v>Yukon-Koyukuk/Upper Tanana</v>
      </c>
      <c r="Q17" s="698" t="str">
        <f t="array" ref="Q17">IFERROR(INDEX(UtilityList!K$4:K$251,MATCH('Table 2.4a'!$A17&amp;'Table 2.4a'!$B17&amp;'Table 2.4a'!$C17,UtilityList!$A$4:$A$251&amp;UtilityList!$B$4:$B$251&amp;UtilityList!$C$4:$C$251,0)), INDEX(UtilityList!K$4:K$251,MATCH('Table 2.4a'!$A17&amp;'Table 2.4a'!$C17,UtilityList!$A$4:$A$251&amp;UtilityList!$C$4:$C$251,0)))</f>
        <v>Yukon-Koyukuk (CA)</v>
      </c>
      <c r="R17" s="698" t="str">
        <f t="array" ref="R17">IFERROR(INDEX(UtilityList!L$4:L$251,MATCH('Table 2.4a'!$A17&amp;'Table 2.4a'!$B17&amp;'Table 2.4a'!$C17,UtilityList!$A$4:$A$251&amp;UtilityList!$B$4:$B$251&amp;UtilityList!$C$4:$C$251,0)), INDEX(UtilityList!L$4:L$251,MATCH('Table 2.4a'!$A17&amp;'Table 2.4a'!$C17,UtilityList!$A$4:$A$251&amp;UtilityList!$C$4:$C$251,0)))</f>
        <v>Doyon</v>
      </c>
      <c r="S17" s="698" t="str">
        <f t="array" ref="S17">IFERROR(INDEX(UtilityList!M$4:M$251,MATCH('Table 2.4a'!$A17&amp;'Table 2.4a'!$B17&amp;'Table 2.4a'!$C17,UtilityList!$A$4:$A$251&amp;UtilityList!$B$4:$B$251&amp;UtilityList!$C$4:$C$251,0)), INDEX(UtilityList!M$4:M$251,MATCH('Table 2.4a'!$A17&amp;'Table 2.4a'!$C17,UtilityList!$A$4:$A$251&amp;UtilityList!$C$4:$C$251,0)))</f>
        <v>YU</v>
      </c>
    </row>
    <row r="18" spans="1:19" customFormat="1" ht="45" x14ac:dyDescent="0.25">
      <c r="A18" s="678" t="s">
        <v>43</v>
      </c>
      <c r="B18" s="361" t="s">
        <v>45</v>
      </c>
      <c r="C18" s="679" t="s">
        <v>680</v>
      </c>
      <c r="D18" s="680" t="s">
        <v>545</v>
      </c>
      <c r="E18" s="680" t="s">
        <v>546</v>
      </c>
      <c r="F18" s="694">
        <f t="shared" si="1"/>
        <v>1957.9591400000002</v>
      </c>
      <c r="G18" s="694">
        <f t="shared" si="0"/>
        <v>6878.6930000000002</v>
      </c>
      <c r="H18" s="695">
        <v>73.150000000000006</v>
      </c>
      <c r="I18" s="694">
        <f t="shared" si="2"/>
        <v>503.17639295000009</v>
      </c>
      <c r="J18" s="696">
        <f t="shared" si="3"/>
        <v>0.28464115784786442</v>
      </c>
      <c r="K18" s="697">
        <v>573.84500000000003</v>
      </c>
      <c r="L18" s="697">
        <v>49487</v>
      </c>
      <c r="M18" s="790">
        <v>0.13900000000000001</v>
      </c>
      <c r="N18" s="658" t="s">
        <v>356</v>
      </c>
      <c r="O18" s="698" t="str">
        <f t="array" ref="O18">INDEX(UtilityList!Q$4:Q$251,MATCH('Table 2.4a'!$A18&amp;'Table 2.4a'!$B18&amp;'Table 2.4a'!$C18,UtilityList!$A$4:$A$251&amp;UtilityList!$B$4:$B$251&amp;UtilityList!$C$4:$C$251,0))</f>
        <v>Provides power to Evansville via intertie. Data includes Evansville's information.</v>
      </c>
      <c r="P18" s="698" t="str">
        <f t="array" ref="P18">IFERROR(INDEX(UtilityList!J$4:J$251,MATCH('Table 2.4a'!$A18&amp;'Table 2.4a'!$B18&amp;'Table 2.4a'!$C18,UtilityList!$A$4:$A$251&amp;UtilityList!$B$4:$B$251&amp;UtilityList!$C$4:$C$251,0)), INDEX(UtilityList!J$4:J$251,MATCH('Table 2.4a'!$A18&amp;'Table 2.4a'!$C18,UtilityList!$A$4:$A$251&amp;UtilityList!$C$4:$C$251,0)))</f>
        <v>Yukon-Koyukuk/Upper Tanana</v>
      </c>
      <c r="Q18" s="698" t="str">
        <f t="array" ref="Q18">IFERROR(INDEX(UtilityList!K$4:K$251,MATCH('Table 2.4a'!$A18&amp;'Table 2.4a'!$B18&amp;'Table 2.4a'!$C18,UtilityList!$A$4:$A$251&amp;UtilityList!$B$4:$B$251&amp;UtilityList!$C$4:$C$251,0)), INDEX(UtilityList!K$4:K$251,MATCH('Table 2.4a'!$A18&amp;'Table 2.4a'!$C18,UtilityList!$A$4:$A$251&amp;UtilityList!$C$4:$C$251,0)))</f>
        <v>Yukon-Koyukuk (CA)</v>
      </c>
      <c r="R18" s="698" t="str">
        <f t="array" ref="R18">IFERROR(INDEX(UtilityList!L$4:L$251,MATCH('Table 2.4a'!$A18&amp;'Table 2.4a'!$B18&amp;'Table 2.4a'!$C18,UtilityList!$A$4:$A$251&amp;UtilityList!$B$4:$B$251&amp;UtilityList!$C$4:$C$251,0)), INDEX(UtilityList!L$4:L$251,MATCH('Table 2.4a'!$A18&amp;'Table 2.4a'!$C18,UtilityList!$A$4:$A$251&amp;UtilityList!$C$4:$C$251,0)))</f>
        <v>Doyon</v>
      </c>
      <c r="S18" s="698" t="str">
        <f t="array" ref="S18">IFERROR(INDEX(UtilityList!M$4:M$251,MATCH('Table 2.4a'!$A18&amp;'Table 2.4a'!$B18&amp;'Table 2.4a'!$C18,UtilityList!$A$4:$A$251&amp;UtilityList!$B$4:$B$251&amp;UtilityList!$C$4:$C$251,0)), INDEX(UtilityList!M$4:M$251,MATCH('Table 2.4a'!$A18&amp;'Table 2.4a'!$C18,UtilityList!$A$4:$A$251&amp;UtilityList!$C$4:$C$251,0)))</f>
        <v>YU</v>
      </c>
    </row>
    <row r="19" spans="1:19" customFormat="1" ht="30" x14ac:dyDescent="0.25">
      <c r="A19" s="678" t="s">
        <v>43</v>
      </c>
      <c r="B19" s="679" t="s">
        <v>46</v>
      </c>
      <c r="C19" s="679" t="s">
        <v>46</v>
      </c>
      <c r="D19" s="680" t="s">
        <v>545</v>
      </c>
      <c r="E19" s="680" t="s">
        <v>546</v>
      </c>
      <c r="F19" s="694">
        <f t="shared" si="1"/>
        <v>-7.3289759999999999</v>
      </c>
      <c r="G19" s="694">
        <f t="shared" si="0"/>
        <v>7.0889999999999995</v>
      </c>
      <c r="H19" s="695">
        <v>73.150000000000006</v>
      </c>
      <c r="I19" s="694">
        <f t="shared" si="2"/>
        <v>0.51856035</v>
      </c>
      <c r="J19" s="696" t="str">
        <f t="shared" si="3"/>
        <v xml:space="preserve"> </v>
      </c>
      <c r="K19" s="697">
        <v>-2.1480000000000001</v>
      </c>
      <c r="L19" s="697">
        <v>50.999999999999993</v>
      </c>
      <c r="M19" s="790">
        <v>0.13900000000000001</v>
      </c>
      <c r="N19" s="658" t="s">
        <v>356</v>
      </c>
      <c r="O19" s="698" t="str">
        <f t="array" ref="O19">INDEX(UtilityList!Q$4:Q$251,MATCH('Table 2.4a'!$A19&amp;'Table 2.4a'!$B19&amp;'Table 2.4a'!$C19,UtilityList!$A$4:$A$251&amp;UtilityList!$B$4:$B$251&amp;UtilityList!$C$4:$C$251,0))</f>
        <v>Receives power from Slana via intertie.</v>
      </c>
      <c r="P19" s="698" t="str">
        <f t="array" ref="P19">IFERROR(INDEX(UtilityList!J$4:J$251,MATCH('Table 2.4a'!$A19&amp;'Table 2.4a'!$B19&amp;'Table 2.4a'!$C19,UtilityList!$A$4:$A$251&amp;UtilityList!$B$4:$B$251&amp;UtilityList!$C$4:$C$251,0)), INDEX(UtilityList!J$4:J$251,MATCH('Table 2.4a'!$A19&amp;'Table 2.4a'!$C19,UtilityList!$A$4:$A$251&amp;UtilityList!$C$4:$C$251,0)))</f>
        <v>Copper River/Chugach</v>
      </c>
      <c r="Q19" s="698" t="str">
        <f t="array" ref="Q19">IFERROR(INDEX(UtilityList!K$4:K$251,MATCH('Table 2.4a'!$A19&amp;'Table 2.4a'!$B19&amp;'Table 2.4a'!$C19,UtilityList!$A$4:$A$251&amp;UtilityList!$B$4:$B$251&amp;UtilityList!$C$4:$C$251,0)), INDEX(UtilityList!K$4:K$251,MATCH('Table 2.4a'!$A19&amp;'Table 2.4a'!$C19,UtilityList!$A$4:$A$251&amp;UtilityList!$C$4:$C$251,0)))</f>
        <v>Valdez-Cordova (CA)</v>
      </c>
      <c r="R19" s="698" t="str">
        <f t="array" ref="R19">IFERROR(INDEX(UtilityList!L$4:L$251,MATCH('Table 2.4a'!$A19&amp;'Table 2.4a'!$B19&amp;'Table 2.4a'!$C19,UtilityList!$A$4:$A$251&amp;UtilityList!$B$4:$B$251&amp;UtilityList!$C$4:$C$251,0)), INDEX(UtilityList!L$4:L$251,MATCH('Table 2.4a'!$A19&amp;'Table 2.4a'!$C19,UtilityList!$A$4:$A$251&amp;UtilityList!$C$4:$C$251,0)))</f>
        <v>Ahtna</v>
      </c>
      <c r="S19" s="698" t="str">
        <f t="array" ref="S19">IFERROR(INDEX(UtilityList!M$4:M$251,MATCH('Table 2.4a'!$A19&amp;'Table 2.4a'!$B19&amp;'Table 2.4a'!$C19,UtilityList!$A$4:$A$251&amp;UtilityList!$B$4:$B$251&amp;UtilityList!$C$4:$C$251,0)), INDEX(UtilityList!M$4:M$251,MATCH('Table 2.4a'!$A19&amp;'Table 2.4a'!$C19,UtilityList!$A$4:$A$251&amp;UtilityList!$C$4:$C$251,0)))</f>
        <v>YU</v>
      </c>
    </row>
    <row r="20" spans="1:19" customFormat="1" ht="45" x14ac:dyDescent="0.25">
      <c r="A20" s="678" t="s">
        <v>43</v>
      </c>
      <c r="B20" s="361" t="s">
        <v>47</v>
      </c>
      <c r="C20" s="679" t="s">
        <v>47</v>
      </c>
      <c r="D20" s="680" t="s">
        <v>545</v>
      </c>
      <c r="E20" s="680" t="s">
        <v>546</v>
      </c>
      <c r="F20" s="694">
        <f t="shared" si="1"/>
        <v>2158.373196</v>
      </c>
      <c r="G20" s="694">
        <f t="shared" si="0"/>
        <v>6723.43</v>
      </c>
      <c r="H20" s="695">
        <v>73.150000000000006</v>
      </c>
      <c r="I20" s="694">
        <f t="shared" si="2"/>
        <v>491.81890450000009</v>
      </c>
      <c r="J20" s="696">
        <f t="shared" si="3"/>
        <v>0.32102263219814886</v>
      </c>
      <c r="K20" s="697">
        <v>632.58299999999997</v>
      </c>
      <c r="L20" s="697">
        <v>48370</v>
      </c>
      <c r="M20" s="790">
        <v>0.13900000000000001</v>
      </c>
      <c r="N20" s="658" t="s">
        <v>356</v>
      </c>
      <c r="O20" s="698" t="str">
        <f t="array" ref="O20">INDEX(UtilityList!Q$4:Q$251,MATCH('Table 2.4a'!$A20&amp;'Table 2.4a'!$B20&amp;'Table 2.4a'!$C20,UtilityList!$A$4:$A$251&amp;UtilityList!$B$4:$B$251&amp;UtilityList!$C$4:$C$251,0))</f>
        <v>Part of the Alaska Power Company's grid on Prince of Wales Island.</v>
      </c>
      <c r="P20" s="698" t="str">
        <f t="array" ref="P20">IFERROR(INDEX(UtilityList!J$4:J$251,MATCH('Table 2.4a'!$A20&amp;'Table 2.4a'!$B20&amp;'Table 2.4a'!$C20,UtilityList!$A$4:$A$251&amp;UtilityList!$B$4:$B$251&amp;UtilityList!$C$4:$C$251,0)), INDEX(UtilityList!J$4:J$251,MATCH('Table 2.4a'!$A20&amp;'Table 2.4a'!$C20,UtilityList!$A$4:$A$251&amp;UtilityList!$C$4:$C$251,0)))</f>
        <v>Southeast</v>
      </c>
      <c r="Q20" s="698" t="str">
        <f t="array" ref="Q20">IFERROR(INDEX(UtilityList!K$4:K$251,MATCH('Table 2.4a'!$A20&amp;'Table 2.4a'!$B20&amp;'Table 2.4a'!$C20,UtilityList!$A$4:$A$251&amp;UtilityList!$B$4:$B$251&amp;UtilityList!$C$4:$C$251,0)), INDEX(UtilityList!K$4:K$251,MATCH('Table 2.4a'!$A20&amp;'Table 2.4a'!$C20,UtilityList!$A$4:$A$251&amp;UtilityList!$C$4:$C$251,0)))</f>
        <v>Prince of Wales-Hyder (CA)</v>
      </c>
      <c r="R20" s="698" t="str">
        <f t="array" ref="R20">IFERROR(INDEX(UtilityList!L$4:L$251,MATCH('Table 2.4a'!$A20&amp;'Table 2.4a'!$B20&amp;'Table 2.4a'!$C20,UtilityList!$A$4:$A$251&amp;UtilityList!$B$4:$B$251&amp;UtilityList!$C$4:$C$251,0)), INDEX(UtilityList!L$4:L$251,MATCH('Table 2.4a'!$A20&amp;'Table 2.4a'!$C20,UtilityList!$A$4:$A$251&amp;UtilityList!$C$4:$C$251,0)))</f>
        <v>Sealaska</v>
      </c>
      <c r="S20" s="698" t="str">
        <f t="array" ref="S20">IFERROR(INDEX(UtilityList!M$4:M$251,MATCH('Table 2.4a'!$A20&amp;'Table 2.4a'!$B20&amp;'Table 2.4a'!$C20,UtilityList!$A$4:$A$251&amp;UtilityList!$B$4:$B$251&amp;UtilityList!$C$4:$C$251,0)), INDEX(UtilityList!M$4:M$251,MATCH('Table 2.4a'!$A20&amp;'Table 2.4a'!$C20,UtilityList!$A$4:$A$251&amp;UtilityList!$C$4:$C$251,0)))</f>
        <v>SE</v>
      </c>
    </row>
    <row r="21" spans="1:19" s="126" customFormat="1" ht="75" x14ac:dyDescent="0.25">
      <c r="A21" s="684" t="s">
        <v>43</v>
      </c>
      <c r="B21" s="352" t="s">
        <v>48</v>
      </c>
      <c r="C21" s="352" t="s">
        <v>991</v>
      </c>
      <c r="D21" s="685" t="s">
        <v>545</v>
      </c>
      <c r="E21" s="685" t="s">
        <v>546</v>
      </c>
      <c r="F21" s="694">
        <f t="shared" si="1"/>
        <v>9481.9480000000003</v>
      </c>
      <c r="G21" s="694">
        <f t="shared" si="0"/>
        <v>28658.742000000002</v>
      </c>
      <c r="H21" s="699">
        <v>73.150000000000006</v>
      </c>
      <c r="I21" s="694">
        <f t="shared" si="2"/>
        <v>2096.3869773000006</v>
      </c>
      <c r="J21" s="696">
        <f t="shared" si="3"/>
        <v>0.33085709065666596</v>
      </c>
      <c r="K21" s="697">
        <v>2779</v>
      </c>
      <c r="L21" s="697">
        <v>206178</v>
      </c>
      <c r="M21" s="790">
        <v>0.13900000000000001</v>
      </c>
      <c r="N21" s="662" t="s">
        <v>558</v>
      </c>
      <c r="O21" s="698" t="str">
        <f t="array" ref="O21">INDEX(UtilityList!Q$4:Q$251,MATCH('Table 2.4a'!$A21&amp;'Table 2.4a'!$B21&amp;'Table 2.4a'!$C21,UtilityList!$A$4:$A$251&amp;UtilityList!$B$4:$B$251&amp;UtilityList!$C$4:$C$251,0))</f>
        <v>Part of the Alaska Power Company's grid on Prince of Wales Island. Provides to Hollis, Hydaburg, Klawock, Thorne Bay and Kaasan.</v>
      </c>
      <c r="P21" s="698" t="str">
        <f t="array" ref="P21">IFERROR(INDEX(UtilityList!J$4:J$251,MATCH('Table 2.4a'!$A21&amp;'Table 2.4a'!$B21&amp;'Table 2.4a'!$C21,UtilityList!$A$4:$A$251&amp;UtilityList!$B$4:$B$251&amp;UtilityList!$C$4:$C$251,0)), INDEX(UtilityList!J$4:J$251,MATCH('Table 2.4a'!$A21&amp;'Table 2.4a'!$C21,UtilityList!$A$4:$A$251&amp;UtilityList!$C$4:$C$251,0)))</f>
        <v>Southeast</v>
      </c>
      <c r="Q21" s="698" t="str">
        <f t="array" ref="Q21">IFERROR(INDEX(UtilityList!K$4:K$251,MATCH('Table 2.4a'!$A21&amp;'Table 2.4a'!$B21&amp;'Table 2.4a'!$C21,UtilityList!$A$4:$A$251&amp;UtilityList!$B$4:$B$251&amp;UtilityList!$C$4:$C$251,0)), INDEX(UtilityList!K$4:K$251,MATCH('Table 2.4a'!$A21&amp;'Table 2.4a'!$C21,UtilityList!$A$4:$A$251&amp;UtilityList!$C$4:$C$251,0)))</f>
        <v>Prince of Wales-Hyder (CA)</v>
      </c>
      <c r="R21" s="698" t="str">
        <f t="array" ref="R21">IFERROR(INDEX(UtilityList!L$4:L$251,MATCH('Table 2.4a'!$A21&amp;'Table 2.4a'!$B21&amp;'Table 2.4a'!$C21,UtilityList!$A$4:$A$251&amp;UtilityList!$B$4:$B$251&amp;UtilityList!$C$4:$C$251,0)), INDEX(UtilityList!L$4:L$251,MATCH('Table 2.4a'!$A21&amp;'Table 2.4a'!$C21,UtilityList!$A$4:$A$251&amp;UtilityList!$C$4:$C$251,0)))</f>
        <v>Sealaska</v>
      </c>
      <c r="S21" s="698" t="str">
        <f t="array" ref="S21">IFERROR(INDEX(UtilityList!M$4:M$251,MATCH('Table 2.4a'!$A21&amp;'Table 2.4a'!$B21&amp;'Table 2.4a'!$C21,UtilityList!$A$4:$A$251&amp;UtilityList!$B$4:$B$251&amp;UtilityList!$C$4:$C$251,0)), INDEX(UtilityList!M$4:M$251,MATCH('Table 2.4a'!$A21&amp;'Table 2.4a'!$C21,UtilityList!$A$4:$A$251&amp;UtilityList!$C$4:$C$251,0)))</f>
        <v>SE</v>
      </c>
    </row>
    <row r="22" spans="1:19" s="126" customFormat="1" ht="45" x14ac:dyDescent="0.25">
      <c r="A22" s="684" t="s">
        <v>43</v>
      </c>
      <c r="B22" s="352" t="s">
        <v>49</v>
      </c>
      <c r="C22" s="352" t="s">
        <v>48</v>
      </c>
      <c r="D22" s="685" t="s">
        <v>545</v>
      </c>
      <c r="E22" s="685" t="s">
        <v>546</v>
      </c>
      <c r="F22" s="694">
        <f t="shared" si="1"/>
        <v>221.78</v>
      </c>
      <c r="G22" s="694">
        <f t="shared" si="0"/>
        <v>1033.326</v>
      </c>
      <c r="H22" s="699">
        <v>73.150000000000006</v>
      </c>
      <c r="I22" s="694">
        <f t="shared" si="2"/>
        <v>75.587796900000001</v>
      </c>
      <c r="J22" s="696">
        <f t="shared" si="3"/>
        <v>0.21462732961330694</v>
      </c>
      <c r="K22" s="697">
        <v>65</v>
      </c>
      <c r="L22" s="697">
        <v>7434</v>
      </c>
      <c r="M22" s="790">
        <v>0.13900000000000001</v>
      </c>
      <c r="N22" s="662" t="s">
        <v>558</v>
      </c>
      <c r="O22" s="698" t="str">
        <f t="array" ref="O22">INDEX(UtilityList!Q$4:Q$251,MATCH('Table 2.4a'!$A22&amp;'Table 2.4a'!$B22&amp;'Table 2.4a'!$C22,UtilityList!$A$4:$A$251&amp;UtilityList!$B$4:$B$251&amp;UtilityList!$C$4:$C$251,0))</f>
        <v>Provides power to Hollis, Klawock, Thorne Bay/Kasaan and Hydaburg via intertie.</v>
      </c>
      <c r="P22" s="698" t="str">
        <f t="array" ref="P22">IFERROR(INDEX(UtilityList!J$4:J$251,MATCH('Table 2.4a'!$A22&amp;'Table 2.4a'!$B22&amp;'Table 2.4a'!$C22,UtilityList!$A$4:$A$251&amp;UtilityList!$B$4:$B$251&amp;UtilityList!$C$4:$C$251,0)), INDEX(UtilityList!J$4:J$251,MATCH('Table 2.4a'!$A22&amp;'Table 2.4a'!$C22,UtilityList!$A$4:$A$251&amp;UtilityList!$C$4:$C$251,0)))</f>
        <v>Southeast</v>
      </c>
      <c r="Q22" s="698" t="str">
        <f t="array" ref="Q22">IFERROR(INDEX(UtilityList!K$4:K$251,MATCH('Table 2.4a'!$A22&amp;'Table 2.4a'!$B22&amp;'Table 2.4a'!$C22,UtilityList!$A$4:$A$251&amp;UtilityList!$B$4:$B$251&amp;UtilityList!$C$4:$C$251,0)), INDEX(UtilityList!K$4:K$251,MATCH('Table 2.4a'!$A22&amp;'Table 2.4a'!$C22,UtilityList!$A$4:$A$251&amp;UtilityList!$C$4:$C$251,0)))</f>
        <v>Prince of Wales-Hyder (CA)</v>
      </c>
      <c r="R22" s="698" t="str">
        <f t="array" ref="R22">IFERROR(INDEX(UtilityList!L$4:L$251,MATCH('Table 2.4a'!$A22&amp;'Table 2.4a'!$B22&amp;'Table 2.4a'!$C22,UtilityList!$A$4:$A$251&amp;UtilityList!$B$4:$B$251&amp;UtilityList!$C$4:$C$251,0)), INDEX(UtilityList!L$4:L$251,MATCH('Table 2.4a'!$A22&amp;'Table 2.4a'!$C22,UtilityList!$A$4:$A$251&amp;UtilityList!$C$4:$C$251,0)))</f>
        <v>Sealaska</v>
      </c>
      <c r="S22" s="698" t="str">
        <f t="array" ref="S22">IFERROR(INDEX(UtilityList!M$4:M$251,MATCH('Table 2.4a'!$A22&amp;'Table 2.4a'!$B22&amp;'Table 2.4a'!$C22,UtilityList!$A$4:$A$251&amp;UtilityList!$B$4:$B$251&amp;UtilityList!$C$4:$C$251,0)), INDEX(UtilityList!M$4:M$251,MATCH('Table 2.4a'!$A22&amp;'Table 2.4a'!$C22,UtilityList!$A$4:$A$251&amp;UtilityList!$C$4:$C$251,0)))</f>
        <v>SE</v>
      </c>
    </row>
    <row r="23" spans="1:19" customFormat="1" ht="90" x14ac:dyDescent="0.25">
      <c r="A23" s="678" t="s">
        <v>43</v>
      </c>
      <c r="B23" s="361" t="s">
        <v>64</v>
      </c>
      <c r="C23" s="679" t="s">
        <v>684</v>
      </c>
      <c r="D23" s="680" t="s">
        <v>545</v>
      </c>
      <c r="E23" s="680" t="s">
        <v>546</v>
      </c>
      <c r="F23" s="694">
        <f t="shared" si="1"/>
        <v>-2.0471999999999997</v>
      </c>
      <c r="G23" s="694">
        <f t="shared" si="0"/>
        <v>0</v>
      </c>
      <c r="H23" s="695">
        <v>73.150000000000006</v>
      </c>
      <c r="I23" s="694">
        <f t="shared" si="2"/>
        <v>0</v>
      </c>
      <c r="J23" s="696" t="str">
        <f t="shared" si="3"/>
        <v xml:space="preserve"> </v>
      </c>
      <c r="K23" s="697">
        <v>-0.6</v>
      </c>
      <c r="L23" s="697">
        <v>0</v>
      </c>
      <c r="M23" s="790">
        <v>0.13900000000000001</v>
      </c>
      <c r="N23" s="658" t="s">
        <v>356</v>
      </c>
      <c r="O23" s="698" t="str">
        <f t="array" ref="O23">INDEX(UtilityList!Q$4:Q$251,MATCH('Table 2.4a'!$A23&amp;'Table 2.4a'!$B23&amp;'Table 2.4a'!$C23,UtilityList!$A$4:$A$251&amp;UtilityList!$B$4:$B$251&amp;UtilityList!$C$4:$C$251,0))</f>
        <v>Receives power form Tok via intertie. Dot Lake's data includes Dot Lake Village's information. For fuel use and cost information, please refer to Tok.</v>
      </c>
      <c r="P23" s="698" t="str">
        <f t="array" ref="P23">IFERROR(INDEX(UtilityList!J$4:J$251,MATCH('Table 2.4a'!$A23&amp;'Table 2.4a'!$B23&amp;'Table 2.4a'!$C23,UtilityList!$A$4:$A$251&amp;UtilityList!$B$4:$B$251&amp;UtilityList!$C$4:$C$251,0)), INDEX(UtilityList!J$4:J$251,MATCH('Table 2.4a'!$A23&amp;'Table 2.4a'!$C23,UtilityList!$A$4:$A$251&amp;UtilityList!$C$4:$C$251,0)))</f>
        <v>Yukon-Koyukuk/Upper Tanana</v>
      </c>
      <c r="Q23" s="698" t="str">
        <f t="array" ref="Q23">IFERROR(INDEX(UtilityList!K$4:K$251,MATCH('Table 2.4a'!$A23&amp;'Table 2.4a'!$B23&amp;'Table 2.4a'!$C23,UtilityList!$A$4:$A$251&amp;UtilityList!$B$4:$B$251&amp;UtilityList!$C$4:$C$251,0)), INDEX(UtilityList!K$4:K$251,MATCH('Table 2.4a'!$A23&amp;'Table 2.4a'!$C23,UtilityList!$A$4:$A$251&amp;UtilityList!$C$4:$C$251,0)))</f>
        <v>Southeast Fairbanks (CA)</v>
      </c>
      <c r="R23" s="698" t="str">
        <f t="array" ref="R23">IFERROR(INDEX(UtilityList!L$4:L$251,MATCH('Table 2.4a'!$A23&amp;'Table 2.4a'!$B23&amp;'Table 2.4a'!$C23,UtilityList!$A$4:$A$251&amp;UtilityList!$B$4:$B$251&amp;UtilityList!$C$4:$C$251,0)), INDEX(UtilityList!L$4:L$251,MATCH('Table 2.4a'!$A23&amp;'Table 2.4a'!$C23,UtilityList!$A$4:$A$251&amp;UtilityList!$C$4:$C$251,0)))</f>
        <v>Doyon</v>
      </c>
      <c r="S23" s="698" t="str">
        <f t="array" ref="S23">IFERROR(INDEX(UtilityList!M$4:M$251,MATCH('Table 2.4a'!$A23&amp;'Table 2.4a'!$B23&amp;'Table 2.4a'!$C23,UtilityList!$A$4:$A$251&amp;UtilityList!$B$4:$B$251&amp;UtilityList!$C$4:$C$251,0)), INDEX(UtilityList!M$4:M$251,MATCH('Table 2.4a'!$A23&amp;'Table 2.4a'!$C23,UtilityList!$A$4:$A$251&amp;UtilityList!$C$4:$C$251,0)))</f>
        <v>YU</v>
      </c>
    </row>
    <row r="24" spans="1:19" customFormat="1" ht="60" x14ac:dyDescent="0.25">
      <c r="A24" s="678" t="s">
        <v>43</v>
      </c>
      <c r="B24" s="361" t="s">
        <v>493</v>
      </c>
      <c r="C24" s="679" t="s">
        <v>686</v>
      </c>
      <c r="D24" s="680" t="s">
        <v>545</v>
      </c>
      <c r="E24" s="680" t="s">
        <v>546</v>
      </c>
      <c r="F24" s="694">
        <f t="shared" si="1"/>
        <v>2558.1197039999997</v>
      </c>
      <c r="G24" s="694">
        <f t="shared" si="0"/>
        <v>7556.3180000000011</v>
      </c>
      <c r="H24" s="695">
        <v>73.150000000000006</v>
      </c>
      <c r="I24" s="694">
        <f t="shared" si="2"/>
        <v>552.74466170000017</v>
      </c>
      <c r="J24" s="696">
        <f t="shared" si="3"/>
        <v>0.33854050398620061</v>
      </c>
      <c r="K24" s="697">
        <v>749.74199999999996</v>
      </c>
      <c r="L24" s="697">
        <v>54362</v>
      </c>
      <c r="M24" s="790">
        <v>0.13900000000000001</v>
      </c>
      <c r="N24" s="658" t="s">
        <v>356</v>
      </c>
      <c r="O24" s="698" t="str">
        <f t="array" ref="O24">INDEX(UtilityList!Q$4:Q$251,MATCH('Table 2.4a'!$A24&amp;'Table 2.4a'!$B24&amp;'Table 2.4a'!$C24,UtilityList!$A$4:$A$251&amp;UtilityList!$B$4:$B$251&amp;UtilityList!$C$4:$C$251,0))</f>
        <v>Provides power to Eagle Village via intertie. Data includes Eagle Village's information.</v>
      </c>
      <c r="P24" s="698" t="str">
        <f t="array" ref="P24">IFERROR(INDEX(UtilityList!J$4:J$251,MATCH('Table 2.4a'!$A24&amp;'Table 2.4a'!$B24&amp;'Table 2.4a'!$C24,UtilityList!$A$4:$A$251&amp;UtilityList!$B$4:$B$251&amp;UtilityList!$C$4:$C$251,0)), INDEX(UtilityList!J$4:J$251,MATCH('Table 2.4a'!$A24&amp;'Table 2.4a'!$C24,UtilityList!$A$4:$A$251&amp;UtilityList!$C$4:$C$251,0)))</f>
        <v>Yukon-Koyukuk/Upper Tanana</v>
      </c>
      <c r="Q24" s="698" t="str">
        <f t="array" ref="Q24">IFERROR(INDEX(UtilityList!K$4:K$251,MATCH('Table 2.4a'!$A24&amp;'Table 2.4a'!$B24&amp;'Table 2.4a'!$C24,UtilityList!$A$4:$A$251&amp;UtilityList!$B$4:$B$251&amp;UtilityList!$C$4:$C$251,0)), INDEX(UtilityList!K$4:K$251,MATCH('Table 2.4a'!$A24&amp;'Table 2.4a'!$C24,UtilityList!$A$4:$A$251&amp;UtilityList!$C$4:$C$251,0)))</f>
        <v>Southeast Fairbanks (CA)</v>
      </c>
      <c r="R24" s="698" t="str">
        <f t="array" ref="R24">IFERROR(INDEX(UtilityList!L$4:L$251,MATCH('Table 2.4a'!$A24&amp;'Table 2.4a'!$B24&amp;'Table 2.4a'!$C24,UtilityList!$A$4:$A$251&amp;UtilityList!$B$4:$B$251&amp;UtilityList!$C$4:$C$251,0)), INDEX(UtilityList!L$4:L$251,MATCH('Table 2.4a'!$A24&amp;'Table 2.4a'!$C24,UtilityList!$A$4:$A$251&amp;UtilityList!$C$4:$C$251,0)))</f>
        <v>Doyon</v>
      </c>
      <c r="S24" s="698" t="str">
        <f t="array" ref="S24">IFERROR(INDEX(UtilityList!M$4:M$251,MATCH('Table 2.4a'!$A24&amp;'Table 2.4a'!$B24&amp;'Table 2.4a'!$C24,UtilityList!$A$4:$A$251&amp;UtilityList!$B$4:$B$251&amp;UtilityList!$C$4:$C$251,0)), INDEX(UtilityList!M$4:M$251,MATCH('Table 2.4a'!$A24&amp;'Table 2.4a'!$C24,UtilityList!$A$4:$A$251&amp;UtilityList!$C$4:$C$251,0)))</f>
        <v>YU</v>
      </c>
    </row>
    <row r="25" spans="1:19" s="200" customFormat="1" ht="75" x14ac:dyDescent="0.25">
      <c r="A25" s="687" t="s">
        <v>43</v>
      </c>
      <c r="B25" s="352" t="s">
        <v>50</v>
      </c>
      <c r="C25" s="688" t="s">
        <v>50</v>
      </c>
      <c r="D25" s="689" t="s">
        <v>545</v>
      </c>
      <c r="E25" s="689" t="s">
        <v>546</v>
      </c>
      <c r="F25" s="694">
        <f t="shared" si="1"/>
        <v>631.22</v>
      </c>
      <c r="G25" s="694">
        <f t="shared" si="0"/>
        <v>5127.0150000000003</v>
      </c>
      <c r="H25" s="699">
        <v>73.150000000000006</v>
      </c>
      <c r="I25" s="694">
        <f t="shared" si="2"/>
        <v>375.04114725000005</v>
      </c>
      <c r="J25" s="696">
        <f t="shared" si="3"/>
        <v>0.12311647225529865</v>
      </c>
      <c r="K25" s="697">
        <v>185</v>
      </c>
      <c r="L25" s="697">
        <v>36885</v>
      </c>
      <c r="M25" s="790">
        <v>0.13900000000000001</v>
      </c>
      <c r="N25" s="662" t="s">
        <v>356</v>
      </c>
      <c r="O25" s="698" t="str">
        <f t="array" ref="O25">INDEX(UtilityList!Q$4:Q$251,MATCH('Table 2.4a'!$A25&amp;'Table 2.4a'!$B25&amp;'Table 2.4a'!$C25,UtilityList!$A$4:$A$251&amp;UtilityList!$B$4:$B$251&amp;UtilityList!$C$4:$C$251,0))</f>
        <v>Plant is also referred to as Lutak. Part of the Alaska Power Company's grid in the Upper Lynn Canal service area.</v>
      </c>
      <c r="P25" s="698" t="str">
        <f t="array" ref="P25">IFERROR(INDEX(UtilityList!J$4:J$251,MATCH('Table 2.4a'!$A25&amp;'Table 2.4a'!$B25&amp;'Table 2.4a'!$C25,UtilityList!$A$4:$A$251&amp;UtilityList!$B$4:$B$251&amp;UtilityList!$C$4:$C$251,0)), INDEX(UtilityList!J$4:J$251,MATCH('Table 2.4a'!$A25&amp;'Table 2.4a'!$C25,UtilityList!$A$4:$A$251&amp;UtilityList!$C$4:$C$251,0)))</f>
        <v>Southeast</v>
      </c>
      <c r="Q25" s="698" t="str">
        <f t="array" ref="Q25">IFERROR(INDEX(UtilityList!K$4:K$251,MATCH('Table 2.4a'!$A25&amp;'Table 2.4a'!$B25&amp;'Table 2.4a'!$C25,UtilityList!$A$4:$A$251&amp;UtilityList!$B$4:$B$251&amp;UtilityList!$C$4:$C$251,0)), INDEX(UtilityList!K$4:K$251,MATCH('Table 2.4a'!$A25&amp;'Table 2.4a'!$C25,UtilityList!$A$4:$A$251&amp;UtilityList!$C$4:$C$251,0)))</f>
        <v>Haines</v>
      </c>
      <c r="R25" s="698" t="str">
        <f t="array" ref="R25">IFERROR(INDEX(UtilityList!L$4:L$251,MATCH('Table 2.4a'!$A25&amp;'Table 2.4a'!$B25&amp;'Table 2.4a'!$C25,UtilityList!$A$4:$A$251&amp;UtilityList!$B$4:$B$251&amp;UtilityList!$C$4:$C$251,0)), INDEX(UtilityList!L$4:L$251,MATCH('Table 2.4a'!$A25&amp;'Table 2.4a'!$C25,UtilityList!$A$4:$A$251&amp;UtilityList!$C$4:$C$251,0)))</f>
        <v>Sealaska</v>
      </c>
      <c r="S25" s="698" t="str">
        <f t="array" ref="S25">IFERROR(INDEX(UtilityList!M$4:M$251,MATCH('Table 2.4a'!$A25&amp;'Table 2.4a'!$B25&amp;'Table 2.4a'!$C25,UtilityList!$A$4:$A$251&amp;UtilityList!$B$4:$B$251&amp;UtilityList!$C$4:$C$251,0)), INDEX(UtilityList!M$4:M$251,MATCH('Table 2.4a'!$A25&amp;'Table 2.4a'!$C25,UtilityList!$A$4:$A$251&amp;UtilityList!$C$4:$C$251,0)))</f>
        <v>SE</v>
      </c>
    </row>
    <row r="26" spans="1:19" customFormat="1" ht="75" x14ac:dyDescent="0.25">
      <c r="A26" s="684" t="s">
        <v>43</v>
      </c>
      <c r="B26" s="352" t="s">
        <v>60</v>
      </c>
      <c r="C26" s="690" t="s">
        <v>60</v>
      </c>
      <c r="D26" s="689" t="s">
        <v>545</v>
      </c>
      <c r="E26" s="689" t="s">
        <v>546</v>
      </c>
      <c r="F26" s="694">
        <f t="shared" si="1"/>
        <v>324.14</v>
      </c>
      <c r="G26" s="694">
        <f t="shared" si="0"/>
        <v>2074.9920000000002</v>
      </c>
      <c r="H26" s="699">
        <v>73.150000000000006</v>
      </c>
      <c r="I26" s="694">
        <f t="shared" si="2"/>
        <v>151.78566480000003</v>
      </c>
      <c r="J26" s="696">
        <f t="shared" si="3"/>
        <v>0.15621265045841137</v>
      </c>
      <c r="K26" s="697">
        <v>95</v>
      </c>
      <c r="L26" s="697">
        <v>14928</v>
      </c>
      <c r="M26" s="790">
        <v>0.13900000000000001</v>
      </c>
      <c r="N26" s="662" t="s">
        <v>722</v>
      </c>
      <c r="O26" s="698" t="str">
        <f t="array" ref="O26">INDEX(UtilityList!Q$4:Q$251,MATCH('Table 2.4a'!$A26&amp;'Table 2.4a'!$B26&amp;'Table 2.4a'!$C26,UtilityList!$A$4:$A$251&amp;UtilityList!$B$4:$B$251&amp;UtilityList!$C$4:$C$251,0))</f>
        <v>Plant is also referred to as Dewey Lake. Part of the Alaska Power Company's grid in the Upper Lynn Canal service area.</v>
      </c>
      <c r="P26" s="698" t="str">
        <f t="array" ref="P26">IFERROR(INDEX(UtilityList!J$4:J$251,MATCH('Table 2.4a'!$A26&amp;'Table 2.4a'!$B26&amp;'Table 2.4a'!$C26,UtilityList!$A$4:$A$251&amp;UtilityList!$B$4:$B$251&amp;UtilityList!$C$4:$C$251,0)), INDEX(UtilityList!J$4:J$251,MATCH('Table 2.4a'!$A26&amp;'Table 2.4a'!$C26,UtilityList!$A$4:$A$251&amp;UtilityList!$C$4:$C$251,0)))</f>
        <v>Southeast</v>
      </c>
      <c r="Q26" s="698" t="str">
        <f t="array" ref="Q26">IFERROR(INDEX(UtilityList!K$4:K$251,MATCH('Table 2.4a'!$A26&amp;'Table 2.4a'!$B26&amp;'Table 2.4a'!$C26,UtilityList!$A$4:$A$251&amp;UtilityList!$B$4:$B$251&amp;UtilityList!$C$4:$C$251,0)), INDEX(UtilityList!K$4:K$251,MATCH('Table 2.4a'!$A26&amp;'Table 2.4a'!$C26,UtilityList!$A$4:$A$251&amp;UtilityList!$C$4:$C$251,0)))</f>
        <v>Skagway</v>
      </c>
      <c r="R26" s="698" t="str">
        <f t="array" ref="R26">IFERROR(INDEX(UtilityList!L$4:L$251,MATCH('Table 2.4a'!$A26&amp;'Table 2.4a'!$B26&amp;'Table 2.4a'!$C26,UtilityList!$A$4:$A$251&amp;UtilityList!$B$4:$B$251&amp;UtilityList!$C$4:$C$251,0)), INDEX(UtilityList!L$4:L$251,MATCH('Table 2.4a'!$A26&amp;'Table 2.4a'!$C26,UtilityList!$A$4:$A$251&amp;UtilityList!$C$4:$C$251,0)))</f>
        <v>Sealaska</v>
      </c>
      <c r="S26" s="698" t="str">
        <f t="array" ref="S26">IFERROR(INDEX(UtilityList!M$4:M$251,MATCH('Table 2.4a'!$A26&amp;'Table 2.4a'!$B26&amp;'Table 2.4a'!$C26,UtilityList!$A$4:$A$251&amp;UtilityList!$B$4:$B$251&amp;UtilityList!$C$4:$C$251,0)), INDEX(UtilityList!M$4:M$251,MATCH('Table 2.4a'!$A26&amp;'Table 2.4a'!$C26,UtilityList!$A$4:$A$251&amp;UtilityList!$C$4:$C$251,0)))</f>
        <v>SE</v>
      </c>
    </row>
    <row r="27" spans="1:19" customFormat="1" ht="45" x14ac:dyDescent="0.25">
      <c r="A27" s="678" t="s">
        <v>43</v>
      </c>
      <c r="B27" s="361" t="s">
        <v>51</v>
      </c>
      <c r="C27" s="679" t="s">
        <v>51</v>
      </c>
      <c r="D27" s="680" t="s">
        <v>545</v>
      </c>
      <c r="E27" s="680" t="s">
        <v>546</v>
      </c>
      <c r="F27" s="694">
        <f t="shared" si="1"/>
        <v>284.21959999999996</v>
      </c>
      <c r="G27" s="694">
        <f t="shared" si="0"/>
        <v>1264.9000000000001</v>
      </c>
      <c r="H27" s="695">
        <v>73.150000000000006</v>
      </c>
      <c r="I27" s="694">
        <f t="shared" si="2"/>
        <v>92.527435000000011</v>
      </c>
      <c r="J27" s="696">
        <f t="shared" si="3"/>
        <v>0.22469728832318756</v>
      </c>
      <c r="K27" s="697">
        <v>83.3</v>
      </c>
      <c r="L27" s="697">
        <v>9100</v>
      </c>
      <c r="M27" s="790">
        <v>0.13900000000000001</v>
      </c>
      <c r="N27" s="658" t="s">
        <v>356</v>
      </c>
      <c r="O27" s="698">
        <f t="array" ref="O27">INDEX(UtilityList!Q$4:Q$251,MATCH('Table 2.4a'!$A27&amp;'Table 2.4a'!$B27&amp;'Table 2.4a'!$C27,UtilityList!$A$4:$A$251&amp;UtilityList!$B$4:$B$251&amp;UtilityList!$C$4:$C$251,0))</f>
        <v>0</v>
      </c>
      <c r="P27" s="698" t="str">
        <f t="array" ref="P27">IFERROR(INDEX(UtilityList!J$4:J$251,MATCH('Table 2.4a'!$A27&amp;'Table 2.4a'!$B27&amp;'Table 2.4a'!$C27,UtilityList!$A$4:$A$251&amp;UtilityList!$B$4:$B$251&amp;UtilityList!$C$4:$C$251,0)), INDEX(UtilityList!J$4:J$251,MATCH('Table 2.4a'!$A27&amp;'Table 2.4a'!$C27,UtilityList!$A$4:$A$251&amp;UtilityList!$C$4:$C$251,0)))</f>
        <v>Yukon-Koyukuk/Upper Tanana</v>
      </c>
      <c r="Q27" s="698" t="str">
        <f t="array" ref="Q27">IFERROR(INDEX(UtilityList!K$4:K$251,MATCH('Table 2.4a'!$A27&amp;'Table 2.4a'!$B27&amp;'Table 2.4a'!$C27,UtilityList!$A$4:$A$251&amp;UtilityList!$B$4:$B$251&amp;UtilityList!$C$4:$C$251,0)), INDEX(UtilityList!K$4:K$251,MATCH('Table 2.4a'!$A27&amp;'Table 2.4a'!$C27,UtilityList!$A$4:$A$251&amp;UtilityList!$C$4:$C$251,0)))</f>
        <v>Southeast Fairbanks (CA)</v>
      </c>
      <c r="R27" s="698" t="str">
        <f t="array" ref="R27">IFERROR(INDEX(UtilityList!L$4:L$251,MATCH('Table 2.4a'!$A27&amp;'Table 2.4a'!$B27&amp;'Table 2.4a'!$C27,UtilityList!$A$4:$A$251&amp;UtilityList!$B$4:$B$251&amp;UtilityList!$C$4:$C$251,0)), INDEX(UtilityList!L$4:L$251,MATCH('Table 2.4a'!$A27&amp;'Table 2.4a'!$C27,UtilityList!$A$4:$A$251&amp;UtilityList!$C$4:$C$251,0)))</f>
        <v>Doyon</v>
      </c>
      <c r="S27" s="698" t="str">
        <f t="array" ref="S27">IFERROR(INDEX(UtilityList!M$4:M$251,MATCH('Table 2.4a'!$A27&amp;'Table 2.4a'!$B27&amp;'Table 2.4a'!$C27,UtilityList!$A$4:$A$251&amp;UtilityList!$B$4:$B$251&amp;UtilityList!$C$4:$C$251,0)), INDEX(UtilityList!M$4:M$251,MATCH('Table 2.4a'!$A27&amp;'Table 2.4a'!$C27,UtilityList!$A$4:$A$251&amp;UtilityList!$C$4:$C$251,0)))</f>
        <v>YU</v>
      </c>
    </row>
    <row r="28" spans="1:19" s="126" customFormat="1" ht="75" x14ac:dyDescent="0.25">
      <c r="A28" s="678" t="s">
        <v>43</v>
      </c>
      <c r="B28" s="361" t="s">
        <v>52</v>
      </c>
      <c r="C28" s="679" t="s">
        <v>52</v>
      </c>
      <c r="D28" s="680" t="s">
        <v>545</v>
      </c>
      <c r="E28" s="680" t="s">
        <v>546</v>
      </c>
      <c r="F28" s="694">
        <f t="shared" si="1"/>
        <v>-42.131376000000003</v>
      </c>
      <c r="G28" s="694">
        <f t="shared" si="0"/>
        <v>0</v>
      </c>
      <c r="H28" s="695">
        <v>73.150000000000006</v>
      </c>
      <c r="I28" s="694">
        <f t="shared" si="2"/>
        <v>0</v>
      </c>
      <c r="J28" s="696" t="str">
        <f t="shared" si="3"/>
        <v xml:space="preserve"> </v>
      </c>
      <c r="K28" s="697">
        <v>-12.348000000000001</v>
      </c>
      <c r="L28" s="697">
        <v>0</v>
      </c>
      <c r="M28" s="790">
        <v>0.13900000000000001</v>
      </c>
      <c r="N28" s="658" t="s">
        <v>356</v>
      </c>
      <c r="O28" s="698" t="str">
        <f t="array" ref="O28">INDEX(UtilityList!Q$4:Q$251,MATCH('Table 2.4a'!$A28&amp;'Table 2.4a'!$B28&amp;'Table 2.4a'!$C28,UtilityList!$A$4:$A$251&amp;UtilityList!$B$4:$B$251&amp;UtilityList!$C$4:$C$251,0))</f>
        <v>Part of the Alaska Power Company's grid on Prince of Wales Island. Receives power from Craig. Refer to Craig for fuel use and cost.</v>
      </c>
      <c r="P28" s="698" t="str">
        <f t="array" ref="P28">IFERROR(INDEX(UtilityList!J$4:J$251,MATCH('Table 2.4a'!$A28&amp;'Table 2.4a'!$B28&amp;'Table 2.4a'!$C28,UtilityList!$A$4:$A$251&amp;UtilityList!$B$4:$B$251&amp;UtilityList!$C$4:$C$251,0)), INDEX(UtilityList!J$4:J$251,MATCH('Table 2.4a'!$A28&amp;'Table 2.4a'!$C28,UtilityList!$A$4:$A$251&amp;UtilityList!$C$4:$C$251,0)))</f>
        <v>Southeast</v>
      </c>
      <c r="Q28" s="698" t="str">
        <f t="array" ref="Q28">IFERROR(INDEX(UtilityList!K$4:K$251,MATCH('Table 2.4a'!$A28&amp;'Table 2.4a'!$B28&amp;'Table 2.4a'!$C28,UtilityList!$A$4:$A$251&amp;UtilityList!$B$4:$B$251&amp;UtilityList!$C$4:$C$251,0)), INDEX(UtilityList!K$4:K$251,MATCH('Table 2.4a'!$A28&amp;'Table 2.4a'!$C28,UtilityList!$A$4:$A$251&amp;UtilityList!$C$4:$C$251,0)))</f>
        <v>Prince of Wales-Hyder (CA)</v>
      </c>
      <c r="R28" s="698" t="str">
        <f t="array" ref="R28">IFERROR(INDEX(UtilityList!L$4:L$251,MATCH('Table 2.4a'!$A28&amp;'Table 2.4a'!$B28&amp;'Table 2.4a'!$C28,UtilityList!$A$4:$A$251&amp;UtilityList!$B$4:$B$251&amp;UtilityList!$C$4:$C$251,0)), INDEX(UtilityList!L$4:L$251,MATCH('Table 2.4a'!$A28&amp;'Table 2.4a'!$C28,UtilityList!$A$4:$A$251&amp;UtilityList!$C$4:$C$251,0)))</f>
        <v>Sealaska</v>
      </c>
      <c r="S28" s="698" t="str">
        <f t="array" ref="S28">IFERROR(INDEX(UtilityList!M$4:M$251,MATCH('Table 2.4a'!$A28&amp;'Table 2.4a'!$B28&amp;'Table 2.4a'!$C28,UtilityList!$A$4:$A$251&amp;UtilityList!$B$4:$B$251&amp;UtilityList!$C$4:$C$251,0)), INDEX(UtilityList!M$4:M$251,MATCH('Table 2.4a'!$A28&amp;'Table 2.4a'!$C28,UtilityList!$A$4:$A$251&amp;UtilityList!$C$4:$C$251,0)))</f>
        <v>SE</v>
      </c>
    </row>
    <row r="29" spans="1:19" customFormat="1" ht="75" x14ac:dyDescent="0.25">
      <c r="A29" s="352" t="s">
        <v>43</v>
      </c>
      <c r="B29" s="352" t="s">
        <v>53</v>
      </c>
      <c r="C29" s="352" t="s">
        <v>53</v>
      </c>
      <c r="D29" s="685" t="s">
        <v>545</v>
      </c>
      <c r="E29" s="685" t="s">
        <v>546</v>
      </c>
      <c r="F29" s="694">
        <f t="shared" si="1"/>
        <v>78.475999999999999</v>
      </c>
      <c r="G29" s="694">
        <f t="shared" si="0"/>
        <v>537.096</v>
      </c>
      <c r="H29" s="699">
        <v>73.150000000000006</v>
      </c>
      <c r="I29" s="694">
        <f t="shared" si="2"/>
        <v>39.288572400000007</v>
      </c>
      <c r="J29" s="696">
        <f t="shared" si="3"/>
        <v>0.14611168208290509</v>
      </c>
      <c r="K29" s="697">
        <v>23</v>
      </c>
      <c r="L29" s="697">
        <v>3864</v>
      </c>
      <c r="M29" s="790">
        <v>0.13900000000000001</v>
      </c>
      <c r="N29" s="662" t="s">
        <v>558</v>
      </c>
      <c r="O29" s="698" t="str">
        <f t="array" ref="O29">INDEX(UtilityList!Q$4:Q$251,MATCH('Table 2.4a'!$A29&amp;'Table 2.4a'!$B29&amp;'Table 2.4a'!$C29,UtilityList!$A$4:$A$251&amp;UtilityList!$B$4:$B$251&amp;UtilityList!$C$4:$C$251,0))</f>
        <v>Part of the Alaska Power Company's grid on Prince of Wales Island. Receives power from Craig. Refer to Craig for fuel use and cost.</v>
      </c>
      <c r="P29" s="698" t="str">
        <f t="array" ref="P29">IFERROR(INDEX(UtilityList!J$4:J$251,MATCH('Table 2.4a'!$A29&amp;'Table 2.4a'!$B29&amp;'Table 2.4a'!$C29,UtilityList!$A$4:$A$251&amp;UtilityList!$B$4:$B$251&amp;UtilityList!$C$4:$C$251,0)), INDEX(UtilityList!J$4:J$251,MATCH('Table 2.4a'!$A29&amp;'Table 2.4a'!$C29,UtilityList!$A$4:$A$251&amp;UtilityList!$C$4:$C$251,0)))</f>
        <v>Southeast</v>
      </c>
      <c r="Q29" s="698" t="str">
        <f t="array" ref="Q29">IFERROR(INDEX(UtilityList!K$4:K$251,MATCH('Table 2.4a'!$A29&amp;'Table 2.4a'!$B29&amp;'Table 2.4a'!$C29,UtilityList!$A$4:$A$251&amp;UtilityList!$B$4:$B$251&amp;UtilityList!$C$4:$C$251,0)), INDEX(UtilityList!K$4:K$251,MATCH('Table 2.4a'!$A29&amp;'Table 2.4a'!$C29,UtilityList!$A$4:$A$251&amp;UtilityList!$C$4:$C$251,0)))</f>
        <v>Prince of Wales-Hyder (CA)</v>
      </c>
      <c r="R29" s="698" t="str">
        <f t="array" ref="R29">IFERROR(INDEX(UtilityList!L$4:L$251,MATCH('Table 2.4a'!$A29&amp;'Table 2.4a'!$B29&amp;'Table 2.4a'!$C29,UtilityList!$A$4:$A$251&amp;UtilityList!$B$4:$B$251&amp;UtilityList!$C$4:$C$251,0)), INDEX(UtilityList!L$4:L$251,MATCH('Table 2.4a'!$A29&amp;'Table 2.4a'!$C29,UtilityList!$A$4:$A$251&amp;UtilityList!$C$4:$C$251,0)))</f>
        <v>Sealaska</v>
      </c>
      <c r="S29" s="698" t="str">
        <f t="array" ref="S29">IFERROR(INDEX(UtilityList!M$4:M$251,MATCH('Table 2.4a'!$A29&amp;'Table 2.4a'!$B29&amp;'Table 2.4a'!$C29,UtilityList!$A$4:$A$251&amp;UtilityList!$B$4:$B$251&amp;UtilityList!$C$4:$C$251,0)), INDEX(UtilityList!M$4:M$251,MATCH('Table 2.4a'!$A29&amp;'Table 2.4a'!$C29,UtilityList!$A$4:$A$251&amp;UtilityList!$C$4:$C$251,0)))</f>
        <v>SE</v>
      </c>
    </row>
    <row r="30" spans="1:19" customFormat="1" ht="75" x14ac:dyDescent="0.25">
      <c r="A30" s="678" t="s">
        <v>43</v>
      </c>
      <c r="B30" s="361" t="s">
        <v>48</v>
      </c>
      <c r="C30" s="679" t="s">
        <v>54</v>
      </c>
      <c r="D30" s="680" t="s">
        <v>545</v>
      </c>
      <c r="E30" s="680" t="s">
        <v>546</v>
      </c>
      <c r="F30" s="694">
        <f t="shared" si="1"/>
        <v>-93.488799999999998</v>
      </c>
      <c r="G30" s="694">
        <f t="shared" si="0"/>
        <v>0</v>
      </c>
      <c r="H30" s="695">
        <v>73.150000000000006</v>
      </c>
      <c r="I30" s="694">
        <f t="shared" si="2"/>
        <v>0</v>
      </c>
      <c r="J30" s="696" t="str">
        <f t="shared" si="3"/>
        <v xml:space="preserve"> </v>
      </c>
      <c r="K30" s="697">
        <v>-27.4</v>
      </c>
      <c r="L30" s="697">
        <v>0</v>
      </c>
      <c r="M30" s="790">
        <v>0.13900000000000001</v>
      </c>
      <c r="N30" s="658" t="s">
        <v>356</v>
      </c>
      <c r="O30" s="698" t="str">
        <f t="array" ref="O30">INDEX(UtilityList!Q$4:Q$251,MATCH('Table 2.4a'!$A30&amp;'Table 2.4a'!$B30&amp;'Table 2.4a'!$C30,UtilityList!$A$4:$A$251&amp;UtilityList!$B$4:$B$251&amp;UtilityList!$C$4:$C$251,0))</f>
        <v>Part of the Alaska Power Company's grid on Prince of Wales Island. Receives power from Craig. Refer to Craig for fuel use and cost.</v>
      </c>
      <c r="P30" s="698" t="str">
        <f t="array" ref="P30">IFERROR(INDEX(UtilityList!J$4:J$251,MATCH('Table 2.4a'!$A30&amp;'Table 2.4a'!$B30&amp;'Table 2.4a'!$C30,UtilityList!$A$4:$A$251&amp;UtilityList!$B$4:$B$251&amp;UtilityList!$C$4:$C$251,0)), INDEX(UtilityList!J$4:J$251,MATCH('Table 2.4a'!$A30&amp;'Table 2.4a'!$C30,UtilityList!$A$4:$A$251&amp;UtilityList!$C$4:$C$251,0)))</f>
        <v>Southeast</v>
      </c>
      <c r="Q30" s="698" t="str">
        <f t="array" ref="Q30">IFERROR(INDEX(UtilityList!K$4:K$251,MATCH('Table 2.4a'!$A30&amp;'Table 2.4a'!$B30&amp;'Table 2.4a'!$C30,UtilityList!$A$4:$A$251&amp;UtilityList!$B$4:$B$251&amp;UtilityList!$C$4:$C$251,0)), INDEX(UtilityList!K$4:K$251,MATCH('Table 2.4a'!$A30&amp;'Table 2.4a'!$C30,UtilityList!$A$4:$A$251&amp;UtilityList!$C$4:$C$251,0)))</f>
        <v>Prince of Wales-Hyder (CA)</v>
      </c>
      <c r="R30" s="698" t="str">
        <f t="array" ref="R30">IFERROR(INDEX(UtilityList!L$4:L$251,MATCH('Table 2.4a'!$A30&amp;'Table 2.4a'!$B30&amp;'Table 2.4a'!$C30,UtilityList!$A$4:$A$251&amp;UtilityList!$B$4:$B$251&amp;UtilityList!$C$4:$C$251,0)), INDEX(UtilityList!L$4:L$251,MATCH('Table 2.4a'!$A30&amp;'Table 2.4a'!$C30,UtilityList!$A$4:$A$251&amp;UtilityList!$C$4:$C$251,0)))</f>
        <v>Sealaska</v>
      </c>
      <c r="S30" s="698" t="str">
        <f t="array" ref="S30">IFERROR(INDEX(UtilityList!M$4:M$251,MATCH('Table 2.4a'!$A30&amp;'Table 2.4a'!$B30&amp;'Table 2.4a'!$C30,UtilityList!$A$4:$A$251&amp;UtilityList!$B$4:$B$251&amp;UtilityList!$C$4:$C$251,0)), INDEX(UtilityList!M$4:M$251,MATCH('Table 2.4a'!$A30&amp;'Table 2.4a'!$C30,UtilityList!$A$4:$A$251&amp;UtilityList!$C$4:$C$251,0)))</f>
        <v>SE</v>
      </c>
    </row>
    <row r="31" spans="1:19" customFormat="1" ht="30" x14ac:dyDescent="0.25">
      <c r="A31" s="678" t="s">
        <v>43</v>
      </c>
      <c r="B31" s="361" t="s">
        <v>55</v>
      </c>
      <c r="C31" s="679" t="s">
        <v>55</v>
      </c>
      <c r="D31" s="680" t="s">
        <v>545</v>
      </c>
      <c r="E31" s="680" t="s">
        <v>546</v>
      </c>
      <c r="F31" s="694">
        <f t="shared" si="1"/>
        <v>809.01249599999994</v>
      </c>
      <c r="G31" s="694">
        <f t="shared" si="0"/>
        <v>2749.2810000000004</v>
      </c>
      <c r="H31" s="695">
        <v>73.150000000000006</v>
      </c>
      <c r="I31" s="694">
        <f t="shared" si="2"/>
        <v>201.10990515000003</v>
      </c>
      <c r="J31" s="696">
        <f t="shared" si="3"/>
        <v>0.2942632986588129</v>
      </c>
      <c r="K31" s="697">
        <v>237.108</v>
      </c>
      <c r="L31" s="697">
        <v>19779</v>
      </c>
      <c r="M31" s="790">
        <v>0.13900000000000001</v>
      </c>
      <c r="N31" s="658" t="s">
        <v>356</v>
      </c>
      <c r="O31" s="698">
        <f t="array" ref="O31">INDEX(UtilityList!Q$4:Q$251,MATCH('Table 2.4a'!$A31&amp;'Table 2.4a'!$B31&amp;'Table 2.4a'!$C31,UtilityList!$A$4:$A$251&amp;UtilityList!$B$4:$B$251&amp;UtilityList!$C$4:$C$251,0))</f>
        <v>0</v>
      </c>
      <c r="P31" s="698" t="str">
        <f t="array" ref="P31">IFERROR(INDEX(UtilityList!J$4:J$251,MATCH('Table 2.4a'!$A31&amp;'Table 2.4a'!$B31&amp;'Table 2.4a'!$C31,UtilityList!$A$4:$A$251&amp;UtilityList!$B$4:$B$251&amp;UtilityList!$C$4:$C$251,0)), INDEX(UtilityList!J$4:J$251,MATCH('Table 2.4a'!$A31&amp;'Table 2.4a'!$C31,UtilityList!$A$4:$A$251&amp;UtilityList!$C$4:$C$251,0)))</f>
        <v>Copper River/Chugach</v>
      </c>
      <c r="Q31" s="698" t="str">
        <f t="array" ref="Q31">IFERROR(INDEX(UtilityList!K$4:K$251,MATCH('Table 2.4a'!$A31&amp;'Table 2.4a'!$B31&amp;'Table 2.4a'!$C31,UtilityList!$A$4:$A$251&amp;UtilityList!$B$4:$B$251&amp;UtilityList!$C$4:$C$251,0)), INDEX(UtilityList!K$4:K$251,MATCH('Table 2.4a'!$A31&amp;'Table 2.4a'!$C31,UtilityList!$A$4:$A$251&amp;UtilityList!$C$4:$C$251,0)))</f>
        <v>Valdez-Cordova (CA)</v>
      </c>
      <c r="R31" s="698" t="str">
        <f t="array" ref="R31">IFERROR(INDEX(UtilityList!L$4:L$251,MATCH('Table 2.4a'!$A31&amp;'Table 2.4a'!$B31&amp;'Table 2.4a'!$C31,UtilityList!$A$4:$A$251&amp;UtilityList!$B$4:$B$251&amp;UtilityList!$C$4:$C$251,0)), INDEX(UtilityList!L$4:L$251,MATCH('Table 2.4a'!$A31&amp;'Table 2.4a'!$C31,UtilityList!$A$4:$A$251&amp;UtilityList!$C$4:$C$251,0)))</f>
        <v>Ahtna</v>
      </c>
      <c r="S31" s="698" t="str">
        <f t="array" ref="S31">IFERROR(INDEX(UtilityList!M$4:M$251,MATCH('Table 2.4a'!$A31&amp;'Table 2.4a'!$B31&amp;'Table 2.4a'!$C31,UtilityList!$A$4:$A$251&amp;UtilityList!$B$4:$B$251&amp;UtilityList!$C$4:$C$251,0)), INDEX(UtilityList!M$4:M$251,MATCH('Table 2.4a'!$A31&amp;'Table 2.4a'!$C31,UtilityList!$A$4:$A$251&amp;UtilityList!$C$4:$C$251,0)))</f>
        <v>YU</v>
      </c>
    </row>
    <row r="32" spans="1:19" s="126" customFormat="1" ht="30" x14ac:dyDescent="0.25">
      <c r="A32" s="678" t="s">
        <v>43</v>
      </c>
      <c r="B32" s="361" t="s">
        <v>56</v>
      </c>
      <c r="C32" s="679" t="s">
        <v>56</v>
      </c>
      <c r="D32" s="680" t="s">
        <v>545</v>
      </c>
      <c r="E32" s="680" t="s">
        <v>546</v>
      </c>
      <c r="F32" s="694">
        <f t="shared" si="1"/>
        <v>1535.086096</v>
      </c>
      <c r="G32" s="694">
        <f t="shared" si="0"/>
        <v>5187.7580000000007</v>
      </c>
      <c r="H32" s="695">
        <v>73.150000000000006</v>
      </c>
      <c r="I32" s="694">
        <f t="shared" si="2"/>
        <v>379.48449770000008</v>
      </c>
      <c r="J32" s="696">
        <f t="shared" si="3"/>
        <v>0.29590549443516828</v>
      </c>
      <c r="K32" s="697">
        <v>449.90800000000002</v>
      </c>
      <c r="L32" s="697">
        <v>37322</v>
      </c>
      <c r="M32" s="790">
        <v>0.13900000000000001</v>
      </c>
      <c r="N32" s="658" t="s">
        <v>356</v>
      </c>
      <c r="O32" s="698">
        <f t="array" ref="O32">INDEX(UtilityList!Q$4:Q$251,MATCH('Table 2.4a'!$A32&amp;'Table 2.4a'!$B32&amp;'Table 2.4a'!$C32,UtilityList!$A$4:$A$251&amp;UtilityList!$B$4:$B$251&amp;UtilityList!$C$4:$C$251,0))</f>
        <v>0</v>
      </c>
      <c r="P32" s="698" t="str">
        <f t="array" ref="P32">IFERROR(INDEX(UtilityList!J$4:J$251,MATCH('Table 2.4a'!$A32&amp;'Table 2.4a'!$B32&amp;'Table 2.4a'!$C32,UtilityList!$A$4:$A$251&amp;UtilityList!$B$4:$B$251&amp;UtilityList!$C$4:$C$251,0)), INDEX(UtilityList!J$4:J$251,MATCH('Table 2.4a'!$A32&amp;'Table 2.4a'!$C32,UtilityList!$A$4:$A$251&amp;UtilityList!$C$4:$C$251,0)))</f>
        <v>Southeast</v>
      </c>
      <c r="Q32" s="698" t="str">
        <f t="array" ref="Q32">IFERROR(INDEX(UtilityList!K$4:K$251,MATCH('Table 2.4a'!$A32&amp;'Table 2.4a'!$B32&amp;'Table 2.4a'!$C32,UtilityList!$A$4:$A$251&amp;UtilityList!$B$4:$B$251&amp;UtilityList!$C$4:$C$251,0)), INDEX(UtilityList!K$4:K$251,MATCH('Table 2.4a'!$A32&amp;'Table 2.4a'!$C32,UtilityList!$A$4:$A$251&amp;UtilityList!$C$4:$C$251,0)))</f>
        <v>Prince of Wales-Hyder (CA)</v>
      </c>
      <c r="R32" s="698" t="str">
        <f t="array" ref="R32">IFERROR(INDEX(UtilityList!L$4:L$251,MATCH('Table 2.4a'!$A32&amp;'Table 2.4a'!$B32&amp;'Table 2.4a'!$C32,UtilityList!$A$4:$A$251&amp;UtilityList!$B$4:$B$251&amp;UtilityList!$C$4:$C$251,0)), INDEX(UtilityList!L$4:L$251,MATCH('Table 2.4a'!$A32&amp;'Table 2.4a'!$C32,UtilityList!$A$4:$A$251&amp;UtilityList!$C$4:$C$251,0)))</f>
        <v>Sealaska</v>
      </c>
      <c r="S32" s="698" t="str">
        <f t="array" ref="S32">IFERROR(INDEX(UtilityList!M$4:M$251,MATCH('Table 2.4a'!$A32&amp;'Table 2.4a'!$B32&amp;'Table 2.4a'!$C32,UtilityList!$A$4:$A$251&amp;UtilityList!$B$4:$B$251&amp;UtilityList!$C$4:$C$251,0)), INDEX(UtilityList!M$4:M$251,MATCH('Table 2.4a'!$A32&amp;'Table 2.4a'!$C32,UtilityList!$A$4:$A$251&amp;UtilityList!$C$4:$C$251,0)))</f>
        <v>SE</v>
      </c>
    </row>
    <row r="33" spans="1:19" s="200" customFormat="1" ht="60" x14ac:dyDescent="0.25">
      <c r="A33" s="352" t="s">
        <v>43</v>
      </c>
      <c r="B33" s="352" t="s">
        <v>57</v>
      </c>
      <c r="C33" s="352" t="s">
        <v>683</v>
      </c>
      <c r="D33" s="685" t="s">
        <v>545</v>
      </c>
      <c r="E33" s="685" t="s">
        <v>546</v>
      </c>
      <c r="F33" s="694">
        <f t="shared" si="1"/>
        <v>4401.4799999999996</v>
      </c>
      <c r="G33" s="694">
        <f t="shared" si="0"/>
        <v>13707.624000000002</v>
      </c>
      <c r="H33" s="699">
        <v>73.150000000000006</v>
      </c>
      <c r="I33" s="694">
        <f t="shared" si="2"/>
        <v>1002.7126956000002</v>
      </c>
      <c r="J33" s="696">
        <f t="shared" si="3"/>
        <v>0.32109722297606053</v>
      </c>
      <c r="K33" s="697">
        <v>1290</v>
      </c>
      <c r="L33" s="697">
        <v>98616</v>
      </c>
      <c r="M33" s="790">
        <v>0.13900000000000001</v>
      </c>
      <c r="N33" s="662" t="s">
        <v>558</v>
      </c>
      <c r="O33" s="698" t="str">
        <f t="array" ref="O33">INDEX(UtilityList!Q$4:Q$251,MATCH('Table 2.4a'!$A33&amp;'Table 2.4a'!$B33&amp;'Table 2.4a'!$C33,UtilityList!$A$4:$A$251&amp;UtilityList!$B$4:$B$251&amp;UtilityList!$C$4:$C$251,0))</f>
        <v>Provides power to Northway Village via intertie. Data includes Northway Village's information.</v>
      </c>
      <c r="P33" s="698" t="str">
        <f t="array" ref="P33">IFERROR(INDEX(UtilityList!J$4:J$251,MATCH('Table 2.4a'!$A33&amp;'Table 2.4a'!$B33&amp;'Table 2.4a'!$C33,UtilityList!$A$4:$A$251&amp;UtilityList!$B$4:$B$251&amp;UtilityList!$C$4:$C$251,0)), INDEX(UtilityList!J$4:J$251,MATCH('Table 2.4a'!$A33&amp;'Table 2.4a'!$C33,UtilityList!$A$4:$A$251&amp;UtilityList!$C$4:$C$251,0)))</f>
        <v>Yukon-Koyukuk/Upper Tanana</v>
      </c>
      <c r="Q33" s="698" t="str">
        <f t="array" ref="Q33">IFERROR(INDEX(UtilityList!K$4:K$251,MATCH('Table 2.4a'!$A33&amp;'Table 2.4a'!$B33&amp;'Table 2.4a'!$C33,UtilityList!$A$4:$A$251&amp;UtilityList!$B$4:$B$251&amp;UtilityList!$C$4:$C$251,0)), INDEX(UtilityList!K$4:K$251,MATCH('Table 2.4a'!$A33&amp;'Table 2.4a'!$C33,UtilityList!$A$4:$A$251&amp;UtilityList!$C$4:$C$251,0)))</f>
        <v>Southeast Fairbanks (CA)</v>
      </c>
      <c r="R33" s="698" t="str">
        <f t="array" ref="R33">IFERROR(INDEX(UtilityList!L$4:L$251,MATCH('Table 2.4a'!$A33&amp;'Table 2.4a'!$B33&amp;'Table 2.4a'!$C33,UtilityList!$A$4:$A$251&amp;UtilityList!$B$4:$B$251&amp;UtilityList!$C$4:$C$251,0)), INDEX(UtilityList!L$4:L$251,MATCH('Table 2.4a'!$A33&amp;'Table 2.4a'!$C33,UtilityList!$A$4:$A$251&amp;UtilityList!$C$4:$C$251,0)))</f>
        <v>Doyon</v>
      </c>
      <c r="S33" s="698" t="str">
        <f t="array" ref="S33">IFERROR(INDEX(UtilityList!M$4:M$251,MATCH('Table 2.4a'!$A33&amp;'Table 2.4a'!$B33&amp;'Table 2.4a'!$C33,UtilityList!$A$4:$A$251&amp;UtilityList!$B$4:$B$251&amp;UtilityList!$C$4:$C$251,0)), INDEX(UtilityList!M$4:M$251,MATCH('Table 2.4a'!$A33&amp;'Table 2.4a'!$C33,UtilityList!$A$4:$A$251&amp;UtilityList!$C$4:$C$251,0)))</f>
        <v>YU</v>
      </c>
    </row>
    <row r="34" spans="1:19" customFormat="1" ht="60" x14ac:dyDescent="0.25">
      <c r="A34" s="678" t="s">
        <v>43</v>
      </c>
      <c r="B34" s="361" t="s">
        <v>61</v>
      </c>
      <c r="C34" s="679" t="s">
        <v>995</v>
      </c>
      <c r="D34" s="680" t="s">
        <v>545</v>
      </c>
      <c r="E34" s="680" t="s">
        <v>546</v>
      </c>
      <c r="F34" s="694">
        <f t="shared" si="1"/>
        <v>3925.3626960000001</v>
      </c>
      <c r="G34" s="694">
        <f t="shared" si="0"/>
        <v>13153.570000000002</v>
      </c>
      <c r="H34" s="695">
        <v>73.150000000000006</v>
      </c>
      <c r="I34" s="694">
        <f t="shared" si="2"/>
        <v>962.18364550000024</v>
      </c>
      <c r="J34" s="696">
        <f t="shared" si="3"/>
        <v>0.29842565143911498</v>
      </c>
      <c r="K34" s="697">
        <v>1150.4580000000001</v>
      </c>
      <c r="L34" s="697">
        <v>94630</v>
      </c>
      <c r="M34" s="790">
        <v>0.13900000000000001</v>
      </c>
      <c r="N34" s="658" t="s">
        <v>356</v>
      </c>
      <c r="O34" s="698" t="str">
        <f t="array" ref="O34">INDEX(UtilityList!Q$4:Q$251,MATCH('Table 2.4a'!$A34&amp;'Table 2.4a'!$B34&amp;'Table 2.4a'!$C34,UtilityList!$A$4:$A$251&amp;UtilityList!$B$4:$B$251&amp;UtilityList!$C$4:$C$251,0))</f>
        <v>Provides power to Chistochina via intertie. Includes Chistochina's fuel use and fuel cost.</v>
      </c>
      <c r="P34" s="698" t="str">
        <f t="array" ref="P34">IFERROR(INDEX(UtilityList!J$4:J$251,MATCH('Table 2.4a'!$A34&amp;'Table 2.4a'!$B34&amp;'Table 2.4a'!$C34,UtilityList!$A$4:$A$251&amp;UtilityList!$B$4:$B$251&amp;UtilityList!$C$4:$C$251,0)), INDEX(UtilityList!J$4:J$251,MATCH('Table 2.4a'!$A34&amp;'Table 2.4a'!$C34,UtilityList!$A$4:$A$251&amp;UtilityList!$C$4:$C$251,0)))</f>
        <v>Copper River/Chugach</v>
      </c>
      <c r="Q34" s="698" t="str">
        <f t="array" ref="Q34">IFERROR(INDEX(UtilityList!K$4:K$251,MATCH('Table 2.4a'!$A34&amp;'Table 2.4a'!$B34&amp;'Table 2.4a'!$C34,UtilityList!$A$4:$A$251&amp;UtilityList!$B$4:$B$251&amp;UtilityList!$C$4:$C$251,0)), INDEX(UtilityList!K$4:K$251,MATCH('Table 2.4a'!$A34&amp;'Table 2.4a'!$C34,UtilityList!$A$4:$A$251&amp;UtilityList!$C$4:$C$251,0)))</f>
        <v>Valdez-Cordova (CA)</v>
      </c>
      <c r="R34" s="698" t="str">
        <f t="array" ref="R34">IFERROR(INDEX(UtilityList!L$4:L$251,MATCH('Table 2.4a'!$A34&amp;'Table 2.4a'!$B34&amp;'Table 2.4a'!$C34,UtilityList!$A$4:$A$251&amp;UtilityList!$B$4:$B$251&amp;UtilityList!$C$4:$C$251,0)), INDEX(UtilityList!L$4:L$251,MATCH('Table 2.4a'!$A34&amp;'Table 2.4a'!$C34,UtilityList!$A$4:$A$251&amp;UtilityList!$C$4:$C$251,0)))</f>
        <v>Ahtna</v>
      </c>
      <c r="S34" s="698" t="str">
        <f t="array" ref="S34">IFERROR(INDEX(UtilityList!M$4:M$251,MATCH('Table 2.4a'!$A34&amp;'Table 2.4a'!$B34&amp;'Table 2.4a'!$C34,UtilityList!$A$4:$A$251&amp;UtilityList!$B$4:$B$251&amp;UtilityList!$C$4:$C$251,0)), INDEX(UtilityList!M$4:M$251,MATCH('Table 2.4a'!$A34&amp;'Table 2.4a'!$C34,UtilityList!$A$4:$A$251&amp;UtilityList!$C$4:$C$251,0)))</f>
        <v>YU</v>
      </c>
    </row>
    <row r="35" spans="1:19" customFormat="1" ht="60" x14ac:dyDescent="0.25">
      <c r="A35" s="678" t="s">
        <v>43</v>
      </c>
      <c r="B35" s="361" t="s">
        <v>64</v>
      </c>
      <c r="C35" s="679" t="s">
        <v>62</v>
      </c>
      <c r="D35" s="680" t="s">
        <v>545</v>
      </c>
      <c r="E35" s="680" t="s">
        <v>546</v>
      </c>
      <c r="F35" s="694">
        <f t="shared" si="1"/>
        <v>0</v>
      </c>
      <c r="G35" s="694">
        <f t="shared" si="0"/>
        <v>0</v>
      </c>
      <c r="H35" s="695">
        <v>73.150000000000006</v>
      </c>
      <c r="I35" s="694">
        <f t="shared" si="2"/>
        <v>0</v>
      </c>
      <c r="J35" s="696" t="str">
        <f t="shared" si="3"/>
        <v xml:space="preserve"> </v>
      </c>
      <c r="K35" s="697">
        <v>0</v>
      </c>
      <c r="L35" s="697">
        <v>0</v>
      </c>
      <c r="M35" s="790">
        <v>0.13900000000000001</v>
      </c>
      <c r="N35" s="658" t="s">
        <v>356</v>
      </c>
      <c r="O35" s="698" t="str">
        <f t="array" ref="O35">INDEX(UtilityList!Q$4:Q$251,MATCH('Table 2.4a'!$A35&amp;'Table 2.4a'!$B35&amp;'Table 2.4a'!$C35,UtilityList!$A$4:$A$251&amp;UtilityList!$B$4:$B$251&amp;UtilityList!$C$4:$C$251,0))</f>
        <v>Receives power from Tok via intertie. For fuel use and cost information please refer to Tok.</v>
      </c>
      <c r="P35" s="698" t="str">
        <f t="array" ref="P35">IFERROR(INDEX(UtilityList!J$4:J$251,MATCH('Table 2.4a'!$A35&amp;'Table 2.4a'!$B35&amp;'Table 2.4a'!$C35,UtilityList!$A$4:$A$251&amp;UtilityList!$B$4:$B$251&amp;UtilityList!$C$4:$C$251,0)), INDEX(UtilityList!J$4:J$251,MATCH('Table 2.4a'!$A35&amp;'Table 2.4a'!$C35,UtilityList!$A$4:$A$251&amp;UtilityList!$C$4:$C$251,0)))</f>
        <v>Yukon-Koyukuk/Upper Tanana</v>
      </c>
      <c r="Q35" s="698" t="str">
        <f t="array" ref="Q35">IFERROR(INDEX(UtilityList!K$4:K$251,MATCH('Table 2.4a'!$A35&amp;'Table 2.4a'!$B35&amp;'Table 2.4a'!$C35,UtilityList!$A$4:$A$251&amp;UtilityList!$B$4:$B$251&amp;UtilityList!$C$4:$C$251,0)), INDEX(UtilityList!K$4:K$251,MATCH('Table 2.4a'!$A35&amp;'Table 2.4a'!$C35,UtilityList!$A$4:$A$251&amp;UtilityList!$C$4:$C$251,0)))</f>
        <v>Southeast Fairbanks (CA)</v>
      </c>
      <c r="R35" s="698" t="str">
        <f t="array" ref="R35">IFERROR(INDEX(UtilityList!L$4:L$251,MATCH('Table 2.4a'!$A35&amp;'Table 2.4a'!$B35&amp;'Table 2.4a'!$C35,UtilityList!$A$4:$A$251&amp;UtilityList!$B$4:$B$251&amp;UtilityList!$C$4:$C$251,0)), INDEX(UtilityList!L$4:L$251,MATCH('Table 2.4a'!$A35&amp;'Table 2.4a'!$C35,UtilityList!$A$4:$A$251&amp;UtilityList!$C$4:$C$251,0)))</f>
        <v>Dyon</v>
      </c>
      <c r="S35" s="698" t="str">
        <f t="array" ref="S35">IFERROR(INDEX(UtilityList!M$4:M$251,MATCH('Table 2.4a'!$A35&amp;'Table 2.4a'!$B35&amp;'Table 2.4a'!$C35,UtilityList!$A$4:$A$251&amp;UtilityList!$B$4:$B$251&amp;UtilityList!$C$4:$C$251,0)), INDEX(UtilityList!M$4:M$251,MATCH('Table 2.4a'!$A35&amp;'Table 2.4a'!$C35,UtilityList!$A$4:$A$251&amp;UtilityList!$C$4:$C$251,0)))</f>
        <v>YU</v>
      </c>
    </row>
    <row r="36" spans="1:19" s="126" customFormat="1" ht="90" x14ac:dyDescent="0.25">
      <c r="A36" s="352" t="s">
        <v>43</v>
      </c>
      <c r="B36" s="352" t="s">
        <v>63</v>
      </c>
      <c r="C36" s="352" t="s">
        <v>681</v>
      </c>
      <c r="D36" s="685" t="s">
        <v>545</v>
      </c>
      <c r="E36" s="685" t="s">
        <v>546</v>
      </c>
      <c r="F36" s="694">
        <f t="shared" si="1"/>
        <v>3169.748</v>
      </c>
      <c r="G36" s="694">
        <f t="shared" si="0"/>
        <v>9445.884</v>
      </c>
      <c r="H36" s="699">
        <v>73.150000000000006</v>
      </c>
      <c r="I36" s="694">
        <f t="shared" si="2"/>
        <v>690.96641460000001</v>
      </c>
      <c r="J36" s="696">
        <f t="shared" si="3"/>
        <v>0.33556922782452125</v>
      </c>
      <c r="K36" s="697">
        <v>929</v>
      </c>
      <c r="L36" s="697">
        <v>67956</v>
      </c>
      <c r="M36" s="790">
        <v>0.13900000000000001</v>
      </c>
      <c r="N36" s="662" t="s">
        <v>558</v>
      </c>
      <c r="O36" s="698" t="str">
        <f t="array" ref="O36">INDEX(UtilityList!Q$4:Q$251,MATCH('Table 2.4a'!$A36&amp;'Table 2.4a'!$B36&amp;'Table 2.4a'!$C36,UtilityList!$A$4:$A$251&amp;UtilityList!$B$4:$B$251&amp;UtilityList!$C$4:$C$251,0))</f>
        <v>Part of the Alaska Power Company's grid on Prince of Wales Island. Receives power from Craig. Refer to Craig for fuel use and cost. Includes data for Kaasan.</v>
      </c>
      <c r="P36" s="698" t="str">
        <f t="array" ref="P36">IFERROR(INDEX(UtilityList!J$4:J$251,MATCH('Table 2.4a'!$A36&amp;'Table 2.4a'!$B36&amp;'Table 2.4a'!$C36,UtilityList!$A$4:$A$251&amp;UtilityList!$B$4:$B$251&amp;UtilityList!$C$4:$C$251,0)), INDEX(UtilityList!J$4:J$251,MATCH('Table 2.4a'!$A36&amp;'Table 2.4a'!$C36,UtilityList!$A$4:$A$251&amp;UtilityList!$C$4:$C$251,0)))</f>
        <v>Southeast</v>
      </c>
      <c r="Q36" s="698" t="str">
        <f t="array" ref="Q36">IFERROR(INDEX(UtilityList!K$4:K$251,MATCH('Table 2.4a'!$A36&amp;'Table 2.4a'!$B36&amp;'Table 2.4a'!$C36,UtilityList!$A$4:$A$251&amp;UtilityList!$B$4:$B$251&amp;UtilityList!$C$4:$C$251,0)), INDEX(UtilityList!K$4:K$251,MATCH('Table 2.4a'!$A36&amp;'Table 2.4a'!$C36,UtilityList!$A$4:$A$251&amp;UtilityList!$C$4:$C$251,0)))</f>
        <v>Prince of Wales-Hyder (CA)</v>
      </c>
      <c r="R36" s="698" t="str">
        <f t="array" ref="R36">IFERROR(INDEX(UtilityList!L$4:L$251,MATCH('Table 2.4a'!$A36&amp;'Table 2.4a'!$B36&amp;'Table 2.4a'!$C36,UtilityList!$A$4:$A$251&amp;UtilityList!$B$4:$B$251&amp;UtilityList!$C$4:$C$251,0)), INDEX(UtilityList!L$4:L$251,MATCH('Table 2.4a'!$A36&amp;'Table 2.4a'!$C36,UtilityList!$A$4:$A$251&amp;UtilityList!$C$4:$C$251,0)))</f>
        <v>Sealaska</v>
      </c>
      <c r="S36" s="698" t="str">
        <f t="array" ref="S36">IFERROR(INDEX(UtilityList!M$4:M$251,MATCH('Table 2.4a'!$A36&amp;'Table 2.4a'!$B36&amp;'Table 2.4a'!$C36,UtilityList!$A$4:$A$251&amp;UtilityList!$B$4:$B$251&amp;UtilityList!$C$4:$C$251,0)), INDEX(UtilityList!M$4:M$251,MATCH('Table 2.4a'!$A36&amp;'Table 2.4a'!$C36,UtilityList!$A$4:$A$251&amp;UtilityList!$C$4:$C$251,0)))</f>
        <v>SE</v>
      </c>
    </row>
    <row r="37" spans="1:19" s="126" customFormat="1" ht="90" x14ac:dyDescent="0.25">
      <c r="A37" s="352" t="s">
        <v>43</v>
      </c>
      <c r="B37" s="352" t="s">
        <v>559</v>
      </c>
      <c r="C37" s="352" t="s">
        <v>681</v>
      </c>
      <c r="D37" s="685" t="s">
        <v>545</v>
      </c>
      <c r="E37" s="685" t="s">
        <v>546</v>
      </c>
      <c r="F37" s="694">
        <f t="shared" si="1"/>
        <v>406.02799999999996</v>
      </c>
      <c r="G37" s="694">
        <f t="shared" si="0"/>
        <v>1903.1880000000001</v>
      </c>
      <c r="H37" s="699">
        <v>73.150000000000006</v>
      </c>
      <c r="I37" s="694">
        <f t="shared" si="2"/>
        <v>139.21820220000004</v>
      </c>
      <c r="J37" s="696">
        <f t="shared" si="3"/>
        <v>0.21334098365479393</v>
      </c>
      <c r="K37" s="697">
        <v>119</v>
      </c>
      <c r="L37" s="697">
        <v>13692</v>
      </c>
      <c r="M37" s="790">
        <v>0.13900000000000001</v>
      </c>
      <c r="N37" s="662" t="s">
        <v>558</v>
      </c>
      <c r="O37" s="698" t="str">
        <f t="array" ref="O37">INDEX(UtilityList!Q$4:Q$251,MATCH('Table 2.4a'!$A37&amp;'Table 2.4a'!$B37&amp;'Table 2.4a'!$C37,UtilityList!$A$4:$A$251&amp;UtilityList!$B$4:$B$251&amp;UtilityList!$C$4:$C$251,0))</f>
        <v>Part of the Alaska Power Company's grid on Prince of Wales Island. Receives power from Craig. Refer to Craig for fuel use and cost. Includes data for Kaasan.</v>
      </c>
      <c r="P37" s="698" t="str">
        <f t="array" ref="P37">IFERROR(INDEX(UtilityList!J$4:J$251,MATCH('Table 2.4a'!$A37&amp;'Table 2.4a'!$B37&amp;'Table 2.4a'!$C37,UtilityList!$A$4:$A$251&amp;UtilityList!$B$4:$B$251&amp;UtilityList!$C$4:$C$251,0)), INDEX(UtilityList!J$4:J$251,MATCH('Table 2.4a'!$A37&amp;'Table 2.4a'!$C37,UtilityList!$A$4:$A$251&amp;UtilityList!$C$4:$C$251,0)))</f>
        <v>Southeast</v>
      </c>
      <c r="Q37" s="698" t="str">
        <f t="array" ref="Q37">IFERROR(INDEX(UtilityList!K$4:K$251,MATCH('Table 2.4a'!$A37&amp;'Table 2.4a'!$B37&amp;'Table 2.4a'!$C37,UtilityList!$A$4:$A$251&amp;UtilityList!$B$4:$B$251&amp;UtilityList!$C$4:$C$251,0)), INDEX(UtilityList!K$4:K$251,MATCH('Table 2.4a'!$A37&amp;'Table 2.4a'!$C37,UtilityList!$A$4:$A$251&amp;UtilityList!$C$4:$C$251,0)))</f>
        <v>Prince of Wales-Hyder (CA)</v>
      </c>
      <c r="R37" s="698" t="str">
        <f t="array" ref="R37">IFERROR(INDEX(UtilityList!L$4:L$251,MATCH('Table 2.4a'!$A37&amp;'Table 2.4a'!$B37&amp;'Table 2.4a'!$C37,UtilityList!$A$4:$A$251&amp;UtilityList!$B$4:$B$251&amp;UtilityList!$C$4:$C$251,0)), INDEX(UtilityList!L$4:L$251,MATCH('Table 2.4a'!$A37&amp;'Table 2.4a'!$C37,UtilityList!$A$4:$A$251&amp;UtilityList!$C$4:$C$251,0)))</f>
        <v>Sealaska</v>
      </c>
      <c r="S37" s="698" t="str">
        <f t="array" ref="S37">IFERROR(INDEX(UtilityList!M$4:M$251,MATCH('Table 2.4a'!$A37&amp;'Table 2.4a'!$B37&amp;'Table 2.4a'!$C37,UtilityList!$A$4:$A$251&amp;UtilityList!$B$4:$B$251&amp;UtilityList!$C$4:$C$251,0)), INDEX(UtilityList!M$4:M$251,MATCH('Table 2.4a'!$A37&amp;'Table 2.4a'!$C37,UtilityList!$A$4:$A$251&amp;UtilityList!$C$4:$C$251,0)))</f>
        <v>SE</v>
      </c>
    </row>
    <row r="38" spans="1:19" s="200" customFormat="1" ht="90" x14ac:dyDescent="0.25">
      <c r="A38" s="687" t="s">
        <v>43</v>
      </c>
      <c r="B38" s="352" t="s">
        <v>64</v>
      </c>
      <c r="C38" s="688" t="s">
        <v>685</v>
      </c>
      <c r="D38" s="689" t="s">
        <v>545</v>
      </c>
      <c r="E38" s="689" t="s">
        <v>546</v>
      </c>
      <c r="F38" s="694">
        <f t="shared" si="1"/>
        <v>35484.799999999996</v>
      </c>
      <c r="G38" s="694">
        <f t="shared" si="0"/>
        <v>104516.74100000001</v>
      </c>
      <c r="H38" s="699">
        <v>73.150000000000006</v>
      </c>
      <c r="I38" s="694">
        <f t="shared" si="2"/>
        <v>7645.3996041500013</v>
      </c>
      <c r="J38" s="696">
        <f t="shared" si="3"/>
        <v>0.33951307379551754</v>
      </c>
      <c r="K38" s="697">
        <v>10400</v>
      </c>
      <c r="L38" s="697">
        <v>751919</v>
      </c>
      <c r="M38" s="790">
        <v>0.13900000000000001</v>
      </c>
      <c r="N38" s="662" t="s">
        <v>356</v>
      </c>
      <c r="O38" s="698" t="str">
        <f t="array" ref="O38">INDEX(UtilityList!Q$4:Q$251,MATCH('Table 2.4a'!$A38&amp;'Table 2.4a'!$B38&amp;'Table 2.4a'!$C38,UtilityList!$A$4:$A$251&amp;UtilityList!$B$4:$B$251&amp;UtilityList!$C$4:$C$251,0))</f>
        <v>Provides power to Tanacross, Tetlin and Dot Lake via intertie. Includes Tanacross' information. Fuel use and cost also includes Tetlin's and Dot Lake's information.</v>
      </c>
      <c r="P38" s="698" t="str">
        <f t="array" ref="P38">IFERROR(INDEX(UtilityList!J$4:J$251,MATCH('Table 2.4a'!$A38&amp;'Table 2.4a'!$B38&amp;'Table 2.4a'!$C38,UtilityList!$A$4:$A$251&amp;UtilityList!$B$4:$B$251&amp;UtilityList!$C$4:$C$251,0)), INDEX(UtilityList!J$4:J$251,MATCH('Table 2.4a'!$A38&amp;'Table 2.4a'!$C38,UtilityList!$A$4:$A$251&amp;UtilityList!$C$4:$C$251,0)))</f>
        <v>Yukon-Koyukuk/Upper Tanana</v>
      </c>
      <c r="Q38" s="698" t="str">
        <f t="array" ref="Q38">IFERROR(INDEX(UtilityList!K$4:K$251,MATCH('Table 2.4a'!$A38&amp;'Table 2.4a'!$B38&amp;'Table 2.4a'!$C38,UtilityList!$A$4:$A$251&amp;UtilityList!$B$4:$B$251&amp;UtilityList!$C$4:$C$251,0)), INDEX(UtilityList!K$4:K$251,MATCH('Table 2.4a'!$A38&amp;'Table 2.4a'!$C38,UtilityList!$A$4:$A$251&amp;UtilityList!$C$4:$C$251,0)))</f>
        <v>Southeast Fairbanks (CA)</v>
      </c>
      <c r="R38" s="698" t="str">
        <f t="array" ref="R38">IFERROR(INDEX(UtilityList!L$4:L$251,MATCH('Table 2.4a'!$A38&amp;'Table 2.4a'!$B38&amp;'Table 2.4a'!$C38,UtilityList!$A$4:$A$251&amp;UtilityList!$B$4:$B$251&amp;UtilityList!$C$4:$C$251,0)), INDEX(UtilityList!L$4:L$251,MATCH('Table 2.4a'!$A38&amp;'Table 2.4a'!$C38,UtilityList!$A$4:$A$251&amp;UtilityList!$C$4:$C$251,0)))</f>
        <v>Doyon</v>
      </c>
      <c r="S38" s="698" t="str">
        <f t="array" ref="S38">IFERROR(INDEX(UtilityList!M$4:M$251,MATCH('Table 2.4a'!$A38&amp;'Table 2.4a'!$B38&amp;'Table 2.4a'!$C38,UtilityList!$A$4:$A$251&amp;UtilityList!$B$4:$B$251&amp;UtilityList!$C$4:$C$251,0)), INDEX(UtilityList!M$4:M$251,MATCH('Table 2.4a'!$A38&amp;'Table 2.4a'!$C38,UtilityList!$A$4:$A$251&amp;UtilityList!$C$4:$C$251,0)))</f>
        <v>YU</v>
      </c>
    </row>
    <row r="39" spans="1:19" customFormat="1" ht="30" x14ac:dyDescent="0.25">
      <c r="A39" s="678" t="s">
        <v>43</v>
      </c>
      <c r="B39" s="361" t="s">
        <v>65</v>
      </c>
      <c r="C39" s="679" t="s">
        <v>65</v>
      </c>
      <c r="D39" s="680" t="s">
        <v>545</v>
      </c>
      <c r="E39" s="680" t="s">
        <v>546</v>
      </c>
      <c r="F39" s="694">
        <f t="shared" si="1"/>
        <v>911.14730399999985</v>
      </c>
      <c r="G39" s="694">
        <f t="shared" si="0"/>
        <v>3250.3760000000007</v>
      </c>
      <c r="H39" s="695">
        <v>73.150000000000006</v>
      </c>
      <c r="I39" s="694">
        <f t="shared" si="2"/>
        <v>237.76500440000007</v>
      </c>
      <c r="J39" s="696">
        <f t="shared" si="3"/>
        <v>0.28032058567993356</v>
      </c>
      <c r="K39" s="697">
        <v>267.04199999999997</v>
      </c>
      <c r="L39" s="697">
        <v>23384.000000000004</v>
      </c>
      <c r="M39" s="790">
        <v>0.13900000000000001</v>
      </c>
      <c r="N39" s="658" t="s">
        <v>356</v>
      </c>
      <c r="O39" s="698">
        <f t="array" ref="O39">INDEX(UtilityList!Q$4:Q$251,MATCH('Table 2.4a'!$A39&amp;'Table 2.4a'!$B39&amp;'Table 2.4a'!$C39,UtilityList!$A$4:$A$251&amp;UtilityList!$B$4:$B$251&amp;UtilityList!$C$4:$C$251,0))</f>
        <v>0</v>
      </c>
      <c r="P39" s="698" t="str">
        <f t="array" ref="P39">IFERROR(INDEX(UtilityList!J$4:J$251,MATCH('Table 2.4a'!$A39&amp;'Table 2.4a'!$B39&amp;'Table 2.4a'!$C39,UtilityList!$A$4:$A$251&amp;UtilityList!$B$4:$B$251&amp;UtilityList!$C$4:$C$251,0)), INDEX(UtilityList!J$4:J$251,MATCH('Table 2.4a'!$A39&amp;'Table 2.4a'!$C39,UtilityList!$A$4:$A$251&amp;UtilityList!$C$4:$C$251,0)))</f>
        <v>Southeast</v>
      </c>
      <c r="Q39" s="698" t="str">
        <f t="array" ref="Q39">IFERROR(INDEX(UtilityList!K$4:K$251,MATCH('Table 2.4a'!$A39&amp;'Table 2.4a'!$B39&amp;'Table 2.4a'!$C39,UtilityList!$A$4:$A$251&amp;UtilityList!$B$4:$B$251&amp;UtilityList!$C$4:$C$251,0)), INDEX(UtilityList!K$4:K$251,MATCH('Table 2.4a'!$A39&amp;'Table 2.4a'!$C39,UtilityList!$A$4:$A$251&amp;UtilityList!$C$4:$C$251,0)))</f>
        <v>Prince of Wales-Hyder (CA)</v>
      </c>
      <c r="R39" s="698" t="str">
        <f t="array" ref="R39">IFERROR(INDEX(UtilityList!L$4:L$251,MATCH('Table 2.4a'!$A39&amp;'Table 2.4a'!$B39&amp;'Table 2.4a'!$C39,UtilityList!$A$4:$A$251&amp;UtilityList!$B$4:$B$251&amp;UtilityList!$C$4:$C$251,0)), INDEX(UtilityList!L$4:L$251,MATCH('Table 2.4a'!$A39&amp;'Table 2.4a'!$C39,UtilityList!$A$4:$A$251&amp;UtilityList!$C$4:$C$251,0)))</f>
        <v>Sealaska</v>
      </c>
      <c r="S39" s="698" t="str">
        <f t="array" ref="S39">IFERROR(INDEX(UtilityList!M$4:M$251,MATCH('Table 2.4a'!$A39&amp;'Table 2.4a'!$B39&amp;'Table 2.4a'!$C39,UtilityList!$A$4:$A$251&amp;UtilityList!$B$4:$B$251&amp;UtilityList!$C$4:$C$251,0)), INDEX(UtilityList!M$4:M$251,MATCH('Table 2.4a'!$A39&amp;'Table 2.4a'!$C39,UtilityList!$A$4:$A$251&amp;UtilityList!$C$4:$C$251,0)))</f>
        <v>SE</v>
      </c>
    </row>
    <row r="40" spans="1:19" customFormat="1" ht="30" x14ac:dyDescent="0.25">
      <c r="A40" s="678" t="s">
        <v>524</v>
      </c>
      <c r="B40" s="361" t="s">
        <v>66</v>
      </c>
      <c r="C40" s="679" t="s">
        <v>66</v>
      </c>
      <c r="D40" s="680" t="s">
        <v>545</v>
      </c>
      <c r="E40" s="680" t="s">
        <v>546</v>
      </c>
      <c r="F40" s="694">
        <f t="shared" si="1"/>
        <v>6640.4616960000003</v>
      </c>
      <c r="G40" s="694">
        <f t="shared" si="0"/>
        <v>21229.748000000003</v>
      </c>
      <c r="H40" s="695">
        <v>73.150000000000006</v>
      </c>
      <c r="I40" s="694">
        <f t="shared" si="2"/>
        <v>1552.9560662000006</v>
      </c>
      <c r="J40" s="696">
        <f t="shared" si="3"/>
        <v>0.31279041541143116</v>
      </c>
      <c r="K40" s="697">
        <v>1946.2080000000001</v>
      </c>
      <c r="L40" s="697">
        <v>152732</v>
      </c>
      <c r="M40" s="790">
        <v>0.13900000000000001</v>
      </c>
      <c r="N40" s="658" t="s">
        <v>356</v>
      </c>
      <c r="O40" s="698">
        <f t="array" ref="O40">INDEX(UtilityList!Q$4:Q$251,MATCH('Table 2.4a'!$A40&amp;'Table 2.4a'!$B40&amp;'Table 2.4a'!$C40,UtilityList!$A$4:$A$251&amp;UtilityList!$B$4:$B$251&amp;UtilityList!$C$4:$C$251,0))</f>
        <v>0</v>
      </c>
      <c r="P40" s="698" t="str">
        <f t="array" ref="P40">IFERROR(INDEX(UtilityList!J$4:J$251,MATCH('Table 2.4a'!$A40&amp;'Table 2.4a'!$B40&amp;'Table 2.4a'!$C40,UtilityList!$A$4:$A$251&amp;UtilityList!$B$4:$B$251&amp;UtilityList!$C$4:$C$251,0)), INDEX(UtilityList!J$4:J$251,MATCH('Table 2.4a'!$A40&amp;'Table 2.4a'!$C40,UtilityList!$A$4:$A$251&amp;UtilityList!$C$4:$C$251,0)))</f>
        <v>Lower Yukon-Kuskokwim</v>
      </c>
      <c r="Q40" s="698" t="str">
        <f t="array" ref="Q40">IFERROR(INDEX(UtilityList!K$4:K$251,MATCH('Table 2.4a'!$A40&amp;'Table 2.4a'!$B40&amp;'Table 2.4a'!$C40,UtilityList!$A$4:$A$251&amp;UtilityList!$B$4:$B$251&amp;UtilityList!$C$4:$C$251,0)), INDEX(UtilityList!K$4:K$251,MATCH('Table 2.4a'!$A40&amp;'Table 2.4a'!$C40,UtilityList!$A$4:$A$251&amp;UtilityList!$C$4:$C$251,0)))</f>
        <v>Wade Hampton (CA)</v>
      </c>
      <c r="R40" s="698" t="str">
        <f t="array" ref="R40">IFERROR(INDEX(UtilityList!L$4:L$251,MATCH('Table 2.4a'!$A40&amp;'Table 2.4a'!$B40&amp;'Table 2.4a'!$C40,UtilityList!$A$4:$A$251&amp;UtilityList!$B$4:$B$251&amp;UtilityList!$C$4:$C$251,0)), INDEX(UtilityList!L$4:L$251,MATCH('Table 2.4a'!$A40&amp;'Table 2.4a'!$C40,UtilityList!$A$4:$A$251&amp;UtilityList!$C$4:$C$251,0)))</f>
        <v>Calista</v>
      </c>
      <c r="S40" s="698" t="str">
        <f t="array" ref="S40">IFERROR(INDEX(UtilityList!M$4:M$251,MATCH('Table 2.4a'!$A40&amp;'Table 2.4a'!$B40&amp;'Table 2.4a'!$C40,UtilityList!$A$4:$A$251&amp;UtilityList!$B$4:$B$251&amp;UtilityList!$C$4:$C$251,0)), INDEX(UtilityList!M$4:M$251,MATCH('Table 2.4a'!$A40&amp;'Table 2.4a'!$C40,UtilityList!$A$4:$A$251&amp;UtilityList!$C$4:$C$251,0)))</f>
        <v>YU</v>
      </c>
    </row>
    <row r="41" spans="1:19" customFormat="1" ht="30" x14ac:dyDescent="0.25">
      <c r="A41" s="678" t="s">
        <v>524</v>
      </c>
      <c r="B41" s="361" t="s">
        <v>67</v>
      </c>
      <c r="C41" s="679" t="s">
        <v>67</v>
      </c>
      <c r="D41" s="680" t="s">
        <v>545</v>
      </c>
      <c r="E41" s="680" t="s">
        <v>546</v>
      </c>
      <c r="F41" s="694">
        <f t="shared" si="1"/>
        <v>4359.7648879999997</v>
      </c>
      <c r="G41" s="694">
        <f t="shared" si="0"/>
        <v>13278.809000000003</v>
      </c>
      <c r="H41" s="695">
        <v>73.150000000000006</v>
      </c>
      <c r="I41" s="694">
        <f t="shared" si="2"/>
        <v>971.34487835000027</v>
      </c>
      <c r="J41" s="696">
        <f t="shared" si="3"/>
        <v>0.32832499420693517</v>
      </c>
      <c r="K41" s="697">
        <v>1277.7739999999999</v>
      </c>
      <c r="L41" s="697">
        <v>95531.000000000015</v>
      </c>
      <c r="M41" s="790">
        <v>0.13900000000000001</v>
      </c>
      <c r="N41" s="658" t="s">
        <v>356</v>
      </c>
      <c r="O41" s="698">
        <f t="array" ref="O41">INDEX(UtilityList!Q$4:Q$251,MATCH('Table 2.4a'!$A41&amp;'Table 2.4a'!$B41&amp;'Table 2.4a'!$C41,UtilityList!$A$4:$A$251&amp;UtilityList!$B$4:$B$251&amp;UtilityList!$C$4:$C$251,0))</f>
        <v>0</v>
      </c>
      <c r="P41" s="698" t="str">
        <f t="array" ref="P41">IFERROR(INDEX(UtilityList!J$4:J$251,MATCH('Table 2.4a'!$A41&amp;'Table 2.4a'!$B41&amp;'Table 2.4a'!$C41,UtilityList!$A$4:$A$251&amp;UtilityList!$B$4:$B$251&amp;UtilityList!$C$4:$C$251,0)), INDEX(UtilityList!J$4:J$251,MATCH('Table 2.4a'!$A41&amp;'Table 2.4a'!$C41,UtilityList!$A$4:$A$251&amp;UtilityList!$C$4:$C$251,0)))</f>
        <v>Northwest Arctic</v>
      </c>
      <c r="Q41" s="698" t="str">
        <f t="array" ref="Q41">IFERROR(INDEX(UtilityList!K$4:K$251,MATCH('Table 2.4a'!$A41&amp;'Table 2.4a'!$B41&amp;'Table 2.4a'!$C41,UtilityList!$A$4:$A$251&amp;UtilityList!$B$4:$B$251&amp;UtilityList!$C$4:$C$251,0)), INDEX(UtilityList!K$4:K$251,MATCH('Table 2.4a'!$A41&amp;'Table 2.4a'!$C41,UtilityList!$A$4:$A$251&amp;UtilityList!$C$4:$C$251,0)))</f>
        <v>Northwest Arctic</v>
      </c>
      <c r="R41" s="698" t="str">
        <f t="array" ref="R41">IFERROR(INDEX(UtilityList!L$4:L$251,MATCH('Table 2.4a'!$A41&amp;'Table 2.4a'!$B41&amp;'Table 2.4a'!$C41,UtilityList!$A$4:$A$251&amp;UtilityList!$B$4:$B$251&amp;UtilityList!$C$4:$C$251,0)), INDEX(UtilityList!L$4:L$251,MATCH('Table 2.4a'!$A41&amp;'Table 2.4a'!$C41,UtilityList!$A$4:$A$251&amp;UtilityList!$C$4:$C$251,0)))</f>
        <v>NANA</v>
      </c>
      <c r="S41" s="698" t="str">
        <f t="array" ref="S41">IFERROR(INDEX(UtilityList!M$4:M$251,MATCH('Table 2.4a'!$A41&amp;'Table 2.4a'!$B41&amp;'Table 2.4a'!$C41,UtilityList!$A$4:$A$251&amp;UtilityList!$B$4:$B$251&amp;UtilityList!$C$4:$C$251,0)), INDEX(UtilityList!M$4:M$251,MATCH('Table 2.4a'!$A41&amp;'Table 2.4a'!$C41,UtilityList!$A$4:$A$251&amp;UtilityList!$C$4:$C$251,0)))</f>
        <v>AN</v>
      </c>
    </row>
    <row r="42" spans="1:19" customFormat="1" ht="45" x14ac:dyDescent="0.25">
      <c r="A42" s="678" t="s">
        <v>524</v>
      </c>
      <c r="B42" s="361" t="s">
        <v>68</v>
      </c>
      <c r="C42" s="679" t="s">
        <v>68</v>
      </c>
      <c r="D42" s="680" t="s">
        <v>545</v>
      </c>
      <c r="E42" s="680" t="s">
        <v>546</v>
      </c>
      <c r="F42" s="694">
        <f t="shared" si="1"/>
        <v>1383.29304</v>
      </c>
      <c r="G42" s="694">
        <f t="shared" si="0"/>
        <v>4699.1730000000007</v>
      </c>
      <c r="H42" s="695">
        <v>73.150000000000006</v>
      </c>
      <c r="I42" s="694">
        <f t="shared" si="2"/>
        <v>343.74450495000008</v>
      </c>
      <c r="J42" s="696">
        <f t="shared" si="3"/>
        <v>0.29436946458451302</v>
      </c>
      <c r="K42" s="697">
        <v>405.42</v>
      </c>
      <c r="L42" s="697">
        <v>33807</v>
      </c>
      <c r="M42" s="790">
        <v>0.13900000000000001</v>
      </c>
      <c r="N42" s="658" t="s">
        <v>356</v>
      </c>
      <c r="O42" s="698">
        <f t="array" ref="O42">INDEX(UtilityList!Q$4:Q$251,MATCH('Table 2.4a'!$A42&amp;'Table 2.4a'!$B42&amp;'Table 2.4a'!$C42,UtilityList!$A$4:$A$251&amp;UtilityList!$B$4:$B$251&amp;UtilityList!$C$4:$C$251,0))</f>
        <v>0</v>
      </c>
      <c r="P42" s="698" t="str">
        <f t="array" ref="P42">IFERROR(INDEX(UtilityList!J$4:J$251,MATCH('Table 2.4a'!$A42&amp;'Table 2.4a'!$B42&amp;'Table 2.4a'!$C42,UtilityList!$A$4:$A$251&amp;UtilityList!$B$4:$B$251&amp;UtilityList!$C$4:$C$251,0)), INDEX(UtilityList!J$4:J$251,MATCH('Table 2.4a'!$A42&amp;'Table 2.4a'!$C42,UtilityList!$A$4:$A$251&amp;UtilityList!$C$4:$C$251,0)))</f>
        <v>Yukon-Koyukuk/Upper Tanana</v>
      </c>
      <c r="Q42" s="698" t="str">
        <f t="array" ref="Q42">IFERROR(INDEX(UtilityList!K$4:K$251,MATCH('Table 2.4a'!$A42&amp;'Table 2.4a'!$B42&amp;'Table 2.4a'!$C42,UtilityList!$A$4:$A$251&amp;UtilityList!$B$4:$B$251&amp;UtilityList!$C$4:$C$251,0)), INDEX(UtilityList!K$4:K$251,MATCH('Table 2.4a'!$A42&amp;'Table 2.4a'!$C42,UtilityList!$A$4:$A$251&amp;UtilityList!$C$4:$C$251,0)))</f>
        <v>Yukon-Koyukuk (CA)</v>
      </c>
      <c r="R42" s="698" t="str">
        <f t="array" ref="R42">IFERROR(INDEX(UtilityList!L$4:L$251,MATCH('Table 2.4a'!$A42&amp;'Table 2.4a'!$B42&amp;'Table 2.4a'!$C42,UtilityList!$A$4:$A$251&amp;UtilityList!$B$4:$B$251&amp;UtilityList!$C$4:$C$251,0)), INDEX(UtilityList!L$4:L$251,MATCH('Table 2.4a'!$A42&amp;'Table 2.4a'!$C42,UtilityList!$A$4:$A$251&amp;UtilityList!$C$4:$C$251,0)))</f>
        <v>Doyon</v>
      </c>
      <c r="S42" s="698" t="str">
        <f t="array" ref="S42">IFERROR(INDEX(UtilityList!M$4:M$251,MATCH('Table 2.4a'!$A42&amp;'Table 2.4a'!$B42&amp;'Table 2.4a'!$C42,UtilityList!$A$4:$A$251&amp;UtilityList!$B$4:$B$251&amp;UtilityList!$C$4:$C$251,0)), INDEX(UtilityList!M$4:M$251,MATCH('Table 2.4a'!$A42&amp;'Table 2.4a'!$C42,UtilityList!$A$4:$A$251&amp;UtilityList!$C$4:$C$251,0)))</f>
        <v>YU</v>
      </c>
    </row>
    <row r="43" spans="1:19" customFormat="1" ht="30" x14ac:dyDescent="0.25">
      <c r="A43" s="678" t="s">
        <v>524</v>
      </c>
      <c r="B43" s="361" t="s">
        <v>69</v>
      </c>
      <c r="C43" s="679" t="s">
        <v>69</v>
      </c>
      <c r="D43" s="680" t="s">
        <v>545</v>
      </c>
      <c r="E43" s="680" t="s">
        <v>546</v>
      </c>
      <c r="F43" s="694">
        <f t="shared" si="1"/>
        <v>4013.6447840000001</v>
      </c>
      <c r="G43" s="694">
        <f t="shared" si="0"/>
        <v>12374.197000000002</v>
      </c>
      <c r="H43" s="695">
        <v>73.150000000000006</v>
      </c>
      <c r="I43" s="694">
        <f t="shared" si="2"/>
        <v>905.1725105500002</v>
      </c>
      <c r="J43" s="696">
        <f t="shared" si="3"/>
        <v>0.32435597913949482</v>
      </c>
      <c r="K43" s="697">
        <v>1176.3320000000001</v>
      </c>
      <c r="L43" s="697">
        <v>89023</v>
      </c>
      <c r="M43" s="790">
        <v>0.13900000000000001</v>
      </c>
      <c r="N43" s="658" t="s">
        <v>356</v>
      </c>
      <c r="O43" s="698">
        <f t="array" ref="O43">INDEX(UtilityList!Q$4:Q$251,MATCH('Table 2.4a'!$A43&amp;'Table 2.4a'!$B43&amp;'Table 2.4a'!$C43,UtilityList!$A$4:$A$251&amp;UtilityList!$B$4:$B$251&amp;UtilityList!$C$4:$C$251,0))</f>
        <v>0</v>
      </c>
      <c r="P43" s="698" t="str">
        <f t="array" ref="P43">IFERROR(INDEX(UtilityList!J$4:J$251,MATCH('Table 2.4a'!$A43&amp;'Table 2.4a'!$B43&amp;'Table 2.4a'!$C43,UtilityList!$A$4:$A$251&amp;UtilityList!$B$4:$B$251&amp;UtilityList!$C$4:$C$251,0)), INDEX(UtilityList!J$4:J$251,MATCH('Table 2.4a'!$A43&amp;'Table 2.4a'!$C43,UtilityList!$A$4:$A$251&amp;UtilityList!$C$4:$C$251,0)))</f>
        <v>Bering Straits</v>
      </c>
      <c r="Q43" s="698" t="str">
        <f t="array" ref="Q43">IFERROR(INDEX(UtilityList!K$4:K$251,MATCH('Table 2.4a'!$A43&amp;'Table 2.4a'!$B43&amp;'Table 2.4a'!$C43,UtilityList!$A$4:$A$251&amp;UtilityList!$B$4:$B$251&amp;UtilityList!$C$4:$C$251,0)), INDEX(UtilityList!K$4:K$251,MATCH('Table 2.4a'!$A43&amp;'Table 2.4a'!$C43,UtilityList!$A$4:$A$251&amp;UtilityList!$C$4:$C$251,0)))</f>
        <v>Nome (CA)</v>
      </c>
      <c r="R43" s="698" t="str">
        <f t="array" ref="R43">IFERROR(INDEX(UtilityList!L$4:L$251,MATCH('Table 2.4a'!$A43&amp;'Table 2.4a'!$B43&amp;'Table 2.4a'!$C43,UtilityList!$A$4:$A$251&amp;UtilityList!$B$4:$B$251&amp;UtilityList!$C$4:$C$251,0)), INDEX(UtilityList!L$4:L$251,MATCH('Table 2.4a'!$A43&amp;'Table 2.4a'!$C43,UtilityList!$A$4:$A$251&amp;UtilityList!$C$4:$C$251,0)))</f>
        <v>Bering Straits</v>
      </c>
      <c r="S43" s="698" t="str">
        <f t="array" ref="S43">IFERROR(INDEX(UtilityList!M$4:M$251,MATCH('Table 2.4a'!$A43&amp;'Table 2.4a'!$B43&amp;'Table 2.4a'!$C43,UtilityList!$A$4:$A$251&amp;UtilityList!$B$4:$B$251&amp;UtilityList!$C$4:$C$251,0)), INDEX(UtilityList!M$4:M$251,MATCH('Table 2.4a'!$A43&amp;'Table 2.4a'!$C43,UtilityList!$A$4:$A$251&amp;UtilityList!$C$4:$C$251,0)))</f>
        <v>AN</v>
      </c>
    </row>
    <row r="44" spans="1:19" customFormat="1" ht="30" x14ac:dyDescent="0.25">
      <c r="A44" s="678" t="s">
        <v>524</v>
      </c>
      <c r="B44" s="361" t="s">
        <v>70</v>
      </c>
      <c r="C44" s="679" t="s">
        <v>70</v>
      </c>
      <c r="D44" s="680" t="s">
        <v>545</v>
      </c>
      <c r="E44" s="680" t="s">
        <v>546</v>
      </c>
      <c r="F44" s="694">
        <f t="shared" si="1"/>
        <v>5654.5950039999998</v>
      </c>
      <c r="G44" s="694">
        <f t="shared" si="0"/>
        <v>18386.503000000001</v>
      </c>
      <c r="H44" s="695">
        <v>73.150000000000006</v>
      </c>
      <c r="I44" s="694">
        <f t="shared" si="2"/>
        <v>1344.9726944500001</v>
      </c>
      <c r="J44" s="696">
        <f t="shared" si="3"/>
        <v>0.30754053688186384</v>
      </c>
      <c r="K44" s="697">
        <v>1657.2670000000001</v>
      </c>
      <c r="L44" s="697">
        <v>132277</v>
      </c>
      <c r="M44" s="790">
        <v>0.13900000000000001</v>
      </c>
      <c r="N44" s="658" t="s">
        <v>356</v>
      </c>
      <c r="O44" s="698">
        <f t="array" ref="O44">INDEX(UtilityList!Q$4:Q$251,MATCH('Table 2.4a'!$A44&amp;'Table 2.4a'!$B44&amp;'Table 2.4a'!$C44,UtilityList!$A$4:$A$251&amp;UtilityList!$B$4:$B$251&amp;UtilityList!$C$4:$C$251,0))</f>
        <v>0</v>
      </c>
      <c r="P44" s="698" t="str">
        <f t="array" ref="P44">IFERROR(INDEX(UtilityList!J$4:J$251,MATCH('Table 2.4a'!$A44&amp;'Table 2.4a'!$B44&amp;'Table 2.4a'!$C44,UtilityList!$A$4:$A$251&amp;UtilityList!$B$4:$B$251&amp;UtilityList!$C$4:$C$251,0)), INDEX(UtilityList!J$4:J$251,MATCH('Table 2.4a'!$A44&amp;'Table 2.4a'!$C44,UtilityList!$A$4:$A$251&amp;UtilityList!$C$4:$C$251,0)))</f>
        <v>Lower Yukon-Kuskokwim</v>
      </c>
      <c r="Q44" s="698" t="str">
        <f t="array" ref="Q44">IFERROR(INDEX(UtilityList!K$4:K$251,MATCH('Table 2.4a'!$A44&amp;'Table 2.4a'!$B44&amp;'Table 2.4a'!$C44,UtilityList!$A$4:$A$251&amp;UtilityList!$B$4:$B$251&amp;UtilityList!$C$4:$C$251,0)), INDEX(UtilityList!K$4:K$251,MATCH('Table 2.4a'!$A44&amp;'Table 2.4a'!$C44,UtilityList!$A$4:$A$251&amp;UtilityList!$C$4:$C$251,0)))</f>
        <v>Wade Hampton (CA)</v>
      </c>
      <c r="R44" s="698" t="str">
        <f t="array" ref="R44">IFERROR(INDEX(UtilityList!L$4:L$251,MATCH('Table 2.4a'!$A44&amp;'Table 2.4a'!$B44&amp;'Table 2.4a'!$C44,UtilityList!$A$4:$A$251&amp;UtilityList!$B$4:$B$251&amp;UtilityList!$C$4:$C$251,0)), INDEX(UtilityList!L$4:L$251,MATCH('Table 2.4a'!$A44&amp;'Table 2.4a'!$C44,UtilityList!$A$4:$A$251&amp;UtilityList!$C$4:$C$251,0)))</f>
        <v>Calista</v>
      </c>
      <c r="S44" s="698" t="str">
        <f t="array" ref="S44">IFERROR(INDEX(UtilityList!M$4:M$251,MATCH('Table 2.4a'!$A44&amp;'Table 2.4a'!$B44&amp;'Table 2.4a'!$C44,UtilityList!$A$4:$A$251&amp;UtilityList!$B$4:$B$251&amp;UtilityList!$C$4:$C$251,0)), INDEX(UtilityList!M$4:M$251,MATCH('Table 2.4a'!$A44&amp;'Table 2.4a'!$C44,UtilityList!$A$4:$A$251&amp;UtilityList!$C$4:$C$251,0)))</f>
        <v>YU</v>
      </c>
    </row>
    <row r="45" spans="1:19" customFormat="1" ht="30" x14ac:dyDescent="0.25">
      <c r="A45" s="678" t="s">
        <v>524</v>
      </c>
      <c r="B45" s="361" t="s">
        <v>71</v>
      </c>
      <c r="C45" s="679" t="s">
        <v>71</v>
      </c>
      <c r="D45" s="680" t="s">
        <v>545</v>
      </c>
      <c r="E45" s="680" t="s">
        <v>546</v>
      </c>
      <c r="F45" s="694">
        <f t="shared" si="1"/>
        <v>2731.5721359999998</v>
      </c>
      <c r="G45" s="694">
        <f t="shared" si="0"/>
        <v>8106.8970000000008</v>
      </c>
      <c r="H45" s="695">
        <v>73.150000000000006</v>
      </c>
      <c r="I45" s="694">
        <f t="shared" si="2"/>
        <v>593.01951555000016</v>
      </c>
      <c r="J45" s="696">
        <f t="shared" si="3"/>
        <v>0.33694422613239067</v>
      </c>
      <c r="K45" s="697">
        <v>800.57799999999997</v>
      </c>
      <c r="L45" s="697">
        <v>58323</v>
      </c>
      <c r="M45" s="790">
        <v>0.13900000000000001</v>
      </c>
      <c r="N45" s="658" t="s">
        <v>356</v>
      </c>
      <c r="O45" s="698">
        <f t="array" ref="O45">INDEX(UtilityList!Q$4:Q$251,MATCH('Table 2.4a'!$A45&amp;'Table 2.4a'!$B45&amp;'Table 2.4a'!$C45,UtilityList!$A$4:$A$251&amp;UtilityList!$B$4:$B$251&amp;UtilityList!$C$4:$C$251,0))</f>
        <v>0</v>
      </c>
      <c r="P45" s="698" t="str">
        <f t="array" ref="P45">IFERROR(INDEX(UtilityList!J$4:J$251,MATCH('Table 2.4a'!$A45&amp;'Table 2.4a'!$B45&amp;'Table 2.4a'!$C45,UtilityList!$A$4:$A$251&amp;UtilityList!$B$4:$B$251&amp;UtilityList!$C$4:$C$251,0)), INDEX(UtilityList!J$4:J$251,MATCH('Table 2.4a'!$A45&amp;'Table 2.4a'!$C45,UtilityList!$A$4:$A$251&amp;UtilityList!$C$4:$C$251,0)))</f>
        <v>Lower Yukon-Kuskokwim</v>
      </c>
      <c r="Q45" s="698" t="str">
        <f t="array" ref="Q45">IFERROR(INDEX(UtilityList!K$4:K$251,MATCH('Table 2.4a'!$A45&amp;'Table 2.4a'!$B45&amp;'Table 2.4a'!$C45,UtilityList!$A$4:$A$251&amp;UtilityList!$B$4:$B$251&amp;UtilityList!$C$4:$C$251,0)), INDEX(UtilityList!K$4:K$251,MATCH('Table 2.4a'!$A45&amp;'Table 2.4a'!$C45,UtilityList!$A$4:$A$251&amp;UtilityList!$C$4:$C$251,0)))</f>
        <v>Bethel (CA)</v>
      </c>
      <c r="R45" s="698" t="str">
        <f t="array" ref="R45">IFERROR(INDEX(UtilityList!L$4:L$251,MATCH('Table 2.4a'!$A45&amp;'Table 2.4a'!$B45&amp;'Table 2.4a'!$C45,UtilityList!$A$4:$A$251&amp;UtilityList!$B$4:$B$251&amp;UtilityList!$C$4:$C$251,0)), INDEX(UtilityList!L$4:L$251,MATCH('Table 2.4a'!$A45&amp;'Table 2.4a'!$C45,UtilityList!$A$4:$A$251&amp;UtilityList!$C$4:$C$251,0)))</f>
        <v>Calista</v>
      </c>
      <c r="S45" s="698" t="str">
        <f t="array" ref="S45">IFERROR(INDEX(UtilityList!M$4:M$251,MATCH('Table 2.4a'!$A45&amp;'Table 2.4a'!$B45&amp;'Table 2.4a'!$C45,UtilityList!$A$4:$A$251&amp;UtilityList!$B$4:$B$251&amp;UtilityList!$C$4:$C$251,0)), INDEX(UtilityList!M$4:M$251,MATCH('Table 2.4a'!$A45&amp;'Table 2.4a'!$C45,UtilityList!$A$4:$A$251&amp;UtilityList!$C$4:$C$251,0)))</f>
        <v>SW</v>
      </c>
    </row>
    <row r="46" spans="1:19" customFormat="1" ht="30" x14ac:dyDescent="0.25">
      <c r="A46" s="678" t="s">
        <v>524</v>
      </c>
      <c r="B46" s="361" t="s">
        <v>173</v>
      </c>
      <c r="C46" s="654" t="s">
        <v>173</v>
      </c>
      <c r="D46" s="680" t="s">
        <v>545</v>
      </c>
      <c r="E46" s="680" t="s">
        <v>546</v>
      </c>
      <c r="F46" s="694">
        <f t="shared" si="1"/>
        <v>892.29088599999989</v>
      </c>
      <c r="G46" s="694">
        <f t="shared" si="0"/>
        <v>3225.608702</v>
      </c>
      <c r="H46" s="695">
        <v>73.150000000000006</v>
      </c>
      <c r="I46" s="694">
        <f t="shared" si="2"/>
        <v>235.95327655130001</v>
      </c>
      <c r="J46" s="696">
        <f t="shared" si="3"/>
        <v>0.27662713256159854</v>
      </c>
      <c r="K46" s="697">
        <v>261.51549999999997</v>
      </c>
      <c r="L46" s="697">
        <v>23205.817999999999</v>
      </c>
      <c r="M46" s="790">
        <v>0.13900000000000001</v>
      </c>
      <c r="N46" s="658" t="s">
        <v>356</v>
      </c>
      <c r="O46" s="698">
        <f t="array" ref="O46">INDEX(UtilityList!Q$4:Q$251,MATCH('Table 2.4a'!$A46&amp;'Table 2.4a'!$B46&amp;'Table 2.4a'!$C46,UtilityList!$A$4:$A$251&amp;UtilityList!$B$4:$B$251&amp;UtilityList!$C$4:$C$251,0))</f>
        <v>0</v>
      </c>
      <c r="P46" s="698" t="str">
        <f t="array" ref="P46">IFERROR(INDEX(UtilityList!J$4:J$251,MATCH('Table 2.4a'!$A46&amp;'Table 2.4a'!$B46&amp;'Table 2.4a'!$C46,UtilityList!$A$4:$A$251&amp;UtilityList!$B$4:$B$251&amp;UtilityList!$C$4:$C$251,0)), INDEX(UtilityList!J$4:J$251,MATCH('Table 2.4a'!$A46&amp;'Table 2.4a'!$C46,UtilityList!$A$4:$A$251&amp;UtilityList!$C$4:$C$251,0)))</f>
        <v>Bristol Bay</v>
      </c>
      <c r="Q46" s="698" t="str">
        <f t="array" ref="Q46">IFERROR(INDEX(UtilityList!K$4:K$251,MATCH('Table 2.4a'!$A46&amp;'Table 2.4a'!$B46&amp;'Table 2.4a'!$C46,UtilityList!$A$4:$A$251&amp;UtilityList!$B$4:$B$251&amp;UtilityList!$C$4:$C$251,0)), INDEX(UtilityList!K$4:K$251,MATCH('Table 2.4a'!$A46&amp;'Table 2.4a'!$C46,UtilityList!$A$4:$A$251&amp;UtilityList!$C$4:$C$251,0)))</f>
        <v>Dillingham (CA)</v>
      </c>
      <c r="R46" s="698" t="str">
        <f t="array" ref="R46">IFERROR(INDEX(UtilityList!L$4:L$251,MATCH('Table 2.4a'!$A46&amp;'Table 2.4a'!$B46&amp;'Table 2.4a'!$C46,UtilityList!$A$4:$A$251&amp;UtilityList!$B$4:$B$251&amp;UtilityList!$C$4:$C$251,0)), INDEX(UtilityList!L$4:L$251,MATCH('Table 2.4a'!$A46&amp;'Table 2.4a'!$C46,UtilityList!$A$4:$A$251&amp;UtilityList!$C$4:$C$251,0)))</f>
        <v>Bristol Bay</v>
      </c>
      <c r="S46" s="698" t="str">
        <f t="array" ref="S46">IFERROR(INDEX(UtilityList!M$4:M$251,MATCH('Table 2.4a'!$A46&amp;'Table 2.4a'!$B46&amp;'Table 2.4a'!$C46,UtilityList!$A$4:$A$251&amp;UtilityList!$B$4:$B$251&amp;UtilityList!$C$4:$C$251,0)), INDEX(UtilityList!M$4:M$251,MATCH('Table 2.4a'!$A46&amp;'Table 2.4a'!$C46,UtilityList!$A$4:$A$251&amp;UtilityList!$C$4:$C$251,0)))</f>
        <v>SW</v>
      </c>
    </row>
    <row r="47" spans="1:19" customFormat="1" ht="30" x14ac:dyDescent="0.25">
      <c r="A47" s="678" t="s">
        <v>524</v>
      </c>
      <c r="B47" s="361" t="s">
        <v>72</v>
      </c>
      <c r="C47" s="679" t="s">
        <v>72</v>
      </c>
      <c r="D47" s="680" t="s">
        <v>545</v>
      </c>
      <c r="E47" s="680" t="s">
        <v>546</v>
      </c>
      <c r="F47" s="694">
        <f t="shared" si="1"/>
        <v>3956.0263399999999</v>
      </c>
      <c r="G47" s="694">
        <f t="shared" si="0"/>
        <v>11345.875000000002</v>
      </c>
      <c r="H47" s="695">
        <v>73.150000000000006</v>
      </c>
      <c r="I47" s="694">
        <f t="shared" si="2"/>
        <v>829.95075625000015</v>
      </c>
      <c r="J47" s="696">
        <f t="shared" si="3"/>
        <v>0.34867529740985154</v>
      </c>
      <c r="K47" s="697">
        <v>1159.4449999999999</v>
      </c>
      <c r="L47" s="697">
        <v>81625</v>
      </c>
      <c r="M47" s="790">
        <v>0.13900000000000001</v>
      </c>
      <c r="N47" s="658" t="s">
        <v>356</v>
      </c>
      <c r="O47" s="698">
        <f t="array" ref="O47">INDEX(UtilityList!Q$4:Q$251,MATCH('Table 2.4a'!$A47&amp;'Table 2.4a'!$B47&amp;'Table 2.4a'!$C47,UtilityList!$A$4:$A$251&amp;UtilityList!$B$4:$B$251&amp;UtilityList!$C$4:$C$251,0))</f>
        <v>0</v>
      </c>
      <c r="P47" s="698" t="str">
        <f t="array" ref="P47">IFERROR(INDEX(UtilityList!J$4:J$251,MATCH('Table 2.4a'!$A47&amp;'Table 2.4a'!$B47&amp;'Table 2.4a'!$C47,UtilityList!$A$4:$A$251&amp;UtilityList!$B$4:$B$251&amp;UtilityList!$C$4:$C$251,0)), INDEX(UtilityList!J$4:J$251,MATCH('Table 2.4a'!$A47&amp;'Table 2.4a'!$C47,UtilityList!$A$4:$A$251&amp;UtilityList!$C$4:$C$251,0)))</f>
        <v>Bering Straits</v>
      </c>
      <c r="Q47" s="698" t="str">
        <f t="array" ref="Q47">IFERROR(INDEX(UtilityList!K$4:K$251,MATCH('Table 2.4a'!$A47&amp;'Table 2.4a'!$B47&amp;'Table 2.4a'!$C47,UtilityList!$A$4:$A$251&amp;UtilityList!$B$4:$B$251&amp;UtilityList!$C$4:$C$251,0)), INDEX(UtilityList!K$4:K$251,MATCH('Table 2.4a'!$A47&amp;'Table 2.4a'!$C47,UtilityList!$A$4:$A$251&amp;UtilityList!$C$4:$C$251,0)))</f>
        <v>Nome (CA)</v>
      </c>
      <c r="R47" s="698" t="str">
        <f t="array" ref="R47">IFERROR(INDEX(UtilityList!L$4:L$251,MATCH('Table 2.4a'!$A47&amp;'Table 2.4a'!$B47&amp;'Table 2.4a'!$C47,UtilityList!$A$4:$A$251&amp;UtilityList!$B$4:$B$251&amp;UtilityList!$C$4:$C$251,0)), INDEX(UtilityList!L$4:L$251,MATCH('Table 2.4a'!$A47&amp;'Table 2.4a'!$C47,UtilityList!$A$4:$A$251&amp;UtilityList!$C$4:$C$251,0)))</f>
        <v>Bering Straits</v>
      </c>
      <c r="S47" s="698" t="str">
        <f t="array" ref="S47">IFERROR(INDEX(UtilityList!M$4:M$251,MATCH('Table 2.4a'!$A47&amp;'Table 2.4a'!$B47&amp;'Table 2.4a'!$C47,UtilityList!$A$4:$A$251&amp;UtilityList!$B$4:$B$251&amp;UtilityList!$C$4:$C$251,0)), INDEX(UtilityList!M$4:M$251,MATCH('Table 2.4a'!$A47&amp;'Table 2.4a'!$C47,UtilityList!$A$4:$A$251&amp;UtilityList!$C$4:$C$251,0)))</f>
        <v>AN</v>
      </c>
    </row>
    <row r="48" spans="1:19" customFormat="1" ht="30" x14ac:dyDescent="0.25">
      <c r="A48" s="678" t="s">
        <v>524</v>
      </c>
      <c r="B48" s="361" t="s">
        <v>73</v>
      </c>
      <c r="C48" s="679" t="s">
        <v>73</v>
      </c>
      <c r="D48" s="680" t="s">
        <v>545</v>
      </c>
      <c r="E48" s="680" t="s">
        <v>546</v>
      </c>
      <c r="F48" s="694">
        <f t="shared" si="1"/>
        <v>10542.684208000001</v>
      </c>
      <c r="G48" s="694">
        <f t="shared" si="0"/>
        <v>31540.629000000004</v>
      </c>
      <c r="H48" s="695">
        <v>73.150000000000006</v>
      </c>
      <c r="I48" s="694">
        <f t="shared" si="2"/>
        <v>2307.1970113500001</v>
      </c>
      <c r="J48" s="696">
        <f t="shared" si="3"/>
        <v>0.33425725935903178</v>
      </c>
      <c r="K48" s="697">
        <v>3089.884</v>
      </c>
      <c r="L48" s="697">
        <v>226911</v>
      </c>
      <c r="M48" s="790">
        <v>0.13900000000000001</v>
      </c>
      <c r="N48" s="658" t="s">
        <v>356</v>
      </c>
      <c r="O48" s="698">
        <f t="array" ref="O48">INDEX(UtilityList!Q$4:Q$251,MATCH('Table 2.4a'!$A48&amp;'Table 2.4a'!$B48&amp;'Table 2.4a'!$C48,UtilityList!$A$4:$A$251&amp;UtilityList!$B$4:$B$251&amp;UtilityList!$C$4:$C$251,0))</f>
        <v>0</v>
      </c>
      <c r="P48" s="698" t="str">
        <f t="array" ref="P48">IFERROR(INDEX(UtilityList!J$4:J$251,MATCH('Table 2.4a'!$A48&amp;'Table 2.4a'!$B48&amp;'Table 2.4a'!$C48,UtilityList!$A$4:$A$251&amp;UtilityList!$B$4:$B$251&amp;UtilityList!$C$4:$C$251,0)), INDEX(UtilityList!J$4:J$251,MATCH('Table 2.4a'!$A48&amp;'Table 2.4a'!$C48,UtilityList!$A$4:$A$251&amp;UtilityList!$C$4:$C$251,0)))</f>
        <v>Lower Yukon-Kuskokwim</v>
      </c>
      <c r="Q48" s="698" t="str">
        <f t="array" ref="Q48">IFERROR(INDEX(UtilityList!K$4:K$251,MATCH('Table 2.4a'!$A48&amp;'Table 2.4a'!$B48&amp;'Table 2.4a'!$C48,UtilityList!$A$4:$A$251&amp;UtilityList!$B$4:$B$251&amp;UtilityList!$C$4:$C$251,0)), INDEX(UtilityList!K$4:K$251,MATCH('Table 2.4a'!$A48&amp;'Table 2.4a'!$C48,UtilityList!$A$4:$A$251&amp;UtilityList!$C$4:$C$251,0)))</f>
        <v>Wade Hampton (CA)</v>
      </c>
      <c r="R48" s="698" t="str">
        <f t="array" ref="R48">IFERROR(INDEX(UtilityList!L$4:L$251,MATCH('Table 2.4a'!$A48&amp;'Table 2.4a'!$B48&amp;'Table 2.4a'!$C48,UtilityList!$A$4:$A$251&amp;UtilityList!$B$4:$B$251&amp;UtilityList!$C$4:$C$251,0)), INDEX(UtilityList!L$4:L$251,MATCH('Table 2.4a'!$A48&amp;'Table 2.4a'!$C48,UtilityList!$A$4:$A$251&amp;UtilityList!$C$4:$C$251,0)))</f>
        <v>Calista</v>
      </c>
      <c r="S48" s="698" t="str">
        <f t="array" ref="S48">IFERROR(INDEX(UtilityList!M$4:M$251,MATCH('Table 2.4a'!$A48&amp;'Table 2.4a'!$B48&amp;'Table 2.4a'!$C48,UtilityList!$A$4:$A$251&amp;UtilityList!$B$4:$B$251&amp;UtilityList!$C$4:$C$251,0)), INDEX(UtilityList!M$4:M$251,MATCH('Table 2.4a'!$A48&amp;'Table 2.4a'!$C48,UtilityList!$A$4:$A$251&amp;UtilityList!$C$4:$C$251,0)))</f>
        <v>YU</v>
      </c>
    </row>
    <row r="49" spans="1:19" customFormat="1" ht="30" x14ac:dyDescent="0.25">
      <c r="A49" s="678" t="s">
        <v>524</v>
      </c>
      <c r="B49" s="361" t="s">
        <v>74</v>
      </c>
      <c r="C49" s="679" t="s">
        <v>74</v>
      </c>
      <c r="D49" s="680" t="s">
        <v>545</v>
      </c>
      <c r="E49" s="680" t="s">
        <v>546</v>
      </c>
      <c r="F49" s="694">
        <f t="shared" si="1"/>
        <v>5103.9459720000004</v>
      </c>
      <c r="G49" s="694">
        <f t="shared" si="0"/>
        <v>17495.791000000001</v>
      </c>
      <c r="H49" s="695">
        <v>73.150000000000006</v>
      </c>
      <c r="I49" s="694">
        <f t="shared" si="2"/>
        <v>1279.81711165</v>
      </c>
      <c r="J49" s="696">
        <f t="shared" si="3"/>
        <v>0.29172421938510812</v>
      </c>
      <c r="K49" s="697">
        <v>1495.8810000000001</v>
      </c>
      <c r="L49" s="697">
        <v>125869</v>
      </c>
      <c r="M49" s="790">
        <v>0.13900000000000001</v>
      </c>
      <c r="N49" s="658" t="s">
        <v>356</v>
      </c>
      <c r="O49" s="698">
        <f t="array" ref="O49">INDEX(UtilityList!Q$4:Q$251,MATCH('Table 2.4a'!$A49&amp;'Table 2.4a'!$B49&amp;'Table 2.4a'!$C49,UtilityList!$A$4:$A$251&amp;UtilityList!$B$4:$B$251&amp;UtilityList!$C$4:$C$251,0))</f>
        <v>0</v>
      </c>
      <c r="P49" s="698" t="str">
        <f t="array" ref="P49">IFERROR(INDEX(UtilityList!J$4:J$251,MATCH('Table 2.4a'!$A49&amp;'Table 2.4a'!$B49&amp;'Table 2.4a'!$C49,UtilityList!$A$4:$A$251&amp;UtilityList!$B$4:$B$251&amp;UtilityList!$C$4:$C$251,0)), INDEX(UtilityList!J$4:J$251,MATCH('Table 2.4a'!$A49&amp;'Table 2.4a'!$C49,UtilityList!$A$4:$A$251&amp;UtilityList!$C$4:$C$251,0)))</f>
        <v>Bering Straits</v>
      </c>
      <c r="Q49" s="698" t="str">
        <f t="array" ref="Q49">IFERROR(INDEX(UtilityList!K$4:K$251,MATCH('Table 2.4a'!$A49&amp;'Table 2.4a'!$B49&amp;'Table 2.4a'!$C49,UtilityList!$A$4:$A$251&amp;UtilityList!$B$4:$B$251&amp;UtilityList!$C$4:$C$251,0)), INDEX(UtilityList!K$4:K$251,MATCH('Table 2.4a'!$A49&amp;'Table 2.4a'!$C49,UtilityList!$A$4:$A$251&amp;UtilityList!$C$4:$C$251,0)))</f>
        <v>Nome (CA)</v>
      </c>
      <c r="R49" s="698" t="str">
        <f t="array" ref="R49">IFERROR(INDEX(UtilityList!L$4:L$251,MATCH('Table 2.4a'!$A49&amp;'Table 2.4a'!$B49&amp;'Table 2.4a'!$C49,UtilityList!$A$4:$A$251&amp;UtilityList!$B$4:$B$251&amp;UtilityList!$C$4:$C$251,0)), INDEX(UtilityList!L$4:L$251,MATCH('Table 2.4a'!$A49&amp;'Table 2.4a'!$C49,UtilityList!$A$4:$A$251&amp;UtilityList!$C$4:$C$251,0)))</f>
        <v>Bering Straits</v>
      </c>
      <c r="S49" s="698" t="str">
        <f t="array" ref="S49">IFERROR(INDEX(UtilityList!M$4:M$251,MATCH('Table 2.4a'!$A49&amp;'Table 2.4a'!$B49&amp;'Table 2.4a'!$C49,UtilityList!$A$4:$A$251&amp;UtilityList!$B$4:$B$251&amp;UtilityList!$C$4:$C$251,0)), INDEX(UtilityList!M$4:M$251,MATCH('Table 2.4a'!$A49&amp;'Table 2.4a'!$C49,UtilityList!$A$4:$A$251&amp;UtilityList!$C$4:$C$251,0)))</f>
        <v>AN</v>
      </c>
    </row>
    <row r="50" spans="1:19" customFormat="1" ht="30" x14ac:dyDescent="0.25">
      <c r="A50" s="678" t="s">
        <v>524</v>
      </c>
      <c r="B50" s="361" t="s">
        <v>75</v>
      </c>
      <c r="C50" s="679" t="s">
        <v>75</v>
      </c>
      <c r="D50" s="680" t="s">
        <v>545</v>
      </c>
      <c r="E50" s="680" t="s">
        <v>546</v>
      </c>
      <c r="F50" s="694">
        <f t="shared" si="1"/>
        <v>2637.7250759999997</v>
      </c>
      <c r="G50" s="694">
        <f t="shared" si="0"/>
        <v>8185.4320000000007</v>
      </c>
      <c r="H50" s="695">
        <v>73.150000000000006</v>
      </c>
      <c r="I50" s="694">
        <f t="shared" si="2"/>
        <v>598.7643508000001</v>
      </c>
      <c r="J50" s="696">
        <f t="shared" si="3"/>
        <v>0.3222462877951951</v>
      </c>
      <c r="K50" s="697">
        <v>773.07299999999998</v>
      </c>
      <c r="L50" s="697">
        <v>58888</v>
      </c>
      <c r="M50" s="790">
        <v>0.13900000000000001</v>
      </c>
      <c r="N50" s="658" t="s">
        <v>356</v>
      </c>
      <c r="O50" s="698">
        <f t="array" ref="O50">INDEX(UtilityList!Q$4:Q$251,MATCH('Table 2.4a'!$A50&amp;'Table 2.4a'!$B50&amp;'Table 2.4a'!$C50,UtilityList!$A$4:$A$251&amp;UtilityList!$B$4:$B$251&amp;UtilityList!$C$4:$C$251,0))</f>
        <v>0</v>
      </c>
      <c r="P50" s="698" t="str">
        <f t="array" ref="P50">IFERROR(INDEX(UtilityList!J$4:J$251,MATCH('Table 2.4a'!$A50&amp;'Table 2.4a'!$B50&amp;'Table 2.4a'!$C50,UtilityList!$A$4:$A$251&amp;UtilityList!$B$4:$B$251&amp;UtilityList!$C$4:$C$251,0)), INDEX(UtilityList!J$4:J$251,MATCH('Table 2.4a'!$A50&amp;'Table 2.4a'!$C50,UtilityList!$A$4:$A$251&amp;UtilityList!$C$4:$C$251,0)))</f>
        <v>Lower Yukon-Kuskokwim</v>
      </c>
      <c r="Q50" s="698" t="str">
        <f t="array" ref="Q50">IFERROR(INDEX(UtilityList!K$4:K$251,MATCH('Table 2.4a'!$A50&amp;'Table 2.4a'!$B50&amp;'Table 2.4a'!$C50,UtilityList!$A$4:$A$251&amp;UtilityList!$B$4:$B$251&amp;UtilityList!$C$4:$C$251,0)), INDEX(UtilityList!K$4:K$251,MATCH('Table 2.4a'!$A50&amp;'Table 2.4a'!$C50,UtilityList!$A$4:$A$251&amp;UtilityList!$C$4:$C$251,0)))</f>
        <v>Bethel (CA)</v>
      </c>
      <c r="R50" s="698" t="str">
        <f t="array" ref="R50">IFERROR(INDEX(UtilityList!L$4:L$251,MATCH('Table 2.4a'!$A50&amp;'Table 2.4a'!$B50&amp;'Table 2.4a'!$C50,UtilityList!$A$4:$A$251&amp;UtilityList!$B$4:$B$251&amp;UtilityList!$C$4:$C$251,0)), INDEX(UtilityList!L$4:L$251,MATCH('Table 2.4a'!$A50&amp;'Table 2.4a'!$C50,UtilityList!$A$4:$A$251&amp;UtilityList!$C$4:$C$251,0)))</f>
        <v>Calista</v>
      </c>
      <c r="S50" s="698" t="str">
        <f t="array" ref="S50">IFERROR(INDEX(UtilityList!M$4:M$251,MATCH('Table 2.4a'!$A50&amp;'Table 2.4a'!$B50&amp;'Table 2.4a'!$C50,UtilityList!$A$4:$A$251&amp;UtilityList!$B$4:$B$251&amp;UtilityList!$C$4:$C$251,0)), INDEX(UtilityList!M$4:M$251,MATCH('Table 2.4a'!$A50&amp;'Table 2.4a'!$C50,UtilityList!$A$4:$A$251&amp;UtilityList!$C$4:$C$251,0)))</f>
        <v>SW</v>
      </c>
    </row>
    <row r="51" spans="1:19" customFormat="1" ht="45" x14ac:dyDescent="0.25">
      <c r="A51" s="678" t="s">
        <v>524</v>
      </c>
      <c r="B51" s="361" t="s">
        <v>76</v>
      </c>
      <c r="C51" s="679" t="s">
        <v>76</v>
      </c>
      <c r="D51" s="680" t="s">
        <v>545</v>
      </c>
      <c r="E51" s="680" t="s">
        <v>546</v>
      </c>
      <c r="F51" s="694">
        <f t="shared" si="1"/>
        <v>1941.588364</v>
      </c>
      <c r="G51" s="694">
        <f t="shared" si="0"/>
        <v>6781.6710000000003</v>
      </c>
      <c r="H51" s="695">
        <v>73.150000000000006</v>
      </c>
      <c r="I51" s="694">
        <f t="shared" si="2"/>
        <v>496.07923365000005</v>
      </c>
      <c r="J51" s="696">
        <f t="shared" si="3"/>
        <v>0.28629940379000984</v>
      </c>
      <c r="K51" s="697">
        <v>569.04700000000003</v>
      </c>
      <c r="L51" s="697">
        <v>48789</v>
      </c>
      <c r="M51" s="790">
        <v>0.13900000000000001</v>
      </c>
      <c r="N51" s="658" t="s">
        <v>356</v>
      </c>
      <c r="O51" s="698">
        <f t="array" ref="O51">INDEX(UtilityList!Q$4:Q$251,MATCH('Table 2.4a'!$A51&amp;'Table 2.4a'!$B51&amp;'Table 2.4a'!$C51,UtilityList!$A$4:$A$251&amp;UtilityList!$B$4:$B$251&amp;UtilityList!$C$4:$C$251,0))</f>
        <v>0</v>
      </c>
      <c r="P51" s="698" t="str">
        <f t="array" ref="P51">IFERROR(INDEX(UtilityList!J$4:J$251,MATCH('Table 2.4a'!$A51&amp;'Table 2.4a'!$B51&amp;'Table 2.4a'!$C51,UtilityList!$A$4:$A$251&amp;UtilityList!$B$4:$B$251&amp;UtilityList!$C$4:$C$251,0)), INDEX(UtilityList!J$4:J$251,MATCH('Table 2.4a'!$A51&amp;'Table 2.4a'!$C51,UtilityList!$A$4:$A$251&amp;UtilityList!$C$4:$C$251,0)))</f>
        <v>Yukon-Koyukuk/Upper Tanana</v>
      </c>
      <c r="Q51" s="698" t="str">
        <f t="array" ref="Q51">IFERROR(INDEX(UtilityList!K$4:K$251,MATCH('Table 2.4a'!$A51&amp;'Table 2.4a'!$B51&amp;'Table 2.4a'!$C51,UtilityList!$A$4:$A$251&amp;UtilityList!$B$4:$B$251&amp;UtilityList!$C$4:$C$251,0)), INDEX(UtilityList!K$4:K$251,MATCH('Table 2.4a'!$A51&amp;'Table 2.4a'!$C51,UtilityList!$A$4:$A$251&amp;UtilityList!$C$4:$C$251,0)))</f>
        <v>Yukon-Koyukuk (CA)</v>
      </c>
      <c r="R51" s="698" t="str">
        <f t="array" ref="R51">IFERROR(INDEX(UtilityList!L$4:L$251,MATCH('Table 2.4a'!$A51&amp;'Table 2.4a'!$B51&amp;'Table 2.4a'!$C51,UtilityList!$A$4:$A$251&amp;UtilityList!$B$4:$B$251&amp;UtilityList!$C$4:$C$251,0)), INDEX(UtilityList!L$4:L$251,MATCH('Table 2.4a'!$A51&amp;'Table 2.4a'!$C51,UtilityList!$A$4:$A$251&amp;UtilityList!$C$4:$C$251,0)))</f>
        <v>Doyon</v>
      </c>
      <c r="S51" s="698" t="str">
        <f t="array" ref="S51">IFERROR(INDEX(UtilityList!M$4:M$251,MATCH('Table 2.4a'!$A51&amp;'Table 2.4a'!$B51&amp;'Table 2.4a'!$C51,UtilityList!$A$4:$A$251&amp;UtilityList!$B$4:$B$251&amp;UtilityList!$C$4:$C$251,0)), INDEX(UtilityList!M$4:M$251,MATCH('Table 2.4a'!$A51&amp;'Table 2.4a'!$C51,UtilityList!$A$4:$A$251&amp;UtilityList!$C$4:$C$251,0)))</f>
        <v>YU</v>
      </c>
    </row>
    <row r="52" spans="1:19" customFormat="1" ht="45" x14ac:dyDescent="0.25">
      <c r="A52" s="678" t="s">
        <v>524</v>
      </c>
      <c r="B52" s="361" t="s">
        <v>77</v>
      </c>
      <c r="C52" s="679" t="s">
        <v>77</v>
      </c>
      <c r="D52" s="680" t="s">
        <v>545</v>
      </c>
      <c r="E52" s="680" t="s">
        <v>546</v>
      </c>
      <c r="F52" s="694">
        <f t="shared" si="1"/>
        <v>2027.9972639999999</v>
      </c>
      <c r="G52" s="694">
        <f t="shared" si="0"/>
        <v>6601.9440000000004</v>
      </c>
      <c r="H52" s="695">
        <v>73.150000000000006</v>
      </c>
      <c r="I52" s="694">
        <f t="shared" si="2"/>
        <v>482.93220360000009</v>
      </c>
      <c r="J52" s="696">
        <f t="shared" si="3"/>
        <v>0.30718183371443314</v>
      </c>
      <c r="K52" s="697">
        <v>594.37199999999996</v>
      </c>
      <c r="L52" s="697">
        <v>47496</v>
      </c>
      <c r="M52" s="790">
        <v>0.13900000000000001</v>
      </c>
      <c r="N52" s="658" t="s">
        <v>356</v>
      </c>
      <c r="O52" s="698">
        <f t="array" ref="O52">INDEX(UtilityList!Q$4:Q$251,MATCH('Table 2.4a'!$A52&amp;'Table 2.4a'!$B52&amp;'Table 2.4a'!$C52,UtilityList!$A$4:$A$251&amp;UtilityList!$B$4:$B$251&amp;UtilityList!$C$4:$C$251,0))</f>
        <v>0</v>
      </c>
      <c r="P52" s="698" t="str">
        <f t="array" ref="P52">IFERROR(INDEX(UtilityList!J$4:J$251,MATCH('Table 2.4a'!$A52&amp;'Table 2.4a'!$B52&amp;'Table 2.4a'!$C52,UtilityList!$A$4:$A$251&amp;UtilityList!$B$4:$B$251&amp;UtilityList!$C$4:$C$251,0)), INDEX(UtilityList!J$4:J$251,MATCH('Table 2.4a'!$A52&amp;'Table 2.4a'!$C52,UtilityList!$A$4:$A$251&amp;UtilityList!$C$4:$C$251,0)))</f>
        <v>Yukon-Koyukuk/Upper Tanana</v>
      </c>
      <c r="Q52" s="698" t="str">
        <f t="array" ref="Q52">IFERROR(INDEX(UtilityList!K$4:K$251,MATCH('Table 2.4a'!$A52&amp;'Table 2.4a'!$B52&amp;'Table 2.4a'!$C52,UtilityList!$A$4:$A$251&amp;UtilityList!$B$4:$B$251&amp;UtilityList!$C$4:$C$251,0)), INDEX(UtilityList!K$4:K$251,MATCH('Table 2.4a'!$A52&amp;'Table 2.4a'!$C52,UtilityList!$A$4:$A$251&amp;UtilityList!$C$4:$C$251,0)))</f>
        <v>Yukon-Koyukuk (CA)</v>
      </c>
      <c r="R52" s="698" t="str">
        <f t="array" ref="R52">IFERROR(INDEX(UtilityList!L$4:L$251,MATCH('Table 2.4a'!$A52&amp;'Table 2.4a'!$B52&amp;'Table 2.4a'!$C52,UtilityList!$A$4:$A$251&amp;UtilityList!$B$4:$B$251&amp;UtilityList!$C$4:$C$251,0)), INDEX(UtilityList!L$4:L$251,MATCH('Table 2.4a'!$A52&amp;'Table 2.4a'!$C52,UtilityList!$A$4:$A$251&amp;UtilityList!$C$4:$C$251,0)))</f>
        <v>Doyon</v>
      </c>
      <c r="S52" s="698" t="str">
        <f t="array" ref="S52">IFERROR(INDEX(UtilityList!M$4:M$251,MATCH('Table 2.4a'!$A52&amp;'Table 2.4a'!$B52&amp;'Table 2.4a'!$C52,UtilityList!$A$4:$A$251&amp;UtilityList!$B$4:$B$251&amp;UtilityList!$C$4:$C$251,0)), INDEX(UtilityList!M$4:M$251,MATCH('Table 2.4a'!$A52&amp;'Table 2.4a'!$C52,UtilityList!$A$4:$A$251&amp;UtilityList!$C$4:$C$251,0)))</f>
        <v>YU</v>
      </c>
    </row>
    <row r="53" spans="1:19" customFormat="1" ht="30" x14ac:dyDescent="0.25">
      <c r="A53" s="678" t="s">
        <v>524</v>
      </c>
      <c r="B53" s="361" t="s">
        <v>78</v>
      </c>
      <c r="C53" s="679" t="s">
        <v>78</v>
      </c>
      <c r="D53" s="680" t="s">
        <v>545</v>
      </c>
      <c r="E53" s="680" t="s">
        <v>546</v>
      </c>
      <c r="F53" s="694">
        <f t="shared" si="1"/>
        <v>9251.528816</v>
      </c>
      <c r="G53" s="694">
        <f t="shared" si="0"/>
        <v>28624.687000000002</v>
      </c>
      <c r="H53" s="695">
        <v>73.150000000000006</v>
      </c>
      <c r="I53" s="694">
        <f t="shared" si="2"/>
        <v>2093.8958540500003</v>
      </c>
      <c r="J53" s="696">
        <f t="shared" si="3"/>
        <v>0.32320104726385301</v>
      </c>
      <c r="K53" s="697">
        <v>2711.4679999999998</v>
      </c>
      <c r="L53" s="697">
        <v>205933</v>
      </c>
      <c r="M53" s="790">
        <v>0.13900000000000001</v>
      </c>
      <c r="N53" s="658" t="s">
        <v>356</v>
      </c>
      <c r="O53" s="698">
        <f t="array" ref="O53">INDEX(UtilityList!Q$4:Q$251,MATCH('Table 2.4a'!$A53&amp;'Table 2.4a'!$B53&amp;'Table 2.4a'!$C53,UtilityList!$A$4:$A$251&amp;UtilityList!$B$4:$B$251&amp;UtilityList!$C$4:$C$251,0))</f>
        <v>0</v>
      </c>
      <c r="P53" s="698" t="str">
        <f t="array" ref="P53">IFERROR(INDEX(UtilityList!J$4:J$251,MATCH('Table 2.4a'!$A53&amp;'Table 2.4a'!$B53&amp;'Table 2.4a'!$C53,UtilityList!$A$4:$A$251&amp;UtilityList!$B$4:$B$251&amp;UtilityList!$C$4:$C$251,0)), INDEX(UtilityList!J$4:J$251,MATCH('Table 2.4a'!$A53&amp;'Table 2.4a'!$C53,UtilityList!$A$4:$A$251&amp;UtilityList!$C$4:$C$251,0)))</f>
        <v>Lower Yukon-Kuskokwim</v>
      </c>
      <c r="Q53" s="698" t="str">
        <f t="array" ref="Q53">IFERROR(INDEX(UtilityList!K$4:K$251,MATCH('Table 2.4a'!$A53&amp;'Table 2.4a'!$B53&amp;'Table 2.4a'!$C53,UtilityList!$A$4:$A$251&amp;UtilityList!$B$4:$B$251&amp;UtilityList!$C$4:$C$251,0)), INDEX(UtilityList!K$4:K$251,MATCH('Table 2.4a'!$A53&amp;'Table 2.4a'!$C53,UtilityList!$A$4:$A$251&amp;UtilityList!$C$4:$C$251,0)))</f>
        <v>Wade Hampton (CA)</v>
      </c>
      <c r="R53" s="698" t="str">
        <f t="array" ref="R53">IFERROR(INDEX(UtilityList!L$4:L$251,MATCH('Table 2.4a'!$A53&amp;'Table 2.4a'!$B53&amp;'Table 2.4a'!$C53,UtilityList!$A$4:$A$251&amp;UtilityList!$B$4:$B$251&amp;UtilityList!$C$4:$C$251,0)), INDEX(UtilityList!L$4:L$251,MATCH('Table 2.4a'!$A53&amp;'Table 2.4a'!$C53,UtilityList!$A$4:$A$251&amp;UtilityList!$C$4:$C$251,0)))</f>
        <v>Calista</v>
      </c>
      <c r="S53" s="698" t="str">
        <f t="array" ref="S53">IFERROR(INDEX(UtilityList!M$4:M$251,MATCH('Table 2.4a'!$A53&amp;'Table 2.4a'!$B53&amp;'Table 2.4a'!$C53,UtilityList!$A$4:$A$251&amp;UtilityList!$B$4:$B$251&amp;UtilityList!$C$4:$C$251,0)), INDEX(UtilityList!M$4:M$251,MATCH('Table 2.4a'!$A53&amp;'Table 2.4a'!$C53,UtilityList!$A$4:$A$251&amp;UtilityList!$C$4:$C$251,0)))</f>
        <v>YU</v>
      </c>
    </row>
    <row r="54" spans="1:19" customFormat="1" ht="45" x14ac:dyDescent="0.25">
      <c r="A54" s="678" t="s">
        <v>524</v>
      </c>
      <c r="B54" s="361" t="s">
        <v>79</v>
      </c>
      <c r="C54" s="679" t="s">
        <v>79</v>
      </c>
      <c r="D54" s="680" t="s">
        <v>545</v>
      </c>
      <c r="E54" s="680" t="s">
        <v>546</v>
      </c>
      <c r="F54" s="694">
        <f t="shared" si="1"/>
        <v>3431.7895999999996</v>
      </c>
      <c r="G54" s="694">
        <f t="shared" si="0"/>
        <v>10431.255000000001</v>
      </c>
      <c r="H54" s="695">
        <v>73.150000000000006</v>
      </c>
      <c r="I54" s="694">
        <f t="shared" si="2"/>
        <v>763.04630325000016</v>
      </c>
      <c r="J54" s="696">
        <f t="shared" si="3"/>
        <v>0.32899105620560509</v>
      </c>
      <c r="K54" s="697">
        <v>1005.8</v>
      </c>
      <c r="L54" s="697">
        <v>75045</v>
      </c>
      <c r="M54" s="790">
        <v>0.13900000000000001</v>
      </c>
      <c r="N54" s="658" t="s">
        <v>356</v>
      </c>
      <c r="O54" s="698">
        <f t="array" ref="O54">INDEX(UtilityList!Q$4:Q$251,MATCH('Table 2.4a'!$A54&amp;'Table 2.4a'!$B54&amp;'Table 2.4a'!$C54,UtilityList!$A$4:$A$251&amp;UtilityList!$B$4:$B$251&amp;UtilityList!$C$4:$C$251,0))</f>
        <v>0</v>
      </c>
      <c r="P54" s="698" t="str">
        <f t="array" ref="P54">IFERROR(INDEX(UtilityList!J$4:J$251,MATCH('Table 2.4a'!$A54&amp;'Table 2.4a'!$B54&amp;'Table 2.4a'!$C54,UtilityList!$A$4:$A$251&amp;UtilityList!$B$4:$B$251&amp;UtilityList!$C$4:$C$251,0)), INDEX(UtilityList!J$4:J$251,MATCH('Table 2.4a'!$A54&amp;'Table 2.4a'!$C54,UtilityList!$A$4:$A$251&amp;UtilityList!$C$4:$C$251,0)))</f>
        <v>Yukon-Koyukuk/Upper Tanana</v>
      </c>
      <c r="Q54" s="698" t="str">
        <f t="array" ref="Q54">IFERROR(INDEX(UtilityList!K$4:K$251,MATCH('Table 2.4a'!$A54&amp;'Table 2.4a'!$B54&amp;'Table 2.4a'!$C54,UtilityList!$A$4:$A$251&amp;UtilityList!$B$4:$B$251&amp;UtilityList!$C$4:$C$251,0)), INDEX(UtilityList!K$4:K$251,MATCH('Table 2.4a'!$A54&amp;'Table 2.4a'!$C54,UtilityList!$A$4:$A$251&amp;UtilityList!$C$4:$C$251,0)))</f>
        <v>Yukon-Koyukuk (CA)</v>
      </c>
      <c r="R54" s="698" t="str">
        <f t="array" ref="R54">IFERROR(INDEX(UtilityList!L$4:L$251,MATCH('Table 2.4a'!$A54&amp;'Table 2.4a'!$B54&amp;'Table 2.4a'!$C54,UtilityList!$A$4:$A$251&amp;UtilityList!$B$4:$B$251&amp;UtilityList!$C$4:$C$251,0)), INDEX(UtilityList!L$4:L$251,MATCH('Table 2.4a'!$A54&amp;'Table 2.4a'!$C54,UtilityList!$A$4:$A$251&amp;UtilityList!$C$4:$C$251,0)))</f>
        <v>Doyon</v>
      </c>
      <c r="S54" s="698" t="str">
        <f t="array" ref="S54">IFERROR(INDEX(UtilityList!M$4:M$251,MATCH('Table 2.4a'!$A54&amp;'Table 2.4a'!$B54&amp;'Table 2.4a'!$C54,UtilityList!$A$4:$A$251&amp;UtilityList!$B$4:$B$251&amp;UtilityList!$C$4:$C$251,0)), INDEX(UtilityList!M$4:M$251,MATCH('Table 2.4a'!$A54&amp;'Table 2.4a'!$C54,UtilityList!$A$4:$A$251&amp;UtilityList!$C$4:$C$251,0)))</f>
        <v>YU</v>
      </c>
    </row>
    <row r="55" spans="1:19" customFormat="1" ht="75" x14ac:dyDescent="0.25">
      <c r="A55" s="678" t="s">
        <v>524</v>
      </c>
      <c r="B55" s="361" t="s">
        <v>115</v>
      </c>
      <c r="C55" s="679" t="s">
        <v>997</v>
      </c>
      <c r="D55" s="680" t="s">
        <v>545</v>
      </c>
      <c r="E55" s="680" t="s">
        <v>546</v>
      </c>
      <c r="F55" s="694">
        <f t="shared" si="1"/>
        <v>5023.1668719999998</v>
      </c>
      <c r="G55" s="694">
        <f t="shared" si="0"/>
        <v>14888.707000000002</v>
      </c>
      <c r="H55" s="695">
        <v>73.150000000000006</v>
      </c>
      <c r="I55" s="694">
        <f t="shared" si="2"/>
        <v>1089.1089170500002</v>
      </c>
      <c r="J55" s="696">
        <f t="shared" si="3"/>
        <v>0.33738100104999036</v>
      </c>
      <c r="K55" s="697">
        <v>1472.2059999999999</v>
      </c>
      <c r="L55" s="697">
        <v>107113</v>
      </c>
      <c r="M55" s="790">
        <v>0.13900000000000001</v>
      </c>
      <c r="N55" s="658" t="s">
        <v>356</v>
      </c>
      <c r="O55" s="698" t="str">
        <f t="array" ref="O55">INDEX(UtilityList!Q$4:Q$251,MATCH('Table 2.4a'!$A55&amp;'Table 2.4a'!$B55&amp;'Table 2.4a'!$C55,UtilityList!$A$4:$A$251&amp;UtilityList!$B$4:$B$251&amp;UtilityList!$C$4:$C$251,0))</f>
        <v>Provides power to Lower Kalskag via intertie. Fuel use and cost data includes information for Lower Kalskag.</v>
      </c>
      <c r="P55" s="698" t="str">
        <f t="array" ref="P55">IFERROR(INDEX(UtilityList!J$4:J$251,MATCH('Table 2.4a'!$A55&amp;'Table 2.4a'!$B55&amp;'Table 2.4a'!$C55,UtilityList!$A$4:$A$251&amp;UtilityList!$B$4:$B$251&amp;UtilityList!$C$4:$C$251,0)), INDEX(UtilityList!J$4:J$251,MATCH('Table 2.4a'!$A55&amp;'Table 2.4a'!$C55,UtilityList!$A$4:$A$251&amp;UtilityList!$C$4:$C$251,0)))</f>
        <v>Lower Yukon-Kuskokwim</v>
      </c>
      <c r="Q55" s="698" t="str">
        <f t="array" ref="Q55">IFERROR(INDEX(UtilityList!K$4:K$251,MATCH('Table 2.4a'!$A55&amp;'Table 2.4a'!$B55&amp;'Table 2.4a'!$C55,UtilityList!$A$4:$A$251&amp;UtilityList!$B$4:$B$251&amp;UtilityList!$C$4:$C$251,0)), INDEX(UtilityList!K$4:K$251,MATCH('Table 2.4a'!$A55&amp;'Table 2.4a'!$C55,UtilityList!$A$4:$A$251&amp;UtilityList!$C$4:$C$251,0)))</f>
        <v>Bethel (CA)</v>
      </c>
      <c r="R55" s="698" t="str">
        <f t="array" ref="R55">IFERROR(INDEX(UtilityList!L$4:L$251,MATCH('Table 2.4a'!$A55&amp;'Table 2.4a'!$B55&amp;'Table 2.4a'!$C55,UtilityList!$A$4:$A$251&amp;UtilityList!$B$4:$B$251&amp;UtilityList!$C$4:$C$251,0)), INDEX(UtilityList!L$4:L$251,MATCH('Table 2.4a'!$A55&amp;'Table 2.4a'!$C55,UtilityList!$A$4:$A$251&amp;UtilityList!$C$4:$C$251,0)))</f>
        <v>Calista</v>
      </c>
      <c r="S55" s="698" t="str">
        <f t="array" ref="S55">IFERROR(INDEX(UtilityList!M$4:M$251,MATCH('Table 2.4a'!$A55&amp;'Table 2.4a'!$B55&amp;'Table 2.4a'!$C55,UtilityList!$A$4:$A$251&amp;UtilityList!$B$4:$B$251&amp;UtilityList!$C$4:$C$251,0)), INDEX(UtilityList!M$4:M$251,MATCH('Table 2.4a'!$A55&amp;'Table 2.4a'!$C55,UtilityList!$A$4:$A$251&amp;UtilityList!$C$4:$C$251,0)))</f>
        <v>SW</v>
      </c>
    </row>
    <row r="56" spans="1:19" customFormat="1" ht="45" x14ac:dyDescent="0.25">
      <c r="A56" s="678" t="s">
        <v>524</v>
      </c>
      <c r="B56" s="361" t="s">
        <v>80</v>
      </c>
      <c r="C56" s="679" t="s">
        <v>80</v>
      </c>
      <c r="D56" s="680" t="s">
        <v>545</v>
      </c>
      <c r="E56" s="680" t="s">
        <v>546</v>
      </c>
      <c r="F56" s="694">
        <f t="shared" si="1"/>
        <v>2480.653656</v>
      </c>
      <c r="G56" s="694">
        <f t="shared" si="0"/>
        <v>7436.3610000000008</v>
      </c>
      <c r="H56" s="695">
        <v>73.150000000000006</v>
      </c>
      <c r="I56" s="694">
        <f t="shared" si="2"/>
        <v>543.96980715000018</v>
      </c>
      <c r="J56" s="696">
        <f t="shared" si="3"/>
        <v>0.33358435073283826</v>
      </c>
      <c r="K56" s="697">
        <v>727.03800000000001</v>
      </c>
      <c r="L56" s="697">
        <v>53499</v>
      </c>
      <c r="M56" s="790">
        <v>0.13900000000000001</v>
      </c>
      <c r="N56" s="658" t="s">
        <v>356</v>
      </c>
      <c r="O56" s="698">
        <f t="array" ref="O56">INDEX(UtilityList!Q$4:Q$251,MATCH('Table 2.4a'!$A56&amp;'Table 2.4a'!$B56&amp;'Table 2.4a'!$C56,UtilityList!$A$4:$A$251&amp;UtilityList!$B$4:$B$251&amp;UtilityList!$C$4:$C$251,0))</f>
        <v>0</v>
      </c>
      <c r="P56" s="698" t="str">
        <f t="array" ref="P56">IFERROR(INDEX(UtilityList!J$4:J$251,MATCH('Table 2.4a'!$A56&amp;'Table 2.4a'!$B56&amp;'Table 2.4a'!$C56,UtilityList!$A$4:$A$251&amp;UtilityList!$B$4:$B$251&amp;UtilityList!$C$4:$C$251,0)), INDEX(UtilityList!J$4:J$251,MATCH('Table 2.4a'!$A56&amp;'Table 2.4a'!$C56,UtilityList!$A$4:$A$251&amp;UtilityList!$C$4:$C$251,0)))</f>
        <v>Yukon-Koyukuk/Upper Tanana</v>
      </c>
      <c r="Q56" s="698" t="str">
        <f t="array" ref="Q56">IFERROR(INDEX(UtilityList!K$4:K$251,MATCH('Table 2.4a'!$A56&amp;'Table 2.4a'!$B56&amp;'Table 2.4a'!$C56,UtilityList!$A$4:$A$251&amp;UtilityList!$B$4:$B$251&amp;UtilityList!$C$4:$C$251,0)), INDEX(UtilityList!K$4:K$251,MATCH('Table 2.4a'!$A56&amp;'Table 2.4a'!$C56,UtilityList!$A$4:$A$251&amp;UtilityList!$C$4:$C$251,0)))</f>
        <v>Yukon-Koyukuk (CA)</v>
      </c>
      <c r="R56" s="698" t="str">
        <f t="array" ref="R56">IFERROR(INDEX(UtilityList!L$4:L$251,MATCH('Table 2.4a'!$A56&amp;'Table 2.4a'!$B56&amp;'Table 2.4a'!$C56,UtilityList!$A$4:$A$251&amp;UtilityList!$B$4:$B$251&amp;UtilityList!$C$4:$C$251,0)), INDEX(UtilityList!L$4:L$251,MATCH('Table 2.4a'!$A56&amp;'Table 2.4a'!$C56,UtilityList!$A$4:$A$251&amp;UtilityList!$C$4:$C$251,0)))</f>
        <v>Doyon</v>
      </c>
      <c r="S56" s="698" t="str">
        <f t="array" ref="S56">IFERROR(INDEX(UtilityList!M$4:M$251,MATCH('Table 2.4a'!$A56&amp;'Table 2.4a'!$B56&amp;'Table 2.4a'!$C56,UtilityList!$A$4:$A$251&amp;UtilityList!$B$4:$B$251&amp;UtilityList!$C$4:$C$251,0)), INDEX(UtilityList!M$4:M$251,MATCH('Table 2.4a'!$A56&amp;'Table 2.4a'!$C56,UtilityList!$A$4:$A$251&amp;UtilityList!$C$4:$C$251,0)))</f>
        <v>YU</v>
      </c>
    </row>
    <row r="57" spans="1:19" customFormat="1" ht="60" x14ac:dyDescent="0.25">
      <c r="A57" s="678" t="s">
        <v>524</v>
      </c>
      <c r="B57" s="361" t="s">
        <v>81</v>
      </c>
      <c r="C57" s="679" t="s">
        <v>992</v>
      </c>
      <c r="D57" s="680" t="s">
        <v>545</v>
      </c>
      <c r="E57" s="680" t="s">
        <v>546</v>
      </c>
      <c r="F57" s="694">
        <f t="shared" si="1"/>
        <v>7801.2650400000002</v>
      </c>
      <c r="G57" s="694">
        <f t="shared" si="0"/>
        <v>23471.262000000002</v>
      </c>
      <c r="H57" s="695">
        <v>73.150000000000006</v>
      </c>
      <c r="I57" s="694">
        <f t="shared" si="2"/>
        <v>1716.9228153000004</v>
      </c>
      <c r="J57" s="696">
        <f t="shared" si="3"/>
        <v>0.33237518459808424</v>
      </c>
      <c r="K57" s="697">
        <v>2286.42</v>
      </c>
      <c r="L57" s="697">
        <v>168858</v>
      </c>
      <c r="M57" s="790">
        <v>0.13900000000000001</v>
      </c>
      <c r="N57" s="658" t="s">
        <v>356</v>
      </c>
      <c r="O57" s="698" t="str">
        <f t="array" ref="O57">INDEX(UtilityList!Q$4:Q$251,MATCH('Table 2.4a'!$A57&amp;'Table 2.4a'!$B57&amp;'Table 2.4a'!$C57,UtilityList!$A$4:$A$251&amp;UtilityList!$B$4:$B$251&amp;UtilityList!$C$4:$C$251,0))</f>
        <v>Provides power to Nunapitchuk via intertie.  Fuel use and cost includes Nunapitchuk's information.</v>
      </c>
      <c r="P57" s="698" t="str">
        <f t="array" ref="P57">IFERROR(INDEX(UtilityList!J$4:J$251,MATCH('Table 2.4a'!$A57&amp;'Table 2.4a'!$B57&amp;'Table 2.4a'!$C57,UtilityList!$A$4:$A$251&amp;UtilityList!$B$4:$B$251&amp;UtilityList!$C$4:$C$251,0)), INDEX(UtilityList!J$4:J$251,MATCH('Table 2.4a'!$A57&amp;'Table 2.4a'!$C57,UtilityList!$A$4:$A$251&amp;UtilityList!$C$4:$C$251,0)))</f>
        <v>Lower Yukon-Kuskokwim</v>
      </c>
      <c r="Q57" s="698" t="str">
        <f t="array" ref="Q57">IFERROR(INDEX(UtilityList!K$4:K$251,MATCH('Table 2.4a'!$A57&amp;'Table 2.4a'!$B57&amp;'Table 2.4a'!$C57,UtilityList!$A$4:$A$251&amp;UtilityList!$B$4:$B$251&amp;UtilityList!$C$4:$C$251,0)), INDEX(UtilityList!K$4:K$251,MATCH('Table 2.4a'!$A57&amp;'Table 2.4a'!$C57,UtilityList!$A$4:$A$251&amp;UtilityList!$C$4:$C$251,0)))</f>
        <v>Bethel (CA)</v>
      </c>
      <c r="R57" s="698" t="str">
        <f t="array" ref="R57">IFERROR(INDEX(UtilityList!L$4:L$251,MATCH('Table 2.4a'!$A57&amp;'Table 2.4a'!$B57&amp;'Table 2.4a'!$C57,UtilityList!$A$4:$A$251&amp;UtilityList!$B$4:$B$251&amp;UtilityList!$C$4:$C$251,0)), INDEX(UtilityList!L$4:L$251,MATCH('Table 2.4a'!$A57&amp;'Table 2.4a'!$C57,UtilityList!$A$4:$A$251&amp;UtilityList!$C$4:$C$251,0)))</f>
        <v>Calista</v>
      </c>
      <c r="S57" s="698" t="str">
        <f t="array" ref="S57">IFERROR(INDEX(UtilityList!M$4:M$251,MATCH('Table 2.4a'!$A57&amp;'Table 2.4a'!$B57&amp;'Table 2.4a'!$C57,UtilityList!$A$4:$A$251&amp;UtilityList!$B$4:$B$251&amp;UtilityList!$C$4:$C$251,0)), INDEX(UtilityList!M$4:M$251,MATCH('Table 2.4a'!$A57&amp;'Table 2.4a'!$C57,UtilityList!$A$4:$A$251&amp;UtilityList!$C$4:$C$251,0)))</f>
        <v>SW</v>
      </c>
    </row>
    <row r="58" spans="1:19" customFormat="1" ht="30" x14ac:dyDescent="0.25">
      <c r="A58" s="678" t="s">
        <v>524</v>
      </c>
      <c r="B58" s="361" t="s">
        <v>82</v>
      </c>
      <c r="C58" s="679" t="s">
        <v>82</v>
      </c>
      <c r="D58" s="680" t="s">
        <v>545</v>
      </c>
      <c r="E58" s="680" t="s">
        <v>546</v>
      </c>
      <c r="F58" s="694">
        <f t="shared" si="1"/>
        <v>5158.0295839999999</v>
      </c>
      <c r="G58" s="694">
        <f t="shared" si="0"/>
        <v>16805.390510000001</v>
      </c>
      <c r="H58" s="695">
        <v>73.150000000000006</v>
      </c>
      <c r="I58" s="694">
        <f t="shared" si="2"/>
        <v>1229.3143158065002</v>
      </c>
      <c r="J58" s="696">
        <f t="shared" si="3"/>
        <v>0.30692708871779734</v>
      </c>
      <c r="K58" s="697">
        <v>1511.732</v>
      </c>
      <c r="L58" s="697">
        <v>120902.09</v>
      </c>
      <c r="M58" s="790">
        <v>0.13900000000000001</v>
      </c>
      <c r="N58" s="658" t="s">
        <v>356</v>
      </c>
      <c r="O58" s="698">
        <f t="array" ref="O58">INDEX(UtilityList!Q$4:Q$251,MATCH('Table 2.4a'!$A58&amp;'Table 2.4a'!$B58&amp;'Table 2.4a'!$C58,UtilityList!$A$4:$A$251&amp;UtilityList!$B$4:$B$251&amp;UtilityList!$C$4:$C$251,0))</f>
        <v>0</v>
      </c>
      <c r="P58" s="698" t="str">
        <f t="array" ref="P58">IFERROR(INDEX(UtilityList!J$4:J$251,MATCH('Table 2.4a'!$A58&amp;'Table 2.4a'!$B58&amp;'Table 2.4a'!$C58,UtilityList!$A$4:$A$251&amp;UtilityList!$B$4:$B$251&amp;UtilityList!$C$4:$C$251,0)), INDEX(UtilityList!J$4:J$251,MATCH('Table 2.4a'!$A58&amp;'Table 2.4a'!$C58,UtilityList!$A$4:$A$251&amp;UtilityList!$C$4:$C$251,0)))</f>
        <v>Northwest Arctic</v>
      </c>
      <c r="Q58" s="698" t="str">
        <f t="array" ref="Q58">IFERROR(INDEX(UtilityList!K$4:K$251,MATCH('Table 2.4a'!$A58&amp;'Table 2.4a'!$B58&amp;'Table 2.4a'!$C58,UtilityList!$A$4:$A$251&amp;UtilityList!$B$4:$B$251&amp;UtilityList!$C$4:$C$251,0)), INDEX(UtilityList!K$4:K$251,MATCH('Table 2.4a'!$A58&amp;'Table 2.4a'!$C58,UtilityList!$A$4:$A$251&amp;UtilityList!$C$4:$C$251,0)))</f>
        <v>Northwest Arctic</v>
      </c>
      <c r="R58" s="698" t="str">
        <f t="array" ref="R58">IFERROR(INDEX(UtilityList!L$4:L$251,MATCH('Table 2.4a'!$A58&amp;'Table 2.4a'!$B58&amp;'Table 2.4a'!$C58,UtilityList!$A$4:$A$251&amp;UtilityList!$B$4:$B$251&amp;UtilityList!$C$4:$C$251,0)), INDEX(UtilityList!L$4:L$251,MATCH('Table 2.4a'!$A58&amp;'Table 2.4a'!$C58,UtilityList!$A$4:$A$251&amp;UtilityList!$C$4:$C$251,0)))</f>
        <v>NANA</v>
      </c>
      <c r="S58" s="698" t="str">
        <f t="array" ref="S58">IFERROR(INDEX(UtilityList!M$4:M$251,MATCH('Table 2.4a'!$A58&amp;'Table 2.4a'!$B58&amp;'Table 2.4a'!$C58,UtilityList!$A$4:$A$251&amp;UtilityList!$B$4:$B$251&amp;UtilityList!$C$4:$C$251,0)), INDEX(UtilityList!M$4:M$251,MATCH('Table 2.4a'!$A58&amp;'Table 2.4a'!$C58,UtilityList!$A$4:$A$251&amp;UtilityList!$C$4:$C$251,0)))</f>
        <v>AN</v>
      </c>
    </row>
    <row r="59" spans="1:19" customFormat="1" ht="30" x14ac:dyDescent="0.25">
      <c r="A59" s="678" t="s">
        <v>524</v>
      </c>
      <c r="B59" s="361" t="s">
        <v>83</v>
      </c>
      <c r="C59" s="679" t="s">
        <v>83</v>
      </c>
      <c r="D59" s="680" t="s">
        <v>545</v>
      </c>
      <c r="E59" s="680" t="s">
        <v>546</v>
      </c>
      <c r="F59" s="694">
        <f t="shared" si="1"/>
        <v>4135.6340200000004</v>
      </c>
      <c r="G59" s="694">
        <f t="shared" si="0"/>
        <v>13069.753000000001</v>
      </c>
      <c r="H59" s="695">
        <v>73.150000000000006</v>
      </c>
      <c r="I59" s="694">
        <f t="shared" si="2"/>
        <v>956.05243195000014</v>
      </c>
      <c r="J59" s="696">
        <f t="shared" si="3"/>
        <v>0.31642786363292408</v>
      </c>
      <c r="K59" s="697">
        <v>1212.085</v>
      </c>
      <c r="L59" s="697">
        <v>94027</v>
      </c>
      <c r="M59" s="790">
        <v>0.13900000000000001</v>
      </c>
      <c r="N59" s="658" t="s">
        <v>356</v>
      </c>
      <c r="O59" s="698">
        <f t="array" ref="O59">INDEX(UtilityList!Q$4:Q$251,MATCH('Table 2.4a'!$A59&amp;'Table 2.4a'!$B59&amp;'Table 2.4a'!$C59,UtilityList!$A$4:$A$251&amp;UtilityList!$B$4:$B$251&amp;UtilityList!$C$4:$C$251,0))</f>
        <v>0</v>
      </c>
      <c r="P59" s="698" t="str">
        <f t="array" ref="P59">IFERROR(INDEX(UtilityList!J$4:J$251,MATCH('Table 2.4a'!$A59&amp;'Table 2.4a'!$B59&amp;'Table 2.4a'!$C59,UtilityList!$A$4:$A$251&amp;UtilityList!$B$4:$B$251&amp;UtilityList!$C$4:$C$251,0)), INDEX(UtilityList!J$4:J$251,MATCH('Table 2.4a'!$A59&amp;'Table 2.4a'!$C59,UtilityList!$A$4:$A$251&amp;UtilityList!$C$4:$C$251,0)))</f>
        <v>Northwest Arctic</v>
      </c>
      <c r="Q59" s="698" t="str">
        <f t="array" ref="Q59">IFERROR(INDEX(UtilityList!K$4:K$251,MATCH('Table 2.4a'!$A59&amp;'Table 2.4a'!$B59&amp;'Table 2.4a'!$C59,UtilityList!$A$4:$A$251&amp;UtilityList!$B$4:$B$251&amp;UtilityList!$C$4:$C$251,0)), INDEX(UtilityList!K$4:K$251,MATCH('Table 2.4a'!$A59&amp;'Table 2.4a'!$C59,UtilityList!$A$4:$A$251&amp;UtilityList!$C$4:$C$251,0)))</f>
        <v>Northwest Arctic</v>
      </c>
      <c r="R59" s="698" t="str">
        <f t="array" ref="R59">IFERROR(INDEX(UtilityList!L$4:L$251,MATCH('Table 2.4a'!$A59&amp;'Table 2.4a'!$B59&amp;'Table 2.4a'!$C59,UtilityList!$A$4:$A$251&amp;UtilityList!$B$4:$B$251&amp;UtilityList!$C$4:$C$251,0)), INDEX(UtilityList!L$4:L$251,MATCH('Table 2.4a'!$A59&amp;'Table 2.4a'!$C59,UtilityList!$A$4:$A$251&amp;UtilityList!$C$4:$C$251,0)))</f>
        <v>NANA</v>
      </c>
      <c r="S59" s="698" t="str">
        <f t="array" ref="S59">IFERROR(INDEX(UtilityList!M$4:M$251,MATCH('Table 2.4a'!$A59&amp;'Table 2.4a'!$B59&amp;'Table 2.4a'!$C59,UtilityList!$A$4:$A$251&amp;UtilityList!$B$4:$B$251&amp;UtilityList!$C$4:$C$251,0)), INDEX(UtilityList!M$4:M$251,MATCH('Table 2.4a'!$A59&amp;'Table 2.4a'!$C59,UtilityList!$A$4:$A$251&amp;UtilityList!$C$4:$C$251,0)))</f>
        <v>AN</v>
      </c>
    </row>
    <row r="60" spans="1:19" customFormat="1" ht="30" x14ac:dyDescent="0.25">
      <c r="A60" s="678" t="s">
        <v>524</v>
      </c>
      <c r="B60" s="361" t="s">
        <v>84</v>
      </c>
      <c r="C60" s="679" t="s">
        <v>84</v>
      </c>
      <c r="D60" s="680" t="s">
        <v>545</v>
      </c>
      <c r="E60" s="680" t="s">
        <v>546</v>
      </c>
      <c r="F60" s="694">
        <f t="shared" si="1"/>
        <v>6709.5512840000001</v>
      </c>
      <c r="G60" s="694">
        <f t="shared" si="0"/>
        <v>21047.519</v>
      </c>
      <c r="H60" s="695">
        <v>73.150000000000006</v>
      </c>
      <c r="I60" s="694">
        <f t="shared" si="2"/>
        <v>1539.62601485</v>
      </c>
      <c r="J60" s="696">
        <f t="shared" si="3"/>
        <v>0.31878110118346964</v>
      </c>
      <c r="K60" s="697">
        <v>1966.4570000000001</v>
      </c>
      <c r="L60" s="697">
        <v>151421</v>
      </c>
      <c r="M60" s="790">
        <v>0.13900000000000001</v>
      </c>
      <c r="N60" s="658" t="s">
        <v>356</v>
      </c>
      <c r="O60" s="698">
        <f t="array" ref="O60">INDEX(UtilityList!Q$4:Q$251,MATCH('Table 2.4a'!$A60&amp;'Table 2.4a'!$B60&amp;'Table 2.4a'!$C60,UtilityList!$A$4:$A$251&amp;UtilityList!$B$4:$B$251&amp;UtilityList!$C$4:$C$251,0))</f>
        <v>0</v>
      </c>
      <c r="P60" s="698" t="str">
        <f t="array" ref="P60">IFERROR(INDEX(UtilityList!J$4:J$251,MATCH('Table 2.4a'!$A60&amp;'Table 2.4a'!$B60&amp;'Table 2.4a'!$C60,UtilityList!$A$4:$A$251&amp;UtilityList!$B$4:$B$251&amp;UtilityList!$C$4:$C$251,0)), INDEX(UtilityList!J$4:J$251,MATCH('Table 2.4a'!$A60&amp;'Table 2.4a'!$C60,UtilityList!$A$4:$A$251&amp;UtilityList!$C$4:$C$251,0)))</f>
        <v>Lower Yukon-Kuskokwim</v>
      </c>
      <c r="Q60" s="698" t="str">
        <f t="array" ref="Q60">IFERROR(INDEX(UtilityList!K$4:K$251,MATCH('Table 2.4a'!$A60&amp;'Table 2.4a'!$B60&amp;'Table 2.4a'!$C60,UtilityList!$A$4:$A$251&amp;UtilityList!$B$4:$B$251&amp;UtilityList!$C$4:$C$251,0)), INDEX(UtilityList!K$4:K$251,MATCH('Table 2.4a'!$A60&amp;'Table 2.4a'!$C60,UtilityList!$A$4:$A$251&amp;UtilityList!$C$4:$C$251,0)))</f>
        <v>Wade Hampton (CA)</v>
      </c>
      <c r="R60" s="698" t="str">
        <f t="array" ref="R60">IFERROR(INDEX(UtilityList!L$4:L$251,MATCH('Table 2.4a'!$A60&amp;'Table 2.4a'!$B60&amp;'Table 2.4a'!$C60,UtilityList!$A$4:$A$251&amp;UtilityList!$B$4:$B$251&amp;UtilityList!$C$4:$C$251,0)), INDEX(UtilityList!L$4:L$251,MATCH('Table 2.4a'!$A60&amp;'Table 2.4a'!$C60,UtilityList!$A$4:$A$251&amp;UtilityList!$C$4:$C$251,0)))</f>
        <v>Calista</v>
      </c>
      <c r="S60" s="698" t="str">
        <f t="array" ref="S60">IFERROR(INDEX(UtilityList!M$4:M$251,MATCH('Table 2.4a'!$A60&amp;'Table 2.4a'!$B60&amp;'Table 2.4a'!$C60,UtilityList!$A$4:$A$251&amp;UtilityList!$B$4:$B$251&amp;UtilityList!$C$4:$C$251,0)), INDEX(UtilityList!M$4:M$251,MATCH('Table 2.4a'!$A60&amp;'Table 2.4a'!$C60,UtilityList!$A$4:$A$251&amp;UtilityList!$C$4:$C$251,0)))</f>
        <v>YU</v>
      </c>
    </row>
    <row r="61" spans="1:19" customFormat="1" ht="30" x14ac:dyDescent="0.25">
      <c r="A61" s="678" t="s">
        <v>524</v>
      </c>
      <c r="B61" s="361" t="s">
        <v>85</v>
      </c>
      <c r="C61" s="679" t="s">
        <v>85</v>
      </c>
      <c r="D61" s="680" t="s">
        <v>545</v>
      </c>
      <c r="E61" s="680" t="s">
        <v>546</v>
      </c>
      <c r="F61" s="694">
        <f t="shared" si="1"/>
        <v>4489.9122159999997</v>
      </c>
      <c r="G61" s="694">
        <f t="shared" si="0"/>
        <v>13348.308999999999</v>
      </c>
      <c r="H61" s="695">
        <v>73.150000000000006</v>
      </c>
      <c r="I61" s="694">
        <f t="shared" si="2"/>
        <v>976.42880335000007</v>
      </c>
      <c r="J61" s="696">
        <f t="shared" si="3"/>
        <v>0.33636561874616477</v>
      </c>
      <c r="K61" s="697">
        <v>1315.9179999999999</v>
      </c>
      <c r="L61" s="697">
        <v>96030.999999999985</v>
      </c>
      <c r="M61" s="790">
        <v>0.13900000000000001</v>
      </c>
      <c r="N61" s="658" t="s">
        <v>356</v>
      </c>
      <c r="O61" s="698">
        <f t="array" ref="O61">INDEX(UtilityList!Q$4:Q$251,MATCH('Table 2.4a'!$A61&amp;'Table 2.4a'!$B61&amp;'Table 2.4a'!$C61,UtilityList!$A$4:$A$251&amp;UtilityList!$B$4:$B$251&amp;UtilityList!$C$4:$C$251,0))</f>
        <v>0</v>
      </c>
      <c r="P61" s="698" t="str">
        <f t="array" ref="P61">IFERROR(INDEX(UtilityList!J$4:J$251,MATCH('Table 2.4a'!$A61&amp;'Table 2.4a'!$B61&amp;'Table 2.4a'!$C61,UtilityList!$A$4:$A$251&amp;UtilityList!$B$4:$B$251&amp;UtilityList!$C$4:$C$251,0)), INDEX(UtilityList!J$4:J$251,MATCH('Table 2.4a'!$A61&amp;'Table 2.4a'!$C61,UtilityList!$A$4:$A$251&amp;UtilityList!$C$4:$C$251,0)))</f>
        <v>Bering Straits</v>
      </c>
      <c r="Q61" s="698" t="str">
        <f t="array" ref="Q61">IFERROR(INDEX(UtilityList!K$4:K$251,MATCH('Table 2.4a'!$A61&amp;'Table 2.4a'!$B61&amp;'Table 2.4a'!$C61,UtilityList!$A$4:$A$251&amp;UtilityList!$B$4:$B$251&amp;UtilityList!$C$4:$C$251,0)), INDEX(UtilityList!K$4:K$251,MATCH('Table 2.4a'!$A61&amp;'Table 2.4a'!$C61,UtilityList!$A$4:$A$251&amp;UtilityList!$C$4:$C$251,0)))</f>
        <v>Nome (CA)</v>
      </c>
      <c r="R61" s="698" t="str">
        <f t="array" ref="R61">IFERROR(INDEX(UtilityList!L$4:L$251,MATCH('Table 2.4a'!$A61&amp;'Table 2.4a'!$B61&amp;'Table 2.4a'!$C61,UtilityList!$A$4:$A$251&amp;UtilityList!$B$4:$B$251&amp;UtilityList!$C$4:$C$251,0)), INDEX(UtilityList!L$4:L$251,MATCH('Table 2.4a'!$A61&amp;'Table 2.4a'!$C61,UtilityList!$A$4:$A$251&amp;UtilityList!$C$4:$C$251,0)))</f>
        <v>Bering Straits</v>
      </c>
      <c r="S61" s="698" t="str">
        <f t="array" ref="S61">IFERROR(INDEX(UtilityList!M$4:M$251,MATCH('Table 2.4a'!$A61&amp;'Table 2.4a'!$B61&amp;'Table 2.4a'!$C61,UtilityList!$A$4:$A$251&amp;UtilityList!$B$4:$B$251&amp;UtilityList!$C$4:$C$251,0)), INDEX(UtilityList!M$4:M$251,MATCH('Table 2.4a'!$A61&amp;'Table 2.4a'!$C61,UtilityList!$A$4:$A$251&amp;UtilityList!$C$4:$C$251,0)))</f>
        <v>AN</v>
      </c>
    </row>
    <row r="62" spans="1:19" customFormat="1" ht="60" x14ac:dyDescent="0.25">
      <c r="A62" s="678" t="s">
        <v>524</v>
      </c>
      <c r="B62" s="361" t="s">
        <v>115</v>
      </c>
      <c r="C62" s="679" t="s">
        <v>86</v>
      </c>
      <c r="D62" s="680" t="s">
        <v>545</v>
      </c>
      <c r="E62" s="680" t="s">
        <v>546</v>
      </c>
      <c r="F62" s="694">
        <f t="shared" si="1"/>
        <v>0</v>
      </c>
      <c r="G62" s="694">
        <f t="shared" si="0"/>
        <v>0</v>
      </c>
      <c r="H62" s="695">
        <v>73.150000000000006</v>
      </c>
      <c r="I62" s="694">
        <f t="shared" si="2"/>
        <v>0</v>
      </c>
      <c r="J62" s="696" t="str">
        <f t="shared" si="3"/>
        <v xml:space="preserve"> </v>
      </c>
      <c r="K62" s="697">
        <v>0</v>
      </c>
      <c r="L62" s="697">
        <v>0</v>
      </c>
      <c r="M62" s="790">
        <v>0.13900000000000001</v>
      </c>
      <c r="N62" s="658" t="s">
        <v>356</v>
      </c>
      <c r="O62" s="698" t="str">
        <f t="array" ref="O62">INDEX(UtilityList!Q$4:Q$251,MATCH('Table 2.4a'!$A62&amp;'Table 2.4a'!$B62&amp;'Table 2.4a'!$C62,UtilityList!$A$4:$A$251&amp;UtilityList!$B$4:$B$251&amp;UtilityList!$C$4:$C$251,0))</f>
        <v>Receives power from (Upper) Kalskag via intertie. For fuel use and cost, please refer to (Upper) Kalskag.</v>
      </c>
      <c r="P62" s="698" t="str">
        <f t="array" ref="P62">IFERROR(INDEX(UtilityList!J$4:J$251,MATCH('Table 2.4a'!$A62&amp;'Table 2.4a'!$B62&amp;'Table 2.4a'!$C62,UtilityList!$A$4:$A$251&amp;UtilityList!$B$4:$B$251&amp;UtilityList!$C$4:$C$251,0)), INDEX(UtilityList!J$4:J$251,MATCH('Table 2.4a'!$A62&amp;'Table 2.4a'!$C62,UtilityList!$A$4:$A$251&amp;UtilityList!$C$4:$C$251,0)))</f>
        <v>Lower Yukon-Kuskokwim</v>
      </c>
      <c r="Q62" s="698" t="str">
        <f t="array" ref="Q62">IFERROR(INDEX(UtilityList!K$4:K$251,MATCH('Table 2.4a'!$A62&amp;'Table 2.4a'!$B62&amp;'Table 2.4a'!$C62,UtilityList!$A$4:$A$251&amp;UtilityList!$B$4:$B$251&amp;UtilityList!$C$4:$C$251,0)), INDEX(UtilityList!K$4:K$251,MATCH('Table 2.4a'!$A62&amp;'Table 2.4a'!$C62,UtilityList!$A$4:$A$251&amp;UtilityList!$C$4:$C$251,0)))</f>
        <v>Bethel (CA)</v>
      </c>
      <c r="R62" s="698" t="str">
        <f t="array" ref="R62">IFERROR(INDEX(UtilityList!L$4:L$251,MATCH('Table 2.4a'!$A62&amp;'Table 2.4a'!$B62&amp;'Table 2.4a'!$C62,UtilityList!$A$4:$A$251&amp;UtilityList!$B$4:$B$251&amp;UtilityList!$C$4:$C$251,0)), INDEX(UtilityList!L$4:L$251,MATCH('Table 2.4a'!$A62&amp;'Table 2.4a'!$C62,UtilityList!$A$4:$A$251&amp;UtilityList!$C$4:$C$251,0)))</f>
        <v>Calista</v>
      </c>
      <c r="S62" s="698" t="str">
        <f t="array" ref="S62">IFERROR(INDEX(UtilityList!M$4:M$251,MATCH('Table 2.4a'!$A62&amp;'Table 2.4a'!$B62&amp;'Table 2.4a'!$C62,UtilityList!$A$4:$A$251&amp;UtilityList!$B$4:$B$251&amp;UtilityList!$C$4:$C$251,0)), INDEX(UtilityList!M$4:M$251,MATCH('Table 2.4a'!$A62&amp;'Table 2.4a'!$C62,UtilityList!$A$4:$A$251&amp;UtilityList!$C$4:$C$251,0)))</f>
        <v>SW</v>
      </c>
    </row>
    <row r="63" spans="1:19" customFormat="1" ht="30" x14ac:dyDescent="0.25">
      <c r="A63" s="678" t="s">
        <v>524</v>
      </c>
      <c r="B63" s="361" t="s">
        <v>87</v>
      </c>
      <c r="C63" s="679" t="s">
        <v>87</v>
      </c>
      <c r="D63" s="680" t="s">
        <v>545</v>
      </c>
      <c r="E63" s="680" t="s">
        <v>546</v>
      </c>
      <c r="F63" s="694">
        <f t="shared" si="1"/>
        <v>5609.9285119999995</v>
      </c>
      <c r="G63" s="694">
        <f t="shared" si="0"/>
        <v>17168.585000000003</v>
      </c>
      <c r="H63" s="695">
        <v>73.150000000000006</v>
      </c>
      <c r="I63" s="694">
        <f t="shared" si="2"/>
        <v>1255.8819927500001</v>
      </c>
      <c r="J63" s="696">
        <f t="shared" si="3"/>
        <v>0.32675543802823581</v>
      </c>
      <c r="K63" s="697">
        <v>1644.1759999999999</v>
      </c>
      <c r="L63" s="697">
        <v>123515</v>
      </c>
      <c r="M63" s="790">
        <v>0.13900000000000001</v>
      </c>
      <c r="N63" s="658" t="s">
        <v>356</v>
      </c>
      <c r="O63" s="698">
        <f t="array" ref="O63">INDEX(UtilityList!Q$4:Q$251,MATCH('Table 2.4a'!$A63&amp;'Table 2.4a'!$B63&amp;'Table 2.4a'!$C63,UtilityList!$A$4:$A$251&amp;UtilityList!$B$4:$B$251&amp;UtilityList!$C$4:$C$251,0))</f>
        <v>0</v>
      </c>
      <c r="P63" s="698" t="str">
        <f t="array" ref="P63">IFERROR(INDEX(UtilityList!J$4:J$251,MATCH('Table 2.4a'!$A63&amp;'Table 2.4a'!$B63&amp;'Table 2.4a'!$C63,UtilityList!$A$4:$A$251&amp;UtilityList!$B$4:$B$251&amp;UtilityList!$C$4:$C$251,0)), INDEX(UtilityList!J$4:J$251,MATCH('Table 2.4a'!$A63&amp;'Table 2.4a'!$C63,UtilityList!$A$4:$A$251&amp;UtilityList!$C$4:$C$251,0)))</f>
        <v>Lower Yukon-Kuskokwim</v>
      </c>
      <c r="Q63" s="698" t="str">
        <f t="array" ref="Q63">IFERROR(INDEX(UtilityList!K$4:K$251,MATCH('Table 2.4a'!$A63&amp;'Table 2.4a'!$B63&amp;'Table 2.4a'!$C63,UtilityList!$A$4:$A$251&amp;UtilityList!$B$4:$B$251&amp;UtilityList!$C$4:$C$251,0)), INDEX(UtilityList!K$4:K$251,MATCH('Table 2.4a'!$A63&amp;'Table 2.4a'!$C63,UtilityList!$A$4:$A$251&amp;UtilityList!$C$4:$C$251,0)))</f>
        <v>Wade Hampton (CA)</v>
      </c>
      <c r="R63" s="698" t="str">
        <f t="array" ref="R63">IFERROR(INDEX(UtilityList!L$4:L$251,MATCH('Table 2.4a'!$A63&amp;'Table 2.4a'!$B63&amp;'Table 2.4a'!$C63,UtilityList!$A$4:$A$251&amp;UtilityList!$B$4:$B$251&amp;UtilityList!$C$4:$C$251,0)), INDEX(UtilityList!L$4:L$251,MATCH('Table 2.4a'!$A63&amp;'Table 2.4a'!$C63,UtilityList!$A$4:$A$251&amp;UtilityList!$C$4:$C$251,0)))</f>
        <v>Calista</v>
      </c>
      <c r="S63" s="698" t="str">
        <f t="array" ref="S63">IFERROR(INDEX(UtilityList!M$4:M$251,MATCH('Table 2.4a'!$A63&amp;'Table 2.4a'!$B63&amp;'Table 2.4a'!$C63,UtilityList!$A$4:$A$251&amp;UtilityList!$B$4:$B$251&amp;UtilityList!$C$4:$C$251,0)), INDEX(UtilityList!M$4:M$251,MATCH('Table 2.4a'!$A63&amp;'Table 2.4a'!$C63,UtilityList!$A$4:$A$251&amp;UtilityList!$C$4:$C$251,0)))</f>
        <v>YU</v>
      </c>
    </row>
    <row r="64" spans="1:19" customFormat="1" ht="30" x14ac:dyDescent="0.25">
      <c r="A64" s="678" t="s">
        <v>524</v>
      </c>
      <c r="B64" s="361" t="s">
        <v>88</v>
      </c>
      <c r="C64" s="679" t="s">
        <v>88</v>
      </c>
      <c r="D64" s="680" t="s">
        <v>545</v>
      </c>
      <c r="E64" s="680" t="s">
        <v>546</v>
      </c>
      <c r="F64" s="694">
        <f t="shared" si="1"/>
        <v>2418.5313719999999</v>
      </c>
      <c r="G64" s="694">
        <f t="shared" si="0"/>
        <v>8092.8580000000011</v>
      </c>
      <c r="H64" s="695">
        <v>73.150000000000006</v>
      </c>
      <c r="I64" s="694">
        <f t="shared" si="2"/>
        <v>591.99256270000012</v>
      </c>
      <c r="J64" s="696">
        <f t="shared" si="3"/>
        <v>0.29884762243449714</v>
      </c>
      <c r="K64" s="697">
        <v>708.83100000000002</v>
      </c>
      <c r="L64" s="697">
        <v>58222</v>
      </c>
      <c r="M64" s="790">
        <v>0.13900000000000001</v>
      </c>
      <c r="N64" s="658" t="s">
        <v>356</v>
      </c>
      <c r="O64" s="698">
        <f t="array" ref="O64">INDEX(UtilityList!Q$4:Q$251,MATCH('Table 2.4a'!$A64&amp;'Table 2.4a'!$B64&amp;'Table 2.4a'!$C64,UtilityList!$A$4:$A$251&amp;UtilityList!$B$4:$B$251&amp;UtilityList!$C$4:$C$251,0))</f>
        <v>0</v>
      </c>
      <c r="P64" s="698" t="str">
        <f t="array" ref="P64">IFERROR(INDEX(UtilityList!J$4:J$251,MATCH('Table 2.4a'!$A64&amp;'Table 2.4a'!$B64&amp;'Table 2.4a'!$C64,UtilityList!$A$4:$A$251&amp;UtilityList!$B$4:$B$251&amp;UtilityList!$C$4:$C$251,0)), INDEX(UtilityList!J$4:J$251,MATCH('Table 2.4a'!$A64&amp;'Table 2.4a'!$C64,UtilityList!$A$4:$A$251&amp;UtilityList!$C$4:$C$251,0)))</f>
        <v>Lower Yukon-Kuskokwim</v>
      </c>
      <c r="Q64" s="698" t="str">
        <f t="array" ref="Q64">IFERROR(INDEX(UtilityList!K$4:K$251,MATCH('Table 2.4a'!$A64&amp;'Table 2.4a'!$B64&amp;'Table 2.4a'!$C64,UtilityList!$A$4:$A$251&amp;UtilityList!$B$4:$B$251&amp;UtilityList!$C$4:$C$251,0)), INDEX(UtilityList!K$4:K$251,MATCH('Table 2.4a'!$A64&amp;'Table 2.4a'!$C64,UtilityList!$A$4:$A$251&amp;UtilityList!$C$4:$C$251,0)))</f>
        <v>Bethel (CA)</v>
      </c>
      <c r="R64" s="698" t="str">
        <f t="array" ref="R64">IFERROR(INDEX(UtilityList!L$4:L$251,MATCH('Table 2.4a'!$A64&amp;'Table 2.4a'!$B64&amp;'Table 2.4a'!$C64,UtilityList!$A$4:$A$251&amp;UtilityList!$B$4:$B$251&amp;UtilityList!$C$4:$C$251,0)), INDEX(UtilityList!L$4:L$251,MATCH('Table 2.4a'!$A64&amp;'Table 2.4a'!$C64,UtilityList!$A$4:$A$251&amp;UtilityList!$C$4:$C$251,0)))</f>
        <v>Calista</v>
      </c>
      <c r="S64" s="698" t="str">
        <f t="array" ref="S64">IFERROR(INDEX(UtilityList!M$4:M$251,MATCH('Table 2.4a'!$A64&amp;'Table 2.4a'!$B64&amp;'Table 2.4a'!$C64,UtilityList!$A$4:$A$251&amp;UtilityList!$B$4:$B$251&amp;UtilityList!$C$4:$C$251,0)), INDEX(UtilityList!M$4:M$251,MATCH('Table 2.4a'!$A64&amp;'Table 2.4a'!$C64,UtilityList!$A$4:$A$251&amp;UtilityList!$C$4:$C$251,0)))</f>
        <v>SW</v>
      </c>
    </row>
    <row r="65" spans="1:19" customFormat="1" ht="45" x14ac:dyDescent="0.25">
      <c r="A65" s="678" t="s">
        <v>524</v>
      </c>
      <c r="B65" s="361" t="s">
        <v>89</v>
      </c>
      <c r="C65" s="679" t="s">
        <v>89</v>
      </c>
      <c r="D65" s="680" t="s">
        <v>545</v>
      </c>
      <c r="E65" s="680" t="s">
        <v>546</v>
      </c>
      <c r="F65" s="694">
        <f t="shared" si="1"/>
        <v>2226.886156</v>
      </c>
      <c r="G65" s="694">
        <f t="shared" si="0"/>
        <v>6693.545000000001</v>
      </c>
      <c r="H65" s="695">
        <v>73.150000000000006</v>
      </c>
      <c r="I65" s="694">
        <f t="shared" si="2"/>
        <v>489.63281675000013</v>
      </c>
      <c r="J65" s="696">
        <f t="shared" si="3"/>
        <v>0.33269159406562587</v>
      </c>
      <c r="K65" s="697">
        <v>652.66300000000001</v>
      </c>
      <c r="L65" s="697">
        <v>48155</v>
      </c>
      <c r="M65" s="790">
        <v>0.13900000000000001</v>
      </c>
      <c r="N65" s="658" t="s">
        <v>356</v>
      </c>
      <c r="O65" s="698">
        <f t="array" ref="O65">INDEX(UtilityList!Q$4:Q$251,MATCH('Table 2.4a'!$A65&amp;'Table 2.4a'!$B65&amp;'Table 2.4a'!$C65,UtilityList!$A$4:$A$251&amp;UtilityList!$B$4:$B$251&amp;UtilityList!$C$4:$C$251,0))</f>
        <v>0</v>
      </c>
      <c r="P65" s="698" t="str">
        <f t="array" ref="P65">IFERROR(INDEX(UtilityList!J$4:J$251,MATCH('Table 2.4a'!$A65&amp;'Table 2.4a'!$B65&amp;'Table 2.4a'!$C65,UtilityList!$A$4:$A$251&amp;UtilityList!$B$4:$B$251&amp;UtilityList!$C$4:$C$251,0)), INDEX(UtilityList!J$4:J$251,MATCH('Table 2.4a'!$A65&amp;'Table 2.4a'!$C65,UtilityList!$A$4:$A$251&amp;UtilityList!$C$4:$C$251,0)))</f>
        <v>Yukon-Koyukuk/Upper Tanana</v>
      </c>
      <c r="Q65" s="698" t="str">
        <f t="array" ref="Q65">IFERROR(INDEX(UtilityList!K$4:K$251,MATCH('Table 2.4a'!$A65&amp;'Table 2.4a'!$B65&amp;'Table 2.4a'!$C65,UtilityList!$A$4:$A$251&amp;UtilityList!$B$4:$B$251&amp;UtilityList!$C$4:$C$251,0)), INDEX(UtilityList!K$4:K$251,MATCH('Table 2.4a'!$A65&amp;'Table 2.4a'!$C65,UtilityList!$A$4:$A$251&amp;UtilityList!$C$4:$C$251,0)))</f>
        <v>Yukon-Koyukuk (CA)</v>
      </c>
      <c r="R65" s="698" t="str">
        <f t="array" ref="R65">IFERROR(INDEX(UtilityList!L$4:L$251,MATCH('Table 2.4a'!$A65&amp;'Table 2.4a'!$B65&amp;'Table 2.4a'!$C65,UtilityList!$A$4:$A$251&amp;UtilityList!$B$4:$B$251&amp;UtilityList!$C$4:$C$251,0)), INDEX(UtilityList!L$4:L$251,MATCH('Table 2.4a'!$A65&amp;'Table 2.4a'!$C65,UtilityList!$A$4:$A$251&amp;UtilityList!$C$4:$C$251,0)))</f>
        <v>Doyon</v>
      </c>
      <c r="S65" s="698" t="str">
        <f t="array" ref="S65">IFERROR(INDEX(UtilityList!M$4:M$251,MATCH('Table 2.4a'!$A65&amp;'Table 2.4a'!$B65&amp;'Table 2.4a'!$C65,UtilityList!$A$4:$A$251&amp;UtilityList!$B$4:$B$251&amp;UtilityList!$C$4:$C$251,0)), INDEX(UtilityList!M$4:M$251,MATCH('Table 2.4a'!$A65&amp;'Table 2.4a'!$C65,UtilityList!$A$4:$A$251&amp;UtilityList!$C$4:$C$251,0)))</f>
        <v>YU</v>
      </c>
    </row>
    <row r="66" spans="1:19" customFormat="1" ht="30" x14ac:dyDescent="0.25">
      <c r="A66" s="678" t="s">
        <v>524</v>
      </c>
      <c r="B66" s="361" t="s">
        <v>90</v>
      </c>
      <c r="C66" s="679" t="s">
        <v>90</v>
      </c>
      <c r="D66" s="680" t="s">
        <v>545</v>
      </c>
      <c r="E66" s="680" t="s">
        <v>546</v>
      </c>
      <c r="F66" s="694">
        <f t="shared" si="1"/>
        <v>9542.9067919999998</v>
      </c>
      <c r="G66" s="694">
        <f t="shared" si="0"/>
        <v>28505.981000000003</v>
      </c>
      <c r="H66" s="695">
        <v>73.150000000000006</v>
      </c>
      <c r="I66" s="694">
        <f t="shared" si="2"/>
        <v>2085.2125101500005</v>
      </c>
      <c r="J66" s="696">
        <f t="shared" si="3"/>
        <v>0.33476858039019947</v>
      </c>
      <c r="K66" s="697">
        <v>2796.866</v>
      </c>
      <c r="L66" s="697">
        <v>205079</v>
      </c>
      <c r="M66" s="790">
        <v>0.13900000000000001</v>
      </c>
      <c r="N66" s="658" t="s">
        <v>356</v>
      </c>
      <c r="O66" s="698">
        <f t="array" ref="O66">INDEX(UtilityList!Q$4:Q$251,MATCH('Table 2.4a'!$A66&amp;'Table 2.4a'!$B66&amp;'Table 2.4a'!$C66,UtilityList!$A$4:$A$251&amp;UtilityList!$B$4:$B$251&amp;UtilityList!$C$4:$C$251,0))</f>
        <v>0</v>
      </c>
      <c r="P66" s="698" t="str">
        <f t="array" ref="P66">IFERROR(INDEX(UtilityList!J$4:J$251,MATCH('Table 2.4a'!$A66&amp;'Table 2.4a'!$B66&amp;'Table 2.4a'!$C66,UtilityList!$A$4:$A$251&amp;UtilityList!$B$4:$B$251&amp;UtilityList!$C$4:$C$251,0)), INDEX(UtilityList!J$4:J$251,MATCH('Table 2.4a'!$A66&amp;'Table 2.4a'!$C66,UtilityList!$A$4:$A$251&amp;UtilityList!$C$4:$C$251,0)))</f>
        <v>Lower Yukon-Kuskokwim</v>
      </c>
      <c r="Q66" s="698" t="str">
        <f t="array" ref="Q66">IFERROR(INDEX(UtilityList!K$4:K$251,MATCH('Table 2.4a'!$A66&amp;'Table 2.4a'!$B66&amp;'Table 2.4a'!$C66,UtilityList!$A$4:$A$251&amp;UtilityList!$B$4:$B$251&amp;UtilityList!$C$4:$C$251,0)), INDEX(UtilityList!K$4:K$251,MATCH('Table 2.4a'!$A66&amp;'Table 2.4a'!$C66,UtilityList!$A$4:$A$251&amp;UtilityList!$C$4:$C$251,0)))</f>
        <v>Wade Hampton (CA)</v>
      </c>
      <c r="R66" s="698" t="str">
        <f t="array" ref="R66">IFERROR(INDEX(UtilityList!L$4:L$251,MATCH('Table 2.4a'!$A66&amp;'Table 2.4a'!$B66&amp;'Table 2.4a'!$C66,UtilityList!$A$4:$A$251&amp;UtilityList!$B$4:$B$251&amp;UtilityList!$C$4:$C$251,0)), INDEX(UtilityList!L$4:L$251,MATCH('Table 2.4a'!$A66&amp;'Table 2.4a'!$C66,UtilityList!$A$4:$A$251&amp;UtilityList!$C$4:$C$251,0)))</f>
        <v>Calista</v>
      </c>
      <c r="S66" s="698" t="str">
        <f t="array" ref="S66">IFERROR(INDEX(UtilityList!M$4:M$251,MATCH('Table 2.4a'!$A66&amp;'Table 2.4a'!$B66&amp;'Table 2.4a'!$C66,UtilityList!$A$4:$A$251&amp;UtilityList!$B$4:$B$251&amp;UtilityList!$C$4:$C$251,0)), INDEX(UtilityList!M$4:M$251,MATCH('Table 2.4a'!$A66&amp;'Table 2.4a'!$C66,UtilityList!$A$4:$A$251&amp;UtilityList!$C$4:$C$251,0)))</f>
        <v>YU</v>
      </c>
    </row>
    <row r="67" spans="1:19" customFormat="1" ht="30" x14ac:dyDescent="0.25">
      <c r="A67" s="678" t="s">
        <v>524</v>
      </c>
      <c r="B67" s="361" t="s">
        <v>91</v>
      </c>
      <c r="C67" s="679" t="s">
        <v>91</v>
      </c>
      <c r="D67" s="680" t="s">
        <v>545</v>
      </c>
      <c r="E67" s="680" t="s">
        <v>546</v>
      </c>
      <c r="F67" s="694">
        <f t="shared" si="1"/>
        <v>5003.2817359999999</v>
      </c>
      <c r="G67" s="694">
        <f t="shared" si="0"/>
        <v>15890.619000000001</v>
      </c>
      <c r="H67" s="695">
        <v>73.150000000000006</v>
      </c>
      <c r="I67" s="694">
        <f t="shared" si="2"/>
        <v>1162.39877985</v>
      </c>
      <c r="J67" s="696">
        <f t="shared" si="3"/>
        <v>0.31485757326382313</v>
      </c>
      <c r="K67" s="697">
        <v>1466.3779999999999</v>
      </c>
      <c r="L67" s="697">
        <v>114321</v>
      </c>
      <c r="M67" s="790">
        <v>0.13900000000000001</v>
      </c>
      <c r="N67" s="658" t="s">
        <v>356</v>
      </c>
      <c r="O67" s="698">
        <f t="array" ref="O67">INDEX(UtilityList!Q$4:Q$251,MATCH('Table 2.4a'!$A67&amp;'Table 2.4a'!$B67&amp;'Table 2.4a'!$C67,UtilityList!$A$4:$A$251&amp;UtilityList!$B$4:$B$251&amp;UtilityList!$C$4:$C$251,0))</f>
        <v>0</v>
      </c>
      <c r="P67" s="698" t="str">
        <f t="array" ref="P67">IFERROR(INDEX(UtilityList!J$4:J$251,MATCH('Table 2.4a'!$A67&amp;'Table 2.4a'!$B67&amp;'Table 2.4a'!$C67,UtilityList!$A$4:$A$251&amp;UtilityList!$B$4:$B$251&amp;UtilityList!$C$4:$C$251,0)), INDEX(UtilityList!J$4:J$251,MATCH('Table 2.4a'!$A67&amp;'Table 2.4a'!$C67,UtilityList!$A$4:$A$251&amp;UtilityList!$C$4:$C$251,0)))</f>
        <v>Bristol Bay</v>
      </c>
      <c r="Q67" s="698" t="str">
        <f t="array" ref="Q67">IFERROR(INDEX(UtilityList!K$4:K$251,MATCH('Table 2.4a'!$A67&amp;'Table 2.4a'!$B67&amp;'Table 2.4a'!$C67,UtilityList!$A$4:$A$251&amp;UtilityList!$B$4:$B$251&amp;UtilityList!$C$4:$C$251,0)), INDEX(UtilityList!K$4:K$251,MATCH('Table 2.4a'!$A67&amp;'Table 2.4a'!$C67,UtilityList!$A$4:$A$251&amp;UtilityList!$C$4:$C$251,0)))</f>
        <v>Dillingham (CA)</v>
      </c>
      <c r="R67" s="698" t="str">
        <f t="array" ref="R67">IFERROR(INDEX(UtilityList!L$4:L$251,MATCH('Table 2.4a'!$A67&amp;'Table 2.4a'!$B67&amp;'Table 2.4a'!$C67,UtilityList!$A$4:$A$251&amp;UtilityList!$B$4:$B$251&amp;UtilityList!$C$4:$C$251,0)), INDEX(UtilityList!L$4:L$251,MATCH('Table 2.4a'!$A67&amp;'Table 2.4a'!$C67,UtilityList!$A$4:$A$251&amp;UtilityList!$C$4:$C$251,0)))</f>
        <v>Bristol Bay</v>
      </c>
      <c r="S67" s="698" t="str">
        <f t="array" ref="S67">IFERROR(INDEX(UtilityList!M$4:M$251,MATCH('Table 2.4a'!$A67&amp;'Table 2.4a'!$B67&amp;'Table 2.4a'!$C67,UtilityList!$A$4:$A$251&amp;UtilityList!$B$4:$B$251&amp;UtilityList!$C$4:$C$251,0)), INDEX(UtilityList!M$4:M$251,MATCH('Table 2.4a'!$A67&amp;'Table 2.4a'!$C67,UtilityList!$A$4:$A$251&amp;UtilityList!$C$4:$C$251,0)))</f>
        <v>SW</v>
      </c>
    </row>
    <row r="68" spans="1:19" customFormat="1" ht="60" x14ac:dyDescent="0.25">
      <c r="A68" s="678" t="s">
        <v>524</v>
      </c>
      <c r="B68" s="361" t="s">
        <v>92</v>
      </c>
      <c r="C68" s="679" t="s">
        <v>92</v>
      </c>
      <c r="D68" s="680" t="s">
        <v>545</v>
      </c>
      <c r="E68" s="680" t="s">
        <v>546</v>
      </c>
      <c r="F68" s="694">
        <f t="shared" si="1"/>
        <v>0</v>
      </c>
      <c r="G68" s="694">
        <f t="shared" si="0"/>
        <v>0</v>
      </c>
      <c r="H68" s="695">
        <v>73.150000000000006</v>
      </c>
      <c r="I68" s="694">
        <f t="shared" si="2"/>
        <v>0</v>
      </c>
      <c r="J68" s="696" t="str">
        <f t="shared" si="3"/>
        <v xml:space="preserve"> </v>
      </c>
      <c r="K68" s="697">
        <v>0</v>
      </c>
      <c r="L68" s="697">
        <v>0</v>
      </c>
      <c r="M68" s="790">
        <v>0.13900000000000001</v>
      </c>
      <c r="N68" s="658" t="s">
        <v>356</v>
      </c>
      <c r="O68" s="698" t="str">
        <f t="array" ref="O68">INDEX(UtilityList!Q$4:Q$251,MATCH('Table 2.4a'!$A68&amp;'Table 2.4a'!$B68&amp;'Table 2.4a'!$C68,UtilityList!$A$4:$A$251&amp;UtilityList!$B$4:$B$251&amp;UtilityList!$C$4:$C$251,0))</f>
        <v>Receives power from Toksook Bay via intertie. For fuel use and cost, please refer to Toksook Bay.</v>
      </c>
      <c r="P68" s="698" t="str">
        <f t="array" ref="P68">IFERROR(INDEX(UtilityList!J$4:J$251,MATCH('Table 2.4a'!$A68&amp;'Table 2.4a'!$B68&amp;'Table 2.4a'!$C68,UtilityList!$A$4:$A$251&amp;UtilityList!$B$4:$B$251&amp;UtilityList!$C$4:$C$251,0)), INDEX(UtilityList!J$4:J$251,MATCH('Table 2.4a'!$A68&amp;'Table 2.4a'!$C68,UtilityList!$A$4:$A$251&amp;UtilityList!$C$4:$C$251,0)))</f>
        <v>Lower Yukon-Kuskokwim</v>
      </c>
      <c r="Q68" s="698" t="str">
        <f t="array" ref="Q68">IFERROR(INDEX(UtilityList!K$4:K$251,MATCH('Table 2.4a'!$A68&amp;'Table 2.4a'!$B68&amp;'Table 2.4a'!$C68,UtilityList!$A$4:$A$251&amp;UtilityList!$B$4:$B$251&amp;UtilityList!$C$4:$C$251,0)), INDEX(UtilityList!K$4:K$251,MATCH('Table 2.4a'!$A68&amp;'Table 2.4a'!$C68,UtilityList!$A$4:$A$251&amp;UtilityList!$C$4:$C$251,0)))</f>
        <v>Bethel (CA)</v>
      </c>
      <c r="R68" s="698" t="str">
        <f t="array" ref="R68">IFERROR(INDEX(UtilityList!L$4:L$251,MATCH('Table 2.4a'!$A68&amp;'Table 2.4a'!$B68&amp;'Table 2.4a'!$C68,UtilityList!$A$4:$A$251&amp;UtilityList!$B$4:$B$251&amp;UtilityList!$C$4:$C$251,0)), INDEX(UtilityList!L$4:L$251,MATCH('Table 2.4a'!$A68&amp;'Table 2.4a'!$C68,UtilityList!$A$4:$A$251&amp;UtilityList!$C$4:$C$251,0)))</f>
        <v>Calista</v>
      </c>
      <c r="S68" s="698" t="str">
        <f t="array" ref="S68">IFERROR(INDEX(UtilityList!M$4:M$251,MATCH('Table 2.4a'!$A68&amp;'Table 2.4a'!$B68&amp;'Table 2.4a'!$C68,UtilityList!$A$4:$A$251&amp;UtilityList!$B$4:$B$251&amp;UtilityList!$C$4:$C$251,0)), INDEX(UtilityList!M$4:M$251,MATCH('Table 2.4a'!$A68&amp;'Table 2.4a'!$C68,UtilityList!$A$4:$A$251&amp;UtilityList!$C$4:$C$251,0)))</f>
        <v>SW</v>
      </c>
    </row>
    <row r="69" spans="1:19" customFormat="1" ht="30" x14ac:dyDescent="0.25">
      <c r="A69" s="678" t="s">
        <v>524</v>
      </c>
      <c r="B69" s="361" t="s">
        <v>93</v>
      </c>
      <c r="C69" s="679" t="s">
        <v>93</v>
      </c>
      <c r="D69" s="680" t="s">
        <v>545</v>
      </c>
      <c r="E69" s="680" t="s">
        <v>546</v>
      </c>
      <c r="F69" s="694">
        <f t="shared" si="1"/>
        <v>6143.7836800000005</v>
      </c>
      <c r="G69" s="694">
        <f t="shared" si="0"/>
        <v>17699.287</v>
      </c>
      <c r="H69" s="695">
        <v>73.150000000000006</v>
      </c>
      <c r="I69" s="694">
        <f t="shared" si="2"/>
        <v>1294.7028440500003</v>
      </c>
      <c r="J69" s="696">
        <f t="shared" si="3"/>
        <v>0.34712040547170064</v>
      </c>
      <c r="K69" s="697">
        <v>1800.64</v>
      </c>
      <c r="L69" s="697">
        <v>127333</v>
      </c>
      <c r="M69" s="790">
        <v>0.13900000000000001</v>
      </c>
      <c r="N69" s="658" t="s">
        <v>356</v>
      </c>
      <c r="O69" s="698">
        <f t="array" ref="O69">INDEX(UtilityList!Q$4:Q$251,MATCH('Table 2.4a'!$A69&amp;'Table 2.4a'!$B69&amp;'Table 2.4a'!$C69,UtilityList!$A$4:$A$251&amp;UtilityList!$B$4:$B$251&amp;UtilityList!$C$4:$C$251,0))</f>
        <v>0</v>
      </c>
      <c r="P69" s="698" t="str">
        <f t="array" ref="P69">IFERROR(INDEX(UtilityList!J$4:J$251,MATCH('Table 2.4a'!$A69&amp;'Table 2.4a'!$B69&amp;'Table 2.4a'!$C69,UtilityList!$A$4:$A$251&amp;UtilityList!$B$4:$B$251&amp;UtilityList!$C$4:$C$251,0)), INDEX(UtilityList!J$4:J$251,MATCH('Table 2.4a'!$A69&amp;'Table 2.4a'!$C69,UtilityList!$A$4:$A$251&amp;UtilityList!$C$4:$C$251,0)))</f>
        <v>Northwest Arctic</v>
      </c>
      <c r="Q69" s="698" t="str">
        <f t="array" ref="Q69">IFERROR(INDEX(UtilityList!K$4:K$251,MATCH('Table 2.4a'!$A69&amp;'Table 2.4a'!$B69&amp;'Table 2.4a'!$C69,UtilityList!$A$4:$A$251&amp;UtilityList!$B$4:$B$251&amp;UtilityList!$C$4:$C$251,0)), INDEX(UtilityList!K$4:K$251,MATCH('Table 2.4a'!$A69&amp;'Table 2.4a'!$C69,UtilityList!$A$4:$A$251&amp;UtilityList!$C$4:$C$251,0)))</f>
        <v>Northwest Arctic</v>
      </c>
      <c r="R69" s="698" t="str">
        <f t="array" ref="R69">IFERROR(INDEX(UtilityList!L$4:L$251,MATCH('Table 2.4a'!$A69&amp;'Table 2.4a'!$B69&amp;'Table 2.4a'!$C69,UtilityList!$A$4:$A$251&amp;UtilityList!$B$4:$B$251&amp;UtilityList!$C$4:$C$251,0)), INDEX(UtilityList!L$4:L$251,MATCH('Table 2.4a'!$A69&amp;'Table 2.4a'!$C69,UtilityList!$A$4:$A$251&amp;UtilityList!$C$4:$C$251,0)))</f>
        <v>NANA</v>
      </c>
      <c r="S69" s="698" t="str">
        <f t="array" ref="S69">IFERROR(INDEX(UtilityList!M$4:M$251,MATCH('Table 2.4a'!$A69&amp;'Table 2.4a'!$B69&amp;'Table 2.4a'!$C69,UtilityList!$A$4:$A$251&amp;UtilityList!$B$4:$B$251&amp;UtilityList!$C$4:$C$251,0)), INDEX(UtilityList!M$4:M$251,MATCH('Table 2.4a'!$A69&amp;'Table 2.4a'!$C69,UtilityList!$A$4:$A$251&amp;UtilityList!$C$4:$C$251,0)))</f>
        <v>AN</v>
      </c>
    </row>
    <row r="70" spans="1:19" customFormat="1" ht="30" x14ac:dyDescent="0.25">
      <c r="A70" s="678" t="s">
        <v>524</v>
      </c>
      <c r="B70" s="361" t="s">
        <v>94</v>
      </c>
      <c r="C70" s="679" t="s">
        <v>94</v>
      </c>
      <c r="D70" s="680" t="s">
        <v>545</v>
      </c>
      <c r="E70" s="680" t="s">
        <v>546</v>
      </c>
      <c r="F70" s="694">
        <f t="shared" si="1"/>
        <v>6829.0292879999997</v>
      </c>
      <c r="G70" s="694">
        <f t="shared" si="0"/>
        <v>21316.762000000002</v>
      </c>
      <c r="H70" s="695">
        <v>73.150000000000006</v>
      </c>
      <c r="I70" s="694">
        <f t="shared" si="2"/>
        <v>1559.3211403000003</v>
      </c>
      <c r="J70" s="696">
        <f t="shared" si="3"/>
        <v>0.3203595972033651</v>
      </c>
      <c r="K70" s="697">
        <v>2001.4739999999999</v>
      </c>
      <c r="L70" s="697">
        <v>153358</v>
      </c>
      <c r="M70" s="790">
        <v>0.13900000000000001</v>
      </c>
      <c r="N70" s="658" t="s">
        <v>356</v>
      </c>
      <c r="O70" s="698">
        <f t="array" ref="O70">INDEX(UtilityList!Q$4:Q$251,MATCH('Table 2.4a'!$A70&amp;'Table 2.4a'!$B70&amp;'Table 2.4a'!$C70,UtilityList!$A$4:$A$251&amp;UtilityList!$B$4:$B$251&amp;UtilityList!$C$4:$C$251,0))</f>
        <v>0</v>
      </c>
      <c r="P70" s="698" t="str">
        <f t="array" ref="P70">IFERROR(INDEX(UtilityList!J$4:J$251,MATCH('Table 2.4a'!$A70&amp;'Table 2.4a'!$B70&amp;'Table 2.4a'!$C70,UtilityList!$A$4:$A$251&amp;UtilityList!$B$4:$B$251&amp;UtilityList!$C$4:$C$251,0)), INDEX(UtilityList!J$4:J$251,MATCH('Table 2.4a'!$A70&amp;'Table 2.4a'!$C70,UtilityList!$A$4:$A$251&amp;UtilityList!$C$4:$C$251,0)))</f>
        <v>Northwest Arctic</v>
      </c>
      <c r="Q70" s="698" t="str">
        <f t="array" ref="Q70">IFERROR(INDEX(UtilityList!K$4:K$251,MATCH('Table 2.4a'!$A70&amp;'Table 2.4a'!$B70&amp;'Table 2.4a'!$C70,UtilityList!$A$4:$A$251&amp;UtilityList!$B$4:$B$251&amp;UtilityList!$C$4:$C$251,0)), INDEX(UtilityList!K$4:K$251,MATCH('Table 2.4a'!$A70&amp;'Table 2.4a'!$C70,UtilityList!$A$4:$A$251&amp;UtilityList!$C$4:$C$251,0)))</f>
        <v>Northwest Arctic</v>
      </c>
      <c r="R70" s="698" t="str">
        <f t="array" ref="R70">IFERROR(INDEX(UtilityList!L$4:L$251,MATCH('Table 2.4a'!$A70&amp;'Table 2.4a'!$B70&amp;'Table 2.4a'!$C70,UtilityList!$A$4:$A$251&amp;UtilityList!$B$4:$B$251&amp;UtilityList!$C$4:$C$251,0)), INDEX(UtilityList!L$4:L$251,MATCH('Table 2.4a'!$A70&amp;'Table 2.4a'!$C70,UtilityList!$A$4:$A$251&amp;UtilityList!$C$4:$C$251,0)))</f>
        <v>NANA</v>
      </c>
      <c r="S70" s="698" t="str">
        <f t="array" ref="S70">IFERROR(INDEX(UtilityList!M$4:M$251,MATCH('Table 2.4a'!$A70&amp;'Table 2.4a'!$B70&amp;'Table 2.4a'!$C70,UtilityList!$A$4:$A$251&amp;UtilityList!$B$4:$B$251&amp;UtilityList!$C$4:$C$251,0)), INDEX(UtilityList!M$4:M$251,MATCH('Table 2.4a'!$A70&amp;'Table 2.4a'!$C70,UtilityList!$A$4:$A$251&amp;UtilityList!$C$4:$C$251,0)))</f>
        <v>AN</v>
      </c>
    </row>
    <row r="71" spans="1:19" customFormat="1" ht="45" x14ac:dyDescent="0.25">
      <c r="A71" s="678" t="s">
        <v>524</v>
      </c>
      <c r="B71" s="361" t="s">
        <v>95</v>
      </c>
      <c r="C71" s="679" t="s">
        <v>95</v>
      </c>
      <c r="D71" s="680" t="s">
        <v>545</v>
      </c>
      <c r="E71" s="680" t="s">
        <v>546</v>
      </c>
      <c r="F71" s="694">
        <f t="shared" si="1"/>
        <v>3788.0501679999998</v>
      </c>
      <c r="G71" s="694">
        <f t="shared" si="0"/>
        <v>11644.169000000002</v>
      </c>
      <c r="H71" s="695">
        <v>73.150000000000006</v>
      </c>
      <c r="I71" s="694">
        <f t="shared" si="2"/>
        <v>851.77096235000022</v>
      </c>
      <c r="J71" s="696">
        <f t="shared" si="3"/>
        <v>0.32531734707732252</v>
      </c>
      <c r="K71" s="697">
        <v>1110.2139999999999</v>
      </c>
      <c r="L71" s="697">
        <v>83771</v>
      </c>
      <c r="M71" s="790">
        <v>0.13900000000000001</v>
      </c>
      <c r="N71" s="658" t="s">
        <v>356</v>
      </c>
      <c r="O71" s="698">
        <f t="array" ref="O71">INDEX(UtilityList!Q$4:Q$251,MATCH('Table 2.4a'!$A71&amp;'Table 2.4a'!$B71&amp;'Table 2.4a'!$C71,UtilityList!$A$4:$A$251&amp;UtilityList!$B$4:$B$251&amp;UtilityList!$C$4:$C$251,0))</f>
        <v>0</v>
      </c>
      <c r="P71" s="698" t="str">
        <f t="array" ref="P71">IFERROR(INDEX(UtilityList!J$4:J$251,MATCH('Table 2.4a'!$A71&amp;'Table 2.4a'!$B71&amp;'Table 2.4a'!$C71,UtilityList!$A$4:$A$251&amp;UtilityList!$B$4:$B$251&amp;UtilityList!$C$4:$C$251,0)), INDEX(UtilityList!J$4:J$251,MATCH('Table 2.4a'!$A71&amp;'Table 2.4a'!$C71,UtilityList!$A$4:$A$251&amp;UtilityList!$C$4:$C$251,0)))</f>
        <v>Yukon-Koyukuk/Upper Tanana</v>
      </c>
      <c r="Q71" s="698" t="str">
        <f t="array" ref="Q71">IFERROR(INDEX(UtilityList!K$4:K$251,MATCH('Table 2.4a'!$A71&amp;'Table 2.4a'!$B71&amp;'Table 2.4a'!$C71,UtilityList!$A$4:$A$251&amp;UtilityList!$B$4:$B$251&amp;UtilityList!$C$4:$C$251,0)), INDEX(UtilityList!K$4:K$251,MATCH('Table 2.4a'!$A71&amp;'Table 2.4a'!$C71,UtilityList!$A$4:$A$251&amp;UtilityList!$C$4:$C$251,0)))</f>
        <v>Yukon-Koyukuk (CA)</v>
      </c>
      <c r="R71" s="698" t="str">
        <f t="array" ref="R71">IFERROR(INDEX(UtilityList!L$4:L$251,MATCH('Table 2.4a'!$A71&amp;'Table 2.4a'!$B71&amp;'Table 2.4a'!$C71,UtilityList!$A$4:$A$251&amp;UtilityList!$B$4:$B$251&amp;UtilityList!$C$4:$C$251,0)), INDEX(UtilityList!L$4:L$251,MATCH('Table 2.4a'!$A71&amp;'Table 2.4a'!$C71,UtilityList!$A$4:$A$251&amp;UtilityList!$C$4:$C$251,0)))</f>
        <v>Doyon</v>
      </c>
      <c r="S71" s="698" t="str">
        <f t="array" ref="S71">IFERROR(INDEX(UtilityList!M$4:M$251,MATCH('Table 2.4a'!$A71&amp;'Table 2.4a'!$B71&amp;'Table 2.4a'!$C71,UtilityList!$A$4:$A$251&amp;UtilityList!$B$4:$B$251&amp;UtilityList!$C$4:$C$251,0)), INDEX(UtilityList!M$4:M$251,MATCH('Table 2.4a'!$A71&amp;'Table 2.4a'!$C71,UtilityList!$A$4:$A$251&amp;UtilityList!$C$4:$C$251,0)))</f>
        <v>YU</v>
      </c>
    </row>
    <row r="72" spans="1:19" customFormat="1" ht="60" x14ac:dyDescent="0.25">
      <c r="A72" s="678" t="s">
        <v>524</v>
      </c>
      <c r="B72" s="361" t="s">
        <v>96</v>
      </c>
      <c r="C72" s="679" t="s">
        <v>96</v>
      </c>
      <c r="D72" s="680" t="s">
        <v>545</v>
      </c>
      <c r="E72" s="680" t="s">
        <v>546</v>
      </c>
      <c r="F72" s="694">
        <f t="shared" si="1"/>
        <v>0</v>
      </c>
      <c r="G72" s="694">
        <f t="shared" si="0"/>
        <v>0</v>
      </c>
      <c r="H72" s="695">
        <v>73.150000000000006</v>
      </c>
      <c r="I72" s="694">
        <f t="shared" si="2"/>
        <v>0</v>
      </c>
      <c r="J72" s="696" t="str">
        <f t="shared" si="3"/>
        <v xml:space="preserve"> </v>
      </c>
      <c r="K72" s="697">
        <v>0</v>
      </c>
      <c r="L72" s="697">
        <v>0</v>
      </c>
      <c r="M72" s="790">
        <v>0.13900000000000001</v>
      </c>
      <c r="N72" s="658" t="s">
        <v>356</v>
      </c>
      <c r="O72" s="698" t="str">
        <f t="array" ref="O72">INDEX(UtilityList!Q$4:Q$251,MATCH('Table 2.4a'!$A72&amp;'Table 2.4a'!$B72&amp;'Table 2.4a'!$C72,UtilityList!$A$4:$A$251&amp;UtilityList!$B$4:$B$251&amp;UtilityList!$C$4:$C$251,0))</f>
        <v>Receives power from Kasigluk. Please refer to Kasigluk for fuel use and cost.</v>
      </c>
      <c r="P72" s="698" t="str">
        <f t="array" ref="P72">IFERROR(INDEX(UtilityList!J$4:J$251,MATCH('Table 2.4a'!$A72&amp;'Table 2.4a'!$B72&amp;'Table 2.4a'!$C72,UtilityList!$A$4:$A$251&amp;UtilityList!$B$4:$B$251&amp;UtilityList!$C$4:$C$251,0)), INDEX(UtilityList!J$4:J$251,MATCH('Table 2.4a'!$A72&amp;'Table 2.4a'!$C72,UtilityList!$A$4:$A$251&amp;UtilityList!$C$4:$C$251,0)))</f>
        <v>Lower Yukon-Kuskokwim</v>
      </c>
      <c r="Q72" s="698" t="str">
        <f t="array" ref="Q72">IFERROR(INDEX(UtilityList!K$4:K$251,MATCH('Table 2.4a'!$A72&amp;'Table 2.4a'!$B72&amp;'Table 2.4a'!$C72,UtilityList!$A$4:$A$251&amp;UtilityList!$B$4:$B$251&amp;UtilityList!$C$4:$C$251,0)), INDEX(UtilityList!K$4:K$251,MATCH('Table 2.4a'!$A72&amp;'Table 2.4a'!$C72,UtilityList!$A$4:$A$251&amp;UtilityList!$C$4:$C$251,0)))</f>
        <v>Bethel (CA)</v>
      </c>
      <c r="R72" s="698" t="str">
        <f t="array" ref="R72">IFERROR(INDEX(UtilityList!L$4:L$251,MATCH('Table 2.4a'!$A72&amp;'Table 2.4a'!$B72&amp;'Table 2.4a'!$C72,UtilityList!$A$4:$A$251&amp;UtilityList!$B$4:$B$251&amp;UtilityList!$C$4:$C$251,0)), INDEX(UtilityList!L$4:L$251,MATCH('Table 2.4a'!$A72&amp;'Table 2.4a'!$C72,UtilityList!$A$4:$A$251&amp;UtilityList!$C$4:$C$251,0)))</f>
        <v>Calista</v>
      </c>
      <c r="S72" s="698" t="str">
        <f t="array" ref="S72">IFERROR(INDEX(UtilityList!M$4:M$251,MATCH('Table 2.4a'!$A72&amp;'Table 2.4a'!$B72&amp;'Table 2.4a'!$C72,UtilityList!$A$4:$A$251&amp;UtilityList!$B$4:$B$251&amp;UtilityList!$C$4:$C$251,0)), INDEX(UtilityList!M$4:M$251,MATCH('Table 2.4a'!$A72&amp;'Table 2.4a'!$C72,UtilityList!$A$4:$A$251&amp;UtilityList!$C$4:$C$251,0)))</f>
        <v>SW</v>
      </c>
    </row>
    <row r="73" spans="1:19" customFormat="1" ht="30" x14ac:dyDescent="0.25">
      <c r="A73" s="678" t="s">
        <v>524</v>
      </c>
      <c r="B73" s="361" t="s">
        <v>97</v>
      </c>
      <c r="C73" s="679" t="s">
        <v>97</v>
      </c>
      <c r="D73" s="680" t="s">
        <v>545</v>
      </c>
      <c r="E73" s="680" t="s">
        <v>546</v>
      </c>
      <c r="F73" s="694">
        <f t="shared" si="1"/>
        <v>2688.720828</v>
      </c>
      <c r="G73" s="694">
        <f t="shared" ref="G73:G136" si="4">L73*M73</f>
        <v>7838.2100000000009</v>
      </c>
      <c r="H73" s="695">
        <v>73.150000000000006</v>
      </c>
      <c r="I73" s="694">
        <f t="shared" si="2"/>
        <v>573.36506150000002</v>
      </c>
      <c r="J73" s="696">
        <f t="shared" si="3"/>
        <v>0.34302740396085324</v>
      </c>
      <c r="K73" s="697">
        <v>788.01900000000001</v>
      </c>
      <c r="L73" s="697">
        <v>56390</v>
      </c>
      <c r="M73" s="790">
        <v>0.13900000000000001</v>
      </c>
      <c r="N73" s="658" t="s">
        <v>356</v>
      </c>
      <c r="O73" s="698">
        <f t="array" ref="O73">INDEX(UtilityList!Q$4:Q$251,MATCH('Table 2.4a'!$A73&amp;'Table 2.4a'!$B73&amp;'Table 2.4a'!$C73,UtilityList!$A$4:$A$251&amp;UtilityList!$B$4:$B$251&amp;UtilityList!$C$4:$C$251,0))</f>
        <v>0</v>
      </c>
      <c r="P73" s="698" t="str">
        <f t="array" ref="P73">IFERROR(INDEX(UtilityList!J$4:J$251,MATCH('Table 2.4a'!$A73&amp;'Table 2.4a'!$B73&amp;'Table 2.4a'!$C73,UtilityList!$A$4:$A$251&amp;UtilityList!$B$4:$B$251&amp;UtilityList!$C$4:$C$251,0)), INDEX(UtilityList!J$4:J$251,MATCH('Table 2.4a'!$A73&amp;'Table 2.4a'!$C73,UtilityList!$A$4:$A$251&amp;UtilityList!$C$4:$C$251,0)))</f>
        <v>Kodiak</v>
      </c>
      <c r="Q73" s="698" t="str">
        <f t="array" ref="Q73">IFERROR(INDEX(UtilityList!K$4:K$251,MATCH('Table 2.4a'!$A73&amp;'Table 2.4a'!$B73&amp;'Table 2.4a'!$C73,UtilityList!$A$4:$A$251&amp;UtilityList!$B$4:$B$251&amp;UtilityList!$C$4:$C$251,0)), INDEX(UtilityList!K$4:K$251,MATCH('Table 2.4a'!$A73&amp;'Table 2.4a'!$C73,UtilityList!$A$4:$A$251&amp;UtilityList!$C$4:$C$251,0)))</f>
        <v>Kodiak Island</v>
      </c>
      <c r="R73" s="698" t="str">
        <f t="array" ref="R73">IFERROR(INDEX(UtilityList!L$4:L$251,MATCH('Table 2.4a'!$A73&amp;'Table 2.4a'!$B73&amp;'Table 2.4a'!$C73,UtilityList!$A$4:$A$251&amp;UtilityList!$B$4:$B$251&amp;UtilityList!$C$4:$C$251,0)), INDEX(UtilityList!L$4:L$251,MATCH('Table 2.4a'!$A73&amp;'Table 2.4a'!$C73,UtilityList!$A$4:$A$251&amp;UtilityList!$C$4:$C$251,0)))</f>
        <v>Koniag</v>
      </c>
      <c r="S73" s="698" t="str">
        <f t="array" ref="S73">IFERROR(INDEX(UtilityList!M$4:M$251,MATCH('Table 2.4a'!$A73&amp;'Table 2.4a'!$B73&amp;'Table 2.4a'!$C73,UtilityList!$A$4:$A$251&amp;UtilityList!$B$4:$B$251&amp;UtilityList!$C$4:$C$251,0)), INDEX(UtilityList!M$4:M$251,MATCH('Table 2.4a'!$A73&amp;'Table 2.4a'!$C73,UtilityList!$A$4:$A$251&amp;UtilityList!$C$4:$C$251,0)))</f>
        <v>SC</v>
      </c>
    </row>
    <row r="74" spans="1:19" customFormat="1" ht="30" x14ac:dyDescent="0.25">
      <c r="A74" s="678" t="s">
        <v>524</v>
      </c>
      <c r="B74" s="361" t="s">
        <v>98</v>
      </c>
      <c r="C74" s="679" t="s">
        <v>98</v>
      </c>
      <c r="D74" s="680" t="s">
        <v>545</v>
      </c>
      <c r="E74" s="680" t="s">
        <v>546</v>
      </c>
      <c r="F74" s="694">
        <f t="shared" ref="F74:F137" si="5">K74*3.412</f>
        <v>5973.289452</v>
      </c>
      <c r="G74" s="694">
        <f t="shared" si="4"/>
        <v>18560.809000000001</v>
      </c>
      <c r="H74" s="695">
        <v>73.150000000000006</v>
      </c>
      <c r="I74" s="694">
        <f t="shared" ref="I74:I137" si="6">(G74*H74)/1000</f>
        <v>1357.7231783500001</v>
      </c>
      <c r="J74" s="696">
        <f t="shared" ref="J74:J137" si="7">IF(F74&gt;0,IFERROR(F74/G74," ")," ")</f>
        <v>0.32182268843992734</v>
      </c>
      <c r="K74" s="697">
        <v>1750.671</v>
      </c>
      <c r="L74" s="697">
        <v>133531</v>
      </c>
      <c r="M74" s="790">
        <v>0.13900000000000001</v>
      </c>
      <c r="N74" s="658" t="s">
        <v>356</v>
      </c>
      <c r="O74" s="698">
        <f t="array" ref="O74">INDEX(UtilityList!Q$4:Q$251,MATCH('Table 2.4a'!$A74&amp;'Table 2.4a'!$B74&amp;'Table 2.4a'!$C74,UtilityList!$A$4:$A$251&amp;UtilityList!$B$4:$B$251&amp;UtilityList!$C$4:$C$251,0))</f>
        <v>0</v>
      </c>
      <c r="P74" s="698" t="str">
        <f t="array" ref="P74">IFERROR(INDEX(UtilityList!J$4:J$251,MATCH('Table 2.4a'!$A74&amp;'Table 2.4a'!$B74&amp;'Table 2.4a'!$C74,UtilityList!$A$4:$A$251&amp;UtilityList!$B$4:$B$251&amp;UtilityList!$C$4:$C$251,0)), INDEX(UtilityList!J$4:J$251,MATCH('Table 2.4a'!$A74&amp;'Table 2.4a'!$C74,UtilityList!$A$4:$A$251&amp;UtilityList!$C$4:$C$251,0)))</f>
        <v>Lower Yukon-Kuskokwim</v>
      </c>
      <c r="Q74" s="698" t="str">
        <f t="array" ref="Q74">IFERROR(INDEX(UtilityList!K$4:K$251,MATCH('Table 2.4a'!$A74&amp;'Table 2.4a'!$B74&amp;'Table 2.4a'!$C74,UtilityList!$A$4:$A$251&amp;UtilityList!$B$4:$B$251&amp;UtilityList!$C$4:$C$251,0)), INDEX(UtilityList!K$4:K$251,MATCH('Table 2.4a'!$A74&amp;'Table 2.4a'!$C74,UtilityList!$A$4:$A$251&amp;UtilityList!$C$4:$C$251,0)))</f>
        <v>Wade Hampton (CA)</v>
      </c>
      <c r="R74" s="698" t="str">
        <f t="array" ref="R74">IFERROR(INDEX(UtilityList!L$4:L$251,MATCH('Table 2.4a'!$A74&amp;'Table 2.4a'!$B74&amp;'Table 2.4a'!$C74,UtilityList!$A$4:$A$251&amp;UtilityList!$B$4:$B$251&amp;UtilityList!$C$4:$C$251,0)), INDEX(UtilityList!L$4:L$251,MATCH('Table 2.4a'!$A74&amp;'Table 2.4a'!$C74,UtilityList!$A$4:$A$251&amp;UtilityList!$C$4:$C$251,0)))</f>
        <v>Calista</v>
      </c>
      <c r="S74" s="698" t="str">
        <f t="array" ref="S74">IFERROR(INDEX(UtilityList!M$4:M$251,MATCH('Table 2.4a'!$A74&amp;'Table 2.4a'!$B74&amp;'Table 2.4a'!$C74,UtilityList!$A$4:$A$251&amp;UtilityList!$B$4:$B$251&amp;UtilityList!$C$4:$C$251,0)), INDEX(UtilityList!M$4:M$251,MATCH('Table 2.4a'!$A74&amp;'Table 2.4a'!$C74,UtilityList!$A$4:$A$251&amp;UtilityList!$C$4:$C$251,0)))</f>
        <v>YU</v>
      </c>
    </row>
    <row r="75" spans="1:19" customFormat="1" ht="60" x14ac:dyDescent="0.25">
      <c r="A75" s="678" t="s">
        <v>524</v>
      </c>
      <c r="B75" s="361" t="s">
        <v>538</v>
      </c>
      <c r="C75" s="679" t="s">
        <v>99</v>
      </c>
      <c r="D75" s="680" t="s">
        <v>545</v>
      </c>
      <c r="E75" s="680" t="s">
        <v>546</v>
      </c>
      <c r="F75" s="694">
        <f t="shared" si="5"/>
        <v>0</v>
      </c>
      <c r="G75" s="694">
        <f t="shared" si="4"/>
        <v>0</v>
      </c>
      <c r="H75" s="695">
        <v>73.150000000000006</v>
      </c>
      <c r="I75" s="694">
        <f t="shared" si="6"/>
        <v>0</v>
      </c>
      <c r="J75" s="696" t="str">
        <f t="shared" si="7"/>
        <v xml:space="preserve"> </v>
      </c>
      <c r="K75" s="697">
        <v>0</v>
      </c>
      <c r="L75" s="697">
        <v>0</v>
      </c>
      <c r="M75" s="790">
        <v>0.13900000000000001</v>
      </c>
      <c r="N75" s="658" t="s">
        <v>356</v>
      </c>
      <c r="O75" s="698" t="str">
        <f t="array" ref="O75">INDEX(UtilityList!Q$4:Q$251,MATCH('Table 2.4a'!$A75&amp;'Table 2.4a'!$B75&amp;'Table 2.4a'!$C75,UtilityList!$A$4:$A$251&amp;UtilityList!$B$4:$B$251&amp;UtilityList!$C$4:$C$251,0))</f>
        <v>Receives power from Saint Mary's via intertie. For fuel use and cost, please refer to Saint Mary's.</v>
      </c>
      <c r="P75" s="698" t="str">
        <f t="array" ref="P75">IFERROR(INDEX(UtilityList!J$4:J$251,MATCH('Table 2.4a'!$A75&amp;'Table 2.4a'!$B75&amp;'Table 2.4a'!$C75,UtilityList!$A$4:$A$251&amp;UtilityList!$B$4:$B$251&amp;UtilityList!$C$4:$C$251,0)), INDEX(UtilityList!J$4:J$251,MATCH('Table 2.4a'!$A75&amp;'Table 2.4a'!$C75,UtilityList!$A$4:$A$251&amp;UtilityList!$C$4:$C$251,0)))</f>
        <v>Lower Yukon-Kuskokwim</v>
      </c>
      <c r="Q75" s="698" t="str">
        <f t="array" ref="Q75">IFERROR(INDEX(UtilityList!K$4:K$251,MATCH('Table 2.4a'!$A75&amp;'Table 2.4a'!$B75&amp;'Table 2.4a'!$C75,UtilityList!$A$4:$A$251&amp;UtilityList!$B$4:$B$251&amp;UtilityList!$C$4:$C$251,0)), INDEX(UtilityList!K$4:K$251,MATCH('Table 2.4a'!$A75&amp;'Table 2.4a'!$C75,UtilityList!$A$4:$A$251&amp;UtilityList!$C$4:$C$251,0)))</f>
        <v>Wade Hampton (CA)</v>
      </c>
      <c r="R75" s="698" t="str">
        <f t="array" ref="R75">IFERROR(INDEX(UtilityList!L$4:L$251,MATCH('Table 2.4a'!$A75&amp;'Table 2.4a'!$B75&amp;'Table 2.4a'!$C75,UtilityList!$A$4:$A$251&amp;UtilityList!$B$4:$B$251&amp;UtilityList!$C$4:$C$251,0)), INDEX(UtilityList!L$4:L$251,MATCH('Table 2.4a'!$A75&amp;'Table 2.4a'!$C75,UtilityList!$A$4:$A$251&amp;UtilityList!$C$4:$C$251,0)))</f>
        <v>Calista</v>
      </c>
      <c r="S75" s="698" t="str">
        <f t="array" ref="S75">IFERROR(INDEX(UtilityList!M$4:M$251,MATCH('Table 2.4a'!$A75&amp;'Table 2.4a'!$B75&amp;'Table 2.4a'!$C75,UtilityList!$A$4:$A$251&amp;UtilityList!$B$4:$B$251&amp;UtilityList!$C$4:$C$251,0)), INDEX(UtilityList!M$4:M$251,MATCH('Table 2.4a'!$A75&amp;'Table 2.4a'!$C75,UtilityList!$A$4:$A$251&amp;UtilityList!$C$4:$C$251,0)))</f>
        <v>YU</v>
      </c>
    </row>
    <row r="76" spans="1:19" customFormat="1" ht="30" x14ac:dyDescent="0.25">
      <c r="A76" s="678" t="s">
        <v>524</v>
      </c>
      <c r="B76" s="361" t="s">
        <v>100</v>
      </c>
      <c r="C76" s="679" t="s">
        <v>100</v>
      </c>
      <c r="D76" s="680" t="s">
        <v>545</v>
      </c>
      <c r="E76" s="680" t="s">
        <v>546</v>
      </c>
      <c r="F76" s="694">
        <f t="shared" si="5"/>
        <v>4828.5429800000002</v>
      </c>
      <c r="G76" s="694">
        <f t="shared" si="4"/>
        <v>15767.048000000001</v>
      </c>
      <c r="H76" s="695">
        <v>73.150000000000006</v>
      </c>
      <c r="I76" s="694">
        <f t="shared" si="6"/>
        <v>1153.3595612000001</v>
      </c>
      <c r="J76" s="696">
        <f t="shared" si="7"/>
        <v>0.30624267649847964</v>
      </c>
      <c r="K76" s="697">
        <v>1415.165</v>
      </c>
      <c r="L76" s="697">
        <v>113432</v>
      </c>
      <c r="M76" s="790">
        <v>0.13900000000000001</v>
      </c>
      <c r="N76" s="658" t="s">
        <v>356</v>
      </c>
      <c r="O76" s="698">
        <f t="array" ref="O76">INDEX(UtilityList!Q$4:Q$251,MATCH('Table 2.4a'!$A76&amp;'Table 2.4a'!$B76&amp;'Table 2.4a'!$C76,UtilityList!$A$4:$A$251&amp;UtilityList!$B$4:$B$251&amp;UtilityList!$C$4:$C$251,0))</f>
        <v>0</v>
      </c>
      <c r="P76" s="698" t="str">
        <f t="array" ref="P76">IFERROR(INDEX(UtilityList!J$4:J$251,MATCH('Table 2.4a'!$A76&amp;'Table 2.4a'!$B76&amp;'Table 2.4a'!$C76,UtilityList!$A$4:$A$251&amp;UtilityList!$B$4:$B$251&amp;UtilityList!$C$4:$C$251,0)), INDEX(UtilityList!J$4:J$251,MATCH('Table 2.4a'!$A76&amp;'Table 2.4a'!$C76,UtilityList!$A$4:$A$251&amp;UtilityList!$C$4:$C$251,0)))</f>
        <v>Lower Yukon-Kuskokwim</v>
      </c>
      <c r="Q76" s="698" t="str">
        <f t="array" ref="Q76">IFERROR(INDEX(UtilityList!K$4:K$251,MATCH('Table 2.4a'!$A76&amp;'Table 2.4a'!$B76&amp;'Table 2.4a'!$C76,UtilityList!$A$4:$A$251&amp;UtilityList!$B$4:$B$251&amp;UtilityList!$C$4:$C$251,0)), INDEX(UtilityList!K$4:K$251,MATCH('Table 2.4a'!$A76&amp;'Table 2.4a'!$C76,UtilityList!$A$4:$A$251&amp;UtilityList!$C$4:$C$251,0)))</f>
        <v>Bethel (CA)</v>
      </c>
      <c r="R76" s="698" t="str">
        <f t="array" ref="R76">IFERROR(INDEX(UtilityList!L$4:L$251,MATCH('Table 2.4a'!$A76&amp;'Table 2.4a'!$B76&amp;'Table 2.4a'!$C76,UtilityList!$A$4:$A$251&amp;UtilityList!$B$4:$B$251&amp;UtilityList!$C$4:$C$251,0)), INDEX(UtilityList!L$4:L$251,MATCH('Table 2.4a'!$A76&amp;'Table 2.4a'!$C76,UtilityList!$A$4:$A$251&amp;UtilityList!$C$4:$C$251,0)))</f>
        <v>Calista</v>
      </c>
      <c r="S76" s="698" t="str">
        <f t="array" ref="S76">IFERROR(INDEX(UtilityList!M$4:M$251,MATCH('Table 2.4a'!$A76&amp;'Table 2.4a'!$B76&amp;'Table 2.4a'!$C76,UtilityList!$A$4:$A$251&amp;UtilityList!$B$4:$B$251&amp;UtilityList!$C$4:$C$251,0)), INDEX(UtilityList!M$4:M$251,MATCH('Table 2.4a'!$A76&amp;'Table 2.4a'!$C76,UtilityList!$A$4:$A$251&amp;UtilityList!$C$4:$C$251,0)))</f>
        <v>SW</v>
      </c>
    </row>
    <row r="77" spans="1:19" customFormat="1" ht="30" x14ac:dyDescent="0.25">
      <c r="A77" s="678" t="s">
        <v>524</v>
      </c>
      <c r="B77" s="361" t="s">
        <v>101</v>
      </c>
      <c r="C77" s="679" t="s">
        <v>101</v>
      </c>
      <c r="D77" s="680" t="s">
        <v>545</v>
      </c>
      <c r="E77" s="680" t="s">
        <v>546</v>
      </c>
      <c r="F77" s="694">
        <f t="shared" si="5"/>
        <v>3834.3578320000001</v>
      </c>
      <c r="G77" s="694">
        <f t="shared" si="4"/>
        <v>11148.078000000001</v>
      </c>
      <c r="H77" s="695">
        <v>73.150000000000006</v>
      </c>
      <c r="I77" s="694">
        <f t="shared" si="6"/>
        <v>815.48190570000008</v>
      </c>
      <c r="J77" s="696">
        <f t="shared" si="7"/>
        <v>0.34394788339299381</v>
      </c>
      <c r="K77" s="697">
        <v>1123.7860000000001</v>
      </c>
      <c r="L77" s="697">
        <v>80202</v>
      </c>
      <c r="M77" s="790">
        <v>0.13900000000000001</v>
      </c>
      <c r="N77" s="658" t="s">
        <v>356</v>
      </c>
      <c r="O77" s="698">
        <f t="array" ref="O77">INDEX(UtilityList!Q$4:Q$251,MATCH('Table 2.4a'!$A77&amp;'Table 2.4a'!$B77&amp;'Table 2.4a'!$C77,UtilityList!$A$4:$A$251&amp;UtilityList!$B$4:$B$251&amp;UtilityList!$C$4:$C$251,0))</f>
        <v>0</v>
      </c>
      <c r="P77" s="698" t="str">
        <f t="array" ref="P77">IFERROR(INDEX(UtilityList!J$4:J$251,MATCH('Table 2.4a'!$A77&amp;'Table 2.4a'!$B77&amp;'Table 2.4a'!$C77,UtilityList!$A$4:$A$251&amp;UtilityList!$B$4:$B$251&amp;UtilityList!$C$4:$C$251,0)), INDEX(UtilityList!J$4:J$251,MATCH('Table 2.4a'!$A77&amp;'Table 2.4a'!$C77,UtilityList!$A$4:$A$251&amp;UtilityList!$C$4:$C$251,0)))</f>
        <v>Lower Yukon-Kuskokwim</v>
      </c>
      <c r="Q77" s="698" t="str">
        <f t="array" ref="Q77">IFERROR(INDEX(UtilityList!K$4:K$251,MATCH('Table 2.4a'!$A77&amp;'Table 2.4a'!$B77&amp;'Table 2.4a'!$C77,UtilityList!$A$4:$A$251&amp;UtilityList!$B$4:$B$251&amp;UtilityList!$C$4:$C$251,0)), INDEX(UtilityList!K$4:K$251,MATCH('Table 2.4a'!$A77&amp;'Table 2.4a'!$C77,UtilityList!$A$4:$A$251&amp;UtilityList!$C$4:$C$251,0)))</f>
        <v>Wade Hampton (CA)</v>
      </c>
      <c r="R77" s="698" t="str">
        <f t="array" ref="R77">IFERROR(INDEX(UtilityList!L$4:L$251,MATCH('Table 2.4a'!$A77&amp;'Table 2.4a'!$B77&amp;'Table 2.4a'!$C77,UtilityList!$A$4:$A$251&amp;UtilityList!$B$4:$B$251&amp;UtilityList!$C$4:$C$251,0)), INDEX(UtilityList!L$4:L$251,MATCH('Table 2.4a'!$A77&amp;'Table 2.4a'!$C77,UtilityList!$A$4:$A$251&amp;UtilityList!$C$4:$C$251,0)))</f>
        <v>Calista</v>
      </c>
      <c r="S77" s="698" t="str">
        <f t="array" ref="S77">IFERROR(INDEX(UtilityList!M$4:M$251,MATCH('Table 2.4a'!$A77&amp;'Table 2.4a'!$B77&amp;'Table 2.4a'!$C77,UtilityList!$A$4:$A$251&amp;UtilityList!$B$4:$B$251&amp;UtilityList!$C$4:$C$251,0)), INDEX(UtilityList!M$4:M$251,MATCH('Table 2.4a'!$A77&amp;'Table 2.4a'!$C77,UtilityList!$A$4:$A$251&amp;UtilityList!$C$4:$C$251,0)))</f>
        <v>YU</v>
      </c>
    </row>
    <row r="78" spans="1:19" customFormat="1" ht="90" x14ac:dyDescent="0.25">
      <c r="A78" s="678" t="s">
        <v>524</v>
      </c>
      <c r="B78" s="361" t="s">
        <v>538</v>
      </c>
      <c r="C78" s="679" t="s">
        <v>993</v>
      </c>
      <c r="D78" s="680" t="s">
        <v>545</v>
      </c>
      <c r="E78" s="680" t="s">
        <v>546</v>
      </c>
      <c r="F78" s="694">
        <f t="shared" si="5"/>
        <v>10824.344808</v>
      </c>
      <c r="G78" s="694">
        <f t="shared" si="4"/>
        <v>33623.961000000003</v>
      </c>
      <c r="H78" s="695">
        <v>73.150000000000006</v>
      </c>
      <c r="I78" s="694">
        <f t="shared" si="6"/>
        <v>2459.5927471500004</v>
      </c>
      <c r="J78" s="696">
        <f t="shared" si="7"/>
        <v>0.3219235475558635</v>
      </c>
      <c r="K78" s="697">
        <v>3172.4340000000002</v>
      </c>
      <c r="L78" s="697">
        <v>241899</v>
      </c>
      <c r="M78" s="790">
        <v>0.13900000000000001</v>
      </c>
      <c r="N78" s="658" t="s">
        <v>356</v>
      </c>
      <c r="O78" s="698" t="str">
        <f t="array" ref="O78">INDEX(UtilityList!Q$4:Q$251,MATCH('Table 2.4a'!$A78&amp;'Table 2.4a'!$B78&amp;'Table 2.4a'!$C78,UtilityList!$A$4:$A$251&amp;UtilityList!$B$4:$B$251&amp;UtilityList!$C$4:$C$251,0))</f>
        <v>Provides power to Andreafsky and Pitkas Point via intertie. Includes Andreafsky's information. Fuel use and cost also includes Pitkas Point.</v>
      </c>
      <c r="P78" s="698" t="str">
        <f t="array" ref="P78">IFERROR(INDEX(UtilityList!J$4:J$251,MATCH('Table 2.4a'!$A78&amp;'Table 2.4a'!$B78&amp;'Table 2.4a'!$C78,UtilityList!$A$4:$A$251&amp;UtilityList!$B$4:$B$251&amp;UtilityList!$C$4:$C$251,0)), INDEX(UtilityList!J$4:J$251,MATCH('Table 2.4a'!$A78&amp;'Table 2.4a'!$C78,UtilityList!$A$4:$A$251&amp;UtilityList!$C$4:$C$251,0)))</f>
        <v>Lower Yukon-Kuskokwim</v>
      </c>
      <c r="Q78" s="698" t="str">
        <f t="array" ref="Q78">IFERROR(INDEX(UtilityList!K$4:K$251,MATCH('Table 2.4a'!$A78&amp;'Table 2.4a'!$B78&amp;'Table 2.4a'!$C78,UtilityList!$A$4:$A$251&amp;UtilityList!$B$4:$B$251&amp;UtilityList!$C$4:$C$251,0)), INDEX(UtilityList!K$4:K$251,MATCH('Table 2.4a'!$A78&amp;'Table 2.4a'!$C78,UtilityList!$A$4:$A$251&amp;UtilityList!$C$4:$C$251,0)))</f>
        <v>Wade Hampton (CA)</v>
      </c>
      <c r="R78" s="698" t="str">
        <f t="array" ref="R78">IFERROR(INDEX(UtilityList!L$4:L$251,MATCH('Table 2.4a'!$A78&amp;'Table 2.4a'!$B78&amp;'Table 2.4a'!$C78,UtilityList!$A$4:$A$251&amp;UtilityList!$B$4:$B$251&amp;UtilityList!$C$4:$C$251,0)), INDEX(UtilityList!L$4:L$251,MATCH('Table 2.4a'!$A78&amp;'Table 2.4a'!$C78,UtilityList!$A$4:$A$251&amp;UtilityList!$C$4:$C$251,0)))</f>
        <v>Calista</v>
      </c>
      <c r="S78" s="698" t="str">
        <f t="array" ref="S78">IFERROR(INDEX(UtilityList!M$4:M$251,MATCH('Table 2.4a'!$A78&amp;'Table 2.4a'!$B78&amp;'Table 2.4a'!$C78,UtilityList!$A$4:$A$251&amp;UtilityList!$B$4:$B$251&amp;UtilityList!$C$4:$C$251,0)), INDEX(UtilityList!M$4:M$251,MATCH('Table 2.4a'!$A78&amp;'Table 2.4a'!$C78,UtilityList!$A$4:$A$251&amp;UtilityList!$C$4:$C$251,0)))</f>
        <v>YU</v>
      </c>
    </row>
    <row r="79" spans="1:19" customFormat="1" ht="30" x14ac:dyDescent="0.25">
      <c r="A79" s="678" t="s">
        <v>524</v>
      </c>
      <c r="B79" s="361" t="s">
        <v>102</v>
      </c>
      <c r="C79" s="679" t="s">
        <v>102</v>
      </c>
      <c r="D79" s="680" t="s">
        <v>545</v>
      </c>
      <c r="E79" s="680" t="s">
        <v>546</v>
      </c>
      <c r="F79" s="694">
        <f t="shared" si="5"/>
        <v>5919.6903439999996</v>
      </c>
      <c r="G79" s="694">
        <f t="shared" si="4"/>
        <v>17573.909000000003</v>
      </c>
      <c r="H79" s="695">
        <v>73.150000000000006</v>
      </c>
      <c r="I79" s="694">
        <f t="shared" si="6"/>
        <v>1285.5314433500002</v>
      </c>
      <c r="J79" s="696">
        <f t="shared" si="7"/>
        <v>0.33684539643399763</v>
      </c>
      <c r="K79" s="697">
        <v>1734.962</v>
      </c>
      <c r="L79" s="697">
        <v>126431</v>
      </c>
      <c r="M79" s="790">
        <v>0.13900000000000001</v>
      </c>
      <c r="N79" s="658" t="s">
        <v>356</v>
      </c>
      <c r="O79" s="698">
        <f t="array" ref="O79">INDEX(UtilityList!Q$4:Q$251,MATCH('Table 2.4a'!$A79&amp;'Table 2.4a'!$B79&amp;'Table 2.4a'!$C79,UtilityList!$A$4:$A$251&amp;UtilityList!$B$4:$B$251&amp;UtilityList!$C$4:$C$251,0))</f>
        <v>0</v>
      </c>
      <c r="P79" s="698" t="str">
        <f t="array" ref="P79">IFERROR(INDEX(UtilityList!J$4:J$251,MATCH('Table 2.4a'!$A79&amp;'Table 2.4a'!$B79&amp;'Table 2.4a'!$C79,UtilityList!$A$4:$A$251&amp;UtilityList!$B$4:$B$251&amp;UtilityList!$C$4:$C$251,0)), INDEX(UtilityList!J$4:J$251,MATCH('Table 2.4a'!$A79&amp;'Table 2.4a'!$C79,UtilityList!$A$4:$A$251&amp;UtilityList!$C$4:$C$251,0)))</f>
        <v>Bering Straits</v>
      </c>
      <c r="Q79" s="698" t="str">
        <f t="array" ref="Q79">IFERROR(INDEX(UtilityList!K$4:K$251,MATCH('Table 2.4a'!$A79&amp;'Table 2.4a'!$B79&amp;'Table 2.4a'!$C79,UtilityList!$A$4:$A$251&amp;UtilityList!$B$4:$B$251&amp;UtilityList!$C$4:$C$251,0)), INDEX(UtilityList!K$4:K$251,MATCH('Table 2.4a'!$A79&amp;'Table 2.4a'!$C79,UtilityList!$A$4:$A$251&amp;UtilityList!$C$4:$C$251,0)))</f>
        <v>Nome (CA)</v>
      </c>
      <c r="R79" s="698" t="str">
        <f t="array" ref="R79">IFERROR(INDEX(UtilityList!L$4:L$251,MATCH('Table 2.4a'!$A79&amp;'Table 2.4a'!$B79&amp;'Table 2.4a'!$C79,UtilityList!$A$4:$A$251&amp;UtilityList!$B$4:$B$251&amp;UtilityList!$C$4:$C$251,0)), INDEX(UtilityList!L$4:L$251,MATCH('Table 2.4a'!$A79&amp;'Table 2.4a'!$C79,UtilityList!$A$4:$A$251&amp;UtilityList!$C$4:$C$251,0)))</f>
        <v>Bering Straits</v>
      </c>
      <c r="S79" s="698" t="str">
        <f t="array" ref="S79">IFERROR(INDEX(UtilityList!M$4:M$251,MATCH('Table 2.4a'!$A79&amp;'Table 2.4a'!$B79&amp;'Table 2.4a'!$C79,UtilityList!$A$4:$A$251&amp;UtilityList!$B$4:$B$251&amp;UtilityList!$C$4:$C$251,0)), INDEX(UtilityList!M$4:M$251,MATCH('Table 2.4a'!$A79&amp;'Table 2.4a'!$C79,UtilityList!$A$4:$A$251&amp;UtilityList!$C$4:$C$251,0)))</f>
        <v>AN</v>
      </c>
    </row>
    <row r="80" spans="1:19" customFormat="1" ht="30" x14ac:dyDescent="0.25">
      <c r="A80" s="678" t="s">
        <v>524</v>
      </c>
      <c r="B80" s="361" t="s">
        <v>103</v>
      </c>
      <c r="C80" s="679" t="s">
        <v>103</v>
      </c>
      <c r="D80" s="680" t="s">
        <v>545</v>
      </c>
      <c r="E80" s="680" t="s">
        <v>546</v>
      </c>
      <c r="F80" s="694">
        <f t="shared" si="5"/>
        <v>5983.4094439999999</v>
      </c>
      <c r="G80" s="694">
        <f t="shared" si="4"/>
        <v>19682.678000000004</v>
      </c>
      <c r="H80" s="695">
        <v>73.150000000000006</v>
      </c>
      <c r="I80" s="694">
        <f t="shared" si="6"/>
        <v>1439.7878957000005</v>
      </c>
      <c r="J80" s="696">
        <f t="shared" si="7"/>
        <v>0.3039936661058012</v>
      </c>
      <c r="K80" s="697">
        <v>1753.6369999999999</v>
      </c>
      <c r="L80" s="697">
        <v>141602</v>
      </c>
      <c r="M80" s="790">
        <v>0.13900000000000001</v>
      </c>
      <c r="N80" s="658" t="s">
        <v>356</v>
      </c>
      <c r="O80" s="698">
        <f t="array" ref="O80">INDEX(UtilityList!Q$4:Q$251,MATCH('Table 2.4a'!$A80&amp;'Table 2.4a'!$B80&amp;'Table 2.4a'!$C80,UtilityList!$A$4:$A$251&amp;UtilityList!$B$4:$B$251&amp;UtilityList!$C$4:$C$251,0))</f>
        <v>0</v>
      </c>
      <c r="P80" s="698" t="str">
        <f t="array" ref="P80">IFERROR(INDEX(UtilityList!J$4:J$251,MATCH('Table 2.4a'!$A80&amp;'Table 2.4a'!$B80&amp;'Table 2.4a'!$C80,UtilityList!$A$4:$A$251&amp;UtilityList!$B$4:$B$251&amp;UtilityList!$C$4:$C$251,0)), INDEX(UtilityList!J$4:J$251,MATCH('Table 2.4a'!$A80&amp;'Table 2.4a'!$C80,UtilityList!$A$4:$A$251&amp;UtilityList!$C$4:$C$251,0)))</f>
        <v>Bering Straits</v>
      </c>
      <c r="Q80" s="698" t="str">
        <f t="array" ref="Q80">IFERROR(INDEX(UtilityList!K$4:K$251,MATCH('Table 2.4a'!$A80&amp;'Table 2.4a'!$B80&amp;'Table 2.4a'!$C80,UtilityList!$A$4:$A$251&amp;UtilityList!$B$4:$B$251&amp;UtilityList!$C$4:$C$251,0)), INDEX(UtilityList!K$4:K$251,MATCH('Table 2.4a'!$A80&amp;'Table 2.4a'!$C80,UtilityList!$A$4:$A$251&amp;UtilityList!$C$4:$C$251,0)))</f>
        <v>Nome (CA)</v>
      </c>
      <c r="R80" s="698" t="str">
        <f t="array" ref="R80">IFERROR(INDEX(UtilityList!L$4:L$251,MATCH('Table 2.4a'!$A80&amp;'Table 2.4a'!$B80&amp;'Table 2.4a'!$C80,UtilityList!$A$4:$A$251&amp;UtilityList!$B$4:$B$251&amp;UtilityList!$C$4:$C$251,0)), INDEX(UtilityList!L$4:L$251,MATCH('Table 2.4a'!$A80&amp;'Table 2.4a'!$C80,UtilityList!$A$4:$A$251&amp;UtilityList!$C$4:$C$251,0)))</f>
        <v>Bering Straits</v>
      </c>
      <c r="S80" s="698" t="str">
        <f t="array" ref="S80">IFERROR(INDEX(UtilityList!M$4:M$251,MATCH('Table 2.4a'!$A80&amp;'Table 2.4a'!$B80&amp;'Table 2.4a'!$C80,UtilityList!$A$4:$A$251&amp;UtilityList!$B$4:$B$251&amp;UtilityList!$C$4:$C$251,0)), INDEX(UtilityList!M$4:M$251,MATCH('Table 2.4a'!$A80&amp;'Table 2.4a'!$C80,UtilityList!$A$4:$A$251&amp;UtilityList!$C$4:$C$251,0)))</f>
        <v>AN</v>
      </c>
    </row>
    <row r="81" spans="1:19" customFormat="1" ht="30" x14ac:dyDescent="0.25">
      <c r="A81" s="678" t="s">
        <v>524</v>
      </c>
      <c r="B81" s="361" t="s">
        <v>104</v>
      </c>
      <c r="C81" s="679" t="s">
        <v>104</v>
      </c>
      <c r="D81" s="680" t="s">
        <v>545</v>
      </c>
      <c r="E81" s="680" t="s">
        <v>546</v>
      </c>
      <c r="F81" s="694">
        <f t="shared" si="5"/>
        <v>5921.7034239999994</v>
      </c>
      <c r="G81" s="694">
        <f t="shared" si="4"/>
        <v>18451.694000000003</v>
      </c>
      <c r="H81" s="695">
        <v>73.150000000000006</v>
      </c>
      <c r="I81" s="694">
        <f t="shared" si="6"/>
        <v>1349.7414161000002</v>
      </c>
      <c r="J81" s="696">
        <f t="shared" si="7"/>
        <v>0.320930068751411</v>
      </c>
      <c r="K81" s="697">
        <v>1735.5519999999999</v>
      </c>
      <c r="L81" s="697">
        <v>132746</v>
      </c>
      <c r="M81" s="790">
        <v>0.13900000000000001</v>
      </c>
      <c r="N81" s="658" t="s">
        <v>356</v>
      </c>
      <c r="O81" s="698">
        <f t="array" ref="O81">INDEX(UtilityList!Q$4:Q$251,MATCH('Table 2.4a'!$A81&amp;'Table 2.4a'!$B81&amp;'Table 2.4a'!$C81,UtilityList!$A$4:$A$251&amp;UtilityList!$B$4:$B$251&amp;UtilityList!$C$4:$C$251,0))</f>
        <v>0</v>
      </c>
      <c r="P81" s="698" t="str">
        <f t="array" ref="P81">IFERROR(INDEX(UtilityList!J$4:J$251,MATCH('Table 2.4a'!$A81&amp;'Table 2.4a'!$B81&amp;'Table 2.4a'!$C81,UtilityList!$A$4:$A$251&amp;UtilityList!$B$4:$B$251&amp;UtilityList!$C$4:$C$251,0)), INDEX(UtilityList!J$4:J$251,MATCH('Table 2.4a'!$A81&amp;'Table 2.4a'!$C81,UtilityList!$A$4:$A$251&amp;UtilityList!$C$4:$C$251,0)))</f>
        <v>Lower Yukon-Kuskokwim</v>
      </c>
      <c r="Q81" s="698" t="str">
        <f t="array" ref="Q81">IFERROR(INDEX(UtilityList!K$4:K$251,MATCH('Table 2.4a'!$A81&amp;'Table 2.4a'!$B81&amp;'Table 2.4a'!$C81,UtilityList!$A$4:$A$251&amp;UtilityList!$B$4:$B$251&amp;UtilityList!$C$4:$C$251,0)), INDEX(UtilityList!K$4:K$251,MATCH('Table 2.4a'!$A81&amp;'Table 2.4a'!$C81,UtilityList!$A$4:$A$251&amp;UtilityList!$C$4:$C$251,0)))</f>
        <v>Wade Hampton (CA)</v>
      </c>
      <c r="R81" s="698" t="str">
        <f t="array" ref="R81">IFERROR(INDEX(UtilityList!L$4:L$251,MATCH('Table 2.4a'!$A81&amp;'Table 2.4a'!$B81&amp;'Table 2.4a'!$C81,UtilityList!$A$4:$A$251&amp;UtilityList!$B$4:$B$251&amp;UtilityList!$C$4:$C$251,0)), INDEX(UtilityList!L$4:L$251,MATCH('Table 2.4a'!$A81&amp;'Table 2.4a'!$C81,UtilityList!$A$4:$A$251&amp;UtilityList!$C$4:$C$251,0)))</f>
        <v>Calista</v>
      </c>
      <c r="S81" s="698" t="str">
        <f t="array" ref="S81">IFERROR(INDEX(UtilityList!M$4:M$251,MATCH('Table 2.4a'!$A81&amp;'Table 2.4a'!$B81&amp;'Table 2.4a'!$C81,UtilityList!$A$4:$A$251&amp;UtilityList!$B$4:$B$251&amp;UtilityList!$C$4:$C$251,0)), INDEX(UtilityList!M$4:M$251,MATCH('Table 2.4a'!$A81&amp;'Table 2.4a'!$C81,UtilityList!$A$4:$A$251&amp;UtilityList!$C$4:$C$251,0)))</f>
        <v>YU</v>
      </c>
    </row>
    <row r="82" spans="1:19" customFormat="1" ht="30" x14ac:dyDescent="0.25">
      <c r="A82" s="678" t="s">
        <v>524</v>
      </c>
      <c r="B82" s="361" t="s">
        <v>105</v>
      </c>
      <c r="C82" s="679" t="s">
        <v>105</v>
      </c>
      <c r="D82" s="680" t="s">
        <v>545</v>
      </c>
      <c r="E82" s="680" t="s">
        <v>546</v>
      </c>
      <c r="F82" s="694">
        <f t="shared" si="5"/>
        <v>9368.5160599999999</v>
      </c>
      <c r="G82" s="694">
        <f t="shared" si="4"/>
        <v>28735.331000000002</v>
      </c>
      <c r="H82" s="695">
        <v>73.150000000000006</v>
      </c>
      <c r="I82" s="694">
        <f t="shared" si="6"/>
        <v>2101.98946265</v>
      </c>
      <c r="J82" s="696">
        <f t="shared" si="7"/>
        <v>0.32602777605032629</v>
      </c>
      <c r="K82" s="697">
        <v>2745.7550000000001</v>
      </c>
      <c r="L82" s="697">
        <v>206729</v>
      </c>
      <c r="M82" s="790">
        <v>0.13900000000000001</v>
      </c>
      <c r="N82" s="658" t="s">
        <v>356</v>
      </c>
      <c r="O82" s="698">
        <f t="array" ref="O82">INDEX(UtilityList!Q$4:Q$251,MATCH('Table 2.4a'!$A82&amp;'Table 2.4a'!$B82&amp;'Table 2.4a'!$C82,UtilityList!$A$4:$A$251&amp;UtilityList!$B$4:$B$251&amp;UtilityList!$C$4:$C$251,0))</f>
        <v>0</v>
      </c>
      <c r="P82" s="698" t="str">
        <f t="array" ref="P82">IFERROR(INDEX(UtilityList!J$4:J$251,MATCH('Table 2.4a'!$A82&amp;'Table 2.4a'!$B82&amp;'Table 2.4a'!$C82,UtilityList!$A$4:$A$251&amp;UtilityList!$B$4:$B$251&amp;UtilityList!$C$4:$C$251,0)), INDEX(UtilityList!J$4:J$251,MATCH('Table 2.4a'!$A82&amp;'Table 2.4a'!$C82,UtilityList!$A$4:$A$251&amp;UtilityList!$C$4:$C$251,0)))</f>
        <v>Northwest Arctic</v>
      </c>
      <c r="Q82" s="698" t="str">
        <f t="array" ref="Q82">IFERROR(INDEX(UtilityList!K$4:K$251,MATCH('Table 2.4a'!$A82&amp;'Table 2.4a'!$B82&amp;'Table 2.4a'!$C82,UtilityList!$A$4:$A$251&amp;UtilityList!$B$4:$B$251&amp;UtilityList!$C$4:$C$251,0)), INDEX(UtilityList!K$4:K$251,MATCH('Table 2.4a'!$A82&amp;'Table 2.4a'!$C82,UtilityList!$A$4:$A$251&amp;UtilityList!$C$4:$C$251,0)))</f>
        <v>Northwest Arctic</v>
      </c>
      <c r="R82" s="698" t="str">
        <f t="array" ref="R82">IFERROR(INDEX(UtilityList!L$4:L$251,MATCH('Table 2.4a'!$A82&amp;'Table 2.4a'!$B82&amp;'Table 2.4a'!$C82,UtilityList!$A$4:$A$251&amp;UtilityList!$B$4:$B$251&amp;UtilityList!$C$4:$C$251,0)), INDEX(UtilityList!L$4:L$251,MATCH('Table 2.4a'!$A82&amp;'Table 2.4a'!$C82,UtilityList!$A$4:$A$251&amp;UtilityList!$C$4:$C$251,0)))</f>
        <v>NANA</v>
      </c>
      <c r="S82" s="698" t="str">
        <f t="array" ref="S82">IFERROR(INDEX(UtilityList!M$4:M$251,MATCH('Table 2.4a'!$A82&amp;'Table 2.4a'!$B82&amp;'Table 2.4a'!$C82,UtilityList!$A$4:$A$251&amp;UtilityList!$B$4:$B$251&amp;UtilityList!$C$4:$C$251,0)), INDEX(UtilityList!M$4:M$251,MATCH('Table 2.4a'!$A82&amp;'Table 2.4a'!$C82,UtilityList!$A$4:$A$251&amp;UtilityList!$C$4:$C$251,0)))</f>
        <v>AN</v>
      </c>
    </row>
    <row r="83" spans="1:19" customFormat="1" ht="45" x14ac:dyDescent="0.25">
      <c r="A83" s="678" t="s">
        <v>524</v>
      </c>
      <c r="B83" s="361" t="s">
        <v>106</v>
      </c>
      <c r="C83" s="679" t="s">
        <v>106</v>
      </c>
      <c r="D83" s="680" t="s">
        <v>545</v>
      </c>
      <c r="E83" s="680" t="s">
        <v>546</v>
      </c>
      <c r="F83" s="694">
        <f t="shared" si="5"/>
        <v>1259.07918</v>
      </c>
      <c r="G83" s="694">
        <f t="shared" si="4"/>
        <v>4354.5920000000006</v>
      </c>
      <c r="H83" s="695">
        <v>73.150000000000006</v>
      </c>
      <c r="I83" s="694">
        <f t="shared" si="6"/>
        <v>318.53840480000008</v>
      </c>
      <c r="J83" s="696">
        <f t="shared" si="7"/>
        <v>0.28913826599598763</v>
      </c>
      <c r="K83" s="697">
        <v>369.01499999999999</v>
      </c>
      <c r="L83" s="697">
        <v>31328</v>
      </c>
      <c r="M83" s="790">
        <v>0.13900000000000001</v>
      </c>
      <c r="N83" s="658" t="s">
        <v>356</v>
      </c>
      <c r="O83" s="698">
        <f t="array" ref="O83">INDEX(UtilityList!Q$4:Q$251,MATCH('Table 2.4a'!$A83&amp;'Table 2.4a'!$B83&amp;'Table 2.4a'!$C83,UtilityList!$A$4:$A$251&amp;UtilityList!$B$4:$B$251&amp;UtilityList!$C$4:$C$251,0))</f>
        <v>0</v>
      </c>
      <c r="P83" s="698" t="str">
        <f t="array" ref="P83">IFERROR(INDEX(UtilityList!J$4:J$251,MATCH('Table 2.4a'!$A83&amp;'Table 2.4a'!$B83&amp;'Table 2.4a'!$C83,UtilityList!$A$4:$A$251&amp;UtilityList!$B$4:$B$251&amp;UtilityList!$C$4:$C$251,0)), INDEX(UtilityList!J$4:J$251,MATCH('Table 2.4a'!$A83&amp;'Table 2.4a'!$C83,UtilityList!$A$4:$A$251&amp;UtilityList!$C$4:$C$251,0)))</f>
        <v>Yukon-Koyukuk/Upper Tanana</v>
      </c>
      <c r="Q83" s="698" t="str">
        <f t="array" ref="Q83">IFERROR(INDEX(UtilityList!K$4:K$251,MATCH('Table 2.4a'!$A83&amp;'Table 2.4a'!$B83&amp;'Table 2.4a'!$C83,UtilityList!$A$4:$A$251&amp;UtilityList!$B$4:$B$251&amp;UtilityList!$C$4:$C$251,0)), INDEX(UtilityList!K$4:K$251,MATCH('Table 2.4a'!$A83&amp;'Table 2.4a'!$C83,UtilityList!$A$4:$A$251&amp;UtilityList!$C$4:$C$251,0)))</f>
        <v>Yukon-Koyukuk (CA)</v>
      </c>
      <c r="R83" s="698" t="str">
        <f t="array" ref="R83">IFERROR(INDEX(UtilityList!L$4:L$251,MATCH('Table 2.4a'!$A83&amp;'Table 2.4a'!$B83&amp;'Table 2.4a'!$C83,UtilityList!$A$4:$A$251&amp;UtilityList!$B$4:$B$251&amp;UtilityList!$C$4:$C$251,0)), INDEX(UtilityList!L$4:L$251,MATCH('Table 2.4a'!$A83&amp;'Table 2.4a'!$C83,UtilityList!$A$4:$A$251&amp;UtilityList!$C$4:$C$251,0)))</f>
        <v>Doyon</v>
      </c>
      <c r="S83" s="698" t="str">
        <f t="array" ref="S83">IFERROR(INDEX(UtilityList!M$4:M$251,MATCH('Table 2.4a'!$A83&amp;'Table 2.4a'!$B83&amp;'Table 2.4a'!$C83,UtilityList!$A$4:$A$251&amp;UtilityList!$B$4:$B$251&amp;UtilityList!$C$4:$C$251,0)), INDEX(UtilityList!M$4:M$251,MATCH('Table 2.4a'!$A83&amp;'Table 2.4a'!$C83,UtilityList!$A$4:$A$251&amp;UtilityList!$C$4:$C$251,0)))</f>
        <v>YU</v>
      </c>
    </row>
    <row r="84" spans="1:19" customFormat="1" ht="30" x14ac:dyDescent="0.25">
      <c r="A84" s="678" t="s">
        <v>524</v>
      </c>
      <c r="B84" s="361" t="s">
        <v>107</v>
      </c>
      <c r="C84" s="679" t="s">
        <v>107</v>
      </c>
      <c r="D84" s="680" t="s">
        <v>545</v>
      </c>
      <c r="E84" s="680" t="s">
        <v>546</v>
      </c>
      <c r="F84" s="694">
        <f t="shared" si="5"/>
        <v>3083.8986680000003</v>
      </c>
      <c r="G84" s="694">
        <f t="shared" si="4"/>
        <v>9733.4750000000004</v>
      </c>
      <c r="H84" s="695">
        <v>73.150000000000006</v>
      </c>
      <c r="I84" s="694">
        <f t="shared" si="6"/>
        <v>712.00369625000008</v>
      </c>
      <c r="J84" s="696">
        <f t="shared" si="7"/>
        <v>0.31683429278854675</v>
      </c>
      <c r="K84" s="697">
        <v>903.83900000000006</v>
      </c>
      <c r="L84" s="697">
        <v>70025</v>
      </c>
      <c r="M84" s="790">
        <v>0.13900000000000001</v>
      </c>
      <c r="N84" s="658" t="s">
        <v>356</v>
      </c>
      <c r="O84" s="698">
        <f t="array" ref="O84">INDEX(UtilityList!Q$4:Q$251,MATCH('Table 2.4a'!$A84&amp;'Table 2.4a'!$B84&amp;'Table 2.4a'!$C84,UtilityList!$A$4:$A$251&amp;UtilityList!$B$4:$B$251&amp;UtilityList!$C$4:$C$251,0))</f>
        <v>0</v>
      </c>
      <c r="P84" s="698" t="str">
        <f t="array" ref="P84">IFERROR(INDEX(UtilityList!J$4:J$251,MATCH('Table 2.4a'!$A84&amp;'Table 2.4a'!$B84&amp;'Table 2.4a'!$C84,UtilityList!$A$4:$A$251&amp;UtilityList!$B$4:$B$251&amp;UtilityList!$C$4:$C$251,0)), INDEX(UtilityList!J$4:J$251,MATCH('Table 2.4a'!$A84&amp;'Table 2.4a'!$C84,UtilityList!$A$4:$A$251&amp;UtilityList!$C$4:$C$251,0)))</f>
        <v>Bering Straits</v>
      </c>
      <c r="Q84" s="698" t="str">
        <f t="array" ref="Q84">IFERROR(INDEX(UtilityList!K$4:K$251,MATCH('Table 2.4a'!$A84&amp;'Table 2.4a'!$B84&amp;'Table 2.4a'!$C84,UtilityList!$A$4:$A$251&amp;UtilityList!$B$4:$B$251&amp;UtilityList!$C$4:$C$251,0)), INDEX(UtilityList!K$4:K$251,MATCH('Table 2.4a'!$A84&amp;'Table 2.4a'!$C84,UtilityList!$A$4:$A$251&amp;UtilityList!$C$4:$C$251,0)))</f>
        <v>Nome (CA)</v>
      </c>
      <c r="R84" s="698" t="str">
        <f t="array" ref="R84">IFERROR(INDEX(UtilityList!L$4:L$251,MATCH('Table 2.4a'!$A84&amp;'Table 2.4a'!$B84&amp;'Table 2.4a'!$C84,UtilityList!$A$4:$A$251&amp;UtilityList!$B$4:$B$251&amp;UtilityList!$C$4:$C$251,0)), INDEX(UtilityList!L$4:L$251,MATCH('Table 2.4a'!$A84&amp;'Table 2.4a'!$C84,UtilityList!$A$4:$A$251&amp;UtilityList!$C$4:$C$251,0)))</f>
        <v>Bering Straits</v>
      </c>
      <c r="S84" s="698" t="str">
        <f t="array" ref="S84">IFERROR(INDEX(UtilityList!M$4:M$251,MATCH('Table 2.4a'!$A84&amp;'Table 2.4a'!$B84&amp;'Table 2.4a'!$C84,UtilityList!$A$4:$A$251&amp;UtilityList!$B$4:$B$251&amp;UtilityList!$C$4:$C$251,0)), INDEX(UtilityList!M$4:M$251,MATCH('Table 2.4a'!$A84&amp;'Table 2.4a'!$C84,UtilityList!$A$4:$A$251&amp;UtilityList!$C$4:$C$251,0)))</f>
        <v>AN</v>
      </c>
    </row>
    <row r="85" spans="1:19" customFormat="1" ht="30" x14ac:dyDescent="0.25">
      <c r="A85" s="678" t="s">
        <v>524</v>
      </c>
      <c r="B85" s="361" t="s">
        <v>108</v>
      </c>
      <c r="C85" s="679" t="s">
        <v>108</v>
      </c>
      <c r="D85" s="680" t="s">
        <v>545</v>
      </c>
      <c r="E85" s="680" t="s">
        <v>546</v>
      </c>
      <c r="F85" s="694">
        <f t="shared" si="5"/>
        <v>5438.4209200000005</v>
      </c>
      <c r="G85" s="694">
        <f t="shared" si="4"/>
        <v>16228.389000000001</v>
      </c>
      <c r="H85" s="695">
        <v>73.150000000000006</v>
      </c>
      <c r="I85" s="694">
        <f t="shared" si="6"/>
        <v>1187.1066553500002</v>
      </c>
      <c r="J85" s="696">
        <f t="shared" si="7"/>
        <v>0.33511773226535302</v>
      </c>
      <c r="K85" s="697">
        <v>1593.91</v>
      </c>
      <c r="L85" s="697">
        <v>116751</v>
      </c>
      <c r="M85" s="790">
        <v>0.13900000000000001</v>
      </c>
      <c r="N85" s="658" t="s">
        <v>356</v>
      </c>
      <c r="O85" s="698">
        <f t="array" ref="O85">INDEX(UtilityList!Q$4:Q$251,MATCH('Table 2.4a'!$A85&amp;'Table 2.4a'!$B85&amp;'Table 2.4a'!$C85,UtilityList!$A$4:$A$251&amp;UtilityList!$B$4:$B$251&amp;UtilityList!$C$4:$C$251,0))</f>
        <v>0</v>
      </c>
      <c r="P85" s="698" t="str">
        <f t="array" ref="P85">IFERROR(INDEX(UtilityList!J$4:J$251,MATCH('Table 2.4a'!$A85&amp;'Table 2.4a'!$B85&amp;'Table 2.4a'!$C85,UtilityList!$A$4:$A$251&amp;UtilityList!$B$4:$B$251&amp;UtilityList!$C$4:$C$251,0)), INDEX(UtilityList!J$4:J$251,MATCH('Table 2.4a'!$A85&amp;'Table 2.4a'!$C85,UtilityList!$A$4:$A$251&amp;UtilityList!$C$4:$C$251,0)))</f>
        <v>Bering Straits</v>
      </c>
      <c r="Q85" s="698" t="str">
        <f t="array" ref="Q85">IFERROR(INDEX(UtilityList!K$4:K$251,MATCH('Table 2.4a'!$A85&amp;'Table 2.4a'!$B85&amp;'Table 2.4a'!$C85,UtilityList!$A$4:$A$251&amp;UtilityList!$B$4:$B$251&amp;UtilityList!$C$4:$C$251,0)), INDEX(UtilityList!K$4:K$251,MATCH('Table 2.4a'!$A85&amp;'Table 2.4a'!$C85,UtilityList!$A$4:$A$251&amp;UtilityList!$C$4:$C$251,0)))</f>
        <v>Nome (CA)</v>
      </c>
      <c r="R85" s="698" t="str">
        <f t="array" ref="R85">IFERROR(INDEX(UtilityList!L$4:L$251,MATCH('Table 2.4a'!$A85&amp;'Table 2.4a'!$B85&amp;'Table 2.4a'!$C85,UtilityList!$A$4:$A$251&amp;UtilityList!$B$4:$B$251&amp;UtilityList!$C$4:$C$251,0)), INDEX(UtilityList!L$4:L$251,MATCH('Table 2.4a'!$A85&amp;'Table 2.4a'!$C85,UtilityList!$A$4:$A$251&amp;UtilityList!$C$4:$C$251,0)))</f>
        <v>Bering Straits</v>
      </c>
      <c r="S85" s="698" t="str">
        <f t="array" ref="S85">IFERROR(INDEX(UtilityList!M$4:M$251,MATCH('Table 2.4a'!$A85&amp;'Table 2.4a'!$B85&amp;'Table 2.4a'!$C85,UtilityList!$A$4:$A$251&amp;UtilityList!$B$4:$B$251&amp;UtilityList!$C$4:$C$251,0)), INDEX(UtilityList!M$4:M$251,MATCH('Table 2.4a'!$A85&amp;'Table 2.4a'!$C85,UtilityList!$A$4:$A$251&amp;UtilityList!$C$4:$C$251,0)))</f>
        <v>AN</v>
      </c>
    </row>
    <row r="86" spans="1:19" customFormat="1" ht="60" x14ac:dyDescent="0.25">
      <c r="A86" s="678" t="s">
        <v>524</v>
      </c>
      <c r="B86" s="361" t="s">
        <v>109</v>
      </c>
      <c r="C86" s="679" t="s">
        <v>994</v>
      </c>
      <c r="D86" s="680" t="s">
        <v>545</v>
      </c>
      <c r="E86" s="680" t="s">
        <v>546</v>
      </c>
      <c r="F86" s="694">
        <f t="shared" si="5"/>
        <v>5211.2977280000005</v>
      </c>
      <c r="G86" s="694">
        <f t="shared" si="4"/>
        <v>15822.509000000002</v>
      </c>
      <c r="H86" s="695">
        <v>73.150000000000006</v>
      </c>
      <c r="I86" s="694">
        <f t="shared" si="6"/>
        <v>1157.4165333500002</v>
      </c>
      <c r="J86" s="696">
        <f t="shared" si="7"/>
        <v>0.3293597575454057</v>
      </c>
      <c r="K86" s="697">
        <v>1527.3440000000001</v>
      </c>
      <c r="L86" s="697">
        <v>113831</v>
      </c>
      <c r="M86" s="790">
        <v>0.13900000000000001</v>
      </c>
      <c r="N86" s="658" t="s">
        <v>356</v>
      </c>
      <c r="O86" s="698" t="str">
        <f t="array" ref="O86">INDEX(UtilityList!Q$4:Q$251,MATCH('Table 2.4a'!$A86&amp;'Table 2.4a'!$B86&amp;'Table 2.4a'!$C86,UtilityList!$A$4:$A$251&amp;UtilityList!$B$4:$B$251&amp;UtilityList!$C$4:$C$251,0))</f>
        <v>Provides power to Kobuk via intertie. Fuel use and cost includes Kobuk's information.</v>
      </c>
      <c r="P86" s="698" t="str">
        <f t="array" ref="P86">IFERROR(INDEX(UtilityList!J$4:J$251,MATCH('Table 2.4a'!$A86&amp;'Table 2.4a'!$B86&amp;'Table 2.4a'!$C86,UtilityList!$A$4:$A$251&amp;UtilityList!$B$4:$B$251&amp;UtilityList!$C$4:$C$251,0)), INDEX(UtilityList!J$4:J$251,MATCH('Table 2.4a'!$A86&amp;'Table 2.4a'!$C86,UtilityList!$A$4:$A$251&amp;UtilityList!$C$4:$C$251,0)))</f>
        <v>Northwest Arctic</v>
      </c>
      <c r="Q86" s="698" t="str">
        <f t="array" ref="Q86">IFERROR(INDEX(UtilityList!K$4:K$251,MATCH('Table 2.4a'!$A86&amp;'Table 2.4a'!$B86&amp;'Table 2.4a'!$C86,UtilityList!$A$4:$A$251&amp;UtilityList!$B$4:$B$251&amp;UtilityList!$C$4:$C$251,0)), INDEX(UtilityList!K$4:K$251,MATCH('Table 2.4a'!$A86&amp;'Table 2.4a'!$C86,UtilityList!$A$4:$A$251&amp;UtilityList!$C$4:$C$251,0)))</f>
        <v>Northwest Arctic</v>
      </c>
      <c r="R86" s="698" t="str">
        <f t="array" ref="R86">IFERROR(INDEX(UtilityList!L$4:L$251,MATCH('Table 2.4a'!$A86&amp;'Table 2.4a'!$B86&amp;'Table 2.4a'!$C86,UtilityList!$A$4:$A$251&amp;UtilityList!$B$4:$B$251&amp;UtilityList!$C$4:$C$251,0)), INDEX(UtilityList!L$4:L$251,MATCH('Table 2.4a'!$A86&amp;'Table 2.4a'!$C86,UtilityList!$A$4:$A$251&amp;UtilityList!$C$4:$C$251,0)))</f>
        <v>NANA</v>
      </c>
      <c r="S86" s="698" t="str">
        <f t="array" ref="S86">IFERROR(INDEX(UtilityList!M$4:M$251,MATCH('Table 2.4a'!$A86&amp;'Table 2.4a'!$B86&amp;'Table 2.4a'!$C86,UtilityList!$A$4:$A$251&amp;UtilityList!$B$4:$B$251&amp;UtilityList!$C$4:$C$251,0)), INDEX(UtilityList!M$4:M$251,MATCH('Table 2.4a'!$A86&amp;'Table 2.4a'!$C86,UtilityList!$A$4:$A$251&amp;UtilityList!$C$4:$C$251,0)))</f>
        <v>AN</v>
      </c>
    </row>
    <row r="87" spans="1:19" customFormat="1" ht="30" x14ac:dyDescent="0.25">
      <c r="A87" s="678" t="s">
        <v>524</v>
      </c>
      <c r="B87" s="361" t="s">
        <v>110</v>
      </c>
      <c r="C87" s="679" t="s">
        <v>110</v>
      </c>
      <c r="D87" s="680" t="s">
        <v>545</v>
      </c>
      <c r="E87" s="680" t="s">
        <v>546</v>
      </c>
      <c r="F87" s="694">
        <f t="shared" si="5"/>
        <v>4620.6498199999996</v>
      </c>
      <c r="G87" s="694">
        <f t="shared" si="4"/>
        <v>14195.236000000001</v>
      </c>
      <c r="H87" s="695">
        <v>73.150000000000006</v>
      </c>
      <c r="I87" s="694">
        <f t="shared" si="6"/>
        <v>1038.3815134000001</v>
      </c>
      <c r="J87" s="696">
        <f t="shared" si="7"/>
        <v>0.32550707998091749</v>
      </c>
      <c r="K87" s="697">
        <v>1354.2349999999999</v>
      </c>
      <c r="L87" s="697">
        <v>102124</v>
      </c>
      <c r="M87" s="790">
        <v>0.13900000000000001</v>
      </c>
      <c r="N87" s="658" t="s">
        <v>356</v>
      </c>
      <c r="O87" s="698">
        <f t="array" ref="O87">INDEX(UtilityList!Q$4:Q$251,MATCH('Table 2.4a'!$A87&amp;'Table 2.4a'!$B87&amp;'Table 2.4a'!$C87,UtilityList!$A$4:$A$251&amp;UtilityList!$B$4:$B$251&amp;UtilityList!$C$4:$C$251,0))</f>
        <v>0</v>
      </c>
      <c r="P87" s="698" t="str">
        <f t="array" ref="P87">IFERROR(INDEX(UtilityList!J$4:J$251,MATCH('Table 2.4a'!$A87&amp;'Table 2.4a'!$B87&amp;'Table 2.4a'!$C87,UtilityList!$A$4:$A$251&amp;UtilityList!$B$4:$B$251&amp;UtilityList!$C$4:$C$251,0)), INDEX(UtilityList!J$4:J$251,MATCH('Table 2.4a'!$A87&amp;'Table 2.4a'!$C87,UtilityList!$A$4:$A$251&amp;UtilityList!$C$4:$C$251,0)))</f>
        <v>Bering Straits</v>
      </c>
      <c r="Q87" s="698" t="str">
        <f t="array" ref="Q87">IFERROR(INDEX(UtilityList!K$4:K$251,MATCH('Table 2.4a'!$A87&amp;'Table 2.4a'!$B87&amp;'Table 2.4a'!$C87,UtilityList!$A$4:$A$251&amp;UtilityList!$B$4:$B$251&amp;UtilityList!$C$4:$C$251,0)), INDEX(UtilityList!K$4:K$251,MATCH('Table 2.4a'!$A87&amp;'Table 2.4a'!$C87,UtilityList!$A$4:$A$251&amp;UtilityList!$C$4:$C$251,0)))</f>
        <v>Nome (CA)</v>
      </c>
      <c r="R87" s="698" t="str">
        <f t="array" ref="R87">IFERROR(INDEX(UtilityList!L$4:L$251,MATCH('Table 2.4a'!$A87&amp;'Table 2.4a'!$B87&amp;'Table 2.4a'!$C87,UtilityList!$A$4:$A$251&amp;UtilityList!$B$4:$B$251&amp;UtilityList!$C$4:$C$251,0)), INDEX(UtilityList!L$4:L$251,MATCH('Table 2.4a'!$A87&amp;'Table 2.4a'!$C87,UtilityList!$A$4:$A$251&amp;UtilityList!$C$4:$C$251,0)))</f>
        <v>Bering Straits</v>
      </c>
      <c r="S87" s="698" t="str">
        <f t="array" ref="S87">IFERROR(INDEX(UtilityList!M$4:M$251,MATCH('Table 2.4a'!$A87&amp;'Table 2.4a'!$B87&amp;'Table 2.4a'!$C87,UtilityList!$A$4:$A$251&amp;UtilityList!$B$4:$B$251&amp;UtilityList!$C$4:$C$251,0)), INDEX(UtilityList!M$4:M$251,MATCH('Table 2.4a'!$A87&amp;'Table 2.4a'!$C87,UtilityList!$A$4:$A$251&amp;UtilityList!$C$4:$C$251,0)))</f>
        <v>AN</v>
      </c>
    </row>
    <row r="88" spans="1:19" customFormat="1" ht="30" x14ac:dyDescent="0.25">
      <c r="A88" s="678" t="s">
        <v>524</v>
      </c>
      <c r="B88" s="361" t="s">
        <v>111</v>
      </c>
      <c r="C88" s="679" t="s">
        <v>111</v>
      </c>
      <c r="D88" s="680" t="s">
        <v>545</v>
      </c>
      <c r="E88" s="680" t="s">
        <v>546</v>
      </c>
      <c r="F88" s="694">
        <f t="shared" si="5"/>
        <v>2859.218468</v>
      </c>
      <c r="G88" s="694">
        <f t="shared" si="4"/>
        <v>10012.865000000002</v>
      </c>
      <c r="H88" s="695">
        <v>73.150000000000006</v>
      </c>
      <c r="I88" s="694">
        <f t="shared" si="6"/>
        <v>732.4410747500001</v>
      </c>
      <c r="J88" s="696">
        <f t="shared" si="7"/>
        <v>0.28555448096024461</v>
      </c>
      <c r="K88" s="697">
        <v>837.98900000000003</v>
      </c>
      <c r="L88" s="697">
        <v>72035</v>
      </c>
      <c r="M88" s="790">
        <v>0.13900000000000001</v>
      </c>
      <c r="N88" s="658" t="s">
        <v>356</v>
      </c>
      <c r="O88" s="698">
        <f t="array" ref="O88">INDEX(UtilityList!Q$4:Q$251,MATCH('Table 2.4a'!$A88&amp;'Table 2.4a'!$B88&amp;'Table 2.4a'!$C88,UtilityList!$A$4:$A$251&amp;UtilityList!$B$4:$B$251&amp;UtilityList!$C$4:$C$251,0))</f>
        <v>0</v>
      </c>
      <c r="P88" s="698" t="str">
        <f t="array" ref="P88">IFERROR(INDEX(UtilityList!J$4:J$251,MATCH('Table 2.4a'!$A88&amp;'Table 2.4a'!$B88&amp;'Table 2.4a'!$C88,UtilityList!$A$4:$A$251&amp;UtilityList!$B$4:$B$251&amp;UtilityList!$C$4:$C$251,0)), INDEX(UtilityList!J$4:J$251,MATCH('Table 2.4a'!$A88&amp;'Table 2.4a'!$C88,UtilityList!$A$4:$A$251&amp;UtilityList!$C$4:$C$251,0)))</f>
        <v>Bering Straits</v>
      </c>
      <c r="Q88" s="698" t="str">
        <f t="array" ref="Q88">IFERROR(INDEX(UtilityList!K$4:K$251,MATCH('Table 2.4a'!$A88&amp;'Table 2.4a'!$B88&amp;'Table 2.4a'!$C88,UtilityList!$A$4:$A$251&amp;UtilityList!$B$4:$B$251&amp;UtilityList!$C$4:$C$251,0)), INDEX(UtilityList!K$4:K$251,MATCH('Table 2.4a'!$A88&amp;'Table 2.4a'!$C88,UtilityList!$A$4:$A$251&amp;UtilityList!$C$4:$C$251,0)))</f>
        <v>Nome (CA)</v>
      </c>
      <c r="R88" s="698" t="str">
        <f t="array" ref="R88">IFERROR(INDEX(UtilityList!L$4:L$251,MATCH('Table 2.4a'!$A88&amp;'Table 2.4a'!$B88&amp;'Table 2.4a'!$C88,UtilityList!$A$4:$A$251&amp;UtilityList!$B$4:$B$251&amp;UtilityList!$C$4:$C$251,0)), INDEX(UtilityList!L$4:L$251,MATCH('Table 2.4a'!$A88&amp;'Table 2.4a'!$C88,UtilityList!$A$4:$A$251&amp;UtilityList!$C$4:$C$251,0)))</f>
        <v>Bering Straits</v>
      </c>
      <c r="S88" s="698" t="str">
        <f t="array" ref="S88">IFERROR(INDEX(UtilityList!M$4:M$251,MATCH('Table 2.4a'!$A88&amp;'Table 2.4a'!$B88&amp;'Table 2.4a'!$C88,UtilityList!$A$4:$A$251&amp;UtilityList!$B$4:$B$251&amp;UtilityList!$C$4:$C$251,0)), INDEX(UtilityList!M$4:M$251,MATCH('Table 2.4a'!$A88&amp;'Table 2.4a'!$C88,UtilityList!$A$4:$A$251&amp;UtilityList!$C$4:$C$251,0)))</f>
        <v>AN</v>
      </c>
    </row>
    <row r="89" spans="1:19" customFormat="1" ht="30" x14ac:dyDescent="0.25">
      <c r="A89" s="678" t="s">
        <v>524</v>
      </c>
      <c r="B89" s="361" t="s">
        <v>112</v>
      </c>
      <c r="C89" s="679" t="s">
        <v>112</v>
      </c>
      <c r="D89" s="680" t="s">
        <v>545</v>
      </c>
      <c r="E89" s="680" t="s">
        <v>546</v>
      </c>
      <c r="F89" s="694">
        <f t="shared" si="5"/>
        <v>10388.707472</v>
      </c>
      <c r="G89" s="694">
        <f t="shared" si="4"/>
        <v>31347.141000000003</v>
      </c>
      <c r="H89" s="695">
        <v>73.150000000000006</v>
      </c>
      <c r="I89" s="694">
        <f t="shared" si="6"/>
        <v>2293.0433641500003</v>
      </c>
      <c r="J89" s="696">
        <f t="shared" si="7"/>
        <v>0.33140845195419893</v>
      </c>
      <c r="K89" s="697">
        <v>3044.7559999999999</v>
      </c>
      <c r="L89" s="697">
        <v>225519</v>
      </c>
      <c r="M89" s="790">
        <v>0.13900000000000001</v>
      </c>
      <c r="N89" s="658" t="s">
        <v>356</v>
      </c>
      <c r="O89" s="698">
        <f t="array" ref="O89">INDEX(UtilityList!Q$4:Q$251,MATCH('Table 2.4a'!$A89&amp;'Table 2.4a'!$B89&amp;'Table 2.4a'!$C89,UtilityList!$A$4:$A$251&amp;UtilityList!$B$4:$B$251&amp;UtilityList!$C$4:$C$251,0))</f>
        <v>0</v>
      </c>
      <c r="P89" s="698" t="str">
        <f t="array" ref="P89">IFERROR(INDEX(UtilityList!J$4:J$251,MATCH('Table 2.4a'!$A89&amp;'Table 2.4a'!$B89&amp;'Table 2.4a'!$C89,UtilityList!$A$4:$A$251&amp;UtilityList!$B$4:$B$251&amp;UtilityList!$C$4:$C$251,0)), INDEX(UtilityList!J$4:J$251,MATCH('Table 2.4a'!$A89&amp;'Table 2.4a'!$C89,UtilityList!$A$4:$A$251&amp;UtilityList!$C$4:$C$251,0)))</f>
        <v>Bristol Bay</v>
      </c>
      <c r="Q89" s="698" t="str">
        <f t="array" ref="Q89">IFERROR(INDEX(UtilityList!K$4:K$251,MATCH('Table 2.4a'!$A89&amp;'Table 2.4a'!$B89&amp;'Table 2.4a'!$C89,UtilityList!$A$4:$A$251&amp;UtilityList!$B$4:$B$251&amp;UtilityList!$C$4:$C$251,0)), INDEX(UtilityList!K$4:K$251,MATCH('Table 2.4a'!$A89&amp;'Table 2.4a'!$C89,UtilityList!$A$4:$A$251&amp;UtilityList!$C$4:$C$251,0)))</f>
        <v>Dillingham (CA)</v>
      </c>
      <c r="R89" s="698" t="str">
        <f t="array" ref="R89">IFERROR(INDEX(UtilityList!L$4:L$251,MATCH('Table 2.4a'!$A89&amp;'Table 2.4a'!$B89&amp;'Table 2.4a'!$C89,UtilityList!$A$4:$A$251&amp;UtilityList!$B$4:$B$251&amp;UtilityList!$C$4:$C$251,0)), INDEX(UtilityList!L$4:L$251,MATCH('Table 2.4a'!$A89&amp;'Table 2.4a'!$C89,UtilityList!$A$4:$A$251&amp;UtilityList!$C$4:$C$251,0)))</f>
        <v>Bristol Bay</v>
      </c>
      <c r="S89" s="698" t="str">
        <f t="array" ref="S89">IFERROR(INDEX(UtilityList!M$4:M$251,MATCH('Table 2.4a'!$A89&amp;'Table 2.4a'!$B89&amp;'Table 2.4a'!$C89,UtilityList!$A$4:$A$251&amp;UtilityList!$B$4:$B$251&amp;UtilityList!$C$4:$C$251,0)), INDEX(UtilityList!M$4:M$251,MATCH('Table 2.4a'!$A89&amp;'Table 2.4a'!$C89,UtilityList!$A$4:$A$251&amp;UtilityList!$C$4:$C$251,0)))</f>
        <v>SW</v>
      </c>
    </row>
    <row r="90" spans="1:19" customFormat="1" ht="75" x14ac:dyDescent="0.25">
      <c r="A90" s="678" t="s">
        <v>524</v>
      </c>
      <c r="B90" s="361" t="s">
        <v>113</v>
      </c>
      <c r="C90" s="679" t="s">
        <v>996</v>
      </c>
      <c r="D90" s="680" t="s">
        <v>545</v>
      </c>
      <c r="E90" s="680" t="s">
        <v>546</v>
      </c>
      <c r="F90" s="694">
        <f t="shared" si="5"/>
        <v>8844.2724959999996</v>
      </c>
      <c r="G90" s="694">
        <f t="shared" si="4"/>
        <v>27855.322000000004</v>
      </c>
      <c r="H90" s="695">
        <v>73.150000000000006</v>
      </c>
      <c r="I90" s="694">
        <f t="shared" si="6"/>
        <v>2037.6168043000005</v>
      </c>
      <c r="J90" s="696">
        <f t="shared" si="7"/>
        <v>0.31750745857470247</v>
      </c>
      <c r="K90" s="697">
        <v>2592.1080000000002</v>
      </c>
      <c r="L90" s="697">
        <v>200398</v>
      </c>
      <c r="M90" s="790">
        <v>0.13900000000000001</v>
      </c>
      <c r="N90" s="658" t="s">
        <v>356</v>
      </c>
      <c r="O90" s="698" t="str">
        <f t="array" ref="O90">INDEX(UtilityList!Q$4:Q$251,MATCH('Table 2.4a'!$A90&amp;'Table 2.4a'!$B90&amp;'Table 2.4a'!$C90,UtilityList!$A$4:$A$251&amp;UtilityList!$B$4:$B$251&amp;UtilityList!$C$4:$C$251,0))</f>
        <v>Provides power to Nightmute and Tununak via intertie. Fuel use and cost includes Nightmute's and Tununak's information.</v>
      </c>
      <c r="P90" s="698" t="str">
        <f t="array" ref="P90">IFERROR(INDEX(UtilityList!J$4:J$251,MATCH('Table 2.4a'!$A90&amp;'Table 2.4a'!$B90&amp;'Table 2.4a'!$C90,UtilityList!$A$4:$A$251&amp;UtilityList!$B$4:$B$251&amp;UtilityList!$C$4:$C$251,0)), INDEX(UtilityList!J$4:J$251,MATCH('Table 2.4a'!$A90&amp;'Table 2.4a'!$C90,UtilityList!$A$4:$A$251&amp;UtilityList!$C$4:$C$251,0)))</f>
        <v>Lower Yukon-Kuskokwim</v>
      </c>
      <c r="Q90" s="698" t="str">
        <f t="array" ref="Q90">IFERROR(INDEX(UtilityList!K$4:K$251,MATCH('Table 2.4a'!$A90&amp;'Table 2.4a'!$B90&amp;'Table 2.4a'!$C90,UtilityList!$A$4:$A$251&amp;UtilityList!$B$4:$B$251&amp;UtilityList!$C$4:$C$251,0)), INDEX(UtilityList!K$4:K$251,MATCH('Table 2.4a'!$A90&amp;'Table 2.4a'!$C90,UtilityList!$A$4:$A$251&amp;UtilityList!$C$4:$C$251,0)))</f>
        <v>Bethel (CA)</v>
      </c>
      <c r="R90" s="698" t="str">
        <f t="array" ref="R90">IFERROR(INDEX(UtilityList!L$4:L$251,MATCH('Table 2.4a'!$A90&amp;'Table 2.4a'!$B90&amp;'Table 2.4a'!$C90,UtilityList!$A$4:$A$251&amp;UtilityList!$B$4:$B$251&amp;UtilityList!$C$4:$C$251,0)), INDEX(UtilityList!L$4:L$251,MATCH('Table 2.4a'!$A90&amp;'Table 2.4a'!$C90,UtilityList!$A$4:$A$251&amp;UtilityList!$C$4:$C$251,0)))</f>
        <v>Calista</v>
      </c>
      <c r="S90" s="698" t="str">
        <f t="array" ref="S90">IFERROR(INDEX(UtilityList!M$4:M$251,MATCH('Table 2.4a'!$A90&amp;'Table 2.4a'!$B90&amp;'Table 2.4a'!$C90,UtilityList!$A$4:$A$251&amp;UtilityList!$B$4:$B$251&amp;UtilityList!$C$4:$C$251,0)), INDEX(UtilityList!M$4:M$251,MATCH('Table 2.4a'!$A90&amp;'Table 2.4a'!$C90,UtilityList!$A$4:$A$251&amp;UtilityList!$C$4:$C$251,0)))</f>
        <v>SW</v>
      </c>
    </row>
    <row r="91" spans="1:19" customFormat="1" ht="60" x14ac:dyDescent="0.25">
      <c r="A91" s="678" t="s">
        <v>524</v>
      </c>
      <c r="B91" s="361" t="s">
        <v>114</v>
      </c>
      <c r="C91" s="679" t="s">
        <v>114</v>
      </c>
      <c r="D91" s="680" t="s">
        <v>545</v>
      </c>
      <c r="E91" s="680" t="s">
        <v>546</v>
      </c>
      <c r="F91" s="694">
        <f t="shared" si="5"/>
        <v>0</v>
      </c>
      <c r="G91" s="694">
        <f t="shared" si="4"/>
        <v>0</v>
      </c>
      <c r="H91" s="695">
        <v>73.150000000000006</v>
      </c>
      <c r="I91" s="694">
        <f t="shared" si="6"/>
        <v>0</v>
      </c>
      <c r="J91" s="696" t="str">
        <f t="shared" si="7"/>
        <v xml:space="preserve"> </v>
      </c>
      <c r="K91" s="697">
        <v>0</v>
      </c>
      <c r="L91" s="697">
        <v>0</v>
      </c>
      <c r="M91" s="790">
        <v>0.13900000000000001</v>
      </c>
      <c r="N91" s="658" t="s">
        <v>356</v>
      </c>
      <c r="O91" s="698" t="str">
        <f t="array" ref="O91">INDEX(UtilityList!Q$4:Q$251,MATCH('Table 2.4a'!$A91&amp;'Table 2.4a'!$B91&amp;'Table 2.4a'!$C91,UtilityList!$A$4:$A$251&amp;UtilityList!$B$4:$B$251&amp;UtilityList!$C$4:$C$251,0))</f>
        <v>Receives power from Toksook Bay via intertie. For fuel use and cost, please refer to Toksook Bay.</v>
      </c>
      <c r="P91" s="698" t="str">
        <f t="array" ref="P91">IFERROR(INDEX(UtilityList!J$4:J$251,MATCH('Table 2.4a'!$A91&amp;'Table 2.4a'!$B91&amp;'Table 2.4a'!$C91,UtilityList!$A$4:$A$251&amp;UtilityList!$B$4:$B$251&amp;UtilityList!$C$4:$C$251,0)), INDEX(UtilityList!J$4:J$251,MATCH('Table 2.4a'!$A91&amp;'Table 2.4a'!$C91,UtilityList!$A$4:$A$251&amp;UtilityList!$C$4:$C$251,0)))</f>
        <v>Lower Yukon-Kuskokwim</v>
      </c>
      <c r="Q91" s="698" t="str">
        <f t="array" ref="Q91">IFERROR(INDEX(UtilityList!K$4:K$251,MATCH('Table 2.4a'!$A91&amp;'Table 2.4a'!$B91&amp;'Table 2.4a'!$C91,UtilityList!$A$4:$A$251&amp;UtilityList!$B$4:$B$251&amp;UtilityList!$C$4:$C$251,0)), INDEX(UtilityList!K$4:K$251,MATCH('Table 2.4a'!$A91&amp;'Table 2.4a'!$C91,UtilityList!$A$4:$A$251&amp;UtilityList!$C$4:$C$251,0)))</f>
        <v>Bethel (CA)</v>
      </c>
      <c r="R91" s="698" t="str">
        <f t="array" ref="R91">IFERROR(INDEX(UtilityList!L$4:L$251,MATCH('Table 2.4a'!$A91&amp;'Table 2.4a'!$B91&amp;'Table 2.4a'!$C91,UtilityList!$A$4:$A$251&amp;UtilityList!$B$4:$B$251&amp;UtilityList!$C$4:$C$251,0)), INDEX(UtilityList!L$4:L$251,MATCH('Table 2.4a'!$A91&amp;'Table 2.4a'!$C91,UtilityList!$A$4:$A$251&amp;UtilityList!$C$4:$C$251,0)))</f>
        <v>Calista</v>
      </c>
      <c r="S91" s="698" t="str">
        <f t="array" ref="S91">IFERROR(INDEX(UtilityList!M$4:M$251,MATCH('Table 2.4a'!$A91&amp;'Table 2.4a'!$B91&amp;'Table 2.4a'!$C91,UtilityList!$A$4:$A$251&amp;UtilityList!$B$4:$B$251&amp;UtilityList!$C$4:$C$251,0)), INDEX(UtilityList!M$4:M$251,MATCH('Table 2.4a'!$A91&amp;'Table 2.4a'!$C91,UtilityList!$A$4:$A$251&amp;UtilityList!$C$4:$C$251,0)))</f>
        <v>SW</v>
      </c>
    </row>
    <row r="92" spans="1:19" customFormat="1" ht="30" x14ac:dyDescent="0.25">
      <c r="A92" s="678" t="s">
        <v>524</v>
      </c>
      <c r="B92" s="361" t="s">
        <v>116</v>
      </c>
      <c r="C92" s="679" t="s">
        <v>116</v>
      </c>
      <c r="D92" s="680" t="s">
        <v>545</v>
      </c>
      <c r="E92" s="680" t="s">
        <v>546</v>
      </c>
      <c r="F92" s="694">
        <f t="shared" si="5"/>
        <v>1986.10814</v>
      </c>
      <c r="G92" s="694">
        <f t="shared" si="4"/>
        <v>6578.1750000000002</v>
      </c>
      <c r="H92" s="695">
        <v>73.150000000000006</v>
      </c>
      <c r="I92" s="694">
        <f t="shared" si="6"/>
        <v>481.19350125000005</v>
      </c>
      <c r="J92" s="696">
        <f t="shared" si="7"/>
        <v>0.30192388314388108</v>
      </c>
      <c r="K92" s="697">
        <v>582.09500000000003</v>
      </c>
      <c r="L92" s="697">
        <v>47325</v>
      </c>
      <c r="M92" s="790">
        <v>0.13900000000000001</v>
      </c>
      <c r="N92" s="658" t="s">
        <v>356</v>
      </c>
      <c r="O92" s="698">
        <f t="array" ref="O92">INDEX(UtilityList!Q$4:Q$251,MATCH('Table 2.4a'!$A92&amp;'Table 2.4a'!$B92&amp;'Table 2.4a'!$C92,UtilityList!$A$4:$A$251&amp;UtilityList!$B$4:$B$251&amp;UtilityList!$C$4:$C$251,0))</f>
        <v>0</v>
      </c>
      <c r="P92" s="698" t="str">
        <f t="array" ref="P92">IFERROR(INDEX(UtilityList!J$4:J$251,MATCH('Table 2.4a'!$A92&amp;'Table 2.4a'!$B92&amp;'Table 2.4a'!$C92,UtilityList!$A$4:$A$251&amp;UtilityList!$B$4:$B$251&amp;UtilityList!$C$4:$C$251,0)), INDEX(UtilityList!J$4:J$251,MATCH('Table 2.4a'!$A92&amp;'Table 2.4a'!$C92,UtilityList!$A$4:$A$251&amp;UtilityList!$C$4:$C$251,0)))</f>
        <v>Bering Straits</v>
      </c>
      <c r="Q92" s="698" t="str">
        <f t="array" ref="Q92">IFERROR(INDEX(UtilityList!K$4:K$251,MATCH('Table 2.4a'!$A92&amp;'Table 2.4a'!$B92&amp;'Table 2.4a'!$C92,UtilityList!$A$4:$A$251&amp;UtilityList!$B$4:$B$251&amp;UtilityList!$C$4:$C$251,0)), INDEX(UtilityList!K$4:K$251,MATCH('Table 2.4a'!$A92&amp;'Table 2.4a'!$C92,UtilityList!$A$4:$A$251&amp;UtilityList!$C$4:$C$251,0)))</f>
        <v>Nome (CA)</v>
      </c>
      <c r="R92" s="698" t="str">
        <f t="array" ref="R92">IFERROR(INDEX(UtilityList!L$4:L$251,MATCH('Table 2.4a'!$A92&amp;'Table 2.4a'!$B92&amp;'Table 2.4a'!$C92,UtilityList!$A$4:$A$251&amp;UtilityList!$B$4:$B$251&amp;UtilityList!$C$4:$C$251,0)), INDEX(UtilityList!L$4:L$251,MATCH('Table 2.4a'!$A92&amp;'Table 2.4a'!$C92,UtilityList!$A$4:$A$251&amp;UtilityList!$C$4:$C$251,0)))</f>
        <v>Bering Straits</v>
      </c>
      <c r="S92" s="698" t="str">
        <f t="array" ref="S92">IFERROR(INDEX(UtilityList!M$4:M$251,MATCH('Table 2.4a'!$A92&amp;'Table 2.4a'!$B92&amp;'Table 2.4a'!$C92,UtilityList!$A$4:$A$251&amp;UtilityList!$B$4:$B$251&amp;UtilityList!$C$4:$C$251,0)), INDEX(UtilityList!M$4:M$251,MATCH('Table 2.4a'!$A92&amp;'Table 2.4a'!$C92,UtilityList!$A$4:$A$251&amp;UtilityList!$C$4:$C$251,0)))</f>
        <v>AN</v>
      </c>
    </row>
    <row r="93" spans="1:19" customFormat="1" ht="30" x14ac:dyDescent="0.25">
      <c r="A93" s="678" t="s">
        <v>117</v>
      </c>
      <c r="B93" s="361" t="s">
        <v>118</v>
      </c>
      <c r="C93" s="679" t="s">
        <v>118</v>
      </c>
      <c r="D93" s="680" t="s">
        <v>545</v>
      </c>
      <c r="E93" s="680" t="s">
        <v>546</v>
      </c>
      <c r="F93" s="694">
        <f t="shared" si="5"/>
        <v>861.89849600000002</v>
      </c>
      <c r="G93" s="694">
        <f t="shared" si="4"/>
        <v>3070.3710000000001</v>
      </c>
      <c r="H93" s="695">
        <v>73.150000000000006</v>
      </c>
      <c r="I93" s="694">
        <f t="shared" si="6"/>
        <v>224.59763865000005</v>
      </c>
      <c r="J93" s="696">
        <f t="shared" si="7"/>
        <v>0.28071477225390679</v>
      </c>
      <c r="K93" s="697">
        <v>252.608</v>
      </c>
      <c r="L93" s="697">
        <v>22089</v>
      </c>
      <c r="M93" s="790">
        <v>0.13900000000000001</v>
      </c>
      <c r="N93" s="658" t="s">
        <v>356</v>
      </c>
      <c r="O93" s="698">
        <f t="array" ref="O93">INDEX(UtilityList!Q$4:Q$251,MATCH('Table 2.4a'!$A93&amp;'Table 2.4a'!$B93&amp;'Table 2.4a'!$C93,UtilityList!$A$4:$A$251&amp;UtilityList!$B$4:$B$251&amp;UtilityList!$C$4:$C$251,0))</f>
        <v>0</v>
      </c>
      <c r="P93" s="698" t="str">
        <f t="array" ref="P93">IFERROR(INDEX(UtilityList!J$4:J$251,MATCH('Table 2.4a'!$A93&amp;'Table 2.4a'!$B93&amp;'Table 2.4a'!$C93,UtilityList!$A$4:$A$251&amp;UtilityList!$B$4:$B$251&amp;UtilityList!$C$4:$C$251,0)), INDEX(UtilityList!J$4:J$251,MATCH('Table 2.4a'!$A93&amp;'Table 2.4a'!$C93,UtilityList!$A$4:$A$251&amp;UtilityList!$C$4:$C$251,0)))</f>
        <v>Kodiak</v>
      </c>
      <c r="Q93" s="698" t="str">
        <f t="array" ref="Q93">IFERROR(INDEX(UtilityList!K$4:K$251,MATCH('Table 2.4a'!$A93&amp;'Table 2.4a'!$B93&amp;'Table 2.4a'!$C93,UtilityList!$A$4:$A$251&amp;UtilityList!$B$4:$B$251&amp;UtilityList!$C$4:$C$251,0)), INDEX(UtilityList!K$4:K$251,MATCH('Table 2.4a'!$A93&amp;'Table 2.4a'!$C93,UtilityList!$A$4:$A$251&amp;UtilityList!$C$4:$C$251,0)))</f>
        <v>Kodiak Island</v>
      </c>
      <c r="R93" s="698" t="str">
        <f t="array" ref="R93">IFERROR(INDEX(UtilityList!L$4:L$251,MATCH('Table 2.4a'!$A93&amp;'Table 2.4a'!$B93&amp;'Table 2.4a'!$C93,UtilityList!$A$4:$A$251&amp;UtilityList!$B$4:$B$251&amp;UtilityList!$C$4:$C$251,0)), INDEX(UtilityList!L$4:L$251,MATCH('Table 2.4a'!$A93&amp;'Table 2.4a'!$C93,UtilityList!$A$4:$A$251&amp;UtilityList!$C$4:$C$251,0)))</f>
        <v>Koniag</v>
      </c>
      <c r="S93" s="698" t="str">
        <f t="array" ref="S93">IFERROR(INDEX(UtilityList!M$4:M$251,MATCH('Table 2.4a'!$A93&amp;'Table 2.4a'!$B93&amp;'Table 2.4a'!$C93,UtilityList!$A$4:$A$251&amp;UtilityList!$B$4:$B$251&amp;UtilityList!$C$4:$C$251,0)), INDEX(UtilityList!M$4:M$251,MATCH('Table 2.4a'!$A93&amp;'Table 2.4a'!$C93,UtilityList!$A$4:$A$251&amp;UtilityList!$C$4:$C$251,0)))</f>
        <v>SC</v>
      </c>
    </row>
    <row r="94" spans="1:19" s="169" customFormat="1" ht="30" x14ac:dyDescent="0.25">
      <c r="A94" s="693" t="s">
        <v>119</v>
      </c>
      <c r="B94" s="361" t="s">
        <v>120</v>
      </c>
      <c r="C94" s="361" t="s">
        <v>121</v>
      </c>
      <c r="D94" s="622" t="s">
        <v>545</v>
      </c>
      <c r="E94" s="622" t="s">
        <v>560</v>
      </c>
      <c r="F94" s="694">
        <f t="shared" si="5"/>
        <v>156.952</v>
      </c>
      <c r="G94" s="694">
        <f t="shared" si="4"/>
        <v>589.63800000000003</v>
      </c>
      <c r="H94" s="695">
        <v>73.150000000000006</v>
      </c>
      <c r="I94" s="694">
        <f t="shared" si="6"/>
        <v>43.132019700000008</v>
      </c>
      <c r="J94" s="696">
        <f t="shared" si="7"/>
        <v>0.26618365844806474</v>
      </c>
      <c r="K94" s="697">
        <v>46</v>
      </c>
      <c r="L94" s="697">
        <v>4242</v>
      </c>
      <c r="M94" s="790">
        <v>0.13900000000000001</v>
      </c>
      <c r="N94" s="658" t="s">
        <v>558</v>
      </c>
      <c r="O94" s="698">
        <f t="array" ref="O94">INDEX(UtilityList!Q$4:Q$251,MATCH('Table 2.4a'!$A94&amp;'Table 2.4a'!$B94&amp;'Table 2.4a'!$C94,UtilityList!$A$4:$A$251&amp;UtilityList!$B$4:$B$251&amp;UtilityList!$C$4:$C$251,0))</f>
        <v>0</v>
      </c>
      <c r="P94" s="698" t="str">
        <f t="array" ref="P94">IFERROR(INDEX(UtilityList!J$4:J$251,MATCH('Table 2.4a'!$A94&amp;'Table 2.4a'!$B94&amp;'Table 2.4a'!$C94,UtilityList!$A$4:$A$251&amp;UtilityList!$B$4:$B$251&amp;UtilityList!$C$4:$C$251,0)), INDEX(UtilityList!J$4:J$251,MATCH('Table 2.4a'!$A94&amp;'Table 2.4a'!$C94,UtilityList!$A$4:$A$251&amp;UtilityList!$C$4:$C$251,0)))</f>
        <v>Railbelt</v>
      </c>
      <c r="Q94" s="698" t="str">
        <f t="array" ref="Q94">IFERROR(INDEX(UtilityList!K$4:K$251,MATCH('Table 2.4a'!$A94&amp;'Table 2.4a'!$B94&amp;'Table 2.4a'!$C94,UtilityList!$A$4:$A$251&amp;UtilityList!$B$4:$B$251&amp;UtilityList!$C$4:$C$251,0)), INDEX(UtilityList!K$4:K$251,MATCH('Table 2.4a'!$A94&amp;'Table 2.4a'!$C94,UtilityList!$A$4:$A$251&amp;UtilityList!$C$4:$C$251,0)))</f>
        <v>Anchorage</v>
      </c>
      <c r="R94" s="698" t="str">
        <f t="array" ref="R94">IFERROR(INDEX(UtilityList!L$4:L$251,MATCH('Table 2.4a'!$A94&amp;'Table 2.4a'!$B94&amp;'Table 2.4a'!$C94,UtilityList!$A$4:$A$251&amp;UtilityList!$B$4:$B$251&amp;UtilityList!$C$4:$C$251,0)), INDEX(UtilityList!L$4:L$251,MATCH('Table 2.4a'!$A94&amp;'Table 2.4a'!$C94,UtilityList!$A$4:$A$251&amp;UtilityList!$C$4:$C$251,0)))</f>
        <v>Cook Inlet</v>
      </c>
      <c r="S94" s="698" t="str">
        <f t="array" ref="S94">IFERROR(INDEX(UtilityList!M$4:M$251,MATCH('Table 2.4a'!$A94&amp;'Table 2.4a'!$B94&amp;'Table 2.4a'!$C94,UtilityList!$A$4:$A$251&amp;UtilityList!$B$4:$B$251&amp;UtilityList!$C$4:$C$251,0)), INDEX(UtilityList!M$4:M$251,MATCH('Table 2.4a'!$A94&amp;'Table 2.4a'!$C94,UtilityList!$A$4:$A$251&amp;UtilityList!$C$4:$C$251,0)))</f>
        <v>SC</v>
      </c>
    </row>
    <row r="95" spans="1:19" s="169" customFormat="1" ht="30" x14ac:dyDescent="0.25">
      <c r="A95" s="693" t="s">
        <v>119</v>
      </c>
      <c r="B95" s="361" t="s">
        <v>120</v>
      </c>
      <c r="C95" s="361" t="s">
        <v>121</v>
      </c>
      <c r="D95" s="622" t="s">
        <v>564</v>
      </c>
      <c r="E95" s="622" t="s">
        <v>560</v>
      </c>
      <c r="F95" s="694">
        <f t="shared" si="5"/>
        <v>308533.51199999999</v>
      </c>
      <c r="G95" s="694">
        <f t="shared" si="4"/>
        <v>1113134.8060000001</v>
      </c>
      <c r="H95" s="695">
        <v>53.06</v>
      </c>
      <c r="I95" s="694">
        <f t="shared" si="6"/>
        <v>59062.932806360004</v>
      </c>
      <c r="J95" s="696">
        <f t="shared" si="7"/>
        <v>0.27717533432334335</v>
      </c>
      <c r="K95" s="697">
        <v>90426</v>
      </c>
      <c r="L95" s="697">
        <v>1089173</v>
      </c>
      <c r="M95" s="790">
        <v>1.022</v>
      </c>
      <c r="N95" s="658" t="s">
        <v>558</v>
      </c>
      <c r="O95" s="698">
        <f t="array" ref="O95">INDEX(UtilityList!Q$4:Q$251,MATCH('Table 2.4a'!$A95&amp;'Table 2.4a'!$B95&amp;'Table 2.4a'!$C95,UtilityList!$A$4:$A$251&amp;UtilityList!$B$4:$B$251&amp;UtilityList!$C$4:$C$251,0))</f>
        <v>0</v>
      </c>
      <c r="P95" s="698" t="str">
        <f t="array" ref="P95">IFERROR(INDEX(UtilityList!J$4:J$251,MATCH('Table 2.4a'!$A95&amp;'Table 2.4a'!$B95&amp;'Table 2.4a'!$C95,UtilityList!$A$4:$A$251&amp;UtilityList!$B$4:$B$251&amp;UtilityList!$C$4:$C$251,0)), INDEX(UtilityList!J$4:J$251,MATCH('Table 2.4a'!$A95&amp;'Table 2.4a'!$C95,UtilityList!$A$4:$A$251&amp;UtilityList!$C$4:$C$251,0)))</f>
        <v>Railbelt</v>
      </c>
      <c r="Q95" s="698" t="str">
        <f t="array" ref="Q95">IFERROR(INDEX(UtilityList!K$4:K$251,MATCH('Table 2.4a'!$A95&amp;'Table 2.4a'!$B95&amp;'Table 2.4a'!$C95,UtilityList!$A$4:$A$251&amp;UtilityList!$B$4:$B$251&amp;UtilityList!$C$4:$C$251,0)), INDEX(UtilityList!K$4:K$251,MATCH('Table 2.4a'!$A95&amp;'Table 2.4a'!$C95,UtilityList!$A$4:$A$251&amp;UtilityList!$C$4:$C$251,0)))</f>
        <v>Anchorage</v>
      </c>
      <c r="R95" s="698" t="str">
        <f t="array" ref="R95">IFERROR(INDEX(UtilityList!L$4:L$251,MATCH('Table 2.4a'!$A95&amp;'Table 2.4a'!$B95&amp;'Table 2.4a'!$C95,UtilityList!$A$4:$A$251&amp;UtilityList!$B$4:$B$251&amp;UtilityList!$C$4:$C$251,0)), INDEX(UtilityList!L$4:L$251,MATCH('Table 2.4a'!$A95&amp;'Table 2.4a'!$C95,UtilityList!$A$4:$A$251&amp;UtilityList!$C$4:$C$251,0)))</f>
        <v>Cook Inlet</v>
      </c>
      <c r="S95" s="698" t="str">
        <f t="array" ref="S95">IFERROR(INDEX(UtilityList!M$4:M$251,MATCH('Table 2.4a'!$A95&amp;'Table 2.4a'!$B95&amp;'Table 2.4a'!$C95,UtilityList!$A$4:$A$251&amp;UtilityList!$B$4:$B$251&amp;UtilityList!$C$4:$C$251,0)), INDEX(UtilityList!M$4:M$251,MATCH('Table 2.4a'!$A95&amp;'Table 2.4a'!$C95,UtilityList!$A$4:$A$251&amp;UtilityList!$C$4:$C$251,0)))</f>
        <v>SC</v>
      </c>
    </row>
    <row r="96" spans="1:19" s="169" customFormat="1" ht="30" x14ac:dyDescent="0.25">
      <c r="A96" s="693" t="s">
        <v>119</v>
      </c>
      <c r="B96" s="361" t="s">
        <v>120</v>
      </c>
      <c r="C96" s="361" t="s">
        <v>121</v>
      </c>
      <c r="D96" s="622" t="s">
        <v>545</v>
      </c>
      <c r="E96" s="622" t="s">
        <v>546</v>
      </c>
      <c r="F96" s="694">
        <f t="shared" si="5"/>
        <v>0</v>
      </c>
      <c r="G96" s="694">
        <f t="shared" si="4"/>
        <v>0</v>
      </c>
      <c r="H96" s="695">
        <v>73.150000000000006</v>
      </c>
      <c r="I96" s="694">
        <f t="shared" si="6"/>
        <v>0</v>
      </c>
      <c r="J96" s="696" t="str">
        <f t="shared" si="7"/>
        <v xml:space="preserve"> </v>
      </c>
      <c r="K96" s="697">
        <v>0</v>
      </c>
      <c r="L96" s="697">
        <v>0</v>
      </c>
      <c r="M96" s="790">
        <v>0.13900000000000001</v>
      </c>
      <c r="N96" s="658" t="s">
        <v>558</v>
      </c>
      <c r="O96" s="698">
        <f t="array" ref="O96">INDEX(UtilityList!Q$4:Q$251,MATCH('Table 2.4a'!$A96&amp;'Table 2.4a'!$B96&amp;'Table 2.4a'!$C96,UtilityList!$A$4:$A$251&amp;UtilityList!$B$4:$B$251&amp;UtilityList!$C$4:$C$251,0))</f>
        <v>0</v>
      </c>
      <c r="P96" s="698" t="str">
        <f t="array" ref="P96">IFERROR(INDEX(UtilityList!J$4:J$251,MATCH('Table 2.4a'!$A96&amp;'Table 2.4a'!$B96&amp;'Table 2.4a'!$C96,UtilityList!$A$4:$A$251&amp;UtilityList!$B$4:$B$251&amp;UtilityList!$C$4:$C$251,0)), INDEX(UtilityList!J$4:J$251,MATCH('Table 2.4a'!$A96&amp;'Table 2.4a'!$C96,UtilityList!$A$4:$A$251&amp;UtilityList!$C$4:$C$251,0)))</f>
        <v>Railbelt</v>
      </c>
      <c r="Q96" s="698" t="str">
        <f t="array" ref="Q96">IFERROR(INDEX(UtilityList!K$4:K$251,MATCH('Table 2.4a'!$A96&amp;'Table 2.4a'!$B96&amp;'Table 2.4a'!$C96,UtilityList!$A$4:$A$251&amp;UtilityList!$B$4:$B$251&amp;UtilityList!$C$4:$C$251,0)), INDEX(UtilityList!K$4:K$251,MATCH('Table 2.4a'!$A96&amp;'Table 2.4a'!$C96,UtilityList!$A$4:$A$251&amp;UtilityList!$C$4:$C$251,0)))</f>
        <v>Anchorage</v>
      </c>
      <c r="R96" s="698" t="str">
        <f t="array" ref="R96">IFERROR(INDEX(UtilityList!L$4:L$251,MATCH('Table 2.4a'!$A96&amp;'Table 2.4a'!$B96&amp;'Table 2.4a'!$C96,UtilityList!$A$4:$A$251&amp;UtilityList!$B$4:$B$251&amp;UtilityList!$C$4:$C$251,0)), INDEX(UtilityList!L$4:L$251,MATCH('Table 2.4a'!$A96&amp;'Table 2.4a'!$C96,UtilityList!$A$4:$A$251&amp;UtilityList!$C$4:$C$251,0)))</f>
        <v>Cook Inlet</v>
      </c>
      <c r="S96" s="698" t="str">
        <f t="array" ref="S96">IFERROR(INDEX(UtilityList!M$4:M$251,MATCH('Table 2.4a'!$A96&amp;'Table 2.4a'!$B96&amp;'Table 2.4a'!$C96,UtilityList!$A$4:$A$251&amp;UtilityList!$B$4:$B$251&amp;UtilityList!$C$4:$C$251,0)), INDEX(UtilityList!M$4:M$251,MATCH('Table 2.4a'!$A96&amp;'Table 2.4a'!$C96,UtilityList!$A$4:$A$251&amp;UtilityList!$C$4:$C$251,0)))</f>
        <v>SC</v>
      </c>
    </row>
    <row r="97" spans="1:19" s="169" customFormat="1" ht="30" x14ac:dyDescent="0.25">
      <c r="A97" s="693" t="s">
        <v>119</v>
      </c>
      <c r="B97" s="361" t="s">
        <v>122</v>
      </c>
      <c r="C97" s="361" t="s">
        <v>121</v>
      </c>
      <c r="D97" s="622" t="s">
        <v>545</v>
      </c>
      <c r="E97" s="622" t="s">
        <v>567</v>
      </c>
      <c r="F97" s="694">
        <f t="shared" si="5"/>
        <v>638.04399999999998</v>
      </c>
      <c r="G97" s="694">
        <f t="shared" si="4"/>
        <v>2656.2900000000004</v>
      </c>
      <c r="H97" s="695">
        <v>73.150000000000006</v>
      </c>
      <c r="I97" s="694">
        <f t="shared" si="6"/>
        <v>194.30761350000003</v>
      </c>
      <c r="J97" s="696">
        <f t="shared" si="7"/>
        <v>0.24020118285277581</v>
      </c>
      <c r="K97" s="697">
        <v>187</v>
      </c>
      <c r="L97" s="697">
        <v>19110</v>
      </c>
      <c r="M97" s="790">
        <v>0.13900000000000001</v>
      </c>
      <c r="N97" s="658" t="s">
        <v>558</v>
      </c>
      <c r="O97" s="698">
        <f t="array" ref="O97">INDEX(UtilityList!Q$4:Q$251,MATCH('Table 2.4a'!$A97&amp;'Table 2.4a'!$B97&amp;'Table 2.4a'!$C97,UtilityList!$A$4:$A$251&amp;UtilityList!$B$4:$B$251&amp;UtilityList!$C$4:$C$251,0))</f>
        <v>0</v>
      </c>
      <c r="P97" s="698" t="str">
        <f t="array" ref="P97">IFERROR(INDEX(UtilityList!J$4:J$251,MATCH('Table 2.4a'!$A97&amp;'Table 2.4a'!$B97&amp;'Table 2.4a'!$C97,UtilityList!$A$4:$A$251&amp;UtilityList!$B$4:$B$251&amp;UtilityList!$C$4:$C$251,0)), INDEX(UtilityList!J$4:J$251,MATCH('Table 2.4a'!$A97&amp;'Table 2.4a'!$C97,UtilityList!$A$4:$A$251&amp;UtilityList!$C$4:$C$251,0)))</f>
        <v>Railbelt</v>
      </c>
      <c r="Q97" s="698" t="str">
        <f t="array" ref="Q97">IFERROR(INDEX(UtilityList!K$4:K$251,MATCH('Table 2.4a'!$A97&amp;'Table 2.4a'!$B97&amp;'Table 2.4a'!$C97,UtilityList!$A$4:$A$251&amp;UtilityList!$B$4:$B$251&amp;UtilityList!$C$4:$C$251,0)), INDEX(UtilityList!K$4:K$251,MATCH('Table 2.4a'!$A97&amp;'Table 2.4a'!$C97,UtilityList!$A$4:$A$251&amp;UtilityList!$C$4:$C$251,0)))</f>
        <v>Anchorage</v>
      </c>
      <c r="R97" s="698" t="str">
        <f t="array" ref="R97">IFERROR(INDEX(UtilityList!L$4:L$251,MATCH('Table 2.4a'!$A97&amp;'Table 2.4a'!$B97&amp;'Table 2.4a'!$C97,UtilityList!$A$4:$A$251&amp;UtilityList!$B$4:$B$251&amp;UtilityList!$C$4:$C$251,0)), INDEX(UtilityList!L$4:L$251,MATCH('Table 2.4a'!$A97&amp;'Table 2.4a'!$C97,UtilityList!$A$4:$A$251&amp;UtilityList!$C$4:$C$251,0)))</f>
        <v>Cook Inlet</v>
      </c>
      <c r="S97" s="698" t="str">
        <f t="array" ref="S97">IFERROR(INDEX(UtilityList!M$4:M$251,MATCH('Table 2.4a'!$A97&amp;'Table 2.4a'!$B97&amp;'Table 2.4a'!$C97,UtilityList!$A$4:$A$251&amp;UtilityList!$B$4:$B$251&amp;UtilityList!$C$4:$C$251,0)), INDEX(UtilityList!M$4:M$251,MATCH('Table 2.4a'!$A97&amp;'Table 2.4a'!$C97,UtilityList!$A$4:$A$251&amp;UtilityList!$C$4:$C$251,0)))</f>
        <v>SC</v>
      </c>
    </row>
    <row r="98" spans="1:19" s="169" customFormat="1" ht="30" x14ac:dyDescent="0.25">
      <c r="A98" s="693" t="s">
        <v>119</v>
      </c>
      <c r="B98" s="361" t="s">
        <v>122</v>
      </c>
      <c r="C98" s="361" t="s">
        <v>121</v>
      </c>
      <c r="D98" s="622" t="s">
        <v>564</v>
      </c>
      <c r="E98" s="622" t="s">
        <v>567</v>
      </c>
      <c r="F98" s="694">
        <f t="shared" si="5"/>
        <v>2499692.6159999999</v>
      </c>
      <c r="G98" s="694">
        <f t="shared" si="4"/>
        <v>9929991.148</v>
      </c>
      <c r="H98" s="695">
        <v>53.06</v>
      </c>
      <c r="I98" s="694">
        <f t="shared" si="6"/>
        <v>526885.33031287999</v>
      </c>
      <c r="J98" s="696">
        <f t="shared" si="7"/>
        <v>0.25173160567252501</v>
      </c>
      <c r="K98" s="697">
        <v>732618</v>
      </c>
      <c r="L98" s="697">
        <v>9716234</v>
      </c>
      <c r="M98" s="790">
        <v>1.022</v>
      </c>
      <c r="N98" s="658" t="s">
        <v>558</v>
      </c>
      <c r="O98" s="698">
        <f t="array" ref="O98">INDEX(UtilityList!Q$4:Q$251,MATCH('Table 2.4a'!$A98&amp;'Table 2.4a'!$B98&amp;'Table 2.4a'!$C98,UtilityList!$A$4:$A$251&amp;UtilityList!$B$4:$B$251&amp;UtilityList!$C$4:$C$251,0))</f>
        <v>0</v>
      </c>
      <c r="P98" s="698" t="str">
        <f t="array" ref="P98">IFERROR(INDEX(UtilityList!J$4:J$251,MATCH('Table 2.4a'!$A98&amp;'Table 2.4a'!$B98&amp;'Table 2.4a'!$C98,UtilityList!$A$4:$A$251&amp;UtilityList!$B$4:$B$251&amp;UtilityList!$C$4:$C$251,0)), INDEX(UtilityList!J$4:J$251,MATCH('Table 2.4a'!$A98&amp;'Table 2.4a'!$C98,UtilityList!$A$4:$A$251&amp;UtilityList!$C$4:$C$251,0)))</f>
        <v>Railbelt</v>
      </c>
      <c r="Q98" s="698" t="str">
        <f t="array" ref="Q98">IFERROR(INDEX(UtilityList!K$4:K$251,MATCH('Table 2.4a'!$A98&amp;'Table 2.4a'!$B98&amp;'Table 2.4a'!$C98,UtilityList!$A$4:$A$251&amp;UtilityList!$B$4:$B$251&amp;UtilityList!$C$4:$C$251,0)), INDEX(UtilityList!K$4:K$251,MATCH('Table 2.4a'!$A98&amp;'Table 2.4a'!$C98,UtilityList!$A$4:$A$251&amp;UtilityList!$C$4:$C$251,0)))</f>
        <v>Anchorage</v>
      </c>
      <c r="R98" s="698" t="str">
        <f t="array" ref="R98">IFERROR(INDEX(UtilityList!L$4:L$251,MATCH('Table 2.4a'!$A98&amp;'Table 2.4a'!$B98&amp;'Table 2.4a'!$C98,UtilityList!$A$4:$A$251&amp;UtilityList!$B$4:$B$251&amp;UtilityList!$C$4:$C$251,0)), INDEX(UtilityList!L$4:L$251,MATCH('Table 2.4a'!$A98&amp;'Table 2.4a'!$C98,UtilityList!$A$4:$A$251&amp;UtilityList!$C$4:$C$251,0)))</f>
        <v>Cook Inlet</v>
      </c>
      <c r="S98" s="698" t="str">
        <f t="array" ref="S98">IFERROR(INDEX(UtilityList!M$4:M$251,MATCH('Table 2.4a'!$A98&amp;'Table 2.4a'!$B98&amp;'Table 2.4a'!$C98,UtilityList!$A$4:$A$251&amp;UtilityList!$B$4:$B$251&amp;UtilityList!$C$4:$C$251,0)), INDEX(UtilityList!M$4:M$251,MATCH('Table 2.4a'!$A98&amp;'Table 2.4a'!$C98,UtilityList!$A$4:$A$251&amp;UtilityList!$C$4:$C$251,0)))</f>
        <v>SC</v>
      </c>
    </row>
    <row r="99" spans="1:19" s="169" customFormat="1" ht="30" x14ac:dyDescent="0.25">
      <c r="A99" s="693" t="s">
        <v>119</v>
      </c>
      <c r="B99" s="361" t="s">
        <v>122</v>
      </c>
      <c r="C99" s="361" t="s">
        <v>121</v>
      </c>
      <c r="D99" s="622" t="s">
        <v>564</v>
      </c>
      <c r="E99" s="622" t="s">
        <v>560</v>
      </c>
      <c r="F99" s="694">
        <f t="shared" si="5"/>
        <v>434047.34399999998</v>
      </c>
      <c r="G99" s="694">
        <f t="shared" si="4"/>
        <v>1671431.9440000001</v>
      </c>
      <c r="H99" s="695">
        <v>53.06</v>
      </c>
      <c r="I99" s="694">
        <f t="shared" si="6"/>
        <v>88686.178948640008</v>
      </c>
      <c r="J99" s="696">
        <f t="shared" si="7"/>
        <v>0.25968592113972422</v>
      </c>
      <c r="K99" s="697">
        <v>127212</v>
      </c>
      <c r="L99" s="697">
        <v>1635452</v>
      </c>
      <c r="M99" s="790">
        <v>1.022</v>
      </c>
      <c r="N99" s="658" t="s">
        <v>558</v>
      </c>
      <c r="O99" s="698">
        <f t="array" ref="O99">INDEX(UtilityList!Q$4:Q$251,MATCH('Table 2.4a'!$A99&amp;'Table 2.4a'!$B99&amp;'Table 2.4a'!$C99,UtilityList!$A$4:$A$251&amp;UtilityList!$B$4:$B$251&amp;UtilityList!$C$4:$C$251,0))</f>
        <v>0</v>
      </c>
      <c r="P99" s="698" t="str">
        <f t="array" ref="P99">IFERROR(INDEX(UtilityList!J$4:J$251,MATCH('Table 2.4a'!$A99&amp;'Table 2.4a'!$B99&amp;'Table 2.4a'!$C99,UtilityList!$A$4:$A$251&amp;UtilityList!$B$4:$B$251&amp;UtilityList!$C$4:$C$251,0)), INDEX(UtilityList!J$4:J$251,MATCH('Table 2.4a'!$A99&amp;'Table 2.4a'!$C99,UtilityList!$A$4:$A$251&amp;UtilityList!$C$4:$C$251,0)))</f>
        <v>Railbelt</v>
      </c>
      <c r="Q99" s="698" t="str">
        <f t="array" ref="Q99">IFERROR(INDEX(UtilityList!K$4:K$251,MATCH('Table 2.4a'!$A99&amp;'Table 2.4a'!$B99&amp;'Table 2.4a'!$C99,UtilityList!$A$4:$A$251&amp;UtilityList!$B$4:$B$251&amp;UtilityList!$C$4:$C$251,0)), INDEX(UtilityList!K$4:K$251,MATCH('Table 2.4a'!$A99&amp;'Table 2.4a'!$C99,UtilityList!$A$4:$A$251&amp;UtilityList!$C$4:$C$251,0)))</f>
        <v>Anchorage</v>
      </c>
      <c r="R99" s="698" t="str">
        <f t="array" ref="R99">IFERROR(INDEX(UtilityList!L$4:L$251,MATCH('Table 2.4a'!$A99&amp;'Table 2.4a'!$B99&amp;'Table 2.4a'!$C99,UtilityList!$A$4:$A$251&amp;UtilityList!$B$4:$B$251&amp;UtilityList!$C$4:$C$251,0)), INDEX(UtilityList!L$4:L$251,MATCH('Table 2.4a'!$A99&amp;'Table 2.4a'!$C99,UtilityList!$A$4:$A$251&amp;UtilityList!$C$4:$C$251,0)))</f>
        <v>Cook Inlet</v>
      </c>
      <c r="S99" s="698" t="str">
        <f t="array" ref="S99">IFERROR(INDEX(UtilityList!M$4:M$251,MATCH('Table 2.4a'!$A99&amp;'Table 2.4a'!$B99&amp;'Table 2.4a'!$C99,UtilityList!$A$4:$A$251&amp;UtilityList!$B$4:$B$251&amp;UtilityList!$C$4:$C$251,0)), INDEX(UtilityList!M$4:M$251,MATCH('Table 2.4a'!$A99&amp;'Table 2.4a'!$C99,UtilityList!$A$4:$A$251&amp;UtilityList!$C$4:$C$251,0)))</f>
        <v>SC</v>
      </c>
    </row>
    <row r="100" spans="1:19" s="169" customFormat="1" ht="30" x14ac:dyDescent="0.25">
      <c r="A100" s="693" t="s">
        <v>119</v>
      </c>
      <c r="B100" s="361" t="s">
        <v>122</v>
      </c>
      <c r="C100" s="361" t="s">
        <v>121</v>
      </c>
      <c r="D100" s="622" t="s">
        <v>564</v>
      </c>
      <c r="E100" s="622" t="s">
        <v>568</v>
      </c>
      <c r="F100" s="694">
        <f t="shared" si="5"/>
        <v>760347.14</v>
      </c>
      <c r="G100" s="694">
        <f t="shared" si="4"/>
        <v>0</v>
      </c>
      <c r="H100" s="695">
        <v>53.06</v>
      </c>
      <c r="I100" s="694">
        <f t="shared" si="6"/>
        <v>0</v>
      </c>
      <c r="J100" s="696" t="str">
        <f t="shared" si="7"/>
        <v xml:space="preserve"> </v>
      </c>
      <c r="K100" s="697">
        <v>222845</v>
      </c>
      <c r="L100" s="697">
        <v>0</v>
      </c>
      <c r="M100" s="790">
        <v>1.022</v>
      </c>
      <c r="N100" s="658" t="s">
        <v>558</v>
      </c>
      <c r="O100" s="698">
        <f t="array" ref="O100">INDEX(UtilityList!Q$4:Q$251,MATCH('Table 2.4a'!$A100&amp;'Table 2.4a'!$B100&amp;'Table 2.4a'!$C100,UtilityList!$A$4:$A$251&amp;UtilityList!$B$4:$B$251&amp;UtilityList!$C$4:$C$251,0))</f>
        <v>0</v>
      </c>
      <c r="P100" s="698" t="str">
        <f t="array" ref="P100">IFERROR(INDEX(UtilityList!J$4:J$251,MATCH('Table 2.4a'!$A100&amp;'Table 2.4a'!$B100&amp;'Table 2.4a'!$C100,UtilityList!$A$4:$A$251&amp;UtilityList!$B$4:$B$251&amp;UtilityList!$C$4:$C$251,0)), INDEX(UtilityList!J$4:J$251,MATCH('Table 2.4a'!$A100&amp;'Table 2.4a'!$C100,UtilityList!$A$4:$A$251&amp;UtilityList!$C$4:$C$251,0)))</f>
        <v>Railbelt</v>
      </c>
      <c r="Q100" s="698" t="str">
        <f t="array" ref="Q100">IFERROR(INDEX(UtilityList!K$4:K$251,MATCH('Table 2.4a'!$A100&amp;'Table 2.4a'!$B100&amp;'Table 2.4a'!$C100,UtilityList!$A$4:$A$251&amp;UtilityList!$B$4:$B$251&amp;UtilityList!$C$4:$C$251,0)), INDEX(UtilityList!K$4:K$251,MATCH('Table 2.4a'!$A100&amp;'Table 2.4a'!$C100,UtilityList!$A$4:$A$251&amp;UtilityList!$C$4:$C$251,0)))</f>
        <v>Anchorage</v>
      </c>
      <c r="R100" s="698" t="str">
        <f t="array" ref="R100">IFERROR(INDEX(UtilityList!L$4:L$251,MATCH('Table 2.4a'!$A100&amp;'Table 2.4a'!$B100&amp;'Table 2.4a'!$C100,UtilityList!$A$4:$A$251&amp;UtilityList!$B$4:$B$251&amp;UtilityList!$C$4:$C$251,0)), INDEX(UtilityList!L$4:L$251,MATCH('Table 2.4a'!$A100&amp;'Table 2.4a'!$C100,UtilityList!$A$4:$A$251&amp;UtilityList!$C$4:$C$251,0)))</f>
        <v>Cook Inlet</v>
      </c>
      <c r="S100" s="698" t="str">
        <f t="array" ref="S100">IFERROR(INDEX(UtilityList!M$4:M$251,MATCH('Table 2.4a'!$A100&amp;'Table 2.4a'!$B100&amp;'Table 2.4a'!$C100,UtilityList!$A$4:$A$251&amp;UtilityList!$B$4:$B$251&amp;UtilityList!$C$4:$C$251,0)), INDEX(UtilityList!M$4:M$251,MATCH('Table 2.4a'!$A100&amp;'Table 2.4a'!$C100,UtilityList!$A$4:$A$251&amp;UtilityList!$C$4:$C$251,0)))</f>
        <v>SC</v>
      </c>
    </row>
    <row r="101" spans="1:19" customFormat="1" ht="30" x14ac:dyDescent="0.25">
      <c r="A101" s="678" t="s">
        <v>123</v>
      </c>
      <c r="B101" s="361" t="s">
        <v>124</v>
      </c>
      <c r="C101" s="679" t="s">
        <v>124</v>
      </c>
      <c r="D101" s="680" t="s">
        <v>545</v>
      </c>
      <c r="E101" s="680" t="s">
        <v>546</v>
      </c>
      <c r="F101" s="694">
        <f t="shared" si="5"/>
        <v>8934.656375999999</v>
      </c>
      <c r="G101" s="694">
        <f t="shared" si="4"/>
        <v>28377.406000000003</v>
      </c>
      <c r="H101" s="695">
        <v>73.150000000000006</v>
      </c>
      <c r="I101" s="694">
        <f t="shared" si="6"/>
        <v>2075.8072489000006</v>
      </c>
      <c r="J101" s="696">
        <f t="shared" si="7"/>
        <v>0.31485106059376949</v>
      </c>
      <c r="K101" s="697">
        <v>2618.598</v>
      </c>
      <c r="L101" s="697">
        <v>204154</v>
      </c>
      <c r="M101" s="790">
        <v>0.13900000000000001</v>
      </c>
      <c r="N101" s="658" t="s">
        <v>356</v>
      </c>
      <c r="O101" s="698">
        <f t="array" ref="O101">INDEX(UtilityList!Q$4:Q$251,MATCH('Table 2.4a'!$A101&amp;'Table 2.4a'!$B101&amp;'Table 2.4a'!$C101,UtilityList!$A$4:$A$251&amp;UtilityList!$B$4:$B$251&amp;UtilityList!$C$4:$C$251,0))</f>
        <v>0</v>
      </c>
      <c r="P101" s="698" t="str">
        <f t="array" ref="P101">IFERROR(INDEX(UtilityList!J$4:J$251,MATCH('Table 2.4a'!$A101&amp;'Table 2.4a'!$B101&amp;'Table 2.4a'!$C101,UtilityList!$A$4:$A$251&amp;UtilityList!$B$4:$B$251&amp;UtilityList!$C$4:$C$251,0)), INDEX(UtilityList!J$4:J$251,MATCH('Table 2.4a'!$A101&amp;'Table 2.4a'!$C101,UtilityList!$A$4:$A$251&amp;UtilityList!$C$4:$C$251,0)))</f>
        <v>Lower Yukon-Kuskokwim</v>
      </c>
      <c r="Q101" s="698" t="str">
        <f t="array" ref="Q101">IFERROR(INDEX(UtilityList!K$4:K$251,MATCH('Table 2.4a'!$A101&amp;'Table 2.4a'!$B101&amp;'Table 2.4a'!$C101,UtilityList!$A$4:$A$251&amp;UtilityList!$B$4:$B$251&amp;UtilityList!$C$4:$C$251,0)), INDEX(UtilityList!K$4:K$251,MATCH('Table 2.4a'!$A101&amp;'Table 2.4a'!$C101,UtilityList!$A$4:$A$251&amp;UtilityList!$C$4:$C$251,0)))</f>
        <v>Bethel (CA)</v>
      </c>
      <c r="R101" s="698" t="str">
        <f t="array" ref="R101">IFERROR(INDEX(UtilityList!L$4:L$251,MATCH('Table 2.4a'!$A101&amp;'Table 2.4a'!$B101&amp;'Table 2.4a'!$C101,UtilityList!$A$4:$A$251&amp;UtilityList!$B$4:$B$251&amp;UtilityList!$C$4:$C$251,0)), INDEX(UtilityList!L$4:L$251,MATCH('Table 2.4a'!$A101&amp;'Table 2.4a'!$C101,UtilityList!$A$4:$A$251&amp;UtilityList!$C$4:$C$251,0)))</f>
        <v>Calista</v>
      </c>
      <c r="S101" s="698" t="str">
        <f t="array" ref="S101">IFERROR(INDEX(UtilityList!M$4:M$251,MATCH('Table 2.4a'!$A101&amp;'Table 2.4a'!$B101&amp;'Table 2.4a'!$C101,UtilityList!$A$4:$A$251&amp;UtilityList!$B$4:$B$251&amp;UtilityList!$C$4:$C$251,0)), INDEX(UtilityList!M$4:M$251,MATCH('Table 2.4a'!$A101&amp;'Table 2.4a'!$C101,UtilityList!$A$4:$A$251&amp;UtilityList!$C$4:$C$251,0)))</f>
        <v>SW</v>
      </c>
    </row>
    <row r="102" spans="1:19" customFormat="1" ht="30" x14ac:dyDescent="0.25">
      <c r="A102" s="678" t="s">
        <v>127</v>
      </c>
      <c r="B102" s="361" t="s">
        <v>128</v>
      </c>
      <c r="C102" s="679" t="s">
        <v>128</v>
      </c>
      <c r="D102" s="680" t="s">
        <v>545</v>
      </c>
      <c r="E102" s="680" t="s">
        <v>546</v>
      </c>
      <c r="F102" s="694">
        <f t="shared" si="5"/>
        <v>1516.026664</v>
      </c>
      <c r="G102" s="694">
        <f t="shared" si="4"/>
        <v>6816.0040000000017</v>
      </c>
      <c r="H102" s="695">
        <v>73.150000000000006</v>
      </c>
      <c r="I102" s="694">
        <f t="shared" si="6"/>
        <v>498.59069260000018</v>
      </c>
      <c r="J102" s="696">
        <f t="shared" si="7"/>
        <v>0.222421621818297</v>
      </c>
      <c r="K102" s="697">
        <v>444.322</v>
      </c>
      <c r="L102" s="697">
        <v>49036.000000000007</v>
      </c>
      <c r="M102" s="790">
        <v>0.13900000000000001</v>
      </c>
      <c r="N102" s="658" t="s">
        <v>356</v>
      </c>
      <c r="O102" s="698">
        <f t="array" ref="O102">INDEX(UtilityList!Q$4:Q$251,MATCH('Table 2.4a'!$A102&amp;'Table 2.4a'!$B102&amp;'Table 2.4a'!$C102,UtilityList!$A$4:$A$251&amp;UtilityList!$B$4:$B$251&amp;UtilityList!$C$4:$C$251,0))</f>
        <v>0</v>
      </c>
      <c r="P102" s="698" t="str">
        <f t="array" ref="P102">IFERROR(INDEX(UtilityList!J$4:J$251,MATCH('Table 2.4a'!$A102&amp;'Table 2.4a'!$B102&amp;'Table 2.4a'!$C102,UtilityList!$A$4:$A$251&amp;UtilityList!$B$4:$B$251&amp;UtilityList!$C$4:$C$251,0)), INDEX(UtilityList!J$4:J$251,MATCH('Table 2.4a'!$A102&amp;'Table 2.4a'!$C102,UtilityList!$A$4:$A$251&amp;UtilityList!$C$4:$C$251,0)))</f>
        <v>Aleutians</v>
      </c>
      <c r="Q102" s="698" t="str">
        <f t="array" ref="Q102">IFERROR(INDEX(UtilityList!K$4:K$251,MATCH('Table 2.4a'!$A102&amp;'Table 2.4a'!$B102&amp;'Table 2.4a'!$C102,UtilityList!$A$4:$A$251&amp;UtilityList!$B$4:$B$251&amp;UtilityList!$C$4:$C$251,0)), INDEX(UtilityList!K$4:K$251,MATCH('Table 2.4a'!$A102&amp;'Table 2.4a'!$C102,UtilityList!$A$4:$A$251&amp;UtilityList!$C$4:$C$251,0)))</f>
        <v>Aleutians West (CA)</v>
      </c>
      <c r="R102" s="698" t="str">
        <f t="array" ref="R102">IFERROR(INDEX(UtilityList!L$4:L$251,MATCH('Table 2.4a'!$A102&amp;'Table 2.4a'!$B102&amp;'Table 2.4a'!$C102,UtilityList!$A$4:$A$251&amp;UtilityList!$B$4:$B$251&amp;UtilityList!$C$4:$C$251,0)), INDEX(UtilityList!L$4:L$251,MATCH('Table 2.4a'!$A102&amp;'Table 2.4a'!$C102,UtilityList!$A$4:$A$251&amp;UtilityList!$C$4:$C$251,0)))</f>
        <v>Aleut</v>
      </c>
      <c r="S102" s="698" t="str">
        <f t="array" ref="S102">IFERROR(INDEX(UtilityList!M$4:M$251,MATCH('Table 2.4a'!$A102&amp;'Table 2.4a'!$B102&amp;'Table 2.4a'!$C102,UtilityList!$A$4:$A$251&amp;UtilityList!$B$4:$B$251&amp;UtilityList!$C$4:$C$251,0)), INDEX(UtilityList!M$4:M$251,MATCH('Table 2.4a'!$A102&amp;'Table 2.4a'!$C102,UtilityList!$A$4:$A$251&amp;UtilityList!$C$4:$C$251,0)))</f>
        <v>SW</v>
      </c>
    </row>
    <row r="103" spans="1:19" customFormat="1" ht="30" x14ac:dyDescent="0.25">
      <c r="A103" s="678" t="s">
        <v>129</v>
      </c>
      <c r="B103" s="361" t="s">
        <v>130</v>
      </c>
      <c r="C103" s="679" t="s">
        <v>130</v>
      </c>
      <c r="D103" s="680" t="s">
        <v>545</v>
      </c>
      <c r="E103" s="680" t="s">
        <v>546</v>
      </c>
      <c r="F103" s="694">
        <f t="shared" si="5"/>
        <v>2718.7293679999998</v>
      </c>
      <c r="G103" s="694">
        <f t="shared" si="4"/>
        <v>7553.9549999999999</v>
      </c>
      <c r="H103" s="695">
        <v>73.150000000000006</v>
      </c>
      <c r="I103" s="694">
        <f t="shared" si="6"/>
        <v>552.57180825</v>
      </c>
      <c r="J103" s="696">
        <f t="shared" si="7"/>
        <v>0.35990807040815043</v>
      </c>
      <c r="K103" s="697">
        <v>796.81399999999996</v>
      </c>
      <c r="L103" s="697">
        <v>54344.999999999993</v>
      </c>
      <c r="M103" s="790">
        <v>0.13900000000000001</v>
      </c>
      <c r="N103" s="658" t="s">
        <v>356</v>
      </c>
      <c r="O103" s="698">
        <f t="array" ref="O103">INDEX(UtilityList!Q$4:Q$251,MATCH('Table 2.4a'!$A103&amp;'Table 2.4a'!$B103&amp;'Table 2.4a'!$C103,UtilityList!$A$4:$A$251&amp;UtilityList!$B$4:$B$251&amp;UtilityList!$C$4:$C$251,0))</f>
        <v>0</v>
      </c>
      <c r="P103" s="698" t="str">
        <f t="array" ref="P103">IFERROR(INDEX(UtilityList!J$4:J$251,MATCH('Table 2.4a'!$A103&amp;'Table 2.4a'!$B103&amp;'Table 2.4a'!$C103,UtilityList!$A$4:$A$251&amp;UtilityList!$B$4:$B$251&amp;UtilityList!$C$4:$C$251,0)), INDEX(UtilityList!J$4:J$251,MATCH('Table 2.4a'!$A103&amp;'Table 2.4a'!$C103,UtilityList!$A$4:$A$251&amp;UtilityList!$C$4:$C$251,0)))</f>
        <v>Lower Yukon-Kuskokwim</v>
      </c>
      <c r="Q103" s="698" t="str">
        <f t="array" ref="Q103">IFERROR(INDEX(UtilityList!K$4:K$251,MATCH('Table 2.4a'!$A103&amp;'Table 2.4a'!$B103&amp;'Table 2.4a'!$C103,UtilityList!$A$4:$A$251&amp;UtilityList!$B$4:$B$251&amp;UtilityList!$C$4:$C$251,0)), INDEX(UtilityList!K$4:K$251,MATCH('Table 2.4a'!$A103&amp;'Table 2.4a'!$C103,UtilityList!$A$4:$A$251&amp;UtilityList!$C$4:$C$251,0)))</f>
        <v>Bethel (CA)</v>
      </c>
      <c r="R103" s="698" t="str">
        <f t="array" ref="R103">IFERROR(INDEX(UtilityList!L$4:L$251,MATCH('Table 2.4a'!$A103&amp;'Table 2.4a'!$B103&amp;'Table 2.4a'!$C103,UtilityList!$A$4:$A$251&amp;UtilityList!$B$4:$B$251&amp;UtilityList!$C$4:$C$251,0)), INDEX(UtilityList!L$4:L$251,MATCH('Table 2.4a'!$A103&amp;'Table 2.4a'!$C103,UtilityList!$A$4:$A$251&amp;UtilityList!$C$4:$C$251,0)))</f>
        <v>Calista</v>
      </c>
      <c r="S103" s="698" t="str">
        <f t="array" ref="S103">IFERROR(INDEX(UtilityList!M$4:M$251,MATCH('Table 2.4a'!$A103&amp;'Table 2.4a'!$B103&amp;'Table 2.4a'!$C103,UtilityList!$A$4:$A$251&amp;UtilityList!$B$4:$B$251&amp;UtilityList!$C$4:$C$251,0)), INDEX(UtilityList!M$4:M$251,MATCH('Table 2.4a'!$A103&amp;'Table 2.4a'!$C103,UtilityList!$A$4:$A$251&amp;UtilityList!$C$4:$C$251,0)))</f>
        <v>SW</v>
      </c>
    </row>
    <row r="104" spans="1:19" s="169" customFormat="1" ht="60" x14ac:dyDescent="0.25">
      <c r="A104" s="684" t="s">
        <v>131</v>
      </c>
      <c r="B104" s="352" t="s">
        <v>668</v>
      </c>
      <c r="C104" s="352" t="s">
        <v>132</v>
      </c>
      <c r="D104" s="622" t="s">
        <v>561</v>
      </c>
      <c r="E104" s="622" t="s">
        <v>562</v>
      </c>
      <c r="F104" s="694">
        <f t="shared" si="5"/>
        <v>713619.79999999993</v>
      </c>
      <c r="G104" s="694">
        <f t="shared" si="4"/>
        <v>3557088.2936170232</v>
      </c>
      <c r="H104" s="695">
        <v>97.17</v>
      </c>
      <c r="I104" s="694">
        <f t="shared" si="6"/>
        <v>345642.26949076616</v>
      </c>
      <c r="J104" s="696">
        <f t="shared" si="7"/>
        <v>0.20061908535712958</v>
      </c>
      <c r="K104" s="697">
        <v>209150</v>
      </c>
      <c r="L104" s="697">
        <v>234347</v>
      </c>
      <c r="M104" s="790">
        <v>15.178723404255328</v>
      </c>
      <c r="N104" s="658" t="s">
        <v>558</v>
      </c>
      <c r="O104" s="698" t="str">
        <f t="array" ref="O104">INDEX(UtilityList!Q$4:Q$251,MATCH('Table 2.4a'!$A104&amp;'Table 2.4a'!$B104&amp;'Table 2.4a'!$C104,UtilityList!$A$4:$A$251&amp;UtilityList!$B$4:$B$251&amp;UtilityList!$C$4:$C$251,0))</f>
        <v xml:space="preserve"> Aurora Energy LLC is an independent power producer that sells all its power to GVEA.</v>
      </c>
      <c r="P104" s="698" t="str">
        <f t="array" ref="P104">IFERROR(INDEX(UtilityList!J$4:J$251,MATCH('Table 2.4a'!$A104&amp;'Table 2.4a'!$B104&amp;'Table 2.4a'!$C104,UtilityList!$A$4:$A$251&amp;UtilityList!$B$4:$B$251&amp;UtilityList!$C$4:$C$251,0)), INDEX(UtilityList!J$4:J$251,MATCH('Table 2.4a'!$A104&amp;'Table 2.4a'!$C104,UtilityList!$A$4:$A$251&amp;UtilityList!$C$4:$C$251,0)))</f>
        <v>Railbelt</v>
      </c>
      <c r="Q104" s="698" t="str">
        <f t="array" ref="Q104">IFERROR(INDEX(UtilityList!K$4:K$251,MATCH('Table 2.4a'!$A104&amp;'Table 2.4a'!$B104&amp;'Table 2.4a'!$C104,UtilityList!$A$4:$A$251&amp;UtilityList!$B$4:$B$251&amp;UtilityList!$C$4:$C$251,0)), INDEX(UtilityList!K$4:K$251,MATCH('Table 2.4a'!$A104&amp;'Table 2.4a'!$C104,UtilityList!$A$4:$A$251&amp;UtilityList!$C$4:$C$251,0)))</f>
        <v>Fairbanks North Star</v>
      </c>
      <c r="R104" s="698" t="str">
        <f t="array" ref="R104">IFERROR(INDEX(UtilityList!L$4:L$251,MATCH('Table 2.4a'!$A104&amp;'Table 2.4a'!$B104&amp;'Table 2.4a'!$C104,UtilityList!$A$4:$A$251&amp;UtilityList!$B$4:$B$251&amp;UtilityList!$C$4:$C$251,0)), INDEX(UtilityList!L$4:L$251,MATCH('Table 2.4a'!$A104&amp;'Table 2.4a'!$C104,UtilityList!$A$4:$A$251&amp;UtilityList!$C$4:$C$251,0)))</f>
        <v>Doyon</v>
      </c>
      <c r="S104" s="698" t="str">
        <f t="array" ref="S104">IFERROR(INDEX(UtilityList!M$4:M$251,MATCH('Table 2.4a'!$A104&amp;'Table 2.4a'!$B104&amp;'Table 2.4a'!$C104,UtilityList!$A$4:$A$251&amp;UtilityList!$B$4:$B$251&amp;UtilityList!$C$4:$C$251,0)), INDEX(UtilityList!M$4:M$251,MATCH('Table 2.4a'!$A104&amp;'Table 2.4a'!$C104,UtilityList!$A$4:$A$251&amp;UtilityList!$C$4:$C$251,0)))</f>
        <v>YU</v>
      </c>
    </row>
    <row r="105" spans="1:19" s="169" customFormat="1" ht="45" x14ac:dyDescent="0.25">
      <c r="A105" s="693" t="s">
        <v>570</v>
      </c>
      <c r="B105" s="361" t="s">
        <v>133</v>
      </c>
      <c r="C105" s="361" t="s">
        <v>133</v>
      </c>
      <c r="D105" s="622" t="s">
        <v>564</v>
      </c>
      <c r="E105" s="622" t="s">
        <v>560</v>
      </c>
      <c r="F105" s="694">
        <f t="shared" si="5"/>
        <v>171319.932</v>
      </c>
      <c r="G105" s="694">
        <f t="shared" si="4"/>
        <v>762391.56</v>
      </c>
      <c r="H105" s="695">
        <v>53.06</v>
      </c>
      <c r="I105" s="694">
        <f t="shared" si="6"/>
        <v>40452.496173600004</v>
      </c>
      <c r="J105" s="696">
        <f t="shared" si="7"/>
        <v>0.22471383602410289</v>
      </c>
      <c r="K105" s="697">
        <v>50211</v>
      </c>
      <c r="L105" s="697">
        <v>745980</v>
      </c>
      <c r="M105" s="790">
        <v>1.022</v>
      </c>
      <c r="N105" s="658" t="s">
        <v>558</v>
      </c>
      <c r="O105" s="698">
        <f t="array" ref="O105">INDEX(UtilityList!Q$4:Q$251,MATCH('Table 2.4a'!$A105&amp;'Table 2.4a'!$B105&amp;'Table 2.4a'!$C105,UtilityList!$A$4:$A$251&amp;UtilityList!$B$4:$B$251&amp;UtilityList!$C$4:$C$251,0))</f>
        <v>0</v>
      </c>
      <c r="P105" s="698" t="str">
        <f t="array" ref="P105">IFERROR(INDEX(UtilityList!J$4:J$251,MATCH('Table 2.4a'!$A105&amp;'Table 2.4a'!$B105&amp;'Table 2.4a'!$C105,UtilityList!$A$4:$A$251&amp;UtilityList!$B$4:$B$251&amp;UtilityList!$C$4:$C$251,0)), INDEX(UtilityList!J$4:J$251,MATCH('Table 2.4a'!$A105&amp;'Table 2.4a'!$C105,UtilityList!$A$4:$A$251&amp;UtilityList!$C$4:$C$251,0)))</f>
        <v>North Slope</v>
      </c>
      <c r="Q105" s="698" t="str">
        <f t="array" ref="Q105">IFERROR(INDEX(UtilityList!K$4:K$251,MATCH('Table 2.4a'!$A105&amp;'Table 2.4a'!$B105&amp;'Table 2.4a'!$C105,UtilityList!$A$4:$A$251&amp;UtilityList!$B$4:$B$251&amp;UtilityList!$C$4:$C$251,0)), INDEX(UtilityList!K$4:K$251,MATCH('Table 2.4a'!$A105&amp;'Table 2.4a'!$C105,UtilityList!$A$4:$A$251&amp;UtilityList!$C$4:$C$251,0)))</f>
        <v>North Slope</v>
      </c>
      <c r="R105" s="698" t="str">
        <f t="array" ref="R105">IFERROR(INDEX(UtilityList!L$4:L$251,MATCH('Table 2.4a'!$A105&amp;'Table 2.4a'!$B105&amp;'Table 2.4a'!$C105,UtilityList!$A$4:$A$251&amp;UtilityList!$B$4:$B$251&amp;UtilityList!$C$4:$C$251,0)), INDEX(UtilityList!L$4:L$251,MATCH('Table 2.4a'!$A105&amp;'Table 2.4a'!$C105,UtilityList!$A$4:$A$251&amp;UtilityList!$C$4:$C$251,0)))</f>
        <v>Arctic Slope</v>
      </c>
      <c r="S105" s="698" t="str">
        <f t="array" ref="S105">IFERROR(INDEX(UtilityList!M$4:M$251,MATCH('Table 2.4a'!$A105&amp;'Table 2.4a'!$B105&amp;'Table 2.4a'!$C105,UtilityList!$A$4:$A$251&amp;UtilityList!$B$4:$B$251&amp;UtilityList!$C$4:$C$251,0)), INDEX(UtilityList!M$4:M$251,MATCH('Table 2.4a'!$A105&amp;'Table 2.4a'!$C105,UtilityList!$A$4:$A$251&amp;UtilityList!$C$4:$C$251,0)))</f>
        <v>AN</v>
      </c>
    </row>
    <row r="106" spans="1:19" s="169" customFormat="1" ht="45" x14ac:dyDescent="0.25">
      <c r="A106" s="678" t="s">
        <v>134</v>
      </c>
      <c r="B106" s="361" t="s">
        <v>135</v>
      </c>
      <c r="C106" s="679" t="s">
        <v>135</v>
      </c>
      <c r="D106" s="680" t="s">
        <v>545</v>
      </c>
      <c r="E106" s="680" t="s">
        <v>546</v>
      </c>
      <c r="F106" s="694">
        <f t="shared" si="5"/>
        <v>1085.1183599999999</v>
      </c>
      <c r="G106" s="694">
        <f t="shared" si="4"/>
        <v>4240.3340000000007</v>
      </c>
      <c r="H106" s="695">
        <v>73.150000000000006</v>
      </c>
      <c r="I106" s="694">
        <f t="shared" si="6"/>
        <v>310.18043210000008</v>
      </c>
      <c r="J106" s="696">
        <f t="shared" si="7"/>
        <v>0.2559039830352986</v>
      </c>
      <c r="K106" s="697">
        <v>318.02999999999997</v>
      </c>
      <c r="L106" s="697">
        <v>30506</v>
      </c>
      <c r="M106" s="790">
        <v>0.13900000000000001</v>
      </c>
      <c r="N106" s="658" t="s">
        <v>356</v>
      </c>
      <c r="O106" s="698">
        <f t="array" ref="O106">INDEX(UtilityList!Q$4:Q$251,MATCH('Table 2.4a'!$A106&amp;'Table 2.4a'!$B106&amp;'Table 2.4a'!$C106,UtilityList!$A$4:$A$251&amp;UtilityList!$B$4:$B$251&amp;UtilityList!$C$4:$C$251,0))</f>
        <v>0</v>
      </c>
      <c r="P106" s="698" t="str">
        <f t="array" ref="P106">IFERROR(INDEX(UtilityList!J$4:J$251,MATCH('Table 2.4a'!$A106&amp;'Table 2.4a'!$B106&amp;'Table 2.4a'!$C106,UtilityList!$A$4:$A$251&amp;UtilityList!$B$4:$B$251&amp;UtilityList!$C$4:$C$251,0)), INDEX(UtilityList!J$4:J$251,MATCH('Table 2.4a'!$A106&amp;'Table 2.4a'!$C106,UtilityList!$A$4:$A$251&amp;UtilityList!$C$4:$C$251,0)))</f>
        <v>Yukon-Koyukuk/Upper Tanana</v>
      </c>
      <c r="Q106" s="698" t="str">
        <f t="array" ref="Q106">IFERROR(INDEX(UtilityList!K$4:K$251,MATCH('Table 2.4a'!$A106&amp;'Table 2.4a'!$B106&amp;'Table 2.4a'!$C106,UtilityList!$A$4:$A$251&amp;UtilityList!$B$4:$B$251&amp;UtilityList!$C$4:$C$251,0)), INDEX(UtilityList!K$4:K$251,MATCH('Table 2.4a'!$A106&amp;'Table 2.4a'!$C106,UtilityList!$A$4:$A$251&amp;UtilityList!$C$4:$C$251,0)))</f>
        <v>Yukon-Koyukuk (CA)</v>
      </c>
      <c r="R106" s="698" t="str">
        <f t="array" ref="R106">IFERROR(INDEX(UtilityList!L$4:L$251,MATCH('Table 2.4a'!$A106&amp;'Table 2.4a'!$B106&amp;'Table 2.4a'!$C106,UtilityList!$A$4:$A$251&amp;UtilityList!$B$4:$B$251&amp;UtilityList!$C$4:$C$251,0)), INDEX(UtilityList!L$4:L$251,MATCH('Table 2.4a'!$A106&amp;'Table 2.4a'!$C106,UtilityList!$A$4:$A$251&amp;UtilityList!$C$4:$C$251,0)))</f>
        <v>Doyon</v>
      </c>
      <c r="S106" s="698" t="str">
        <f t="array" ref="S106">IFERROR(INDEX(UtilityList!M$4:M$251,MATCH('Table 2.4a'!$A106&amp;'Table 2.4a'!$B106&amp;'Table 2.4a'!$C106,UtilityList!$A$4:$A$251&amp;UtilityList!$B$4:$B$251&amp;UtilityList!$C$4:$C$251,0)), INDEX(UtilityList!M$4:M$251,MATCH('Table 2.4a'!$A106&amp;'Table 2.4a'!$C106,UtilityList!$A$4:$A$251&amp;UtilityList!$C$4:$C$251,0)))</f>
        <v>YU</v>
      </c>
    </row>
    <row r="107" spans="1:19" customFormat="1" ht="75" x14ac:dyDescent="0.25">
      <c r="A107" s="678" t="s">
        <v>502</v>
      </c>
      <c r="B107" s="361" t="s">
        <v>136</v>
      </c>
      <c r="C107" s="679" t="s">
        <v>679</v>
      </c>
      <c r="D107" s="680" t="s">
        <v>545</v>
      </c>
      <c r="E107" s="680" t="s">
        <v>546</v>
      </c>
      <c r="F107" s="694">
        <f t="shared" si="5"/>
        <v>142621.6</v>
      </c>
      <c r="G107" s="694">
        <f t="shared" si="4"/>
        <v>430083.37500000006</v>
      </c>
      <c r="H107" s="695">
        <v>73.150000000000006</v>
      </c>
      <c r="I107" s="694">
        <f t="shared" si="6"/>
        <v>31460.598881250004</v>
      </c>
      <c r="J107" s="696">
        <f t="shared" si="7"/>
        <v>0.33161384115347398</v>
      </c>
      <c r="K107" s="697">
        <v>41800</v>
      </c>
      <c r="L107" s="697">
        <v>3094125</v>
      </c>
      <c r="M107" s="790">
        <v>0.13900000000000001</v>
      </c>
      <c r="N107" s="658" t="s">
        <v>356</v>
      </c>
      <c r="O107" s="698" t="str">
        <f t="array" ref="O107">INDEX(UtilityList!Q$4:Q$251,MATCH('Table 2.4a'!$A107&amp;'Table 2.4a'!$B107&amp;'Table 2.4a'!$C107,UtilityList!$A$4:$A$251&amp;UtilityList!$B$4:$B$251&amp;UtilityList!$C$4:$C$251,0))</f>
        <v>Provides power to Oscarville and sells power to Napakiak Ircinraq via intertie. Data includes Oscarville's information.</v>
      </c>
      <c r="P107" s="698" t="str">
        <f t="array" ref="P107">IFERROR(INDEX(UtilityList!J$4:J$251,MATCH('Table 2.4a'!$A107&amp;'Table 2.4a'!$B107&amp;'Table 2.4a'!$C107,UtilityList!$A$4:$A$251&amp;UtilityList!$B$4:$B$251&amp;UtilityList!$C$4:$C$251,0)), INDEX(UtilityList!J$4:J$251,MATCH('Table 2.4a'!$A107&amp;'Table 2.4a'!$C107,UtilityList!$A$4:$A$251&amp;UtilityList!$C$4:$C$251,0)))</f>
        <v>Lower Yukon-Kuskokwim</v>
      </c>
      <c r="Q107" s="698" t="str">
        <f t="array" ref="Q107">IFERROR(INDEX(UtilityList!K$4:K$251,MATCH('Table 2.4a'!$A107&amp;'Table 2.4a'!$B107&amp;'Table 2.4a'!$C107,UtilityList!$A$4:$A$251&amp;UtilityList!$B$4:$B$251&amp;UtilityList!$C$4:$C$251,0)), INDEX(UtilityList!K$4:K$251,MATCH('Table 2.4a'!$A107&amp;'Table 2.4a'!$C107,UtilityList!$A$4:$A$251&amp;UtilityList!$C$4:$C$251,0)))</f>
        <v>Bethel (CA)</v>
      </c>
      <c r="R107" s="698" t="str">
        <f t="array" ref="R107">IFERROR(INDEX(UtilityList!L$4:L$251,MATCH('Table 2.4a'!$A107&amp;'Table 2.4a'!$B107&amp;'Table 2.4a'!$C107,UtilityList!$A$4:$A$251&amp;UtilityList!$B$4:$B$251&amp;UtilityList!$C$4:$C$251,0)), INDEX(UtilityList!L$4:L$251,MATCH('Table 2.4a'!$A107&amp;'Table 2.4a'!$C107,UtilityList!$A$4:$A$251&amp;UtilityList!$C$4:$C$251,0)))</f>
        <v>Calista</v>
      </c>
      <c r="S107" s="698" t="str">
        <f t="array" ref="S107">IFERROR(INDEX(UtilityList!M$4:M$251,MATCH('Table 2.4a'!$A107&amp;'Table 2.4a'!$B107&amp;'Table 2.4a'!$C107,UtilityList!$A$4:$A$251&amp;UtilityList!$B$4:$B$251&amp;UtilityList!$C$4:$C$251,0)), INDEX(UtilityList!M$4:M$251,MATCH('Table 2.4a'!$A107&amp;'Table 2.4a'!$C107,UtilityList!$A$4:$A$251&amp;UtilityList!$C$4:$C$251,0)))</f>
        <v>SW</v>
      </c>
    </row>
    <row r="108" spans="1:19" customFormat="1" ht="30" x14ac:dyDescent="0.25">
      <c r="A108" s="678" t="s">
        <v>139</v>
      </c>
      <c r="B108" s="361" t="s">
        <v>140</v>
      </c>
      <c r="C108" s="679" t="s">
        <v>140</v>
      </c>
      <c r="D108" s="680" t="s">
        <v>545</v>
      </c>
      <c r="E108" s="680" t="s">
        <v>546</v>
      </c>
      <c r="F108" s="694">
        <f t="shared" si="5"/>
        <v>5432.6000479999993</v>
      </c>
      <c r="G108" s="694">
        <f t="shared" si="4"/>
        <v>16131.784000000001</v>
      </c>
      <c r="H108" s="695">
        <v>73.150000000000006</v>
      </c>
      <c r="I108" s="694">
        <f t="shared" si="6"/>
        <v>1180.0399996000001</v>
      </c>
      <c r="J108" s="696">
        <f t="shared" si="7"/>
        <v>0.33676374838641521</v>
      </c>
      <c r="K108" s="697">
        <v>1592.204</v>
      </c>
      <c r="L108" s="697">
        <v>116056</v>
      </c>
      <c r="M108" s="790">
        <v>0.13900000000000001</v>
      </c>
      <c r="N108" s="658" t="s">
        <v>356</v>
      </c>
      <c r="O108" s="698">
        <f t="array" ref="O108">INDEX(UtilityList!Q$4:Q$251,MATCH('Table 2.4a'!$A108&amp;'Table 2.4a'!$B108&amp;'Table 2.4a'!$C108,UtilityList!$A$4:$A$251&amp;UtilityList!$B$4:$B$251&amp;UtilityList!$C$4:$C$251,0))</f>
        <v>0</v>
      </c>
      <c r="P108" s="698" t="str">
        <f t="array" ref="P108">IFERROR(INDEX(UtilityList!J$4:J$251,MATCH('Table 2.4a'!$A108&amp;'Table 2.4a'!$B108&amp;'Table 2.4a'!$C108,UtilityList!$A$4:$A$251&amp;UtilityList!$B$4:$B$251&amp;UtilityList!$C$4:$C$251,0)), INDEX(UtilityList!J$4:J$251,MATCH('Table 2.4a'!$A108&amp;'Table 2.4a'!$C108,UtilityList!$A$4:$A$251&amp;UtilityList!$C$4:$C$251,0)))</f>
        <v>Northwest Arctic</v>
      </c>
      <c r="Q108" s="698" t="str">
        <f t="array" ref="Q108">IFERROR(INDEX(UtilityList!K$4:K$251,MATCH('Table 2.4a'!$A108&amp;'Table 2.4a'!$B108&amp;'Table 2.4a'!$C108,UtilityList!$A$4:$A$251&amp;UtilityList!$B$4:$B$251&amp;UtilityList!$C$4:$C$251,0)), INDEX(UtilityList!K$4:K$251,MATCH('Table 2.4a'!$A108&amp;'Table 2.4a'!$C108,UtilityList!$A$4:$A$251&amp;UtilityList!$C$4:$C$251,0)))</f>
        <v>Northwest Arctic</v>
      </c>
      <c r="R108" s="698" t="str">
        <f t="array" ref="R108">IFERROR(INDEX(UtilityList!L$4:L$251,MATCH('Table 2.4a'!$A108&amp;'Table 2.4a'!$B108&amp;'Table 2.4a'!$C108,UtilityList!$A$4:$A$251&amp;UtilityList!$B$4:$B$251&amp;UtilityList!$C$4:$C$251,0)), INDEX(UtilityList!L$4:L$251,MATCH('Table 2.4a'!$A108&amp;'Table 2.4a'!$C108,UtilityList!$A$4:$A$251&amp;UtilityList!$C$4:$C$251,0)))</f>
        <v>NANA</v>
      </c>
      <c r="S108" s="698" t="str">
        <f t="array" ref="S108">IFERROR(INDEX(UtilityList!M$4:M$251,MATCH('Table 2.4a'!$A108&amp;'Table 2.4a'!$B108&amp;'Table 2.4a'!$C108,UtilityList!$A$4:$A$251&amp;UtilityList!$B$4:$B$251&amp;UtilityList!$C$4:$C$251,0)), INDEX(UtilityList!M$4:M$251,MATCH('Table 2.4a'!$A108&amp;'Table 2.4a'!$C108,UtilityList!$A$4:$A$251&amp;UtilityList!$C$4:$C$251,0)))</f>
        <v>AN</v>
      </c>
    </row>
    <row r="109" spans="1:19" customFormat="1" ht="45" x14ac:dyDescent="0.25">
      <c r="A109" s="678" t="s">
        <v>141</v>
      </c>
      <c r="B109" s="361" t="s">
        <v>142</v>
      </c>
      <c r="C109" s="679" t="s">
        <v>142</v>
      </c>
      <c r="D109" s="680" t="s">
        <v>545</v>
      </c>
      <c r="E109" s="680" t="s">
        <v>546</v>
      </c>
      <c r="F109" s="694">
        <f t="shared" si="5"/>
        <v>1037.81098</v>
      </c>
      <c r="G109" s="694">
        <f t="shared" si="4"/>
        <v>4254.6510000000007</v>
      </c>
      <c r="H109" s="695">
        <v>73.150000000000006</v>
      </c>
      <c r="I109" s="694">
        <f t="shared" si="6"/>
        <v>311.22772065000009</v>
      </c>
      <c r="J109" s="696">
        <f t="shared" si="7"/>
        <v>0.2439238800080194</v>
      </c>
      <c r="K109" s="697">
        <v>304.16500000000002</v>
      </c>
      <c r="L109" s="697">
        <v>30609.000000000004</v>
      </c>
      <c r="M109" s="790">
        <v>0.13900000000000001</v>
      </c>
      <c r="N109" s="658" t="s">
        <v>356</v>
      </c>
      <c r="O109" s="698">
        <f t="array" ref="O109">INDEX(UtilityList!Q$4:Q$251,MATCH('Table 2.4a'!$A109&amp;'Table 2.4a'!$B109&amp;'Table 2.4a'!$C109,UtilityList!$A$4:$A$251&amp;UtilityList!$B$4:$B$251&amp;UtilityList!$C$4:$C$251,0))</f>
        <v>0</v>
      </c>
      <c r="P109" s="698" t="str">
        <f t="array" ref="P109">IFERROR(INDEX(UtilityList!J$4:J$251,MATCH('Table 2.4a'!$A109&amp;'Table 2.4a'!$B109&amp;'Table 2.4a'!$C109,UtilityList!$A$4:$A$251&amp;UtilityList!$B$4:$B$251&amp;UtilityList!$C$4:$C$251,0)), INDEX(UtilityList!J$4:J$251,MATCH('Table 2.4a'!$A109&amp;'Table 2.4a'!$C109,UtilityList!$A$4:$A$251&amp;UtilityList!$C$4:$C$251,0)))</f>
        <v>Yukon-Koyukuk/Upper Tanana</v>
      </c>
      <c r="Q109" s="698" t="str">
        <f t="array" ref="Q109">IFERROR(INDEX(UtilityList!K$4:K$251,MATCH('Table 2.4a'!$A109&amp;'Table 2.4a'!$B109&amp;'Table 2.4a'!$C109,UtilityList!$A$4:$A$251&amp;UtilityList!$B$4:$B$251&amp;UtilityList!$C$4:$C$251,0)), INDEX(UtilityList!K$4:K$251,MATCH('Table 2.4a'!$A109&amp;'Table 2.4a'!$C109,UtilityList!$A$4:$A$251&amp;UtilityList!$C$4:$C$251,0)))</f>
        <v>Yukon-Koyukuk (CA)</v>
      </c>
      <c r="R109" s="698" t="str">
        <f t="array" ref="R109">IFERROR(INDEX(UtilityList!L$4:L$251,MATCH('Table 2.4a'!$A109&amp;'Table 2.4a'!$B109&amp;'Table 2.4a'!$C109,UtilityList!$A$4:$A$251&amp;UtilityList!$B$4:$B$251&amp;UtilityList!$C$4:$C$251,0)), INDEX(UtilityList!L$4:L$251,MATCH('Table 2.4a'!$A109&amp;'Table 2.4a'!$C109,UtilityList!$A$4:$A$251&amp;UtilityList!$C$4:$C$251,0)))</f>
        <v>Doyon</v>
      </c>
      <c r="S109" s="698" t="str">
        <f t="array" ref="S109">IFERROR(INDEX(UtilityList!M$4:M$251,MATCH('Table 2.4a'!$A109&amp;'Table 2.4a'!$B109&amp;'Table 2.4a'!$C109,UtilityList!$A$4:$A$251&amp;UtilityList!$B$4:$B$251&amp;UtilityList!$C$4:$C$251,0)), INDEX(UtilityList!M$4:M$251,MATCH('Table 2.4a'!$A109&amp;'Table 2.4a'!$C109,UtilityList!$A$4:$A$251&amp;UtilityList!$C$4:$C$251,0)))</f>
        <v>YU</v>
      </c>
    </row>
    <row r="110" spans="1:19" customFormat="1" ht="30" x14ac:dyDescent="0.25">
      <c r="A110" s="678" t="s">
        <v>143</v>
      </c>
      <c r="B110" s="361" t="s">
        <v>144</v>
      </c>
      <c r="C110" s="679" t="s">
        <v>144</v>
      </c>
      <c r="D110" s="680" t="s">
        <v>545</v>
      </c>
      <c r="E110" s="680" t="s">
        <v>546</v>
      </c>
      <c r="F110" s="694">
        <f t="shared" si="5"/>
        <v>1051.837712</v>
      </c>
      <c r="G110" s="694">
        <f t="shared" si="4"/>
        <v>4118.7090000000007</v>
      </c>
      <c r="H110" s="695">
        <v>73.150000000000006</v>
      </c>
      <c r="I110" s="694">
        <f t="shared" si="6"/>
        <v>301.28356335000007</v>
      </c>
      <c r="J110" s="696">
        <f t="shared" si="7"/>
        <v>0.25538043887052952</v>
      </c>
      <c r="K110" s="697">
        <v>308.27600000000001</v>
      </c>
      <c r="L110" s="697">
        <v>29631</v>
      </c>
      <c r="M110" s="790">
        <v>0.13900000000000001</v>
      </c>
      <c r="N110" s="658" t="s">
        <v>356</v>
      </c>
      <c r="O110" s="698">
        <f t="array" ref="O110">INDEX(UtilityList!Q$4:Q$251,MATCH('Table 2.4a'!$A110&amp;'Table 2.4a'!$B110&amp;'Table 2.4a'!$C110,UtilityList!$A$4:$A$251&amp;UtilityList!$B$4:$B$251&amp;UtilityList!$C$4:$C$251,0))</f>
        <v>0</v>
      </c>
      <c r="P110" s="698" t="str">
        <f t="array" ref="P110">IFERROR(INDEX(UtilityList!J$4:J$251,MATCH('Table 2.4a'!$A110&amp;'Table 2.4a'!$B110&amp;'Table 2.4a'!$C110,UtilityList!$A$4:$A$251&amp;UtilityList!$B$4:$B$251&amp;UtilityList!$C$4:$C$251,0)), INDEX(UtilityList!J$4:J$251,MATCH('Table 2.4a'!$A110&amp;'Table 2.4a'!$C110,UtilityList!$A$4:$A$251&amp;UtilityList!$C$4:$C$251,0)))</f>
        <v>Copper River/Chugach</v>
      </c>
      <c r="Q110" s="698" t="str">
        <f t="array" ref="Q110">IFERROR(INDEX(UtilityList!K$4:K$251,MATCH('Table 2.4a'!$A110&amp;'Table 2.4a'!$B110&amp;'Table 2.4a'!$C110,UtilityList!$A$4:$A$251&amp;UtilityList!$B$4:$B$251&amp;UtilityList!$C$4:$C$251,0)), INDEX(UtilityList!K$4:K$251,MATCH('Table 2.4a'!$A110&amp;'Table 2.4a'!$C110,UtilityList!$A$4:$A$251&amp;UtilityList!$C$4:$C$251,0)))</f>
        <v>Valdez-Cordova (CA)</v>
      </c>
      <c r="R110" s="698" t="str">
        <f t="array" ref="R110">IFERROR(INDEX(UtilityList!L$4:L$251,MATCH('Table 2.4a'!$A110&amp;'Table 2.4a'!$B110&amp;'Table 2.4a'!$C110,UtilityList!$A$4:$A$251&amp;UtilityList!$B$4:$B$251&amp;UtilityList!$C$4:$C$251,0)), INDEX(UtilityList!L$4:L$251,MATCH('Table 2.4a'!$A110&amp;'Table 2.4a'!$C110,UtilityList!$A$4:$A$251&amp;UtilityList!$C$4:$C$251,0)))</f>
        <v>Chugach</v>
      </c>
      <c r="S110" s="698" t="str">
        <f t="array" ref="S110">IFERROR(INDEX(UtilityList!M$4:M$251,MATCH('Table 2.4a'!$A110&amp;'Table 2.4a'!$B110&amp;'Table 2.4a'!$C110,UtilityList!$A$4:$A$251&amp;UtilityList!$B$4:$B$251&amp;UtilityList!$C$4:$C$251,0)), INDEX(UtilityList!M$4:M$251,MATCH('Table 2.4a'!$A110&amp;'Table 2.4a'!$C110,UtilityList!$A$4:$A$251&amp;UtilityList!$C$4:$C$251,0)))</f>
        <v>SC</v>
      </c>
    </row>
    <row r="111" spans="1:19" customFormat="1" ht="30" x14ac:dyDescent="0.25">
      <c r="A111" s="678" t="s">
        <v>145</v>
      </c>
      <c r="B111" s="361" t="s">
        <v>146</v>
      </c>
      <c r="C111" s="654" t="s">
        <v>146</v>
      </c>
      <c r="D111" s="680" t="s">
        <v>545</v>
      </c>
      <c r="E111" s="680" t="s">
        <v>546</v>
      </c>
      <c r="F111" s="694">
        <f t="shared" si="5"/>
        <v>1728.283772</v>
      </c>
      <c r="G111" s="694">
        <f t="shared" si="4"/>
        <v>6035.1020000000008</v>
      </c>
      <c r="H111" s="695">
        <v>73.150000000000006</v>
      </c>
      <c r="I111" s="694">
        <f t="shared" si="6"/>
        <v>441.46771130000008</v>
      </c>
      <c r="J111" s="696">
        <f t="shared" si="7"/>
        <v>0.28637192411992368</v>
      </c>
      <c r="K111" s="697">
        <v>506.53100000000001</v>
      </c>
      <c r="L111" s="697">
        <v>43418</v>
      </c>
      <c r="M111" s="790">
        <v>0.13900000000000001</v>
      </c>
      <c r="N111" s="658" t="s">
        <v>356</v>
      </c>
      <c r="O111" s="698">
        <f t="array" ref="O111">INDEX(UtilityList!Q$4:Q$251,MATCH('Table 2.4a'!$A111&amp;'Table 2.4a'!$B111&amp;'Table 2.4a'!$C111,UtilityList!$A$4:$A$251&amp;UtilityList!$B$4:$B$251&amp;UtilityList!$C$4:$C$251,0))</f>
        <v>0</v>
      </c>
      <c r="P111" s="698" t="str">
        <f t="array" ref="P111">IFERROR(INDEX(UtilityList!J$4:J$251,MATCH('Table 2.4a'!$A111&amp;'Table 2.4a'!$B111&amp;'Table 2.4a'!$C111,UtilityList!$A$4:$A$251&amp;UtilityList!$B$4:$B$251&amp;UtilityList!$C$4:$C$251,0)), INDEX(UtilityList!J$4:J$251,MATCH('Table 2.4a'!$A111&amp;'Table 2.4a'!$C111,UtilityList!$A$4:$A$251&amp;UtilityList!$C$4:$C$251,0)))</f>
        <v>Bristol Bay</v>
      </c>
      <c r="Q111" s="698" t="str">
        <f t="array" ref="Q111">IFERROR(INDEX(UtilityList!K$4:K$251,MATCH('Table 2.4a'!$A111&amp;'Table 2.4a'!$B111&amp;'Table 2.4a'!$C111,UtilityList!$A$4:$A$251&amp;UtilityList!$B$4:$B$251&amp;UtilityList!$C$4:$C$251,0)), INDEX(UtilityList!K$4:K$251,MATCH('Table 2.4a'!$A111&amp;'Table 2.4a'!$C111,UtilityList!$A$4:$A$251&amp;UtilityList!$C$4:$C$251,0)))</f>
        <v>Lake and Peninsula</v>
      </c>
      <c r="R111" s="698" t="str">
        <f t="array" ref="R111">IFERROR(INDEX(UtilityList!L$4:L$251,MATCH('Table 2.4a'!$A111&amp;'Table 2.4a'!$B111&amp;'Table 2.4a'!$C111,UtilityList!$A$4:$A$251&amp;UtilityList!$B$4:$B$251&amp;UtilityList!$C$4:$C$251,0)), INDEX(UtilityList!L$4:L$251,MATCH('Table 2.4a'!$A111&amp;'Table 2.4a'!$C111,UtilityList!$A$4:$A$251&amp;UtilityList!$C$4:$C$251,0)))</f>
        <v>Bristol Bay</v>
      </c>
      <c r="S111" s="698" t="str">
        <f t="array" ref="S111">IFERROR(INDEX(UtilityList!M$4:M$251,MATCH('Table 2.4a'!$A111&amp;'Table 2.4a'!$B111&amp;'Table 2.4a'!$C111,UtilityList!$A$4:$A$251&amp;UtilityList!$B$4:$B$251&amp;UtilityList!$C$4:$C$251,0)), INDEX(UtilityList!M$4:M$251,MATCH('Table 2.4a'!$A111&amp;'Table 2.4a'!$C111,UtilityList!$A$4:$A$251&amp;UtilityList!$C$4:$C$251,0)))</f>
        <v>SW</v>
      </c>
    </row>
    <row r="112" spans="1:19" customFormat="1" ht="30" x14ac:dyDescent="0.25">
      <c r="A112" s="678" t="s">
        <v>147</v>
      </c>
      <c r="B112" s="361" t="s">
        <v>148</v>
      </c>
      <c r="C112" s="654" t="s">
        <v>148</v>
      </c>
      <c r="D112" s="680" t="s">
        <v>545</v>
      </c>
      <c r="E112" s="680" t="s">
        <v>546</v>
      </c>
      <c r="F112" s="694">
        <f t="shared" si="5"/>
        <v>679.13471600000003</v>
      </c>
      <c r="G112" s="694">
        <f t="shared" si="4"/>
        <v>2411.7890000000002</v>
      </c>
      <c r="H112" s="695">
        <v>73.150000000000006</v>
      </c>
      <c r="I112" s="694">
        <f t="shared" si="6"/>
        <v>176.42236535000004</v>
      </c>
      <c r="J112" s="696">
        <f t="shared" si="7"/>
        <v>0.28158960671932742</v>
      </c>
      <c r="K112" s="697">
        <v>199.04300000000001</v>
      </c>
      <c r="L112" s="697">
        <v>17351</v>
      </c>
      <c r="M112" s="790">
        <v>0.13900000000000001</v>
      </c>
      <c r="N112" s="658" t="s">
        <v>356</v>
      </c>
      <c r="O112" s="698">
        <f t="array" ref="O112">INDEX(UtilityList!Q$4:Q$251,MATCH('Table 2.4a'!$A112&amp;'Table 2.4a'!$B112&amp;'Table 2.4a'!$C112,UtilityList!$A$4:$A$251&amp;UtilityList!$B$4:$B$251&amp;UtilityList!$C$4:$C$251,0))</f>
        <v>0</v>
      </c>
      <c r="P112" s="698" t="str">
        <f t="array" ref="P112">IFERROR(INDEX(UtilityList!J$4:J$251,MATCH('Table 2.4a'!$A112&amp;'Table 2.4a'!$B112&amp;'Table 2.4a'!$C112,UtilityList!$A$4:$A$251&amp;UtilityList!$B$4:$B$251&amp;UtilityList!$C$4:$C$251,0)), INDEX(UtilityList!J$4:J$251,MATCH('Table 2.4a'!$A112&amp;'Table 2.4a'!$C112,UtilityList!$A$4:$A$251&amp;UtilityList!$C$4:$C$251,0)))</f>
        <v>Bristol Bay</v>
      </c>
      <c r="Q112" s="698" t="str">
        <f t="array" ref="Q112">IFERROR(INDEX(UtilityList!K$4:K$251,MATCH('Table 2.4a'!$A112&amp;'Table 2.4a'!$B112&amp;'Table 2.4a'!$C112,UtilityList!$A$4:$A$251&amp;UtilityList!$B$4:$B$251&amp;UtilityList!$C$4:$C$251,0)), INDEX(UtilityList!K$4:K$251,MATCH('Table 2.4a'!$A112&amp;'Table 2.4a'!$C112,UtilityList!$A$4:$A$251&amp;UtilityList!$C$4:$C$251,0)))</f>
        <v>Lake and Peninsula</v>
      </c>
      <c r="R112" s="698" t="str">
        <f t="array" ref="R112">IFERROR(INDEX(UtilityList!L$4:L$251,MATCH('Table 2.4a'!$A112&amp;'Table 2.4a'!$B112&amp;'Table 2.4a'!$C112,UtilityList!$A$4:$A$251&amp;UtilityList!$B$4:$B$251&amp;UtilityList!$C$4:$C$251,0)), INDEX(UtilityList!L$4:L$251,MATCH('Table 2.4a'!$A112&amp;'Table 2.4a'!$C112,UtilityList!$A$4:$A$251&amp;UtilityList!$C$4:$C$251,0)))</f>
        <v>Bristol Bay</v>
      </c>
      <c r="S112" s="698" t="str">
        <f t="array" ref="S112">IFERROR(INDEX(UtilityList!M$4:M$251,MATCH('Table 2.4a'!$A112&amp;'Table 2.4a'!$B112&amp;'Table 2.4a'!$C112,UtilityList!$A$4:$A$251&amp;UtilityList!$B$4:$B$251&amp;UtilityList!$C$4:$C$251,0)), INDEX(UtilityList!M$4:M$251,MATCH('Table 2.4a'!$A112&amp;'Table 2.4a'!$C112,UtilityList!$A$4:$A$251&amp;UtilityList!$C$4:$C$251,0)))</f>
        <v>SW</v>
      </c>
    </row>
    <row r="113" spans="1:19" customFormat="1" ht="30" x14ac:dyDescent="0.25">
      <c r="A113" s="678" t="s">
        <v>149</v>
      </c>
      <c r="B113" s="361" t="s">
        <v>150</v>
      </c>
      <c r="C113" s="679" t="s">
        <v>150</v>
      </c>
      <c r="D113" s="680" t="s">
        <v>545</v>
      </c>
      <c r="E113" s="680" t="s">
        <v>546</v>
      </c>
      <c r="F113" s="694">
        <f t="shared" si="5"/>
        <v>2961.8957839999998</v>
      </c>
      <c r="G113" s="694">
        <f t="shared" si="4"/>
        <v>9453.8702450000019</v>
      </c>
      <c r="H113" s="695">
        <v>73.150000000000006</v>
      </c>
      <c r="I113" s="694">
        <f t="shared" si="6"/>
        <v>691.5506084217501</v>
      </c>
      <c r="J113" s="696">
        <f t="shared" si="7"/>
        <v>0.31329981343529634</v>
      </c>
      <c r="K113" s="697">
        <v>868.08199999999999</v>
      </c>
      <c r="L113" s="697">
        <v>68013.455000000002</v>
      </c>
      <c r="M113" s="790">
        <v>0.13900000000000001</v>
      </c>
      <c r="N113" s="658" t="s">
        <v>356</v>
      </c>
      <c r="O113" s="698">
        <f t="array" ref="O113">INDEX(UtilityList!Q$4:Q$251,MATCH('Table 2.4a'!$A113&amp;'Table 2.4a'!$B113&amp;'Table 2.4a'!$C113,UtilityList!$A$4:$A$251&amp;UtilityList!$B$4:$B$251&amp;UtilityList!$C$4:$C$251,0))</f>
        <v>0</v>
      </c>
      <c r="P113" s="698" t="str">
        <f t="array" ref="P113">IFERROR(INDEX(UtilityList!J$4:J$251,MATCH('Table 2.4a'!$A113&amp;'Table 2.4a'!$B113&amp;'Table 2.4a'!$C113,UtilityList!$A$4:$A$251&amp;UtilityList!$B$4:$B$251&amp;UtilityList!$C$4:$C$251,0)), INDEX(UtilityList!J$4:J$251,MATCH('Table 2.4a'!$A113&amp;'Table 2.4a'!$C113,UtilityList!$A$4:$A$251&amp;UtilityList!$C$4:$C$251,0)))</f>
        <v>Bristol Bay</v>
      </c>
      <c r="Q113" s="698" t="str">
        <f t="array" ref="Q113">IFERROR(INDEX(UtilityList!K$4:K$251,MATCH('Table 2.4a'!$A113&amp;'Table 2.4a'!$B113&amp;'Table 2.4a'!$C113,UtilityList!$A$4:$A$251&amp;UtilityList!$B$4:$B$251&amp;UtilityList!$C$4:$C$251,0)), INDEX(UtilityList!K$4:K$251,MATCH('Table 2.4a'!$A113&amp;'Table 2.4a'!$C113,UtilityList!$A$4:$A$251&amp;UtilityList!$C$4:$C$251,0)))</f>
        <v>Lake and Peninsula</v>
      </c>
      <c r="R113" s="698" t="str">
        <f t="array" ref="R113">IFERROR(INDEX(UtilityList!L$4:L$251,MATCH('Table 2.4a'!$A113&amp;'Table 2.4a'!$B113&amp;'Table 2.4a'!$C113,UtilityList!$A$4:$A$251&amp;UtilityList!$B$4:$B$251&amp;UtilityList!$C$4:$C$251,0)), INDEX(UtilityList!L$4:L$251,MATCH('Table 2.4a'!$A113&amp;'Table 2.4a'!$C113,UtilityList!$A$4:$A$251&amp;UtilityList!$C$4:$C$251,0)))</f>
        <v>Bristol Bay</v>
      </c>
      <c r="S113" s="698" t="str">
        <f t="array" ref="S113">IFERROR(INDEX(UtilityList!M$4:M$251,MATCH('Table 2.4a'!$A113&amp;'Table 2.4a'!$B113&amp;'Table 2.4a'!$C113,UtilityList!$A$4:$A$251&amp;UtilityList!$B$4:$B$251&amp;UtilityList!$C$4:$C$251,0)), INDEX(UtilityList!M$4:M$251,MATCH('Table 2.4a'!$A113&amp;'Table 2.4a'!$C113,UtilityList!$A$4:$A$251&amp;UtilityList!$C$4:$C$251,0)))</f>
        <v>SW</v>
      </c>
    </row>
    <row r="114" spans="1:19" customFormat="1" ht="30" x14ac:dyDescent="0.25">
      <c r="A114" s="678" t="s">
        <v>151</v>
      </c>
      <c r="B114" s="361" t="s">
        <v>152</v>
      </c>
      <c r="C114" s="679" t="s">
        <v>152</v>
      </c>
      <c r="D114" s="680" t="s">
        <v>545</v>
      </c>
      <c r="E114" s="680" t="s">
        <v>546</v>
      </c>
      <c r="F114" s="694">
        <f t="shared" si="5"/>
        <v>1771.6332319999999</v>
      </c>
      <c r="G114" s="694">
        <f t="shared" si="4"/>
        <v>5826.6020000000008</v>
      </c>
      <c r="H114" s="695">
        <v>73.150000000000006</v>
      </c>
      <c r="I114" s="694">
        <f t="shared" si="6"/>
        <v>426.21593630000012</v>
      </c>
      <c r="J114" s="696">
        <f t="shared" si="7"/>
        <v>0.30405942125444635</v>
      </c>
      <c r="K114" s="697">
        <v>519.23599999999999</v>
      </c>
      <c r="L114" s="697">
        <v>41918</v>
      </c>
      <c r="M114" s="790">
        <v>0.13900000000000001</v>
      </c>
      <c r="N114" s="658" t="s">
        <v>356</v>
      </c>
      <c r="O114" s="698">
        <f t="array" ref="O114">INDEX(UtilityList!Q$4:Q$251,MATCH('Table 2.4a'!$A114&amp;'Table 2.4a'!$B114&amp;'Table 2.4a'!$C114,UtilityList!$A$4:$A$251&amp;UtilityList!$B$4:$B$251&amp;UtilityList!$C$4:$C$251,0))</f>
        <v>0</v>
      </c>
      <c r="P114" s="698" t="str">
        <f t="array" ref="P114">IFERROR(INDEX(UtilityList!J$4:J$251,MATCH('Table 2.4a'!$A114&amp;'Table 2.4a'!$B114&amp;'Table 2.4a'!$C114,UtilityList!$A$4:$A$251&amp;UtilityList!$B$4:$B$251&amp;UtilityList!$C$4:$C$251,0)), INDEX(UtilityList!J$4:J$251,MATCH('Table 2.4a'!$A114&amp;'Table 2.4a'!$C114,UtilityList!$A$4:$A$251&amp;UtilityList!$C$4:$C$251,0)))</f>
        <v>Copper River/Chugach</v>
      </c>
      <c r="Q114" s="698" t="str">
        <f t="array" ref="Q114">IFERROR(INDEX(UtilityList!K$4:K$251,MATCH('Table 2.4a'!$A114&amp;'Table 2.4a'!$B114&amp;'Table 2.4a'!$C114,UtilityList!$A$4:$A$251&amp;UtilityList!$B$4:$B$251&amp;UtilityList!$C$4:$C$251,0)), INDEX(UtilityList!K$4:K$251,MATCH('Table 2.4a'!$A114&amp;'Table 2.4a'!$C114,UtilityList!$A$4:$A$251&amp;UtilityList!$C$4:$C$251,0)))</f>
        <v>Valdez-Cordova (CA)</v>
      </c>
      <c r="R114" s="698" t="str">
        <f t="array" ref="R114">IFERROR(INDEX(UtilityList!L$4:L$251,MATCH('Table 2.4a'!$A114&amp;'Table 2.4a'!$B114&amp;'Table 2.4a'!$C114,UtilityList!$A$4:$A$251&amp;UtilityList!$B$4:$B$251&amp;UtilityList!$C$4:$C$251,0)), INDEX(UtilityList!L$4:L$251,MATCH('Table 2.4a'!$A114&amp;'Table 2.4a'!$C114,UtilityList!$A$4:$A$251&amp;UtilityList!$C$4:$C$251,0)))</f>
        <v>Ahtna</v>
      </c>
      <c r="S114" s="698" t="str">
        <f t="array" ref="S114">IFERROR(INDEX(UtilityList!M$4:M$251,MATCH('Table 2.4a'!$A114&amp;'Table 2.4a'!$B114&amp;'Table 2.4a'!$C114,UtilityList!$A$4:$A$251&amp;UtilityList!$B$4:$B$251&amp;UtilityList!$C$4:$C$251,0)), INDEX(UtilityList!M$4:M$251,MATCH('Table 2.4a'!$A114&amp;'Table 2.4a'!$C114,UtilityList!$A$4:$A$251&amp;UtilityList!$C$4:$C$251,0)))</f>
        <v>SC</v>
      </c>
    </row>
    <row r="115" spans="1:19" customFormat="1" ht="30" x14ac:dyDescent="0.25">
      <c r="A115" s="693" t="s">
        <v>153</v>
      </c>
      <c r="B115" s="361" t="s">
        <v>157</v>
      </c>
      <c r="C115" s="361"/>
      <c r="D115" s="622" t="s">
        <v>564</v>
      </c>
      <c r="E115" s="622" t="s">
        <v>560</v>
      </c>
      <c r="F115" s="694">
        <f t="shared" si="5"/>
        <v>2459686.9159999997</v>
      </c>
      <c r="G115" s="694">
        <f t="shared" si="4"/>
        <v>9828794.7520000003</v>
      </c>
      <c r="H115" s="695">
        <v>53.06</v>
      </c>
      <c r="I115" s="694">
        <f t="shared" si="6"/>
        <v>521515.84954112006</v>
      </c>
      <c r="J115" s="696">
        <f t="shared" si="7"/>
        <v>0.25025315698036055</v>
      </c>
      <c r="K115" s="697">
        <v>720893</v>
      </c>
      <c r="L115" s="697">
        <v>9617216</v>
      </c>
      <c r="M115" s="790">
        <v>1.022</v>
      </c>
      <c r="N115" s="658" t="s">
        <v>558</v>
      </c>
      <c r="O115" s="698">
        <f t="array" ref="O115">INDEX(UtilityList!Q$4:Q$251,MATCH('Table 2.4a'!$A115&amp;'Table 2.4a'!$B115&amp;'Table 2.4a'!$C115,UtilityList!$A$4:$A$251&amp;UtilityList!$B$4:$B$251&amp;UtilityList!$C$4:$C$251,0))</f>
        <v>0</v>
      </c>
      <c r="P115" s="698" t="str">
        <f t="array" ref="P115">IFERROR(INDEX(UtilityList!J$4:J$251,MATCH('Table 2.4a'!$A115&amp;'Table 2.4a'!$B115&amp;'Table 2.4a'!$C115,UtilityList!$A$4:$A$251&amp;UtilityList!$B$4:$B$251&amp;UtilityList!$C$4:$C$251,0)), INDEX(UtilityList!J$4:J$251,MATCH('Table 2.4a'!$A115&amp;'Table 2.4a'!$C115,UtilityList!$A$4:$A$251&amp;UtilityList!$C$4:$C$251,0)))</f>
        <v>Railbelt</v>
      </c>
      <c r="Q115" s="698" t="str">
        <f t="array" ref="Q115">IFERROR(INDEX(UtilityList!K$4:K$251,MATCH('Table 2.4a'!$A115&amp;'Table 2.4a'!$B115&amp;'Table 2.4a'!$C115,UtilityList!$A$4:$A$251&amp;UtilityList!$B$4:$B$251&amp;UtilityList!$C$4:$C$251,0)), INDEX(UtilityList!K$4:K$251,MATCH('Table 2.4a'!$A115&amp;'Table 2.4a'!$C115,UtilityList!$A$4:$A$251&amp;UtilityList!$C$4:$C$251,0)))</f>
        <v>Anchorage</v>
      </c>
      <c r="R115" s="698" t="str">
        <f t="array" ref="R115">IFERROR(INDEX(UtilityList!L$4:L$251,MATCH('Table 2.4a'!$A115&amp;'Table 2.4a'!$B115&amp;'Table 2.4a'!$C115,UtilityList!$A$4:$A$251&amp;UtilityList!$B$4:$B$251&amp;UtilityList!$C$4:$C$251,0)), INDEX(UtilityList!L$4:L$251,MATCH('Table 2.4a'!$A115&amp;'Table 2.4a'!$C115,UtilityList!$A$4:$A$251&amp;UtilityList!$C$4:$C$251,0)))</f>
        <v>Cook Inlet</v>
      </c>
      <c r="S115" s="698" t="str">
        <f t="array" ref="S115">IFERROR(INDEX(UtilityList!M$4:M$251,MATCH('Table 2.4a'!$A115&amp;'Table 2.4a'!$B115&amp;'Table 2.4a'!$C115,UtilityList!$A$4:$A$251&amp;UtilityList!$B$4:$B$251&amp;UtilityList!$C$4:$C$251,0)), INDEX(UtilityList!M$4:M$251,MATCH('Table 2.4a'!$A115&amp;'Table 2.4a'!$C115,UtilityList!$A$4:$A$251&amp;UtilityList!$C$4:$C$251,0)))</f>
        <v>SC</v>
      </c>
    </row>
    <row r="116" spans="1:19" s="169" customFormat="1" ht="30" x14ac:dyDescent="0.25">
      <c r="A116" s="693" t="s">
        <v>153</v>
      </c>
      <c r="B116" s="361" t="s">
        <v>157</v>
      </c>
      <c r="C116" s="361"/>
      <c r="D116" s="622" t="s">
        <v>564</v>
      </c>
      <c r="E116" s="622" t="s">
        <v>567</v>
      </c>
      <c r="F116" s="694">
        <f t="shared" si="5"/>
        <v>4127032.3679999998</v>
      </c>
      <c r="G116" s="694">
        <f t="shared" si="4"/>
        <v>14708372.588</v>
      </c>
      <c r="H116" s="695">
        <v>53.06</v>
      </c>
      <c r="I116" s="694">
        <f t="shared" si="6"/>
        <v>780426.24951927993</v>
      </c>
      <c r="J116" s="696">
        <f t="shared" si="7"/>
        <v>0.28059068692392847</v>
      </c>
      <c r="K116" s="697">
        <v>1209564</v>
      </c>
      <c r="L116" s="697">
        <v>14391754</v>
      </c>
      <c r="M116" s="790">
        <v>1.022</v>
      </c>
      <c r="N116" s="658" t="s">
        <v>558</v>
      </c>
      <c r="O116" s="698">
        <f t="array" ref="O116">INDEX(UtilityList!Q$4:Q$251,MATCH('Table 2.4a'!$A116&amp;'Table 2.4a'!$B116&amp;'Table 2.4a'!$C116,UtilityList!$A$4:$A$251&amp;UtilityList!$B$4:$B$251&amp;UtilityList!$C$4:$C$251,0))</f>
        <v>0</v>
      </c>
      <c r="P116" s="698" t="str">
        <f t="array" ref="P116">IFERROR(INDEX(UtilityList!J$4:J$251,MATCH('Table 2.4a'!$A116&amp;'Table 2.4a'!$B116&amp;'Table 2.4a'!$C116,UtilityList!$A$4:$A$251&amp;UtilityList!$B$4:$B$251&amp;UtilityList!$C$4:$C$251,0)), INDEX(UtilityList!J$4:J$251,MATCH('Table 2.4a'!$A116&amp;'Table 2.4a'!$C116,UtilityList!$A$4:$A$251&amp;UtilityList!$C$4:$C$251,0)))</f>
        <v>Railbelt</v>
      </c>
      <c r="Q116" s="698" t="str">
        <f t="array" ref="Q116">IFERROR(INDEX(UtilityList!K$4:K$251,MATCH('Table 2.4a'!$A116&amp;'Table 2.4a'!$B116&amp;'Table 2.4a'!$C116,UtilityList!$A$4:$A$251&amp;UtilityList!$B$4:$B$251&amp;UtilityList!$C$4:$C$251,0)), INDEX(UtilityList!K$4:K$251,MATCH('Table 2.4a'!$A116&amp;'Table 2.4a'!$C116,UtilityList!$A$4:$A$251&amp;UtilityList!$C$4:$C$251,0)))</f>
        <v>Anchorage</v>
      </c>
      <c r="R116" s="698" t="str">
        <f t="array" ref="R116">IFERROR(INDEX(UtilityList!L$4:L$251,MATCH('Table 2.4a'!$A116&amp;'Table 2.4a'!$B116&amp;'Table 2.4a'!$C116,UtilityList!$A$4:$A$251&amp;UtilityList!$B$4:$B$251&amp;UtilityList!$C$4:$C$251,0)), INDEX(UtilityList!L$4:L$251,MATCH('Table 2.4a'!$A116&amp;'Table 2.4a'!$C116,UtilityList!$A$4:$A$251&amp;UtilityList!$C$4:$C$251,0)))</f>
        <v>Cook Inlet</v>
      </c>
      <c r="S116" s="698" t="str">
        <f t="array" ref="S116">IFERROR(INDEX(UtilityList!M$4:M$251,MATCH('Table 2.4a'!$A116&amp;'Table 2.4a'!$B116&amp;'Table 2.4a'!$C116,UtilityList!$A$4:$A$251&amp;UtilityList!$B$4:$B$251&amp;UtilityList!$C$4:$C$251,0)), INDEX(UtilityList!M$4:M$251,MATCH('Table 2.4a'!$A116&amp;'Table 2.4a'!$C116,UtilityList!$A$4:$A$251&amp;UtilityList!$C$4:$C$251,0)))</f>
        <v>SC</v>
      </c>
    </row>
    <row r="117" spans="1:19" s="169" customFormat="1" ht="30" x14ac:dyDescent="0.25">
      <c r="A117" s="693" t="s">
        <v>153</v>
      </c>
      <c r="B117" s="636" t="s">
        <v>155</v>
      </c>
      <c r="C117" s="361"/>
      <c r="D117" s="622" t="s">
        <v>564</v>
      </c>
      <c r="E117" s="622" t="s">
        <v>560</v>
      </c>
      <c r="F117" s="694">
        <f t="shared" si="5"/>
        <v>143286.94</v>
      </c>
      <c r="G117" s="694">
        <f t="shared" si="4"/>
        <v>615010.98400000005</v>
      </c>
      <c r="H117" s="695">
        <v>53.06</v>
      </c>
      <c r="I117" s="694">
        <f t="shared" si="6"/>
        <v>32632.482811040001</v>
      </c>
      <c r="J117" s="696">
        <f t="shared" si="7"/>
        <v>0.23298273319944476</v>
      </c>
      <c r="K117" s="697">
        <v>41995</v>
      </c>
      <c r="L117" s="697">
        <v>601772</v>
      </c>
      <c r="M117" s="790">
        <v>1.022</v>
      </c>
      <c r="N117" s="658" t="s">
        <v>558</v>
      </c>
      <c r="O117" s="698">
        <f t="array" ref="O117">INDEX(UtilityList!Q$4:Q$251,MATCH('Table 2.4a'!$A117&amp;'Table 2.4a'!$B117&amp;'Table 2.4a'!$C117,UtilityList!$A$4:$A$251&amp;UtilityList!$B$4:$B$251&amp;UtilityList!$C$4:$C$251,0))</f>
        <v>0</v>
      </c>
      <c r="P117" s="698" t="str">
        <f t="array" ref="P117">IFERROR(INDEX(UtilityList!J$4:J$251,MATCH('Table 2.4a'!$A117&amp;'Table 2.4a'!$B117&amp;'Table 2.4a'!$C117,UtilityList!$A$4:$A$251&amp;UtilityList!$B$4:$B$251&amp;UtilityList!$C$4:$C$251,0)), INDEX(UtilityList!J$4:J$251,MATCH('Table 2.4a'!$A117&amp;'Table 2.4a'!$C117,UtilityList!$A$4:$A$251&amp;UtilityList!$C$4:$C$251,0)))</f>
        <v>Railbelt</v>
      </c>
      <c r="Q117" s="698" t="str">
        <f t="array" ref="Q117">IFERROR(INDEX(UtilityList!K$4:K$251,MATCH('Table 2.4a'!$A117&amp;'Table 2.4a'!$B117&amp;'Table 2.4a'!$C117,UtilityList!$A$4:$A$251&amp;UtilityList!$B$4:$B$251&amp;UtilityList!$C$4:$C$251,0)), INDEX(UtilityList!K$4:K$251,MATCH('Table 2.4a'!$A117&amp;'Table 2.4a'!$C117,UtilityList!$A$4:$A$251&amp;UtilityList!$C$4:$C$251,0)))</f>
        <v>Kenai Peninsula</v>
      </c>
      <c r="R117" s="698" t="str">
        <f t="array" ref="R117">IFERROR(INDEX(UtilityList!L$4:L$251,MATCH('Table 2.4a'!$A117&amp;'Table 2.4a'!$B117&amp;'Table 2.4a'!$C117,UtilityList!$A$4:$A$251&amp;UtilityList!$B$4:$B$251&amp;UtilityList!$C$4:$C$251,0)), INDEX(UtilityList!L$4:L$251,MATCH('Table 2.4a'!$A117&amp;'Table 2.4a'!$C117,UtilityList!$A$4:$A$251&amp;UtilityList!$C$4:$C$251,0)))</f>
        <v>Cook Inlet</v>
      </c>
      <c r="S117" s="698" t="str">
        <f t="array" ref="S117">IFERROR(INDEX(UtilityList!M$4:M$251,MATCH('Table 2.4a'!$A117&amp;'Table 2.4a'!$B117&amp;'Table 2.4a'!$C117,UtilityList!$A$4:$A$251&amp;UtilityList!$B$4:$B$251&amp;UtilityList!$C$4:$C$251,0)), INDEX(UtilityList!M$4:M$251,MATCH('Table 2.4a'!$A117&amp;'Table 2.4a'!$C117,UtilityList!$A$4:$A$251&amp;UtilityList!$C$4:$C$251,0)))</f>
        <v>SC</v>
      </c>
    </row>
    <row r="118" spans="1:19" s="169" customFormat="1" ht="30" x14ac:dyDescent="0.25">
      <c r="A118" s="693" t="s">
        <v>153</v>
      </c>
      <c r="B118" s="636" t="s">
        <v>154</v>
      </c>
      <c r="C118" s="361"/>
      <c r="D118" s="622" t="s">
        <v>564</v>
      </c>
      <c r="E118" s="622" t="s">
        <v>560</v>
      </c>
      <c r="F118" s="694">
        <f t="shared" si="5"/>
        <v>74344.067999999999</v>
      </c>
      <c r="G118" s="694">
        <f t="shared" si="4"/>
        <v>359824.73800000001</v>
      </c>
      <c r="H118" s="695">
        <v>53.06</v>
      </c>
      <c r="I118" s="694">
        <f t="shared" si="6"/>
        <v>19092.300598280002</v>
      </c>
      <c r="J118" s="696">
        <f t="shared" si="7"/>
        <v>0.20661188670135291</v>
      </c>
      <c r="K118" s="697">
        <v>21789</v>
      </c>
      <c r="L118" s="697">
        <v>352079</v>
      </c>
      <c r="M118" s="790">
        <v>1.022</v>
      </c>
      <c r="N118" s="658" t="s">
        <v>558</v>
      </c>
      <c r="O118" s="698">
        <f t="array" ref="O118">INDEX(UtilityList!Q$4:Q$251,MATCH('Table 2.4a'!$A118&amp;'Table 2.4a'!$B118&amp;'Table 2.4a'!$C118,UtilityList!$A$4:$A$251&amp;UtilityList!$B$4:$B$251&amp;UtilityList!$C$4:$C$251,0))</f>
        <v>0</v>
      </c>
      <c r="P118" s="698" t="str">
        <f t="array" ref="P118">IFERROR(INDEX(UtilityList!J$4:J$251,MATCH('Table 2.4a'!$A118&amp;'Table 2.4a'!$B118&amp;'Table 2.4a'!$C118,UtilityList!$A$4:$A$251&amp;UtilityList!$B$4:$B$251&amp;UtilityList!$C$4:$C$251,0)), INDEX(UtilityList!J$4:J$251,MATCH('Table 2.4a'!$A118&amp;'Table 2.4a'!$C118,UtilityList!$A$4:$A$251&amp;UtilityList!$C$4:$C$251,0)))</f>
        <v>Railbelt</v>
      </c>
      <c r="Q118" s="698" t="str">
        <f t="array" ref="Q118">IFERROR(INDEX(UtilityList!K$4:K$251,MATCH('Table 2.4a'!$A118&amp;'Table 2.4a'!$B118&amp;'Table 2.4a'!$C118,UtilityList!$A$4:$A$251&amp;UtilityList!$B$4:$B$251&amp;UtilityList!$C$4:$C$251,0)), INDEX(UtilityList!K$4:K$251,MATCH('Table 2.4a'!$A118&amp;'Table 2.4a'!$C118,UtilityList!$A$4:$A$251&amp;UtilityList!$C$4:$C$251,0)))</f>
        <v>Anchorage</v>
      </c>
      <c r="R118" s="698" t="str">
        <f t="array" ref="R118">IFERROR(INDEX(UtilityList!L$4:L$251,MATCH('Table 2.4a'!$A118&amp;'Table 2.4a'!$B118&amp;'Table 2.4a'!$C118,UtilityList!$A$4:$A$251&amp;UtilityList!$B$4:$B$251&amp;UtilityList!$C$4:$C$251,0)), INDEX(UtilityList!L$4:L$251,MATCH('Table 2.4a'!$A118&amp;'Table 2.4a'!$C118,UtilityList!$A$4:$A$251&amp;UtilityList!$C$4:$C$251,0)))</f>
        <v>Cook Inlet</v>
      </c>
      <c r="S118" s="698" t="str">
        <f t="array" ref="S118">IFERROR(INDEX(UtilityList!M$4:M$251,MATCH('Table 2.4a'!$A118&amp;'Table 2.4a'!$B118&amp;'Table 2.4a'!$C118,UtilityList!$A$4:$A$251&amp;UtilityList!$B$4:$B$251&amp;UtilityList!$C$4:$C$251,0)), INDEX(UtilityList!M$4:M$251,MATCH('Table 2.4a'!$A118&amp;'Table 2.4a'!$C118,UtilityList!$A$4:$A$251&amp;UtilityList!$C$4:$C$251,0)))</f>
        <v>SC</v>
      </c>
    </row>
    <row r="119" spans="1:19" s="169" customFormat="1" ht="45" x14ac:dyDescent="0.25">
      <c r="A119" s="678" t="s">
        <v>160</v>
      </c>
      <c r="B119" s="361" t="s">
        <v>161</v>
      </c>
      <c r="C119" s="679" t="s">
        <v>161</v>
      </c>
      <c r="D119" s="680" t="s">
        <v>545</v>
      </c>
      <c r="E119" s="680" t="s">
        <v>546</v>
      </c>
      <c r="F119" s="694">
        <f t="shared" si="5"/>
        <v>1329.00812</v>
      </c>
      <c r="G119" s="694">
        <f t="shared" si="4"/>
        <v>5048.7580000000007</v>
      </c>
      <c r="H119" s="695">
        <v>73.150000000000006</v>
      </c>
      <c r="I119" s="694">
        <f t="shared" si="6"/>
        <v>369.31664770000009</v>
      </c>
      <c r="J119" s="696">
        <f t="shared" si="7"/>
        <v>0.26323466484232355</v>
      </c>
      <c r="K119" s="697">
        <v>389.51</v>
      </c>
      <c r="L119" s="697">
        <v>36322</v>
      </c>
      <c r="M119" s="790">
        <v>0.13900000000000001</v>
      </c>
      <c r="N119" s="658" t="s">
        <v>356</v>
      </c>
      <c r="O119" s="698">
        <f t="array" ref="O119">INDEX(UtilityList!Q$4:Q$251,MATCH('Table 2.4a'!$A119&amp;'Table 2.4a'!$B119&amp;'Table 2.4a'!$C119,UtilityList!$A$4:$A$251&amp;UtilityList!$B$4:$B$251&amp;UtilityList!$C$4:$C$251,0))</f>
        <v>0</v>
      </c>
      <c r="P119" s="698" t="str">
        <f t="array" ref="P119">IFERROR(INDEX(UtilityList!J$4:J$251,MATCH('Table 2.4a'!$A119&amp;'Table 2.4a'!$B119&amp;'Table 2.4a'!$C119,UtilityList!$A$4:$A$251&amp;UtilityList!$B$4:$B$251&amp;UtilityList!$C$4:$C$251,0)), INDEX(UtilityList!J$4:J$251,MATCH('Table 2.4a'!$A119&amp;'Table 2.4a'!$C119,UtilityList!$A$4:$A$251&amp;UtilityList!$C$4:$C$251,0)))</f>
        <v>Yukon-Koyukuk/Upper Tanana</v>
      </c>
      <c r="Q119" s="698" t="str">
        <f t="array" ref="Q119">IFERROR(INDEX(UtilityList!K$4:K$251,MATCH('Table 2.4a'!$A119&amp;'Table 2.4a'!$B119&amp;'Table 2.4a'!$C119,UtilityList!$A$4:$A$251&amp;UtilityList!$B$4:$B$251&amp;UtilityList!$C$4:$C$251,0)), INDEX(UtilityList!K$4:K$251,MATCH('Table 2.4a'!$A119&amp;'Table 2.4a'!$C119,UtilityList!$A$4:$A$251&amp;UtilityList!$C$4:$C$251,0)))</f>
        <v>Yukon-Koyukuk (CA)</v>
      </c>
      <c r="R119" s="698" t="str">
        <f t="array" ref="R119">IFERROR(INDEX(UtilityList!L$4:L$251,MATCH('Table 2.4a'!$A119&amp;'Table 2.4a'!$B119&amp;'Table 2.4a'!$C119,UtilityList!$A$4:$A$251&amp;UtilityList!$B$4:$B$251&amp;UtilityList!$C$4:$C$251,0)), INDEX(UtilityList!L$4:L$251,MATCH('Table 2.4a'!$A119&amp;'Table 2.4a'!$C119,UtilityList!$A$4:$A$251&amp;UtilityList!$C$4:$C$251,0)))</f>
        <v>Doyon</v>
      </c>
      <c r="S119" s="698" t="str">
        <f t="array" ref="S119">IFERROR(INDEX(UtilityList!M$4:M$251,MATCH('Table 2.4a'!$A119&amp;'Table 2.4a'!$B119&amp;'Table 2.4a'!$C119,UtilityList!$A$4:$A$251&amp;UtilityList!$B$4:$B$251&amp;UtilityList!$C$4:$C$251,0)), INDEX(UtilityList!M$4:M$251,MATCH('Table 2.4a'!$A119&amp;'Table 2.4a'!$C119,UtilityList!$A$4:$A$251&amp;UtilityList!$C$4:$C$251,0)))</f>
        <v>YU</v>
      </c>
    </row>
    <row r="120" spans="1:19" customFormat="1" ht="30" x14ac:dyDescent="0.25">
      <c r="A120" s="361" t="s">
        <v>164</v>
      </c>
      <c r="B120" s="361" t="s">
        <v>165</v>
      </c>
      <c r="C120" s="361" t="s">
        <v>165</v>
      </c>
      <c r="D120" s="622" t="s">
        <v>545</v>
      </c>
      <c r="E120" s="622" t="s">
        <v>546</v>
      </c>
      <c r="F120" s="694">
        <f t="shared" si="5"/>
        <v>51565.555999999997</v>
      </c>
      <c r="G120" s="694">
        <f t="shared" si="4"/>
        <v>157935.41400000002</v>
      </c>
      <c r="H120" s="695">
        <v>73.150000000000006</v>
      </c>
      <c r="I120" s="694">
        <f t="shared" si="6"/>
        <v>11552.975534100002</v>
      </c>
      <c r="J120" s="696">
        <f t="shared" si="7"/>
        <v>0.32649774166546325</v>
      </c>
      <c r="K120" s="697">
        <v>15113</v>
      </c>
      <c r="L120" s="697">
        <v>1136226</v>
      </c>
      <c r="M120" s="790">
        <v>0.13900000000000001</v>
      </c>
      <c r="N120" s="658" t="s">
        <v>558</v>
      </c>
      <c r="O120" s="698">
        <f t="array" ref="O120">INDEX(UtilityList!Q$4:Q$251,MATCH('Table 2.4a'!$A120&amp;'Table 2.4a'!$B120&amp;'Table 2.4a'!$C120,UtilityList!$A$4:$A$251&amp;UtilityList!$B$4:$B$251&amp;UtilityList!$C$4:$C$251,0))</f>
        <v>0</v>
      </c>
      <c r="P120" s="698" t="str">
        <f t="array" ref="P120">IFERROR(INDEX(UtilityList!J$4:J$251,MATCH('Table 2.4a'!$A120&amp;'Table 2.4a'!$B120&amp;'Table 2.4a'!$C120,UtilityList!$A$4:$A$251&amp;UtilityList!$B$4:$B$251&amp;UtilityList!$C$4:$C$251,0)), INDEX(UtilityList!J$4:J$251,MATCH('Table 2.4a'!$A120&amp;'Table 2.4a'!$C120,UtilityList!$A$4:$A$251&amp;UtilityList!$C$4:$C$251,0)))</f>
        <v>Copper River/Chugach</v>
      </c>
      <c r="Q120" s="698" t="str">
        <f t="array" ref="Q120">IFERROR(INDEX(UtilityList!K$4:K$251,MATCH('Table 2.4a'!$A120&amp;'Table 2.4a'!$B120&amp;'Table 2.4a'!$C120,UtilityList!$A$4:$A$251&amp;UtilityList!$B$4:$B$251&amp;UtilityList!$C$4:$C$251,0)), INDEX(UtilityList!K$4:K$251,MATCH('Table 2.4a'!$A120&amp;'Table 2.4a'!$C120,UtilityList!$A$4:$A$251&amp;UtilityList!$C$4:$C$251,0)))</f>
        <v>Valdez-Cordova (CA)</v>
      </c>
      <c r="R120" s="698" t="str">
        <f t="array" ref="R120">IFERROR(INDEX(UtilityList!L$4:L$251,MATCH('Table 2.4a'!$A120&amp;'Table 2.4a'!$B120&amp;'Table 2.4a'!$C120,UtilityList!$A$4:$A$251&amp;UtilityList!$B$4:$B$251&amp;UtilityList!$C$4:$C$251,0)), INDEX(UtilityList!L$4:L$251,MATCH('Table 2.4a'!$A120&amp;'Table 2.4a'!$C120,UtilityList!$A$4:$A$251&amp;UtilityList!$C$4:$C$251,0)))</f>
        <v>Ahtna</v>
      </c>
      <c r="S120" s="698" t="str">
        <f t="array" ref="S120">IFERROR(INDEX(UtilityList!M$4:M$251,MATCH('Table 2.4a'!$A120&amp;'Table 2.4a'!$B120&amp;'Table 2.4a'!$C120,UtilityList!$A$4:$A$251&amp;UtilityList!$B$4:$B$251&amp;UtilityList!$C$4:$C$251,0)), INDEX(UtilityList!M$4:M$251,MATCH('Table 2.4a'!$A120&amp;'Table 2.4a'!$C120,UtilityList!$A$4:$A$251&amp;UtilityList!$C$4:$C$251,0)))</f>
        <v>SC</v>
      </c>
    </row>
    <row r="121" spans="1:19" s="169" customFormat="1" ht="30" x14ac:dyDescent="0.25">
      <c r="A121" s="361" t="s">
        <v>164</v>
      </c>
      <c r="B121" s="361" t="s">
        <v>167</v>
      </c>
      <c r="C121" s="361" t="s">
        <v>167</v>
      </c>
      <c r="D121" s="622" t="s">
        <v>545</v>
      </c>
      <c r="E121" s="622" t="s">
        <v>560</v>
      </c>
      <c r="F121" s="694">
        <f t="shared" si="5"/>
        <v>160.364</v>
      </c>
      <c r="G121" s="694">
        <f t="shared" si="4"/>
        <v>875.7</v>
      </c>
      <c r="H121" s="695">
        <v>73.150000000000006</v>
      </c>
      <c r="I121" s="694">
        <f t="shared" si="6"/>
        <v>64.057455000000004</v>
      </c>
      <c r="J121" s="696">
        <f t="shared" si="7"/>
        <v>0.18312664154390773</v>
      </c>
      <c r="K121" s="697">
        <v>47</v>
      </c>
      <c r="L121" s="697">
        <v>6300</v>
      </c>
      <c r="M121" s="790">
        <v>0.13900000000000001</v>
      </c>
      <c r="N121" s="658" t="s">
        <v>558</v>
      </c>
      <c r="O121" s="698">
        <f t="array" ref="O121">INDEX(UtilityList!Q$4:Q$251,MATCH('Table 2.4a'!$A121&amp;'Table 2.4a'!$B121&amp;'Table 2.4a'!$C121,UtilityList!$A$4:$A$251&amp;UtilityList!$B$4:$B$251&amp;UtilityList!$C$4:$C$251,0))</f>
        <v>0</v>
      </c>
      <c r="P121" s="698" t="str">
        <f t="array" ref="P121">IFERROR(INDEX(UtilityList!J$4:J$251,MATCH('Table 2.4a'!$A121&amp;'Table 2.4a'!$B121&amp;'Table 2.4a'!$C121,UtilityList!$A$4:$A$251&amp;UtilityList!$B$4:$B$251&amp;UtilityList!$C$4:$C$251,0)), INDEX(UtilityList!J$4:J$251,MATCH('Table 2.4a'!$A121&amp;'Table 2.4a'!$C121,UtilityList!$A$4:$A$251&amp;UtilityList!$C$4:$C$251,0)))</f>
        <v>Copper River/Chugach</v>
      </c>
      <c r="Q121" s="698" t="str">
        <f t="array" ref="Q121">IFERROR(INDEX(UtilityList!K$4:K$251,MATCH('Table 2.4a'!$A121&amp;'Table 2.4a'!$B121&amp;'Table 2.4a'!$C121,UtilityList!$A$4:$A$251&amp;UtilityList!$B$4:$B$251&amp;UtilityList!$C$4:$C$251,0)), INDEX(UtilityList!K$4:K$251,MATCH('Table 2.4a'!$A121&amp;'Table 2.4a'!$C121,UtilityList!$A$4:$A$251&amp;UtilityList!$C$4:$C$251,0)))</f>
        <v>Valdez-Cordova (CA)</v>
      </c>
      <c r="R121" s="698" t="str">
        <f t="array" ref="R121">IFERROR(INDEX(UtilityList!L$4:L$251,MATCH('Table 2.4a'!$A121&amp;'Table 2.4a'!$B121&amp;'Table 2.4a'!$C121,UtilityList!$A$4:$A$251&amp;UtilityList!$B$4:$B$251&amp;UtilityList!$C$4:$C$251,0)), INDEX(UtilityList!L$4:L$251,MATCH('Table 2.4a'!$A121&amp;'Table 2.4a'!$C121,UtilityList!$A$4:$A$251&amp;UtilityList!$C$4:$C$251,0)))</f>
        <v>Chugach</v>
      </c>
      <c r="S121" s="698" t="str">
        <f t="array" ref="S121">IFERROR(INDEX(UtilityList!M$4:M$251,MATCH('Table 2.4a'!$A121&amp;'Table 2.4a'!$B121&amp;'Table 2.4a'!$C121,UtilityList!$A$4:$A$251&amp;UtilityList!$B$4:$B$251&amp;UtilityList!$C$4:$C$251,0)), INDEX(UtilityList!M$4:M$251,MATCH('Table 2.4a'!$A121&amp;'Table 2.4a'!$C121,UtilityList!$A$4:$A$251&amp;UtilityList!$C$4:$C$251,0)))</f>
        <v>SC</v>
      </c>
    </row>
    <row r="122" spans="1:19" s="169" customFormat="1" ht="30" x14ac:dyDescent="0.25">
      <c r="A122" s="361" t="s">
        <v>164</v>
      </c>
      <c r="B122" s="361" t="s">
        <v>167</v>
      </c>
      <c r="C122" s="361" t="s">
        <v>167</v>
      </c>
      <c r="D122" s="622" t="s">
        <v>545</v>
      </c>
      <c r="E122" s="622" t="s">
        <v>546</v>
      </c>
      <c r="F122" s="694">
        <f t="shared" si="5"/>
        <v>24876.892</v>
      </c>
      <c r="G122" s="694">
        <f t="shared" si="4"/>
        <v>88533.27</v>
      </c>
      <c r="H122" s="695">
        <v>73.150000000000006</v>
      </c>
      <c r="I122" s="694">
        <f t="shared" si="6"/>
        <v>6476.2087005000012</v>
      </c>
      <c r="J122" s="696">
        <f t="shared" si="7"/>
        <v>0.28098919197269001</v>
      </c>
      <c r="K122" s="697">
        <v>7291</v>
      </c>
      <c r="L122" s="697">
        <v>636930</v>
      </c>
      <c r="M122" s="790">
        <v>0.13900000000000001</v>
      </c>
      <c r="N122" s="658" t="s">
        <v>558</v>
      </c>
      <c r="O122" s="698">
        <f t="array" ref="O122">INDEX(UtilityList!Q$4:Q$251,MATCH('Table 2.4a'!$A122&amp;'Table 2.4a'!$B122&amp;'Table 2.4a'!$C122,UtilityList!$A$4:$A$251&amp;UtilityList!$B$4:$B$251&amp;UtilityList!$C$4:$C$251,0))</f>
        <v>0</v>
      </c>
      <c r="P122" s="698" t="str">
        <f t="array" ref="P122">IFERROR(INDEX(UtilityList!J$4:J$251,MATCH('Table 2.4a'!$A122&amp;'Table 2.4a'!$B122&amp;'Table 2.4a'!$C122,UtilityList!$A$4:$A$251&amp;UtilityList!$B$4:$B$251&amp;UtilityList!$C$4:$C$251,0)), INDEX(UtilityList!J$4:J$251,MATCH('Table 2.4a'!$A122&amp;'Table 2.4a'!$C122,UtilityList!$A$4:$A$251&amp;UtilityList!$C$4:$C$251,0)))</f>
        <v>Copper River/Chugach</v>
      </c>
      <c r="Q122" s="698" t="str">
        <f t="array" ref="Q122">IFERROR(INDEX(UtilityList!K$4:K$251,MATCH('Table 2.4a'!$A122&amp;'Table 2.4a'!$B122&amp;'Table 2.4a'!$C122,UtilityList!$A$4:$A$251&amp;UtilityList!$B$4:$B$251&amp;UtilityList!$C$4:$C$251,0)), INDEX(UtilityList!K$4:K$251,MATCH('Table 2.4a'!$A122&amp;'Table 2.4a'!$C122,UtilityList!$A$4:$A$251&amp;UtilityList!$C$4:$C$251,0)))</f>
        <v>Valdez-Cordova (CA)</v>
      </c>
      <c r="R122" s="698" t="str">
        <f t="array" ref="R122">IFERROR(INDEX(UtilityList!L$4:L$251,MATCH('Table 2.4a'!$A122&amp;'Table 2.4a'!$B122&amp;'Table 2.4a'!$C122,UtilityList!$A$4:$A$251&amp;UtilityList!$B$4:$B$251&amp;UtilityList!$C$4:$C$251,0)), INDEX(UtilityList!L$4:L$251,MATCH('Table 2.4a'!$A122&amp;'Table 2.4a'!$C122,UtilityList!$A$4:$A$251&amp;UtilityList!$C$4:$C$251,0)))</f>
        <v>Chugach</v>
      </c>
      <c r="S122" s="698" t="str">
        <f t="array" ref="S122">IFERROR(INDEX(UtilityList!M$4:M$251,MATCH('Table 2.4a'!$A122&amp;'Table 2.4a'!$B122&amp;'Table 2.4a'!$C122,UtilityList!$A$4:$A$251&amp;UtilityList!$B$4:$B$251&amp;UtilityList!$C$4:$C$251,0)), INDEX(UtilityList!M$4:M$251,MATCH('Table 2.4a'!$A122&amp;'Table 2.4a'!$C122,UtilityList!$A$4:$A$251&amp;UtilityList!$C$4:$C$251,0)))</f>
        <v>SC</v>
      </c>
    </row>
    <row r="123" spans="1:19" s="169" customFormat="1" ht="30" x14ac:dyDescent="0.25">
      <c r="A123" s="361" t="s">
        <v>164</v>
      </c>
      <c r="B123" s="361" t="s">
        <v>168</v>
      </c>
      <c r="C123" s="361" t="s">
        <v>167</v>
      </c>
      <c r="D123" s="622" t="s">
        <v>563</v>
      </c>
      <c r="E123" s="622" t="s">
        <v>560</v>
      </c>
      <c r="F123" s="694">
        <f t="shared" si="5"/>
        <v>59774.828000000001</v>
      </c>
      <c r="G123" s="694">
        <f t="shared" si="4"/>
        <v>252349.02000000002</v>
      </c>
      <c r="H123" s="695">
        <v>70.88</v>
      </c>
      <c r="I123" s="694">
        <f t="shared" si="6"/>
        <v>17886.4985376</v>
      </c>
      <c r="J123" s="696">
        <f t="shared" si="7"/>
        <v>0.23687362843731272</v>
      </c>
      <c r="K123" s="697">
        <v>17519</v>
      </c>
      <c r="L123" s="697">
        <v>1869252</v>
      </c>
      <c r="M123" s="790">
        <v>0.13500000000000001</v>
      </c>
      <c r="N123" s="658" t="s">
        <v>558</v>
      </c>
      <c r="O123" s="698">
        <f t="array" ref="O123">INDEX(UtilityList!Q$4:Q$251,MATCH('Table 2.4a'!$A123&amp;'Table 2.4a'!$B123&amp;'Table 2.4a'!$C123,UtilityList!$A$4:$A$251&amp;UtilityList!$B$4:$B$251&amp;UtilityList!$C$4:$C$251,0))</f>
        <v>0</v>
      </c>
      <c r="P123" s="698" t="str">
        <f t="array" ref="P123">IFERROR(INDEX(UtilityList!J$4:J$251,MATCH('Table 2.4a'!$A123&amp;'Table 2.4a'!$B123&amp;'Table 2.4a'!$C123,UtilityList!$A$4:$A$251&amp;UtilityList!$B$4:$B$251&amp;UtilityList!$C$4:$C$251,0)), INDEX(UtilityList!J$4:J$251,MATCH('Table 2.4a'!$A123&amp;'Table 2.4a'!$C123,UtilityList!$A$4:$A$251&amp;UtilityList!$C$4:$C$251,0)))</f>
        <v>Copper River/Chugach</v>
      </c>
      <c r="Q123" s="698" t="str">
        <f t="array" ref="Q123">IFERROR(INDEX(UtilityList!K$4:K$251,MATCH('Table 2.4a'!$A123&amp;'Table 2.4a'!$B123&amp;'Table 2.4a'!$C123,UtilityList!$A$4:$A$251&amp;UtilityList!$B$4:$B$251&amp;UtilityList!$C$4:$C$251,0)), INDEX(UtilityList!K$4:K$251,MATCH('Table 2.4a'!$A123&amp;'Table 2.4a'!$C123,UtilityList!$A$4:$A$251&amp;UtilityList!$C$4:$C$251,0)))</f>
        <v>Valdez-Cordova (CA)</v>
      </c>
      <c r="R123" s="698" t="str">
        <f t="array" ref="R123">IFERROR(INDEX(UtilityList!L$4:L$251,MATCH('Table 2.4a'!$A123&amp;'Table 2.4a'!$B123&amp;'Table 2.4a'!$C123,UtilityList!$A$4:$A$251&amp;UtilityList!$B$4:$B$251&amp;UtilityList!$C$4:$C$251,0)), INDEX(UtilityList!L$4:L$251,MATCH('Table 2.4a'!$A123&amp;'Table 2.4a'!$C123,UtilityList!$A$4:$A$251&amp;UtilityList!$C$4:$C$251,0)))</f>
        <v>Chugach</v>
      </c>
      <c r="S123" s="698" t="str">
        <f t="array" ref="S123">IFERROR(INDEX(UtilityList!M$4:M$251,MATCH('Table 2.4a'!$A123&amp;'Table 2.4a'!$B123&amp;'Table 2.4a'!$C123,UtilityList!$A$4:$A$251&amp;UtilityList!$B$4:$B$251&amp;UtilityList!$C$4:$C$251,0)), INDEX(UtilityList!M$4:M$251,MATCH('Table 2.4a'!$A123&amp;'Table 2.4a'!$C123,UtilityList!$A$4:$A$251&amp;UtilityList!$C$4:$C$251,0)))</f>
        <v>SC</v>
      </c>
    </row>
    <row r="124" spans="1:19" s="169" customFormat="1" ht="30" x14ac:dyDescent="0.25">
      <c r="A124" s="678" t="s">
        <v>533</v>
      </c>
      <c r="B124" s="361" t="s">
        <v>505</v>
      </c>
      <c r="C124" s="679" t="s">
        <v>1092</v>
      </c>
      <c r="D124" s="680" t="s">
        <v>545</v>
      </c>
      <c r="E124" s="680" t="s">
        <v>546</v>
      </c>
      <c r="F124" s="694">
        <f t="shared" si="5"/>
        <v>32705.845419999998</v>
      </c>
      <c r="G124" s="694">
        <f t="shared" si="4"/>
        <v>108561.08500000001</v>
      </c>
      <c r="H124" s="695">
        <v>73.150000000000006</v>
      </c>
      <c r="I124" s="694">
        <f t="shared" si="6"/>
        <v>7941.2433677500012</v>
      </c>
      <c r="J124" s="696">
        <f t="shared" si="7"/>
        <v>0.30126675152518967</v>
      </c>
      <c r="K124" s="697">
        <v>9585.5349999999999</v>
      </c>
      <c r="L124" s="697">
        <v>781015</v>
      </c>
      <c r="M124" s="790">
        <v>0.13900000000000001</v>
      </c>
      <c r="N124" s="658" t="s">
        <v>356</v>
      </c>
      <c r="O124" s="698">
        <f t="array" ref="O124">INDEX(UtilityList!Q$4:Q$251,MATCH('Table 2.4a'!$A124&amp;'Table 2.4a'!$B124&amp;'Table 2.4a'!$C124,UtilityList!$A$4:$A$251&amp;UtilityList!$B$4:$B$251&amp;UtilityList!$C$4:$C$251,0))</f>
        <v>0</v>
      </c>
      <c r="P124" s="698" t="str">
        <f t="array" ref="P124">IFERROR(INDEX(UtilityList!J$4:J$251,MATCH('Table 2.4a'!$A124&amp;'Table 2.4a'!$B124&amp;'Table 2.4a'!$C124,UtilityList!$A$4:$A$251&amp;UtilityList!$B$4:$B$251&amp;UtilityList!$C$4:$C$251,0)), INDEX(UtilityList!J$4:J$251,MATCH('Table 2.4a'!$A124&amp;'Table 2.4a'!$C124,UtilityList!$A$4:$A$251&amp;UtilityList!$C$4:$C$251,0)))</f>
        <v>Copper River/Chugach</v>
      </c>
      <c r="Q124" s="698" t="str">
        <f t="array" ref="Q124">IFERROR(INDEX(UtilityList!K$4:K$251,MATCH('Table 2.4a'!$A124&amp;'Table 2.4a'!$B124&amp;'Table 2.4a'!$C124,UtilityList!$A$4:$A$251&amp;UtilityList!$B$4:$B$251&amp;UtilityList!$C$4:$C$251,0)), INDEX(UtilityList!K$4:K$251,MATCH('Table 2.4a'!$A124&amp;'Table 2.4a'!$C124,UtilityList!$A$4:$A$251&amp;UtilityList!$C$4:$C$251,0)))</f>
        <v>Valdez-Cordova (CA)</v>
      </c>
      <c r="R124" s="698" t="str">
        <f t="array" ref="R124">IFERROR(INDEX(UtilityList!L$4:L$251,MATCH('Table 2.4a'!$A124&amp;'Table 2.4a'!$B124&amp;'Table 2.4a'!$C124,UtilityList!$A$4:$A$251&amp;UtilityList!$B$4:$B$251&amp;UtilityList!$C$4:$C$251,0)), INDEX(UtilityList!L$4:L$251,MATCH('Table 2.4a'!$A124&amp;'Table 2.4a'!$C124,UtilityList!$A$4:$A$251&amp;UtilityList!$C$4:$C$251,0)))</f>
        <v>Chugach</v>
      </c>
      <c r="S124" s="698" t="str">
        <f t="array" ref="S124">IFERROR(INDEX(UtilityList!M$4:M$251,MATCH('Table 2.4a'!$A124&amp;'Table 2.4a'!$B124&amp;'Table 2.4a'!$C124,UtilityList!$A$4:$A$251&amp;UtilityList!$B$4:$B$251&amp;UtilityList!$C$4:$C$251,0)), INDEX(UtilityList!M$4:M$251,MATCH('Table 2.4a'!$A124&amp;'Table 2.4a'!$C124,UtilityList!$A$4:$A$251&amp;UtilityList!$C$4:$C$251,0)))</f>
        <v>SC</v>
      </c>
    </row>
    <row r="125" spans="1:19" customFormat="1" ht="30" x14ac:dyDescent="0.25">
      <c r="A125" s="678" t="s">
        <v>640</v>
      </c>
      <c r="B125" s="361" t="s">
        <v>170</v>
      </c>
      <c r="C125" s="654" t="s">
        <v>170</v>
      </c>
      <c r="D125" s="680" t="s">
        <v>545</v>
      </c>
      <c r="E125" s="680" t="s">
        <v>546</v>
      </c>
      <c r="F125" s="694">
        <f t="shared" si="5"/>
        <v>961.31394</v>
      </c>
      <c r="G125" s="694">
        <f t="shared" si="4"/>
        <v>3836.5390000000002</v>
      </c>
      <c r="H125" s="695">
        <v>73.150000000000006</v>
      </c>
      <c r="I125" s="694">
        <f t="shared" si="6"/>
        <v>280.64282785000006</v>
      </c>
      <c r="J125" s="696">
        <f t="shared" si="7"/>
        <v>0.25056800934383827</v>
      </c>
      <c r="K125" s="697">
        <v>281.745</v>
      </c>
      <c r="L125" s="697">
        <v>27601</v>
      </c>
      <c r="M125" s="790">
        <v>0.13900000000000001</v>
      </c>
      <c r="N125" s="658" t="s">
        <v>356</v>
      </c>
      <c r="O125" s="698">
        <f t="array" ref="O125">INDEX(UtilityList!Q$4:Q$251,MATCH('Table 2.4a'!$A125&amp;'Table 2.4a'!$B125&amp;'Table 2.4a'!$C125,UtilityList!$A$4:$A$251&amp;UtilityList!$B$4:$B$251&amp;UtilityList!$C$4:$C$251,0))</f>
        <v>0</v>
      </c>
      <c r="P125" s="698" t="str">
        <f t="array" ref="P125">IFERROR(INDEX(UtilityList!J$4:J$251,MATCH('Table 2.4a'!$A125&amp;'Table 2.4a'!$B125&amp;'Table 2.4a'!$C125,UtilityList!$A$4:$A$251&amp;UtilityList!$B$4:$B$251&amp;UtilityList!$C$4:$C$251,0)), INDEX(UtilityList!J$4:J$251,MATCH('Table 2.4a'!$A125&amp;'Table 2.4a'!$C125,UtilityList!$A$4:$A$251&amp;UtilityList!$C$4:$C$251,0)))</f>
        <v>Bering Straits</v>
      </c>
      <c r="Q125" s="698" t="str">
        <f t="array" ref="Q125">IFERROR(INDEX(UtilityList!K$4:K$251,MATCH('Table 2.4a'!$A125&amp;'Table 2.4a'!$B125&amp;'Table 2.4a'!$C125,UtilityList!$A$4:$A$251&amp;UtilityList!$B$4:$B$251&amp;UtilityList!$C$4:$C$251,0)), INDEX(UtilityList!K$4:K$251,MATCH('Table 2.4a'!$A125&amp;'Table 2.4a'!$C125,UtilityList!$A$4:$A$251&amp;UtilityList!$C$4:$C$251,0)))</f>
        <v>Nome (CA)</v>
      </c>
      <c r="R125" s="698" t="str">
        <f t="array" ref="R125">IFERROR(INDEX(UtilityList!L$4:L$251,MATCH('Table 2.4a'!$A125&amp;'Table 2.4a'!$B125&amp;'Table 2.4a'!$C125,UtilityList!$A$4:$A$251&amp;UtilityList!$B$4:$B$251&amp;UtilityList!$C$4:$C$251,0)), INDEX(UtilityList!L$4:L$251,MATCH('Table 2.4a'!$A125&amp;'Table 2.4a'!$C125,UtilityList!$A$4:$A$251&amp;UtilityList!$C$4:$C$251,0)))</f>
        <v>Bering Straits</v>
      </c>
      <c r="S125" s="698" t="str">
        <f t="array" ref="S125">IFERROR(INDEX(UtilityList!M$4:M$251,MATCH('Table 2.4a'!$A125&amp;'Table 2.4a'!$B125&amp;'Table 2.4a'!$C125,UtilityList!$A$4:$A$251&amp;UtilityList!$B$4:$B$251&amp;UtilityList!$C$4:$C$251,0)), INDEX(UtilityList!M$4:M$251,MATCH('Table 2.4a'!$A125&amp;'Table 2.4a'!$C125,UtilityList!$A$4:$A$251&amp;UtilityList!$C$4:$C$251,0)))</f>
        <v>AN</v>
      </c>
    </row>
    <row r="126" spans="1:19" customFormat="1" ht="30" x14ac:dyDescent="0.25">
      <c r="A126" s="678" t="s">
        <v>171</v>
      </c>
      <c r="B126" s="361" t="s">
        <v>172</v>
      </c>
      <c r="C126" s="679" t="s">
        <v>172</v>
      </c>
      <c r="D126" s="680" t="s">
        <v>545</v>
      </c>
      <c r="E126" s="680" t="s">
        <v>546</v>
      </c>
      <c r="F126" s="694">
        <f t="shared" si="5"/>
        <v>892.29088599999989</v>
      </c>
      <c r="G126" s="694">
        <f t="shared" si="4"/>
        <v>3225.608702</v>
      </c>
      <c r="H126" s="695">
        <v>73.150000000000006</v>
      </c>
      <c r="I126" s="694">
        <f t="shared" si="6"/>
        <v>235.95327655130001</v>
      </c>
      <c r="J126" s="696">
        <f t="shared" si="7"/>
        <v>0.27662713256159854</v>
      </c>
      <c r="K126" s="697">
        <v>261.51549999999997</v>
      </c>
      <c r="L126" s="697">
        <v>23205.817999999999</v>
      </c>
      <c r="M126" s="790">
        <v>0.13900000000000001</v>
      </c>
      <c r="N126" s="658" t="s">
        <v>356</v>
      </c>
      <c r="O126" s="698">
        <f t="array" ref="O126">INDEX(UtilityList!Q$4:Q$251,MATCH('Table 2.4a'!$A126&amp;'Table 2.4a'!$B126&amp;'Table 2.4a'!$C126,UtilityList!$A$4:$A$251&amp;UtilityList!$B$4:$B$251&amp;UtilityList!$C$4:$C$251,0))</f>
        <v>0</v>
      </c>
      <c r="P126" s="698" t="str">
        <f t="array" ref="P126">IFERROR(INDEX(UtilityList!J$4:J$251,MATCH('Table 2.4a'!$A126&amp;'Table 2.4a'!$B126&amp;'Table 2.4a'!$C126,UtilityList!$A$4:$A$251&amp;UtilityList!$B$4:$B$251&amp;UtilityList!$C$4:$C$251,0)), INDEX(UtilityList!J$4:J$251,MATCH('Table 2.4a'!$A126&amp;'Table 2.4a'!$C126,UtilityList!$A$4:$A$251&amp;UtilityList!$C$4:$C$251,0)))</f>
        <v>Bristol Bay</v>
      </c>
      <c r="Q126" s="698" t="str">
        <f t="array" ref="Q126">IFERROR(INDEX(UtilityList!K$4:K$251,MATCH('Table 2.4a'!$A126&amp;'Table 2.4a'!$B126&amp;'Table 2.4a'!$C126,UtilityList!$A$4:$A$251&amp;UtilityList!$B$4:$B$251&amp;UtilityList!$C$4:$C$251,0)), INDEX(UtilityList!K$4:K$251,MATCH('Table 2.4a'!$A126&amp;'Table 2.4a'!$C126,UtilityList!$A$4:$A$251&amp;UtilityList!$C$4:$C$251,0)))</f>
        <v>Lake and Peninsula</v>
      </c>
      <c r="R126" s="698" t="str">
        <f t="array" ref="R126">IFERROR(INDEX(UtilityList!L$4:L$251,MATCH('Table 2.4a'!$A126&amp;'Table 2.4a'!$B126&amp;'Table 2.4a'!$C126,UtilityList!$A$4:$A$251&amp;UtilityList!$B$4:$B$251&amp;UtilityList!$C$4:$C$251,0)), INDEX(UtilityList!L$4:L$251,MATCH('Table 2.4a'!$A126&amp;'Table 2.4a'!$C126,UtilityList!$A$4:$A$251&amp;UtilityList!$C$4:$C$251,0)))</f>
        <v>Bristol Bay</v>
      </c>
      <c r="S126" s="698" t="str">
        <f t="array" ref="S126">IFERROR(INDEX(UtilityList!M$4:M$251,MATCH('Table 2.4a'!$A126&amp;'Table 2.4a'!$B126&amp;'Table 2.4a'!$C126,UtilityList!$A$4:$A$251&amp;UtilityList!$B$4:$B$251&amp;UtilityList!$C$4:$C$251,0)), INDEX(UtilityList!M$4:M$251,MATCH('Table 2.4a'!$A126&amp;'Table 2.4a'!$C126,UtilityList!$A$4:$A$251&amp;UtilityList!$C$4:$C$251,0)))</f>
        <v>SW</v>
      </c>
    </row>
    <row r="127" spans="1:19" customFormat="1" ht="30" x14ac:dyDescent="0.25">
      <c r="A127" s="678" t="s">
        <v>174</v>
      </c>
      <c r="B127" s="361" t="s">
        <v>175</v>
      </c>
      <c r="C127" s="679" t="s">
        <v>175</v>
      </c>
      <c r="D127" s="680" t="s">
        <v>545</v>
      </c>
      <c r="E127" s="680" t="s">
        <v>546</v>
      </c>
      <c r="F127" s="694">
        <f t="shared" si="5"/>
        <v>946.68396640000003</v>
      </c>
      <c r="G127" s="694">
        <f t="shared" si="4"/>
        <v>3488.4830000000002</v>
      </c>
      <c r="H127" s="695">
        <v>73.150000000000006</v>
      </c>
      <c r="I127" s="694">
        <f t="shared" si="6"/>
        <v>255.18253145000003</v>
      </c>
      <c r="J127" s="696">
        <f t="shared" si="7"/>
        <v>0.27137410914715648</v>
      </c>
      <c r="K127" s="697">
        <v>277.4572</v>
      </c>
      <c r="L127" s="697">
        <v>25097</v>
      </c>
      <c r="M127" s="790">
        <v>0.13900000000000001</v>
      </c>
      <c r="N127" s="658" t="s">
        <v>356</v>
      </c>
      <c r="O127" s="698">
        <f t="array" ref="O127">INDEX(UtilityList!Q$4:Q$251,MATCH('Table 2.4a'!$A127&amp;'Table 2.4a'!$B127&amp;'Table 2.4a'!$C127,UtilityList!$A$4:$A$251&amp;UtilityList!$B$4:$B$251&amp;UtilityList!$C$4:$C$251,0))</f>
        <v>0</v>
      </c>
      <c r="P127" s="698" t="str">
        <f t="array" ref="P127">IFERROR(INDEX(UtilityList!J$4:J$251,MATCH('Table 2.4a'!$A127&amp;'Table 2.4a'!$B127&amp;'Table 2.4a'!$C127,UtilityList!$A$4:$A$251&amp;UtilityList!$B$4:$B$251&amp;UtilityList!$C$4:$C$251,0)), INDEX(UtilityList!J$4:J$251,MATCH('Table 2.4a'!$A127&amp;'Table 2.4a'!$C127,UtilityList!$A$4:$A$251&amp;UtilityList!$C$4:$C$251,0)))</f>
        <v>Southeast</v>
      </c>
      <c r="Q127" s="698" t="str">
        <f t="array" ref="Q127">IFERROR(INDEX(UtilityList!K$4:K$251,MATCH('Table 2.4a'!$A127&amp;'Table 2.4a'!$B127&amp;'Table 2.4a'!$C127,UtilityList!$A$4:$A$251&amp;UtilityList!$B$4:$B$251&amp;UtilityList!$C$4:$C$251,0)), INDEX(UtilityList!K$4:K$251,MATCH('Table 2.4a'!$A127&amp;'Table 2.4a'!$C127,UtilityList!$A$4:$A$251&amp;UtilityList!$C$4:$C$251,0)))</f>
        <v>Hoonah-Angoon (CA)</v>
      </c>
      <c r="R127" s="698" t="str">
        <f t="array" ref="R127">IFERROR(INDEX(UtilityList!L$4:L$251,MATCH('Table 2.4a'!$A127&amp;'Table 2.4a'!$B127&amp;'Table 2.4a'!$C127,UtilityList!$A$4:$A$251&amp;UtilityList!$B$4:$B$251&amp;UtilityList!$C$4:$C$251,0)), INDEX(UtilityList!L$4:L$251,MATCH('Table 2.4a'!$A127&amp;'Table 2.4a'!$C127,UtilityList!$A$4:$A$251&amp;UtilityList!$C$4:$C$251,0)))</f>
        <v>Sealaska</v>
      </c>
      <c r="S127" s="698" t="str">
        <f t="array" ref="S127">IFERROR(INDEX(UtilityList!M$4:M$251,MATCH('Table 2.4a'!$A127&amp;'Table 2.4a'!$B127&amp;'Table 2.4a'!$C127,UtilityList!$A$4:$A$251&amp;UtilityList!$B$4:$B$251&amp;UtilityList!$C$4:$C$251,0)), INDEX(UtilityList!M$4:M$251,MATCH('Table 2.4a'!$A127&amp;'Table 2.4a'!$C127,UtilityList!$A$4:$A$251&amp;UtilityList!$C$4:$C$251,0)))</f>
        <v>SE</v>
      </c>
    </row>
    <row r="128" spans="1:19" customFormat="1" ht="15" x14ac:dyDescent="0.25">
      <c r="A128" s="678" t="s">
        <v>176</v>
      </c>
      <c r="B128" s="361" t="s">
        <v>177</v>
      </c>
      <c r="C128" s="679" t="s">
        <v>177</v>
      </c>
      <c r="D128" s="680" t="s">
        <v>545</v>
      </c>
      <c r="E128" s="680" t="s">
        <v>546</v>
      </c>
      <c r="F128" s="694">
        <f t="shared" si="5"/>
        <v>1574.129612</v>
      </c>
      <c r="G128" s="694">
        <f t="shared" si="4"/>
        <v>6284.4679999999998</v>
      </c>
      <c r="H128" s="695">
        <v>73.150000000000006</v>
      </c>
      <c r="I128" s="694">
        <f t="shared" si="6"/>
        <v>459.70883420000007</v>
      </c>
      <c r="J128" s="696">
        <f t="shared" si="7"/>
        <v>0.25047937422865391</v>
      </c>
      <c r="K128" s="697">
        <v>461.351</v>
      </c>
      <c r="L128" s="697">
        <v>45211.999999999993</v>
      </c>
      <c r="M128" s="790">
        <v>0.13900000000000001</v>
      </c>
      <c r="N128" s="658" t="s">
        <v>356</v>
      </c>
      <c r="O128" s="698">
        <f t="array" ref="O128">INDEX(UtilityList!Q$4:Q$251,MATCH('Table 2.4a'!$A128&amp;'Table 2.4a'!$B128&amp;'Table 2.4a'!$C128,UtilityList!$A$4:$A$251&amp;UtilityList!$B$4:$B$251&amp;UtilityList!$C$4:$C$251,0))</f>
        <v>0</v>
      </c>
      <c r="P128" s="698" t="str">
        <f t="array" ref="P128">IFERROR(INDEX(UtilityList!J$4:J$251,MATCH('Table 2.4a'!$A128&amp;'Table 2.4a'!$B128&amp;'Table 2.4a'!$C128,UtilityList!$A$4:$A$251&amp;UtilityList!$B$4:$B$251&amp;UtilityList!$C$4:$C$251,0)), INDEX(UtilityList!J$4:J$251,MATCH('Table 2.4a'!$A128&amp;'Table 2.4a'!$C128,UtilityList!$A$4:$A$251&amp;UtilityList!$C$4:$C$251,0)))</f>
        <v>Aleutians</v>
      </c>
      <c r="Q128" s="698" t="str">
        <f t="array" ref="Q128">IFERROR(INDEX(UtilityList!K$4:K$251,MATCH('Table 2.4a'!$A128&amp;'Table 2.4a'!$B128&amp;'Table 2.4a'!$C128,UtilityList!$A$4:$A$251&amp;UtilityList!$B$4:$B$251&amp;UtilityList!$C$4:$C$251,0)), INDEX(UtilityList!K$4:K$251,MATCH('Table 2.4a'!$A128&amp;'Table 2.4a'!$C128,UtilityList!$A$4:$A$251&amp;UtilityList!$C$4:$C$251,0)))</f>
        <v>Aleutians East</v>
      </c>
      <c r="R128" s="698" t="str">
        <f t="array" ref="R128">IFERROR(INDEX(UtilityList!L$4:L$251,MATCH('Table 2.4a'!$A128&amp;'Table 2.4a'!$B128&amp;'Table 2.4a'!$C128,UtilityList!$A$4:$A$251&amp;UtilityList!$B$4:$B$251&amp;UtilityList!$C$4:$C$251,0)), INDEX(UtilityList!L$4:L$251,MATCH('Table 2.4a'!$A128&amp;'Table 2.4a'!$C128,UtilityList!$A$4:$A$251&amp;UtilityList!$C$4:$C$251,0)))</f>
        <v>Aleut</v>
      </c>
      <c r="S128" s="698" t="str">
        <f t="array" ref="S128">IFERROR(INDEX(UtilityList!M$4:M$251,MATCH('Table 2.4a'!$A128&amp;'Table 2.4a'!$B128&amp;'Table 2.4a'!$C128,UtilityList!$A$4:$A$251&amp;UtilityList!$B$4:$B$251&amp;UtilityList!$C$4:$C$251,0)), INDEX(UtilityList!M$4:M$251,MATCH('Table 2.4a'!$A128&amp;'Table 2.4a'!$C128,UtilityList!$A$4:$A$251&amp;UtilityList!$C$4:$C$251,0)))</f>
        <v>SW</v>
      </c>
    </row>
    <row r="129" spans="1:19" customFormat="1" ht="15" x14ac:dyDescent="0.25">
      <c r="A129" s="678" t="s">
        <v>178</v>
      </c>
      <c r="B129" s="361" t="s">
        <v>179</v>
      </c>
      <c r="C129" s="679" t="s">
        <v>179</v>
      </c>
      <c r="D129" s="680" t="s">
        <v>545</v>
      </c>
      <c r="E129" s="680" t="s">
        <v>546</v>
      </c>
      <c r="F129" s="694">
        <f t="shared" si="5"/>
        <v>8758.3344519999991</v>
      </c>
      <c r="G129" s="694">
        <f t="shared" si="4"/>
        <v>28593.690000000002</v>
      </c>
      <c r="H129" s="695">
        <v>73.150000000000006</v>
      </c>
      <c r="I129" s="694">
        <f t="shared" si="6"/>
        <v>2091.6284235000003</v>
      </c>
      <c r="J129" s="696">
        <f t="shared" si="7"/>
        <v>0.30630304979874923</v>
      </c>
      <c r="K129" s="697">
        <v>2566.9209999999998</v>
      </c>
      <c r="L129" s="697">
        <v>205710</v>
      </c>
      <c r="M129" s="790">
        <v>0.13900000000000001</v>
      </c>
      <c r="N129" s="658" t="s">
        <v>356</v>
      </c>
      <c r="O129" s="698">
        <f t="array" ref="O129">INDEX(UtilityList!Q$4:Q$251,MATCH('Table 2.4a'!$A129&amp;'Table 2.4a'!$B129&amp;'Table 2.4a'!$C129,UtilityList!$A$4:$A$251&amp;UtilityList!$B$4:$B$251&amp;UtilityList!$C$4:$C$251,0))</f>
        <v>0</v>
      </c>
      <c r="P129" s="698" t="str">
        <f t="array" ref="P129">IFERROR(INDEX(UtilityList!J$4:J$251,MATCH('Table 2.4a'!$A129&amp;'Table 2.4a'!$B129&amp;'Table 2.4a'!$C129,UtilityList!$A$4:$A$251&amp;UtilityList!$B$4:$B$251&amp;UtilityList!$C$4:$C$251,0)), INDEX(UtilityList!J$4:J$251,MATCH('Table 2.4a'!$A129&amp;'Table 2.4a'!$C129,UtilityList!$A$4:$A$251&amp;UtilityList!$C$4:$C$251,0)))</f>
        <v>Aleutians</v>
      </c>
      <c r="Q129" s="698" t="str">
        <f t="array" ref="Q129">IFERROR(INDEX(UtilityList!K$4:K$251,MATCH('Table 2.4a'!$A129&amp;'Table 2.4a'!$B129&amp;'Table 2.4a'!$C129,UtilityList!$A$4:$A$251&amp;UtilityList!$B$4:$B$251&amp;UtilityList!$C$4:$C$251,0)), INDEX(UtilityList!K$4:K$251,MATCH('Table 2.4a'!$A129&amp;'Table 2.4a'!$C129,UtilityList!$A$4:$A$251&amp;UtilityList!$C$4:$C$251,0)))</f>
        <v>Aleutians East</v>
      </c>
      <c r="R129" s="698" t="str">
        <f t="array" ref="R129">IFERROR(INDEX(UtilityList!L$4:L$251,MATCH('Table 2.4a'!$A129&amp;'Table 2.4a'!$B129&amp;'Table 2.4a'!$C129,UtilityList!$A$4:$A$251&amp;UtilityList!$B$4:$B$251&amp;UtilityList!$C$4:$C$251,0)), INDEX(UtilityList!L$4:L$251,MATCH('Table 2.4a'!$A129&amp;'Table 2.4a'!$C129,UtilityList!$A$4:$A$251&amp;UtilityList!$C$4:$C$251,0)))</f>
        <v>Aleut</v>
      </c>
      <c r="S129" s="698" t="str">
        <f t="array" ref="S129">IFERROR(INDEX(UtilityList!M$4:M$251,MATCH('Table 2.4a'!$A129&amp;'Table 2.4a'!$B129&amp;'Table 2.4a'!$C129,UtilityList!$A$4:$A$251&amp;UtilityList!$B$4:$B$251&amp;UtilityList!$C$4:$C$251,0)), INDEX(UtilityList!M$4:M$251,MATCH('Table 2.4a'!$A129&amp;'Table 2.4a'!$C129,UtilityList!$A$4:$A$251&amp;UtilityList!$C$4:$C$251,0)))</f>
        <v>SW</v>
      </c>
    </row>
    <row r="130" spans="1:19" customFormat="1" ht="45" x14ac:dyDescent="0.25">
      <c r="A130" s="678" t="s">
        <v>182</v>
      </c>
      <c r="B130" s="361" t="s">
        <v>183</v>
      </c>
      <c r="C130" s="679" t="s">
        <v>183</v>
      </c>
      <c r="D130" s="680" t="s">
        <v>545</v>
      </c>
      <c r="E130" s="680" t="s">
        <v>546</v>
      </c>
      <c r="F130" s="694">
        <f t="shared" si="5"/>
        <v>1619.3454360000001</v>
      </c>
      <c r="G130" s="694">
        <f t="shared" si="4"/>
        <v>6290.8620000000019</v>
      </c>
      <c r="H130" s="695">
        <v>73.150000000000006</v>
      </c>
      <c r="I130" s="694">
        <f t="shared" si="6"/>
        <v>460.17655530000019</v>
      </c>
      <c r="J130" s="696">
        <f t="shared" si="7"/>
        <v>0.25741232854893331</v>
      </c>
      <c r="K130" s="697">
        <v>474.60300000000001</v>
      </c>
      <c r="L130" s="697">
        <v>45258.000000000007</v>
      </c>
      <c r="M130" s="790">
        <v>0.13900000000000001</v>
      </c>
      <c r="N130" s="658" t="s">
        <v>356</v>
      </c>
      <c r="O130" s="698">
        <f t="array" ref="O130">INDEX(UtilityList!Q$4:Q$251,MATCH('Table 2.4a'!$A130&amp;'Table 2.4a'!$B130&amp;'Table 2.4a'!$C130,UtilityList!$A$4:$A$251&amp;UtilityList!$B$4:$B$251&amp;UtilityList!$C$4:$C$251,0))</f>
        <v>0</v>
      </c>
      <c r="P130" s="698" t="str">
        <f t="array" ref="P130">IFERROR(INDEX(UtilityList!J$4:J$251,MATCH('Table 2.4a'!$A130&amp;'Table 2.4a'!$B130&amp;'Table 2.4a'!$C130,UtilityList!$A$4:$A$251&amp;UtilityList!$B$4:$B$251&amp;UtilityList!$C$4:$C$251,0)), INDEX(UtilityList!J$4:J$251,MATCH('Table 2.4a'!$A130&amp;'Table 2.4a'!$C130,UtilityList!$A$4:$A$251&amp;UtilityList!$C$4:$C$251,0)))</f>
        <v>Yukon-Koyukuk/Upper Tanana</v>
      </c>
      <c r="Q130" s="698" t="str">
        <f t="array" ref="Q130">IFERROR(INDEX(UtilityList!K$4:K$251,MATCH('Table 2.4a'!$A130&amp;'Table 2.4a'!$B130&amp;'Table 2.4a'!$C130,UtilityList!$A$4:$A$251&amp;UtilityList!$B$4:$B$251&amp;UtilityList!$C$4:$C$251,0)), INDEX(UtilityList!K$4:K$251,MATCH('Table 2.4a'!$A130&amp;'Table 2.4a'!$C130,UtilityList!$A$4:$A$251&amp;UtilityList!$C$4:$C$251,0)))</f>
        <v>Yukon-Koyukuk (CA)</v>
      </c>
      <c r="R130" s="698" t="str">
        <f t="array" ref="R130">IFERROR(INDEX(UtilityList!L$4:L$251,MATCH('Table 2.4a'!$A130&amp;'Table 2.4a'!$B130&amp;'Table 2.4a'!$C130,UtilityList!$A$4:$A$251&amp;UtilityList!$B$4:$B$251&amp;UtilityList!$C$4:$C$251,0)), INDEX(UtilityList!L$4:L$251,MATCH('Table 2.4a'!$A130&amp;'Table 2.4a'!$C130,UtilityList!$A$4:$A$251&amp;UtilityList!$C$4:$C$251,0)))</f>
        <v>Doyon</v>
      </c>
      <c r="S130" s="698" t="str">
        <f t="array" ref="S130">IFERROR(INDEX(UtilityList!M$4:M$251,MATCH('Table 2.4a'!$A130&amp;'Table 2.4a'!$B130&amp;'Table 2.4a'!$C130,UtilityList!$A$4:$A$251&amp;UtilityList!$B$4:$B$251&amp;UtilityList!$C$4:$C$251,0)), INDEX(UtilityList!M$4:M$251,MATCH('Table 2.4a'!$A130&amp;'Table 2.4a'!$C130,UtilityList!$A$4:$A$251&amp;UtilityList!$C$4:$C$251,0)))</f>
        <v>YU</v>
      </c>
    </row>
    <row r="131" spans="1:19" customFormat="1" ht="30" x14ac:dyDescent="0.25">
      <c r="A131" s="693" t="s">
        <v>184</v>
      </c>
      <c r="B131" s="361" t="s">
        <v>185</v>
      </c>
      <c r="C131" s="361"/>
      <c r="D131" s="622" t="s">
        <v>545</v>
      </c>
      <c r="E131" s="622" t="s">
        <v>560</v>
      </c>
      <c r="F131" s="694">
        <f t="shared" si="5"/>
        <v>-580.04</v>
      </c>
      <c r="G131" s="694">
        <f t="shared" si="4"/>
        <v>251.03400000000002</v>
      </c>
      <c r="H131" s="695">
        <v>73.150000000000006</v>
      </c>
      <c r="I131" s="694">
        <f t="shared" si="6"/>
        <v>18.363137100000003</v>
      </c>
      <c r="J131" s="696" t="str">
        <f t="shared" si="7"/>
        <v xml:space="preserve"> </v>
      </c>
      <c r="K131" s="697">
        <v>-170</v>
      </c>
      <c r="L131" s="697">
        <v>1806</v>
      </c>
      <c r="M131" s="790">
        <v>0.13900000000000001</v>
      </c>
      <c r="N131" s="658" t="s">
        <v>558</v>
      </c>
      <c r="O131" s="698">
        <f t="array" ref="O131">INDEX(UtilityList!Q$4:Q$251,MATCH('Table 2.4a'!$A131&amp;'Table 2.4a'!$B131&amp;'Table 2.4a'!$C131,UtilityList!$A$4:$A$251&amp;UtilityList!$B$4:$B$251&amp;UtilityList!$C$4:$C$251,0))</f>
        <v>0</v>
      </c>
      <c r="P131" s="698" t="str">
        <f t="array" ref="P131">IFERROR(INDEX(UtilityList!J$4:J$251,MATCH('Table 2.4a'!$A131&amp;'Table 2.4a'!$B131&amp;'Table 2.4a'!$C131,UtilityList!$A$4:$A$251&amp;UtilityList!$B$4:$B$251&amp;UtilityList!$C$4:$C$251,0)), INDEX(UtilityList!J$4:J$251,MATCH('Table 2.4a'!$A131&amp;'Table 2.4a'!$C131,UtilityList!$A$4:$A$251&amp;UtilityList!$C$4:$C$251,0)))</f>
        <v>Railbelt</v>
      </c>
      <c r="Q131" s="698" t="str">
        <f t="array" ref="Q131">IFERROR(INDEX(UtilityList!K$4:K$251,MATCH('Table 2.4a'!$A131&amp;'Table 2.4a'!$B131&amp;'Table 2.4a'!$C131,UtilityList!$A$4:$A$251&amp;UtilityList!$B$4:$B$251&amp;UtilityList!$C$4:$C$251,0)), INDEX(UtilityList!K$4:K$251,MATCH('Table 2.4a'!$A131&amp;'Table 2.4a'!$C131,UtilityList!$A$4:$A$251&amp;UtilityList!$C$4:$C$251,0)))</f>
        <v>Fairbanks North Star</v>
      </c>
      <c r="R131" s="698" t="str">
        <f t="array" ref="R131">IFERROR(INDEX(UtilityList!L$4:L$251,MATCH('Table 2.4a'!$A131&amp;'Table 2.4a'!$B131&amp;'Table 2.4a'!$C131,UtilityList!$A$4:$A$251&amp;UtilityList!$B$4:$B$251&amp;UtilityList!$C$4:$C$251,0)), INDEX(UtilityList!L$4:L$251,MATCH('Table 2.4a'!$A131&amp;'Table 2.4a'!$C131,UtilityList!$A$4:$A$251&amp;UtilityList!$C$4:$C$251,0)))</f>
        <v>Doyon</v>
      </c>
      <c r="S131" s="698" t="str">
        <f t="array" ref="S131">IFERROR(INDEX(UtilityList!M$4:M$251,MATCH('Table 2.4a'!$A131&amp;'Table 2.4a'!$B131&amp;'Table 2.4a'!$C131,UtilityList!$A$4:$A$251&amp;UtilityList!$B$4:$B$251&amp;UtilityList!$C$4:$C$251,0)), INDEX(UtilityList!M$4:M$251,MATCH('Table 2.4a'!$A131&amp;'Table 2.4a'!$C131,UtilityList!$A$4:$A$251&amp;UtilityList!$C$4:$C$251,0)))</f>
        <v>YU</v>
      </c>
    </row>
    <row r="132" spans="1:19" s="169" customFormat="1" ht="30" x14ac:dyDescent="0.25">
      <c r="A132" s="361" t="s">
        <v>184</v>
      </c>
      <c r="B132" s="636" t="s">
        <v>132</v>
      </c>
      <c r="C132" s="361"/>
      <c r="D132" s="622" t="s">
        <v>545</v>
      </c>
      <c r="E132" s="622" t="s">
        <v>560</v>
      </c>
      <c r="F132" s="694">
        <f t="shared" si="5"/>
        <v>805.23199999999997</v>
      </c>
      <c r="G132" s="694">
        <f t="shared" si="4"/>
        <v>6118.2240000000002</v>
      </c>
      <c r="H132" s="695">
        <v>73.150000000000006</v>
      </c>
      <c r="I132" s="694">
        <f t="shared" si="6"/>
        <v>447.54808560000004</v>
      </c>
      <c r="J132" s="696">
        <f t="shared" si="7"/>
        <v>0.13161204950979238</v>
      </c>
      <c r="K132" s="697">
        <v>236</v>
      </c>
      <c r="L132" s="697">
        <v>44016</v>
      </c>
      <c r="M132" s="790">
        <v>0.13900000000000001</v>
      </c>
      <c r="N132" s="658" t="s">
        <v>558</v>
      </c>
      <c r="O132" s="698">
        <f t="array" ref="O132">INDEX(UtilityList!Q$4:Q$251,MATCH('Table 2.4a'!$A132&amp;'Table 2.4a'!$B132&amp;'Table 2.4a'!$C132,UtilityList!$A$4:$A$251&amp;UtilityList!$B$4:$B$251&amp;UtilityList!$C$4:$C$251,0))</f>
        <v>0</v>
      </c>
      <c r="P132" s="698" t="str">
        <f t="array" ref="P132">IFERROR(INDEX(UtilityList!J$4:J$251,MATCH('Table 2.4a'!$A132&amp;'Table 2.4a'!$B132&amp;'Table 2.4a'!$C132,UtilityList!$A$4:$A$251&amp;UtilityList!$B$4:$B$251&amp;UtilityList!$C$4:$C$251,0)), INDEX(UtilityList!J$4:J$251,MATCH('Table 2.4a'!$A132&amp;'Table 2.4a'!$C132,UtilityList!$A$4:$A$251&amp;UtilityList!$C$4:$C$251,0)))</f>
        <v>Railbelt</v>
      </c>
      <c r="Q132" s="698" t="str">
        <f t="array" ref="Q132">IFERROR(INDEX(UtilityList!K$4:K$251,MATCH('Table 2.4a'!$A132&amp;'Table 2.4a'!$B132&amp;'Table 2.4a'!$C132,UtilityList!$A$4:$A$251&amp;UtilityList!$B$4:$B$251&amp;UtilityList!$C$4:$C$251,0)), INDEX(UtilityList!K$4:K$251,MATCH('Table 2.4a'!$A132&amp;'Table 2.4a'!$C132,UtilityList!$A$4:$A$251&amp;UtilityList!$C$4:$C$251,0)))</f>
        <v>Fairbanks North Star</v>
      </c>
      <c r="R132" s="698" t="str">
        <f t="array" ref="R132">IFERROR(INDEX(UtilityList!L$4:L$251,MATCH('Table 2.4a'!$A132&amp;'Table 2.4a'!$B132&amp;'Table 2.4a'!$C132,UtilityList!$A$4:$A$251&amp;UtilityList!$B$4:$B$251&amp;UtilityList!$C$4:$C$251,0)), INDEX(UtilityList!L$4:L$251,MATCH('Table 2.4a'!$A132&amp;'Table 2.4a'!$C132,UtilityList!$A$4:$A$251&amp;UtilityList!$C$4:$C$251,0)))</f>
        <v>Doyon</v>
      </c>
      <c r="S132" s="698" t="str">
        <f t="array" ref="S132">IFERROR(INDEX(UtilityList!M$4:M$251,MATCH('Table 2.4a'!$A132&amp;'Table 2.4a'!$B132&amp;'Table 2.4a'!$C132,UtilityList!$A$4:$A$251&amp;UtilityList!$B$4:$B$251&amp;UtilityList!$C$4:$C$251,0)), INDEX(UtilityList!M$4:M$251,MATCH('Table 2.4a'!$A132&amp;'Table 2.4a'!$C132,UtilityList!$A$4:$A$251&amp;UtilityList!$C$4:$C$251,0)))</f>
        <v>YU</v>
      </c>
    </row>
    <row r="133" spans="1:19" s="169" customFormat="1" ht="30" x14ac:dyDescent="0.25">
      <c r="A133" s="361" t="s">
        <v>184</v>
      </c>
      <c r="B133" s="636" t="s">
        <v>132</v>
      </c>
      <c r="C133" s="361"/>
      <c r="D133" s="622" t="s">
        <v>565</v>
      </c>
      <c r="E133" s="622" t="s">
        <v>560</v>
      </c>
      <c r="F133" s="694">
        <f t="shared" si="5"/>
        <v>28589.148000000001</v>
      </c>
      <c r="G133" s="694">
        <f t="shared" si="4"/>
        <v>216367.19999999998</v>
      </c>
      <c r="H133" s="695">
        <v>78.8</v>
      </c>
      <c r="I133" s="694">
        <f t="shared" si="6"/>
        <v>17049.735359999999</v>
      </c>
      <c r="J133" s="696">
        <f t="shared" si="7"/>
        <v>0.13213254134637784</v>
      </c>
      <c r="K133" s="697">
        <v>8379</v>
      </c>
      <c r="L133" s="697">
        <v>1442448</v>
      </c>
      <c r="M133" s="790">
        <v>0.15</v>
      </c>
      <c r="N133" s="658" t="s">
        <v>558</v>
      </c>
      <c r="O133" s="698">
        <f t="array" ref="O133">INDEX(UtilityList!Q$4:Q$251,MATCH('Table 2.4a'!$A133&amp;'Table 2.4a'!$B133&amp;'Table 2.4a'!$C133,UtilityList!$A$4:$A$251&amp;UtilityList!$B$4:$B$251&amp;UtilityList!$C$4:$C$251,0))</f>
        <v>0</v>
      </c>
      <c r="P133" s="698" t="str">
        <f t="array" ref="P133">IFERROR(INDEX(UtilityList!J$4:J$251,MATCH('Table 2.4a'!$A133&amp;'Table 2.4a'!$B133&amp;'Table 2.4a'!$C133,UtilityList!$A$4:$A$251&amp;UtilityList!$B$4:$B$251&amp;UtilityList!$C$4:$C$251,0)), INDEX(UtilityList!J$4:J$251,MATCH('Table 2.4a'!$A133&amp;'Table 2.4a'!$C133,UtilityList!$A$4:$A$251&amp;UtilityList!$C$4:$C$251,0)))</f>
        <v>Railbelt</v>
      </c>
      <c r="Q133" s="698" t="str">
        <f t="array" ref="Q133">IFERROR(INDEX(UtilityList!K$4:K$251,MATCH('Table 2.4a'!$A133&amp;'Table 2.4a'!$B133&amp;'Table 2.4a'!$C133,UtilityList!$A$4:$A$251&amp;UtilityList!$B$4:$B$251&amp;UtilityList!$C$4:$C$251,0)), INDEX(UtilityList!K$4:K$251,MATCH('Table 2.4a'!$A133&amp;'Table 2.4a'!$C133,UtilityList!$A$4:$A$251&amp;UtilityList!$C$4:$C$251,0)))</f>
        <v>Fairbanks North Star</v>
      </c>
      <c r="R133" s="698" t="str">
        <f t="array" ref="R133">IFERROR(INDEX(UtilityList!L$4:L$251,MATCH('Table 2.4a'!$A133&amp;'Table 2.4a'!$B133&amp;'Table 2.4a'!$C133,UtilityList!$A$4:$A$251&amp;UtilityList!$B$4:$B$251&amp;UtilityList!$C$4:$C$251,0)), INDEX(UtilityList!L$4:L$251,MATCH('Table 2.4a'!$A133&amp;'Table 2.4a'!$C133,UtilityList!$A$4:$A$251&amp;UtilityList!$C$4:$C$251,0)))</f>
        <v>Doyon</v>
      </c>
      <c r="S133" s="698" t="str">
        <f t="array" ref="S133">IFERROR(INDEX(UtilityList!M$4:M$251,MATCH('Table 2.4a'!$A133&amp;'Table 2.4a'!$B133&amp;'Table 2.4a'!$C133,UtilityList!$A$4:$A$251&amp;UtilityList!$B$4:$B$251&amp;UtilityList!$C$4:$C$251,0)), INDEX(UtilityList!M$4:M$251,MATCH('Table 2.4a'!$A133&amp;'Table 2.4a'!$C133,UtilityList!$A$4:$A$251&amp;UtilityList!$C$4:$C$251,0)))</f>
        <v>YU</v>
      </c>
    </row>
    <row r="134" spans="1:19" s="169" customFormat="1" ht="30" x14ac:dyDescent="0.25">
      <c r="A134" s="361" t="s">
        <v>184</v>
      </c>
      <c r="B134" s="636" t="s">
        <v>132</v>
      </c>
      <c r="C134" s="361"/>
      <c r="D134" s="622" t="s">
        <v>545</v>
      </c>
      <c r="E134" s="622" t="s">
        <v>546</v>
      </c>
      <c r="F134" s="694">
        <f t="shared" si="5"/>
        <v>-71.652000000000001</v>
      </c>
      <c r="G134" s="694">
        <f t="shared" si="4"/>
        <v>1290.1980000000001</v>
      </c>
      <c r="H134" s="695">
        <v>73.150000000000006</v>
      </c>
      <c r="I134" s="694">
        <f t="shared" si="6"/>
        <v>94.377983700000016</v>
      </c>
      <c r="J134" s="696" t="str">
        <f t="shared" si="7"/>
        <v xml:space="preserve"> </v>
      </c>
      <c r="K134" s="697">
        <v>-21</v>
      </c>
      <c r="L134" s="697">
        <v>9282</v>
      </c>
      <c r="M134" s="790">
        <v>0.13900000000000001</v>
      </c>
      <c r="N134" s="658" t="s">
        <v>558</v>
      </c>
      <c r="O134" s="698">
        <f t="array" ref="O134">INDEX(UtilityList!Q$4:Q$251,MATCH('Table 2.4a'!$A134&amp;'Table 2.4a'!$B134&amp;'Table 2.4a'!$C134,UtilityList!$A$4:$A$251&amp;UtilityList!$B$4:$B$251&amp;UtilityList!$C$4:$C$251,0))</f>
        <v>0</v>
      </c>
      <c r="P134" s="698" t="str">
        <f t="array" ref="P134">IFERROR(INDEX(UtilityList!J$4:J$251,MATCH('Table 2.4a'!$A134&amp;'Table 2.4a'!$B134&amp;'Table 2.4a'!$C134,UtilityList!$A$4:$A$251&amp;UtilityList!$B$4:$B$251&amp;UtilityList!$C$4:$C$251,0)), INDEX(UtilityList!J$4:J$251,MATCH('Table 2.4a'!$A134&amp;'Table 2.4a'!$C134,UtilityList!$A$4:$A$251&amp;UtilityList!$C$4:$C$251,0)))</f>
        <v>Railbelt</v>
      </c>
      <c r="Q134" s="698" t="str">
        <f t="array" ref="Q134">IFERROR(INDEX(UtilityList!K$4:K$251,MATCH('Table 2.4a'!$A134&amp;'Table 2.4a'!$B134&amp;'Table 2.4a'!$C134,UtilityList!$A$4:$A$251&amp;UtilityList!$B$4:$B$251&amp;UtilityList!$C$4:$C$251,0)), INDEX(UtilityList!K$4:K$251,MATCH('Table 2.4a'!$A134&amp;'Table 2.4a'!$C134,UtilityList!$A$4:$A$251&amp;UtilityList!$C$4:$C$251,0)))</f>
        <v>Fairbanks North Star</v>
      </c>
      <c r="R134" s="698" t="str">
        <f t="array" ref="R134">IFERROR(INDEX(UtilityList!L$4:L$251,MATCH('Table 2.4a'!$A134&amp;'Table 2.4a'!$B134&amp;'Table 2.4a'!$C134,UtilityList!$A$4:$A$251&amp;UtilityList!$B$4:$B$251&amp;UtilityList!$C$4:$C$251,0)), INDEX(UtilityList!L$4:L$251,MATCH('Table 2.4a'!$A134&amp;'Table 2.4a'!$C134,UtilityList!$A$4:$A$251&amp;UtilityList!$C$4:$C$251,0)))</f>
        <v>Doyon</v>
      </c>
      <c r="S134" s="698" t="str">
        <f t="array" ref="S134">IFERROR(INDEX(UtilityList!M$4:M$251,MATCH('Table 2.4a'!$A134&amp;'Table 2.4a'!$B134&amp;'Table 2.4a'!$C134,UtilityList!$A$4:$A$251&amp;UtilityList!$B$4:$B$251&amp;UtilityList!$C$4:$C$251,0)), INDEX(UtilityList!M$4:M$251,MATCH('Table 2.4a'!$A134&amp;'Table 2.4a'!$C134,UtilityList!$A$4:$A$251&amp;UtilityList!$C$4:$C$251,0)))</f>
        <v>YU</v>
      </c>
    </row>
    <row r="135" spans="1:19" s="169" customFormat="1" ht="30" x14ac:dyDescent="0.25">
      <c r="A135" s="361" t="s">
        <v>184</v>
      </c>
      <c r="B135" s="361" t="s">
        <v>186</v>
      </c>
      <c r="C135" s="361"/>
      <c r="D135" s="622" t="s">
        <v>545</v>
      </c>
      <c r="E135" s="622" t="s">
        <v>562</v>
      </c>
      <c r="F135" s="694">
        <f t="shared" si="5"/>
        <v>760.87599999999998</v>
      </c>
      <c r="G135" s="694">
        <f t="shared" si="4"/>
        <v>3111.6540000000005</v>
      </c>
      <c r="H135" s="695">
        <v>73.150000000000006</v>
      </c>
      <c r="I135" s="694">
        <f t="shared" si="6"/>
        <v>227.61749010000005</v>
      </c>
      <c r="J135" s="696">
        <f t="shared" si="7"/>
        <v>0.24452461616876423</v>
      </c>
      <c r="K135" s="697">
        <v>223</v>
      </c>
      <c r="L135" s="697">
        <v>22386</v>
      </c>
      <c r="M135" s="790">
        <v>0.13900000000000001</v>
      </c>
      <c r="N135" s="658" t="s">
        <v>558</v>
      </c>
      <c r="O135" s="698">
        <f t="array" ref="O135">INDEX(UtilityList!Q$4:Q$251,MATCH('Table 2.4a'!$A135&amp;'Table 2.4a'!$B135&amp;'Table 2.4a'!$C135,UtilityList!$A$4:$A$251&amp;UtilityList!$B$4:$B$251&amp;UtilityList!$C$4:$C$251,0))</f>
        <v>0</v>
      </c>
      <c r="P135" s="698" t="str">
        <f t="array" ref="P135">IFERROR(INDEX(UtilityList!J$4:J$251,MATCH('Table 2.4a'!$A135&amp;'Table 2.4a'!$B135&amp;'Table 2.4a'!$C135,UtilityList!$A$4:$A$251&amp;UtilityList!$B$4:$B$251&amp;UtilityList!$C$4:$C$251,0)), INDEX(UtilityList!J$4:J$251,MATCH('Table 2.4a'!$A135&amp;'Table 2.4a'!$C135,UtilityList!$A$4:$A$251&amp;UtilityList!$C$4:$C$251,0)))</f>
        <v>Railbelt</v>
      </c>
      <c r="Q135" s="698" t="str">
        <f t="array" ref="Q135">IFERROR(INDEX(UtilityList!K$4:K$251,MATCH('Table 2.4a'!$A135&amp;'Table 2.4a'!$B135&amp;'Table 2.4a'!$C135,UtilityList!$A$4:$A$251&amp;UtilityList!$B$4:$B$251&amp;UtilityList!$C$4:$C$251,0)), INDEX(UtilityList!K$4:K$251,MATCH('Table 2.4a'!$A135&amp;'Table 2.4a'!$C135,UtilityList!$A$4:$A$251&amp;UtilityList!$C$4:$C$251,0)))</f>
        <v>Denali</v>
      </c>
      <c r="R135" s="698" t="str">
        <f t="array" ref="R135">IFERROR(INDEX(UtilityList!L$4:L$251,MATCH('Table 2.4a'!$A135&amp;'Table 2.4a'!$B135&amp;'Table 2.4a'!$C135,UtilityList!$A$4:$A$251&amp;UtilityList!$B$4:$B$251&amp;UtilityList!$C$4:$C$251,0)), INDEX(UtilityList!L$4:L$251,MATCH('Table 2.4a'!$A135&amp;'Table 2.4a'!$C135,UtilityList!$A$4:$A$251&amp;UtilityList!$C$4:$C$251,0)))</f>
        <v>Doyon</v>
      </c>
      <c r="S135" s="698" t="str">
        <f t="array" ref="S135">IFERROR(INDEX(UtilityList!M$4:M$251,MATCH('Table 2.4a'!$A135&amp;'Table 2.4a'!$B135&amp;'Table 2.4a'!$C135,UtilityList!$A$4:$A$251&amp;UtilityList!$B$4:$B$251&amp;UtilityList!$C$4:$C$251,0)), INDEX(UtilityList!M$4:M$251,MATCH('Table 2.4a'!$A135&amp;'Table 2.4a'!$C135,UtilityList!$A$4:$A$251&amp;UtilityList!$C$4:$C$251,0)))</f>
        <v>YU</v>
      </c>
    </row>
    <row r="136" spans="1:19" s="169" customFormat="1" ht="30" x14ac:dyDescent="0.25">
      <c r="A136" s="361" t="s">
        <v>184</v>
      </c>
      <c r="B136" s="361" t="s">
        <v>186</v>
      </c>
      <c r="C136" s="361"/>
      <c r="D136" s="622" t="s">
        <v>566</v>
      </c>
      <c r="E136" s="622" t="s">
        <v>562</v>
      </c>
      <c r="F136" s="694">
        <f t="shared" si="5"/>
        <v>605449.16399999999</v>
      </c>
      <c r="G136" s="694">
        <f t="shared" si="4"/>
        <v>2432750.2000000002</v>
      </c>
      <c r="H136" s="695">
        <v>97.17</v>
      </c>
      <c r="I136" s="694">
        <f t="shared" si="6"/>
        <v>236390.33693400002</v>
      </c>
      <c r="J136" s="696">
        <f t="shared" si="7"/>
        <v>0.24887436613919503</v>
      </c>
      <c r="K136" s="697">
        <v>177447</v>
      </c>
      <c r="L136" s="697">
        <v>175018</v>
      </c>
      <c r="M136" s="790">
        <v>13.9</v>
      </c>
      <c r="N136" s="658" t="s">
        <v>558</v>
      </c>
      <c r="O136" s="698">
        <f t="array" ref="O136">INDEX(UtilityList!Q$4:Q$251,MATCH('Table 2.4a'!$A136&amp;'Table 2.4a'!$B136&amp;'Table 2.4a'!$C136,UtilityList!$A$4:$A$251&amp;UtilityList!$B$4:$B$251&amp;UtilityList!$C$4:$C$251,0))</f>
        <v>0</v>
      </c>
      <c r="P136" s="698" t="str">
        <f t="array" ref="P136">IFERROR(INDEX(UtilityList!J$4:J$251,MATCH('Table 2.4a'!$A136&amp;'Table 2.4a'!$B136&amp;'Table 2.4a'!$C136,UtilityList!$A$4:$A$251&amp;UtilityList!$B$4:$B$251&amp;UtilityList!$C$4:$C$251,0)), INDEX(UtilityList!J$4:J$251,MATCH('Table 2.4a'!$A136&amp;'Table 2.4a'!$C136,UtilityList!$A$4:$A$251&amp;UtilityList!$C$4:$C$251,0)))</f>
        <v>Railbelt</v>
      </c>
      <c r="Q136" s="698" t="str">
        <f t="array" ref="Q136">IFERROR(INDEX(UtilityList!K$4:K$251,MATCH('Table 2.4a'!$A136&amp;'Table 2.4a'!$B136&amp;'Table 2.4a'!$C136,UtilityList!$A$4:$A$251&amp;UtilityList!$B$4:$B$251&amp;UtilityList!$C$4:$C$251,0)), INDEX(UtilityList!K$4:K$251,MATCH('Table 2.4a'!$A136&amp;'Table 2.4a'!$C136,UtilityList!$A$4:$A$251&amp;UtilityList!$C$4:$C$251,0)))</f>
        <v>Denali</v>
      </c>
      <c r="R136" s="698" t="str">
        <f t="array" ref="R136">IFERROR(INDEX(UtilityList!L$4:L$251,MATCH('Table 2.4a'!$A136&amp;'Table 2.4a'!$B136&amp;'Table 2.4a'!$C136,UtilityList!$A$4:$A$251&amp;UtilityList!$B$4:$B$251&amp;UtilityList!$C$4:$C$251,0)), INDEX(UtilityList!L$4:L$251,MATCH('Table 2.4a'!$A136&amp;'Table 2.4a'!$C136,UtilityList!$A$4:$A$251&amp;UtilityList!$C$4:$C$251,0)))</f>
        <v>Doyon</v>
      </c>
      <c r="S136" s="698" t="str">
        <f t="array" ref="S136">IFERROR(INDEX(UtilityList!M$4:M$251,MATCH('Table 2.4a'!$A136&amp;'Table 2.4a'!$B136&amp;'Table 2.4a'!$C136,UtilityList!$A$4:$A$251&amp;UtilityList!$B$4:$B$251&amp;UtilityList!$C$4:$C$251,0)), INDEX(UtilityList!M$4:M$251,MATCH('Table 2.4a'!$A136&amp;'Table 2.4a'!$C136,UtilityList!$A$4:$A$251&amp;UtilityList!$C$4:$C$251,0)))</f>
        <v>YU</v>
      </c>
    </row>
    <row r="137" spans="1:19" s="169" customFormat="1" ht="30" x14ac:dyDescent="0.25">
      <c r="A137" s="361" t="s">
        <v>184</v>
      </c>
      <c r="B137" s="361" t="s">
        <v>186</v>
      </c>
      <c r="C137" s="361"/>
      <c r="D137" s="622" t="s">
        <v>545</v>
      </c>
      <c r="E137" s="622" t="s">
        <v>546</v>
      </c>
      <c r="F137" s="694">
        <f t="shared" si="5"/>
        <v>85.3</v>
      </c>
      <c r="G137" s="694">
        <f t="shared" ref="G137:G200" si="8">L137*M137</f>
        <v>251.03400000000002</v>
      </c>
      <c r="H137" s="695">
        <v>73.150000000000006</v>
      </c>
      <c r="I137" s="694">
        <f t="shared" si="6"/>
        <v>18.363137100000003</v>
      </c>
      <c r="J137" s="696">
        <f t="shared" si="7"/>
        <v>0.33979460949512813</v>
      </c>
      <c r="K137" s="697">
        <v>25</v>
      </c>
      <c r="L137" s="697">
        <v>1806</v>
      </c>
      <c r="M137" s="790">
        <v>0.13900000000000001</v>
      </c>
      <c r="N137" s="658" t="s">
        <v>558</v>
      </c>
      <c r="O137" s="698">
        <f t="array" ref="O137">INDEX(UtilityList!Q$4:Q$251,MATCH('Table 2.4a'!$A137&amp;'Table 2.4a'!$B137&amp;'Table 2.4a'!$C137,UtilityList!$A$4:$A$251&amp;UtilityList!$B$4:$B$251&amp;UtilityList!$C$4:$C$251,0))</f>
        <v>0</v>
      </c>
      <c r="P137" s="698" t="str">
        <f t="array" ref="P137">IFERROR(INDEX(UtilityList!J$4:J$251,MATCH('Table 2.4a'!$A137&amp;'Table 2.4a'!$B137&amp;'Table 2.4a'!$C137,UtilityList!$A$4:$A$251&amp;UtilityList!$B$4:$B$251&amp;UtilityList!$C$4:$C$251,0)), INDEX(UtilityList!J$4:J$251,MATCH('Table 2.4a'!$A137&amp;'Table 2.4a'!$C137,UtilityList!$A$4:$A$251&amp;UtilityList!$C$4:$C$251,0)))</f>
        <v>Railbelt</v>
      </c>
      <c r="Q137" s="698" t="str">
        <f t="array" ref="Q137">IFERROR(INDEX(UtilityList!K$4:K$251,MATCH('Table 2.4a'!$A137&amp;'Table 2.4a'!$B137&amp;'Table 2.4a'!$C137,UtilityList!$A$4:$A$251&amp;UtilityList!$B$4:$B$251&amp;UtilityList!$C$4:$C$251,0)), INDEX(UtilityList!K$4:K$251,MATCH('Table 2.4a'!$A137&amp;'Table 2.4a'!$C137,UtilityList!$A$4:$A$251&amp;UtilityList!$C$4:$C$251,0)))</f>
        <v>Denali</v>
      </c>
      <c r="R137" s="698" t="str">
        <f t="array" ref="R137">IFERROR(INDEX(UtilityList!L$4:L$251,MATCH('Table 2.4a'!$A137&amp;'Table 2.4a'!$B137&amp;'Table 2.4a'!$C137,UtilityList!$A$4:$A$251&amp;UtilityList!$B$4:$B$251&amp;UtilityList!$C$4:$C$251,0)), INDEX(UtilityList!L$4:L$251,MATCH('Table 2.4a'!$A137&amp;'Table 2.4a'!$C137,UtilityList!$A$4:$A$251&amp;UtilityList!$C$4:$C$251,0)))</f>
        <v>Doyon</v>
      </c>
      <c r="S137" s="698" t="str">
        <f t="array" ref="S137">IFERROR(INDEX(UtilityList!M$4:M$251,MATCH('Table 2.4a'!$A137&amp;'Table 2.4a'!$B137&amp;'Table 2.4a'!$C137,UtilityList!$A$4:$A$251&amp;UtilityList!$B$4:$B$251&amp;UtilityList!$C$4:$C$251,0)), INDEX(UtilityList!M$4:M$251,MATCH('Table 2.4a'!$A137&amp;'Table 2.4a'!$C137,UtilityList!$A$4:$A$251&amp;UtilityList!$C$4:$C$251,0)))</f>
        <v>YU</v>
      </c>
    </row>
    <row r="138" spans="1:19" s="169" customFormat="1" ht="30" x14ac:dyDescent="0.25">
      <c r="A138" s="361" t="s">
        <v>184</v>
      </c>
      <c r="B138" s="361" t="s">
        <v>187</v>
      </c>
      <c r="C138" s="361"/>
      <c r="D138" s="622" t="s">
        <v>545</v>
      </c>
      <c r="E138" s="622" t="s">
        <v>560</v>
      </c>
      <c r="F138" s="694">
        <f t="shared" ref="F138:F201" si="9">K138*3.412</f>
        <v>4834.8040000000001</v>
      </c>
      <c r="G138" s="694">
        <f t="shared" si="8"/>
        <v>18944.310000000001</v>
      </c>
      <c r="H138" s="695">
        <v>73.150000000000006</v>
      </c>
      <c r="I138" s="694">
        <f t="shared" ref="I138:I201" si="10">(G138*H138)/1000</f>
        <v>1385.7762765000002</v>
      </c>
      <c r="J138" s="696">
        <f t="shared" ref="J138:J201" si="11">IF(F138&gt;0,IFERROR(F138/G138," ")," ")</f>
        <v>0.25521140648564133</v>
      </c>
      <c r="K138" s="697">
        <v>1417</v>
      </c>
      <c r="L138" s="697">
        <v>136290</v>
      </c>
      <c r="M138" s="790">
        <v>0.13900000000000001</v>
      </c>
      <c r="N138" s="658" t="s">
        <v>558</v>
      </c>
      <c r="O138" s="698">
        <f t="array" ref="O138">INDEX(UtilityList!Q$4:Q$251,MATCH('Table 2.4a'!$A138&amp;'Table 2.4a'!$B138&amp;'Table 2.4a'!$C138,UtilityList!$A$4:$A$251&amp;UtilityList!$B$4:$B$251&amp;UtilityList!$C$4:$C$251,0))</f>
        <v>0</v>
      </c>
      <c r="P138" s="698" t="str">
        <f t="array" ref="P138">IFERROR(INDEX(UtilityList!J$4:J$251,MATCH('Table 2.4a'!$A138&amp;'Table 2.4a'!$B138&amp;'Table 2.4a'!$C138,UtilityList!$A$4:$A$251&amp;UtilityList!$B$4:$B$251&amp;UtilityList!$C$4:$C$251,0)), INDEX(UtilityList!J$4:J$251,MATCH('Table 2.4a'!$A138&amp;'Table 2.4a'!$C138,UtilityList!$A$4:$A$251&amp;UtilityList!$C$4:$C$251,0)))</f>
        <v>Railbelt</v>
      </c>
      <c r="Q138" s="698" t="str">
        <f t="array" ref="Q138">IFERROR(INDEX(UtilityList!K$4:K$251,MATCH('Table 2.4a'!$A138&amp;'Table 2.4a'!$B138&amp;'Table 2.4a'!$C138,UtilityList!$A$4:$A$251&amp;UtilityList!$B$4:$B$251&amp;UtilityList!$C$4:$C$251,0)), INDEX(UtilityList!K$4:K$251,MATCH('Table 2.4a'!$A138&amp;'Table 2.4a'!$C138,UtilityList!$A$4:$A$251&amp;UtilityList!$C$4:$C$251,0)))</f>
        <v>Fairbanks North Star</v>
      </c>
      <c r="R138" s="698" t="str">
        <f t="array" ref="R138">IFERROR(INDEX(UtilityList!L$4:L$251,MATCH('Table 2.4a'!$A138&amp;'Table 2.4a'!$B138&amp;'Table 2.4a'!$C138,UtilityList!$A$4:$A$251&amp;UtilityList!$B$4:$B$251&amp;UtilityList!$C$4:$C$251,0)), INDEX(UtilityList!L$4:L$251,MATCH('Table 2.4a'!$A138&amp;'Table 2.4a'!$C138,UtilityList!$A$4:$A$251&amp;UtilityList!$C$4:$C$251,0)))</f>
        <v>Doyon</v>
      </c>
      <c r="S138" s="698" t="str">
        <f t="array" ref="S138">IFERROR(INDEX(UtilityList!M$4:M$251,MATCH('Table 2.4a'!$A138&amp;'Table 2.4a'!$B138&amp;'Table 2.4a'!$C138,UtilityList!$A$4:$A$251&amp;UtilityList!$B$4:$B$251&amp;UtilityList!$C$4:$C$251,0)), INDEX(UtilityList!M$4:M$251,MATCH('Table 2.4a'!$A138&amp;'Table 2.4a'!$C138,UtilityList!$A$4:$A$251&amp;UtilityList!$C$4:$C$251,0)))</f>
        <v>YU</v>
      </c>
    </row>
    <row r="139" spans="1:19" s="169" customFormat="1" ht="30" x14ac:dyDescent="0.25">
      <c r="A139" s="361" t="s">
        <v>184</v>
      </c>
      <c r="B139" s="361" t="s">
        <v>187</v>
      </c>
      <c r="C139" s="361"/>
      <c r="D139" s="622" t="s">
        <v>1081</v>
      </c>
      <c r="E139" s="622" t="s">
        <v>560</v>
      </c>
      <c r="F139" s="694">
        <f t="shared" si="9"/>
        <v>1073043.2919999999</v>
      </c>
      <c r="G139" s="694">
        <f t="shared" si="8"/>
        <v>3292427.25</v>
      </c>
      <c r="H139" s="695">
        <v>70.88</v>
      </c>
      <c r="I139" s="694">
        <f t="shared" si="10"/>
        <v>233367.24347999998</v>
      </c>
      <c r="J139" s="696">
        <f t="shared" si="11"/>
        <v>0.32591252912270119</v>
      </c>
      <c r="K139" s="697">
        <v>314491</v>
      </c>
      <c r="L139" s="697">
        <v>24388350</v>
      </c>
      <c r="M139" s="790">
        <v>0.13500000000000001</v>
      </c>
      <c r="N139" s="658" t="s">
        <v>558</v>
      </c>
      <c r="O139" s="698">
        <f t="array" ref="O139">INDEX(UtilityList!Q$4:Q$251,MATCH('Table 2.4a'!$A139&amp;'Table 2.4a'!$B139&amp;'Table 2.4a'!$C139,UtilityList!$A$4:$A$251&amp;UtilityList!$B$4:$B$251&amp;UtilityList!$C$4:$C$251,0))</f>
        <v>0</v>
      </c>
      <c r="P139" s="698" t="str">
        <f t="array" ref="P139">IFERROR(INDEX(UtilityList!J$4:J$251,MATCH('Table 2.4a'!$A139&amp;'Table 2.4a'!$B139&amp;'Table 2.4a'!$C139,UtilityList!$A$4:$A$251&amp;UtilityList!$B$4:$B$251&amp;UtilityList!$C$4:$C$251,0)), INDEX(UtilityList!J$4:J$251,MATCH('Table 2.4a'!$A139&amp;'Table 2.4a'!$C139,UtilityList!$A$4:$A$251&amp;UtilityList!$C$4:$C$251,0)))</f>
        <v>Railbelt</v>
      </c>
      <c r="Q139" s="698" t="str">
        <f t="array" ref="Q139">IFERROR(INDEX(UtilityList!K$4:K$251,MATCH('Table 2.4a'!$A139&amp;'Table 2.4a'!$B139&amp;'Table 2.4a'!$C139,UtilityList!$A$4:$A$251&amp;UtilityList!$B$4:$B$251&amp;UtilityList!$C$4:$C$251,0)), INDEX(UtilityList!K$4:K$251,MATCH('Table 2.4a'!$A139&amp;'Table 2.4a'!$C139,UtilityList!$A$4:$A$251&amp;UtilityList!$C$4:$C$251,0)))</f>
        <v>Fairbanks North Star</v>
      </c>
      <c r="R139" s="698" t="str">
        <f t="array" ref="R139">IFERROR(INDEX(UtilityList!L$4:L$251,MATCH('Table 2.4a'!$A139&amp;'Table 2.4a'!$B139&amp;'Table 2.4a'!$C139,UtilityList!$A$4:$A$251&amp;UtilityList!$B$4:$B$251&amp;UtilityList!$C$4:$C$251,0)), INDEX(UtilityList!L$4:L$251,MATCH('Table 2.4a'!$A139&amp;'Table 2.4a'!$C139,UtilityList!$A$4:$A$251&amp;UtilityList!$C$4:$C$251,0)))</f>
        <v>Doyon</v>
      </c>
      <c r="S139" s="698" t="str">
        <f t="array" ref="S139">IFERROR(INDEX(UtilityList!M$4:M$251,MATCH('Table 2.4a'!$A139&amp;'Table 2.4a'!$B139&amp;'Table 2.4a'!$C139,UtilityList!$A$4:$A$251&amp;UtilityList!$B$4:$B$251&amp;UtilityList!$C$4:$C$251,0)), INDEX(UtilityList!M$4:M$251,MATCH('Table 2.4a'!$A139&amp;'Table 2.4a'!$C139,UtilityList!$A$4:$A$251&amp;UtilityList!$C$4:$C$251,0)))</f>
        <v>YU</v>
      </c>
    </row>
    <row r="140" spans="1:19" s="169" customFormat="1" ht="30" x14ac:dyDescent="0.25">
      <c r="A140" s="361" t="s">
        <v>184</v>
      </c>
      <c r="B140" s="361" t="s">
        <v>187</v>
      </c>
      <c r="C140" s="361"/>
      <c r="D140" s="622" t="s">
        <v>565</v>
      </c>
      <c r="E140" s="622" t="s">
        <v>560</v>
      </c>
      <c r="F140" s="694">
        <f t="shared" si="9"/>
        <v>321683.36</v>
      </c>
      <c r="G140" s="694">
        <f t="shared" si="8"/>
        <v>1248300.8999999999</v>
      </c>
      <c r="H140" s="695">
        <v>78.8</v>
      </c>
      <c r="I140" s="694">
        <f t="shared" si="10"/>
        <v>98366.110919999992</v>
      </c>
      <c r="J140" s="696">
        <f t="shared" si="11"/>
        <v>0.25769697033784084</v>
      </c>
      <c r="K140" s="697">
        <v>94280</v>
      </c>
      <c r="L140" s="697">
        <v>8322006</v>
      </c>
      <c r="M140" s="790">
        <v>0.15</v>
      </c>
      <c r="N140" s="658" t="s">
        <v>558</v>
      </c>
      <c r="O140" s="698">
        <f t="array" ref="O140">INDEX(UtilityList!Q$4:Q$251,MATCH('Table 2.4a'!$A140&amp;'Table 2.4a'!$B140&amp;'Table 2.4a'!$C140,UtilityList!$A$4:$A$251&amp;UtilityList!$B$4:$B$251&amp;UtilityList!$C$4:$C$251,0))</f>
        <v>0</v>
      </c>
      <c r="P140" s="698" t="str">
        <f t="array" ref="P140">IFERROR(INDEX(UtilityList!J$4:J$251,MATCH('Table 2.4a'!$A140&amp;'Table 2.4a'!$B140&amp;'Table 2.4a'!$C140,UtilityList!$A$4:$A$251&amp;UtilityList!$B$4:$B$251&amp;UtilityList!$C$4:$C$251,0)), INDEX(UtilityList!J$4:J$251,MATCH('Table 2.4a'!$A140&amp;'Table 2.4a'!$C140,UtilityList!$A$4:$A$251&amp;UtilityList!$C$4:$C$251,0)))</f>
        <v>Railbelt</v>
      </c>
      <c r="Q140" s="698" t="str">
        <f t="array" ref="Q140">IFERROR(INDEX(UtilityList!K$4:K$251,MATCH('Table 2.4a'!$A140&amp;'Table 2.4a'!$B140&amp;'Table 2.4a'!$C140,UtilityList!$A$4:$A$251&amp;UtilityList!$B$4:$B$251&amp;UtilityList!$C$4:$C$251,0)), INDEX(UtilityList!K$4:K$251,MATCH('Table 2.4a'!$A140&amp;'Table 2.4a'!$C140,UtilityList!$A$4:$A$251&amp;UtilityList!$C$4:$C$251,0)))</f>
        <v>Fairbanks North Star</v>
      </c>
      <c r="R140" s="698" t="str">
        <f t="array" ref="R140">IFERROR(INDEX(UtilityList!L$4:L$251,MATCH('Table 2.4a'!$A140&amp;'Table 2.4a'!$B140&amp;'Table 2.4a'!$C140,UtilityList!$A$4:$A$251&amp;UtilityList!$B$4:$B$251&amp;UtilityList!$C$4:$C$251,0)), INDEX(UtilityList!L$4:L$251,MATCH('Table 2.4a'!$A140&amp;'Table 2.4a'!$C140,UtilityList!$A$4:$A$251&amp;UtilityList!$C$4:$C$251,0)))</f>
        <v>Doyon</v>
      </c>
      <c r="S140" s="698" t="str">
        <f t="array" ref="S140">IFERROR(INDEX(UtilityList!M$4:M$251,MATCH('Table 2.4a'!$A140&amp;'Table 2.4a'!$B140&amp;'Table 2.4a'!$C140,UtilityList!$A$4:$A$251&amp;UtilityList!$B$4:$B$251&amp;UtilityList!$C$4:$C$251,0)), INDEX(UtilityList!M$4:M$251,MATCH('Table 2.4a'!$A140&amp;'Table 2.4a'!$C140,UtilityList!$A$4:$A$251&amp;UtilityList!$C$4:$C$251,0)))</f>
        <v>YU</v>
      </c>
    </row>
    <row r="141" spans="1:19" s="169" customFormat="1" ht="30" x14ac:dyDescent="0.25">
      <c r="A141" s="678" t="s">
        <v>188</v>
      </c>
      <c r="B141" s="361" t="s">
        <v>189</v>
      </c>
      <c r="C141" s="679" t="s">
        <v>189</v>
      </c>
      <c r="D141" s="680" t="s">
        <v>545</v>
      </c>
      <c r="E141" s="680" t="s">
        <v>546</v>
      </c>
      <c r="F141" s="694">
        <f t="shared" si="9"/>
        <v>2578.4518119999998</v>
      </c>
      <c r="G141" s="694">
        <f t="shared" si="8"/>
        <v>8475.5250000000015</v>
      </c>
      <c r="H141" s="695">
        <v>73.150000000000006</v>
      </c>
      <c r="I141" s="694">
        <f t="shared" si="10"/>
        <v>619.98465375000012</v>
      </c>
      <c r="J141" s="696">
        <f t="shared" si="11"/>
        <v>0.30422325602248823</v>
      </c>
      <c r="K141" s="697">
        <v>755.70100000000002</v>
      </c>
      <c r="L141" s="697">
        <v>60975</v>
      </c>
      <c r="M141" s="790">
        <v>0.13900000000000001</v>
      </c>
      <c r="N141" s="658" t="s">
        <v>356</v>
      </c>
      <c r="O141" s="698">
        <f t="array" ref="O141">INDEX(UtilityList!Q$4:Q$251,MATCH('Table 2.4a'!$A141&amp;'Table 2.4a'!$B141&amp;'Table 2.4a'!$C141,UtilityList!$A$4:$A$251&amp;UtilityList!$B$4:$B$251&amp;UtilityList!$C$4:$C$251,0))</f>
        <v>0</v>
      </c>
      <c r="P141" s="698" t="str">
        <f t="array" ref="P141">IFERROR(INDEX(UtilityList!J$4:J$251,MATCH('Table 2.4a'!$A141&amp;'Table 2.4a'!$B141&amp;'Table 2.4a'!$C141,UtilityList!$A$4:$A$251&amp;UtilityList!$B$4:$B$251&amp;UtilityList!$C$4:$C$251,0)), INDEX(UtilityList!J$4:J$251,MATCH('Table 2.4a'!$A141&amp;'Table 2.4a'!$C141,UtilityList!$A$4:$A$251&amp;UtilityList!$C$4:$C$251,0)))</f>
        <v>Bering Straits</v>
      </c>
      <c r="Q141" s="698" t="str">
        <f t="array" ref="Q141">IFERROR(INDEX(UtilityList!K$4:K$251,MATCH('Table 2.4a'!$A141&amp;'Table 2.4a'!$B141&amp;'Table 2.4a'!$C141,UtilityList!$A$4:$A$251&amp;UtilityList!$B$4:$B$251&amp;UtilityList!$C$4:$C$251,0)), INDEX(UtilityList!K$4:K$251,MATCH('Table 2.4a'!$A141&amp;'Table 2.4a'!$C141,UtilityList!$A$4:$A$251&amp;UtilityList!$C$4:$C$251,0)))</f>
        <v>Nome (CA)</v>
      </c>
      <c r="R141" s="698" t="str">
        <f t="array" ref="R141">IFERROR(INDEX(UtilityList!L$4:L$251,MATCH('Table 2.4a'!$A141&amp;'Table 2.4a'!$B141&amp;'Table 2.4a'!$C141,UtilityList!$A$4:$A$251&amp;UtilityList!$B$4:$B$251&amp;UtilityList!$C$4:$C$251,0)), INDEX(UtilityList!L$4:L$251,MATCH('Table 2.4a'!$A141&amp;'Table 2.4a'!$C141,UtilityList!$A$4:$A$251&amp;UtilityList!$C$4:$C$251,0)))</f>
        <v>Bering Straits</v>
      </c>
      <c r="S141" s="698" t="str">
        <f t="array" ref="S141">IFERROR(INDEX(UtilityList!M$4:M$251,MATCH('Table 2.4a'!$A141&amp;'Table 2.4a'!$B141&amp;'Table 2.4a'!$C141,UtilityList!$A$4:$A$251&amp;UtilityList!$B$4:$B$251&amp;UtilityList!$C$4:$C$251,0)), INDEX(UtilityList!M$4:M$251,MATCH('Table 2.4a'!$A141&amp;'Table 2.4a'!$C141,UtilityList!$A$4:$A$251&amp;UtilityList!$C$4:$C$251,0)))</f>
        <v>AN</v>
      </c>
    </row>
    <row r="142" spans="1:19" customFormat="1" ht="30" x14ac:dyDescent="0.25">
      <c r="A142" s="678" t="s">
        <v>190</v>
      </c>
      <c r="B142" s="361" t="s">
        <v>191</v>
      </c>
      <c r="C142" s="679" t="s">
        <v>191</v>
      </c>
      <c r="D142" s="680" t="s">
        <v>545</v>
      </c>
      <c r="E142" s="680" t="s">
        <v>546</v>
      </c>
      <c r="F142" s="694">
        <f t="shared" si="9"/>
        <v>335.04802752000001</v>
      </c>
      <c r="G142" s="694">
        <f t="shared" si="8"/>
        <v>1754.8873710000003</v>
      </c>
      <c r="H142" s="695">
        <v>73.150000000000006</v>
      </c>
      <c r="I142" s="694">
        <f t="shared" si="10"/>
        <v>128.37001118865001</v>
      </c>
      <c r="J142" s="696">
        <f t="shared" si="11"/>
        <v>0.19092280966674069</v>
      </c>
      <c r="K142" s="697">
        <v>98.196960000000004</v>
      </c>
      <c r="L142" s="697">
        <v>12625.089</v>
      </c>
      <c r="M142" s="790">
        <v>0.13900000000000001</v>
      </c>
      <c r="N142" s="658" t="s">
        <v>356</v>
      </c>
      <c r="O142" s="698">
        <f t="array" ref="O142">INDEX(UtilityList!Q$4:Q$251,MATCH('Table 2.4a'!$A142&amp;'Table 2.4a'!$B142&amp;'Table 2.4a'!$C142,UtilityList!$A$4:$A$251&amp;UtilityList!$B$4:$B$251&amp;UtilityList!$C$4:$C$251,0))</f>
        <v>0</v>
      </c>
      <c r="P142" s="698" t="str">
        <f t="array" ref="P142">IFERROR(INDEX(UtilityList!J$4:J$251,MATCH('Table 2.4a'!$A142&amp;'Table 2.4a'!$B142&amp;'Table 2.4a'!$C142,UtilityList!$A$4:$A$251&amp;UtilityList!$B$4:$B$251&amp;UtilityList!$C$4:$C$251,0)), INDEX(UtilityList!J$4:J$251,MATCH('Table 2.4a'!$A142&amp;'Table 2.4a'!$C142,UtilityList!$A$4:$A$251&amp;UtilityList!$C$4:$C$251,0)))</f>
        <v>Southeast</v>
      </c>
      <c r="Q142" s="698" t="str">
        <f t="array" ref="Q142">IFERROR(INDEX(UtilityList!K$4:K$251,MATCH('Table 2.4a'!$A142&amp;'Table 2.4a'!$B142&amp;'Table 2.4a'!$C142,UtilityList!$A$4:$A$251&amp;UtilityList!$B$4:$B$251&amp;UtilityList!$C$4:$C$251,0)), INDEX(UtilityList!K$4:K$251,MATCH('Table 2.4a'!$A142&amp;'Table 2.4a'!$C142,UtilityList!$A$4:$A$251&amp;UtilityList!$C$4:$C$251,0)))</f>
        <v>Hoonah-Angoon (CA)</v>
      </c>
      <c r="R142" s="698" t="str">
        <f t="array" ref="R142">IFERROR(INDEX(UtilityList!L$4:L$251,MATCH('Table 2.4a'!$A142&amp;'Table 2.4a'!$B142&amp;'Table 2.4a'!$C142,UtilityList!$A$4:$A$251&amp;UtilityList!$B$4:$B$251&amp;UtilityList!$C$4:$C$251,0)), INDEX(UtilityList!L$4:L$251,MATCH('Table 2.4a'!$A142&amp;'Table 2.4a'!$C142,UtilityList!$A$4:$A$251&amp;UtilityList!$C$4:$C$251,0)))</f>
        <v>Sealaska</v>
      </c>
      <c r="S142" s="698" t="str">
        <f t="array" ref="S142">IFERROR(INDEX(UtilityList!M$4:M$251,MATCH('Table 2.4a'!$A142&amp;'Table 2.4a'!$B142&amp;'Table 2.4a'!$C142,UtilityList!$A$4:$A$251&amp;UtilityList!$B$4:$B$251&amp;UtilityList!$C$4:$C$251,0)), INDEX(UtilityList!M$4:M$251,MATCH('Table 2.4a'!$A142&amp;'Table 2.4a'!$C142,UtilityList!$A$4:$A$251&amp;UtilityList!$C$4:$C$251,0)))</f>
        <v>SE</v>
      </c>
    </row>
    <row r="143" spans="1:19" customFormat="1" ht="45" x14ac:dyDescent="0.25">
      <c r="A143" s="678" t="s">
        <v>535</v>
      </c>
      <c r="B143" s="361" t="s">
        <v>192</v>
      </c>
      <c r="C143" s="679" t="s">
        <v>192</v>
      </c>
      <c r="D143" s="680" t="s">
        <v>545</v>
      </c>
      <c r="E143" s="680" t="s">
        <v>546</v>
      </c>
      <c r="F143" s="694">
        <f t="shared" si="9"/>
        <v>10446.247439999999</v>
      </c>
      <c r="G143" s="694">
        <f t="shared" si="8"/>
        <v>33203.347000000002</v>
      </c>
      <c r="H143" s="695">
        <v>73.150000000000006</v>
      </c>
      <c r="I143" s="694">
        <f t="shared" si="10"/>
        <v>2428.8248330500005</v>
      </c>
      <c r="J143" s="696">
        <f t="shared" si="11"/>
        <v>0.31461428993890278</v>
      </c>
      <c r="K143" s="697">
        <v>3061.62</v>
      </c>
      <c r="L143" s="697">
        <v>238873</v>
      </c>
      <c r="M143" s="790">
        <v>0.13900000000000001</v>
      </c>
      <c r="N143" s="658" t="s">
        <v>356</v>
      </c>
      <c r="O143" s="698">
        <f t="array" ref="O143">INDEX(UtilityList!Q$4:Q$251,MATCH('Table 2.4a'!$A143&amp;'Table 2.4a'!$B143&amp;'Table 2.4a'!$C143,UtilityList!$A$4:$A$251&amp;UtilityList!$B$4:$B$251&amp;UtilityList!$C$4:$C$251,0))</f>
        <v>0</v>
      </c>
      <c r="P143" s="698" t="str">
        <f t="array" ref="P143">IFERROR(INDEX(UtilityList!J$4:J$251,MATCH('Table 2.4a'!$A143&amp;'Table 2.4a'!$B143&amp;'Table 2.4a'!$C143,UtilityList!$A$4:$A$251&amp;UtilityList!$B$4:$B$251&amp;UtilityList!$C$4:$C$251,0)), INDEX(UtilityList!J$4:J$251,MATCH('Table 2.4a'!$A143&amp;'Table 2.4a'!$C143,UtilityList!$A$4:$A$251&amp;UtilityList!$C$4:$C$251,0)))</f>
        <v>Yukon-Koyukuk/Upper Tanana</v>
      </c>
      <c r="Q143" s="698" t="str">
        <f t="array" ref="Q143">IFERROR(INDEX(UtilityList!K$4:K$251,MATCH('Table 2.4a'!$A143&amp;'Table 2.4a'!$B143&amp;'Table 2.4a'!$C143,UtilityList!$A$4:$A$251&amp;UtilityList!$B$4:$B$251&amp;UtilityList!$C$4:$C$251,0)), INDEX(UtilityList!K$4:K$251,MATCH('Table 2.4a'!$A143&amp;'Table 2.4a'!$C143,UtilityList!$A$4:$A$251&amp;UtilityList!$C$4:$C$251,0)))</f>
        <v>Yukon-Koyukuk (CA)</v>
      </c>
      <c r="R143" s="698" t="str">
        <f t="array" ref="R143">IFERROR(INDEX(UtilityList!L$4:L$251,MATCH('Table 2.4a'!$A143&amp;'Table 2.4a'!$B143&amp;'Table 2.4a'!$C143,UtilityList!$A$4:$A$251&amp;UtilityList!$B$4:$B$251&amp;UtilityList!$C$4:$C$251,0)), INDEX(UtilityList!L$4:L$251,MATCH('Table 2.4a'!$A143&amp;'Table 2.4a'!$C143,UtilityList!$A$4:$A$251&amp;UtilityList!$C$4:$C$251,0)))</f>
        <v>Doyon</v>
      </c>
      <c r="S143" s="698" t="str">
        <f t="array" ref="S143">IFERROR(INDEX(UtilityList!M$4:M$251,MATCH('Table 2.4a'!$A143&amp;'Table 2.4a'!$B143&amp;'Table 2.4a'!$C143,UtilityList!$A$4:$A$251&amp;UtilityList!$B$4:$B$251&amp;UtilityList!$C$4:$C$251,0)), INDEX(UtilityList!M$4:M$251,MATCH('Table 2.4a'!$A143&amp;'Table 2.4a'!$C143,UtilityList!$A$4:$A$251&amp;UtilityList!$C$4:$C$251,0)))</f>
        <v>YU</v>
      </c>
    </row>
    <row r="144" spans="1:19" customFormat="1" ht="30" x14ac:dyDescent="0.25">
      <c r="A144" s="361" t="s">
        <v>193</v>
      </c>
      <c r="B144" s="361" t="s">
        <v>194</v>
      </c>
      <c r="C144" s="361"/>
      <c r="D144" s="622" t="s">
        <v>564</v>
      </c>
      <c r="E144" s="622" t="s">
        <v>560</v>
      </c>
      <c r="F144" s="694">
        <f t="shared" si="9"/>
        <v>942698.06799999997</v>
      </c>
      <c r="G144" s="694">
        <f t="shared" si="8"/>
        <v>3656480.94</v>
      </c>
      <c r="H144" s="695">
        <v>53.06</v>
      </c>
      <c r="I144" s="694">
        <f t="shared" si="10"/>
        <v>194012.8786764</v>
      </c>
      <c r="J144" s="696">
        <f t="shared" si="11"/>
        <v>0.25781566579149184</v>
      </c>
      <c r="K144" s="697">
        <v>276289</v>
      </c>
      <c r="L144" s="697">
        <v>3577770</v>
      </c>
      <c r="M144" s="790">
        <v>1.022</v>
      </c>
      <c r="N144" s="658" t="s">
        <v>558</v>
      </c>
      <c r="O144" s="698">
        <f t="array" ref="O144">INDEX(UtilityList!Q$4:Q$251,MATCH('Table 2.4a'!$A144&amp;'Table 2.4a'!$B144&amp;'Table 2.4a'!$C144,UtilityList!$A$4:$A$251&amp;UtilityList!$B$4:$B$251&amp;UtilityList!$C$4:$C$251,0))</f>
        <v>0</v>
      </c>
      <c r="P144" s="698" t="str">
        <f t="array" ref="P144">IFERROR(INDEX(UtilityList!J$4:J$251,MATCH('Table 2.4a'!$A144&amp;'Table 2.4a'!$B144&amp;'Table 2.4a'!$C144,UtilityList!$A$4:$A$251&amp;UtilityList!$B$4:$B$251&amp;UtilityList!$C$4:$C$251,0)), INDEX(UtilityList!J$4:J$251,MATCH('Table 2.4a'!$A144&amp;'Table 2.4a'!$C144,UtilityList!$A$4:$A$251&amp;UtilityList!$C$4:$C$251,0)))</f>
        <v>Railbelt</v>
      </c>
      <c r="Q144" s="698" t="str">
        <f t="array" ref="Q144">IFERROR(INDEX(UtilityList!K$4:K$251,MATCH('Table 2.4a'!$A144&amp;'Table 2.4a'!$B144&amp;'Table 2.4a'!$C144,UtilityList!$A$4:$A$251&amp;UtilityList!$B$4:$B$251&amp;UtilityList!$C$4:$C$251,0)), INDEX(UtilityList!K$4:K$251,MATCH('Table 2.4a'!$A144&amp;'Table 2.4a'!$C144,UtilityList!$A$4:$A$251&amp;UtilityList!$C$4:$C$251,0)))</f>
        <v>Kenai Peninsula</v>
      </c>
      <c r="R144" s="698" t="str">
        <f t="array" ref="R144">IFERROR(INDEX(UtilityList!L$4:L$251,MATCH('Table 2.4a'!$A144&amp;'Table 2.4a'!$B144&amp;'Table 2.4a'!$C144,UtilityList!$A$4:$A$251&amp;UtilityList!$B$4:$B$251&amp;UtilityList!$C$4:$C$251,0)), INDEX(UtilityList!L$4:L$251,MATCH('Table 2.4a'!$A144&amp;'Table 2.4a'!$C144,UtilityList!$A$4:$A$251&amp;UtilityList!$C$4:$C$251,0)))</f>
        <v>Cook Inlet</v>
      </c>
      <c r="S144" s="698" t="str">
        <f t="array" ref="S144">IFERROR(INDEX(UtilityList!M$4:M$251,MATCH('Table 2.4a'!$A144&amp;'Table 2.4a'!$B144&amp;'Table 2.4a'!$C144,UtilityList!$A$4:$A$251&amp;UtilityList!$B$4:$B$251&amp;UtilityList!$C$4:$C$251,0)), INDEX(UtilityList!M$4:M$251,MATCH('Table 2.4a'!$A144&amp;'Table 2.4a'!$C144,UtilityList!$A$4:$A$251&amp;UtilityList!$C$4:$C$251,0)))</f>
        <v>SC</v>
      </c>
    </row>
    <row r="145" spans="1:19" s="169" customFormat="1" ht="30" x14ac:dyDescent="0.25">
      <c r="A145" s="361" t="s">
        <v>193</v>
      </c>
      <c r="B145" s="361" t="s">
        <v>195</v>
      </c>
      <c r="C145" s="361"/>
      <c r="D145" s="622" t="s">
        <v>545</v>
      </c>
      <c r="E145" s="622" t="s">
        <v>546</v>
      </c>
      <c r="F145" s="694">
        <f t="shared" si="9"/>
        <v>487.916</v>
      </c>
      <c r="G145" s="694">
        <f t="shared" si="8"/>
        <v>1418.634</v>
      </c>
      <c r="H145" s="695">
        <v>73.150000000000006</v>
      </c>
      <c r="I145" s="694">
        <f t="shared" si="10"/>
        <v>103.77307710000001</v>
      </c>
      <c r="J145" s="696">
        <f t="shared" si="11"/>
        <v>0.34393367140502767</v>
      </c>
      <c r="K145" s="697">
        <v>143</v>
      </c>
      <c r="L145" s="697">
        <v>10206</v>
      </c>
      <c r="M145" s="790">
        <v>0.13900000000000001</v>
      </c>
      <c r="N145" s="658" t="s">
        <v>558</v>
      </c>
      <c r="O145" s="698">
        <f t="array" ref="O145">INDEX(UtilityList!Q$4:Q$251,MATCH('Table 2.4a'!$A145&amp;'Table 2.4a'!$B145&amp;'Table 2.4a'!$C145,UtilityList!$A$4:$A$251&amp;UtilityList!$B$4:$B$251&amp;UtilityList!$C$4:$C$251,0))</f>
        <v>0</v>
      </c>
      <c r="P145" s="698" t="str">
        <f t="array" ref="P145">IFERROR(INDEX(UtilityList!J$4:J$251,MATCH('Table 2.4a'!$A145&amp;'Table 2.4a'!$B145&amp;'Table 2.4a'!$C145,UtilityList!$A$4:$A$251&amp;UtilityList!$B$4:$B$251&amp;UtilityList!$C$4:$C$251,0)), INDEX(UtilityList!J$4:J$251,MATCH('Table 2.4a'!$A145&amp;'Table 2.4a'!$C145,UtilityList!$A$4:$A$251&amp;UtilityList!$C$4:$C$251,0)))</f>
        <v>Railbelt</v>
      </c>
      <c r="Q145" s="698" t="str">
        <f t="array" ref="Q145">IFERROR(INDEX(UtilityList!K$4:K$251,MATCH('Table 2.4a'!$A145&amp;'Table 2.4a'!$B145&amp;'Table 2.4a'!$C145,UtilityList!$A$4:$A$251&amp;UtilityList!$B$4:$B$251&amp;UtilityList!$C$4:$C$251,0)), INDEX(UtilityList!K$4:K$251,MATCH('Table 2.4a'!$A145&amp;'Table 2.4a'!$C145,UtilityList!$A$4:$A$251&amp;UtilityList!$C$4:$C$251,0)))</f>
        <v>Kenai Peninsula</v>
      </c>
      <c r="R145" s="698" t="str">
        <f t="array" ref="R145">IFERROR(INDEX(UtilityList!L$4:L$251,MATCH('Table 2.4a'!$A145&amp;'Table 2.4a'!$B145&amp;'Table 2.4a'!$C145,UtilityList!$A$4:$A$251&amp;UtilityList!$B$4:$B$251&amp;UtilityList!$C$4:$C$251,0)), INDEX(UtilityList!L$4:L$251,MATCH('Table 2.4a'!$A145&amp;'Table 2.4a'!$C145,UtilityList!$A$4:$A$251&amp;UtilityList!$C$4:$C$251,0)))</f>
        <v>Cook Inlet</v>
      </c>
      <c r="S145" s="698" t="str">
        <f t="array" ref="S145">IFERROR(INDEX(UtilityList!M$4:M$251,MATCH('Table 2.4a'!$A145&amp;'Table 2.4a'!$B145&amp;'Table 2.4a'!$C145,UtilityList!$A$4:$A$251&amp;UtilityList!$B$4:$B$251&amp;UtilityList!$C$4:$C$251,0)), INDEX(UtilityList!M$4:M$251,MATCH('Table 2.4a'!$A145&amp;'Table 2.4a'!$C145,UtilityList!$A$4:$A$251&amp;UtilityList!$C$4:$C$251,0)))</f>
        <v>SC</v>
      </c>
    </row>
    <row r="146" spans="1:19" s="169" customFormat="1" ht="45" x14ac:dyDescent="0.25">
      <c r="A146" s="678" t="s">
        <v>196</v>
      </c>
      <c r="B146" s="361" t="s">
        <v>197</v>
      </c>
      <c r="C146" s="679" t="s">
        <v>197</v>
      </c>
      <c r="D146" s="680" t="s">
        <v>545</v>
      </c>
      <c r="E146" s="680" t="s">
        <v>546</v>
      </c>
      <c r="F146" s="694">
        <f t="shared" si="9"/>
        <v>1270.27054</v>
      </c>
      <c r="G146" s="694">
        <f t="shared" si="8"/>
        <v>5697.8880000000008</v>
      </c>
      <c r="H146" s="695">
        <v>73.150000000000006</v>
      </c>
      <c r="I146" s="694">
        <f t="shared" si="10"/>
        <v>416.80050720000008</v>
      </c>
      <c r="J146" s="696">
        <f t="shared" si="11"/>
        <v>0.22293708475842272</v>
      </c>
      <c r="K146" s="697">
        <v>372.29500000000002</v>
      </c>
      <c r="L146" s="697">
        <v>40992</v>
      </c>
      <c r="M146" s="790">
        <v>0.13900000000000001</v>
      </c>
      <c r="N146" s="658" t="s">
        <v>356</v>
      </c>
      <c r="O146" s="698">
        <f t="array" ref="O146">INDEX(UtilityList!Q$4:Q$251,MATCH('Table 2.4a'!$A146&amp;'Table 2.4a'!$B146&amp;'Table 2.4a'!$C146,UtilityList!$A$4:$A$251&amp;UtilityList!$B$4:$B$251&amp;UtilityList!$C$4:$C$251,0))</f>
        <v>0</v>
      </c>
      <c r="P146" s="698" t="str">
        <f t="array" ref="P146">IFERROR(INDEX(UtilityList!J$4:J$251,MATCH('Table 2.4a'!$A146&amp;'Table 2.4a'!$B146&amp;'Table 2.4a'!$C146,UtilityList!$A$4:$A$251&amp;UtilityList!$B$4:$B$251&amp;UtilityList!$C$4:$C$251,0)), INDEX(UtilityList!J$4:J$251,MATCH('Table 2.4a'!$A146&amp;'Table 2.4a'!$C146,UtilityList!$A$4:$A$251&amp;UtilityList!$C$4:$C$251,0)))</f>
        <v>Yukon-Koyukuk/Upper Tanana</v>
      </c>
      <c r="Q146" s="698" t="str">
        <f t="array" ref="Q146">IFERROR(INDEX(UtilityList!K$4:K$251,MATCH('Table 2.4a'!$A146&amp;'Table 2.4a'!$B146&amp;'Table 2.4a'!$C146,UtilityList!$A$4:$A$251&amp;UtilityList!$B$4:$B$251&amp;UtilityList!$C$4:$C$251,0)), INDEX(UtilityList!K$4:K$251,MATCH('Table 2.4a'!$A146&amp;'Table 2.4a'!$C146,UtilityList!$A$4:$A$251&amp;UtilityList!$C$4:$C$251,0)))</f>
        <v>Yukon-Koyukuk (CA)</v>
      </c>
      <c r="R146" s="698" t="str">
        <f t="array" ref="R146">IFERROR(INDEX(UtilityList!L$4:L$251,MATCH('Table 2.4a'!$A146&amp;'Table 2.4a'!$B146&amp;'Table 2.4a'!$C146,UtilityList!$A$4:$A$251&amp;UtilityList!$B$4:$B$251&amp;UtilityList!$C$4:$C$251,0)), INDEX(UtilityList!L$4:L$251,MATCH('Table 2.4a'!$A146&amp;'Table 2.4a'!$C146,UtilityList!$A$4:$A$251&amp;UtilityList!$C$4:$C$251,0)))</f>
        <v>Doyon</v>
      </c>
      <c r="S146" s="698" t="str">
        <f t="array" ref="S146">IFERROR(INDEX(UtilityList!M$4:M$251,MATCH('Table 2.4a'!$A146&amp;'Table 2.4a'!$B146&amp;'Table 2.4a'!$C146,UtilityList!$A$4:$A$251&amp;UtilityList!$B$4:$B$251&amp;UtilityList!$C$4:$C$251,0)), INDEX(UtilityList!M$4:M$251,MATCH('Table 2.4a'!$A146&amp;'Table 2.4a'!$C146,UtilityList!$A$4:$A$251&amp;UtilityList!$C$4:$C$251,0)))</f>
        <v>YU</v>
      </c>
    </row>
    <row r="147" spans="1:19" customFormat="1" ht="30" x14ac:dyDescent="0.25">
      <c r="A147" s="678" t="s">
        <v>198</v>
      </c>
      <c r="B147" s="361" t="s">
        <v>199</v>
      </c>
      <c r="C147" s="654" t="s">
        <v>199</v>
      </c>
      <c r="D147" s="680" t="s">
        <v>545</v>
      </c>
      <c r="E147" s="680" t="s">
        <v>546</v>
      </c>
      <c r="F147" s="694">
        <f t="shared" si="9"/>
        <v>1049.9356772460001</v>
      </c>
      <c r="G147" s="694">
        <f t="shared" si="8"/>
        <v>3749.474404</v>
      </c>
      <c r="H147" s="695">
        <v>73.150000000000006</v>
      </c>
      <c r="I147" s="694">
        <f t="shared" si="10"/>
        <v>274.27405265260006</v>
      </c>
      <c r="J147" s="696">
        <f t="shared" si="11"/>
        <v>0.28002209486372587</v>
      </c>
      <c r="K147" s="697">
        <v>307.7185455</v>
      </c>
      <c r="L147" s="697">
        <v>26974.635999999999</v>
      </c>
      <c r="M147" s="790">
        <v>0.13900000000000001</v>
      </c>
      <c r="N147" s="658" t="s">
        <v>356</v>
      </c>
      <c r="O147" s="698">
        <f t="array" ref="O147">INDEX(UtilityList!Q$4:Q$251,MATCH('Table 2.4a'!$A147&amp;'Table 2.4a'!$B147&amp;'Table 2.4a'!$C147,UtilityList!$A$4:$A$251&amp;UtilityList!$B$4:$B$251&amp;UtilityList!$C$4:$C$251,0))</f>
        <v>0</v>
      </c>
      <c r="P147" s="698" t="str">
        <f t="array" ref="P147">IFERROR(INDEX(UtilityList!J$4:J$251,MATCH('Table 2.4a'!$A147&amp;'Table 2.4a'!$B147&amp;'Table 2.4a'!$C147,UtilityList!$A$4:$A$251&amp;UtilityList!$B$4:$B$251&amp;UtilityList!$C$4:$C$251,0)), INDEX(UtilityList!J$4:J$251,MATCH('Table 2.4a'!$A147&amp;'Table 2.4a'!$C147,UtilityList!$A$4:$A$251&amp;UtilityList!$C$4:$C$251,0)))</f>
        <v>Bristol Bay</v>
      </c>
      <c r="Q147" s="698" t="str">
        <f t="array" ref="Q147">IFERROR(INDEX(UtilityList!K$4:K$251,MATCH('Table 2.4a'!$A147&amp;'Table 2.4a'!$B147&amp;'Table 2.4a'!$C147,UtilityList!$A$4:$A$251&amp;UtilityList!$B$4:$B$251&amp;UtilityList!$C$4:$C$251,0)), INDEX(UtilityList!K$4:K$251,MATCH('Table 2.4a'!$A147&amp;'Table 2.4a'!$C147,UtilityList!$A$4:$A$251&amp;UtilityList!$C$4:$C$251,0)))</f>
        <v>Lake and Peninsula</v>
      </c>
      <c r="R147" s="698" t="str">
        <f t="array" ref="R147">IFERROR(INDEX(UtilityList!L$4:L$251,MATCH('Table 2.4a'!$A147&amp;'Table 2.4a'!$B147&amp;'Table 2.4a'!$C147,UtilityList!$A$4:$A$251&amp;UtilityList!$B$4:$B$251&amp;UtilityList!$C$4:$C$251,0)), INDEX(UtilityList!L$4:L$251,MATCH('Table 2.4a'!$A147&amp;'Table 2.4a'!$C147,UtilityList!$A$4:$A$251&amp;UtilityList!$C$4:$C$251,0)))</f>
        <v>Bristol Bay</v>
      </c>
      <c r="S147" s="698" t="str">
        <f t="array" ref="S147">IFERROR(INDEX(UtilityList!M$4:M$251,MATCH('Table 2.4a'!$A147&amp;'Table 2.4a'!$B147&amp;'Table 2.4a'!$C147,UtilityList!$A$4:$A$251&amp;UtilityList!$B$4:$B$251&amp;UtilityList!$C$4:$C$251,0)), INDEX(UtilityList!M$4:M$251,MATCH('Table 2.4a'!$A147&amp;'Table 2.4a'!$C147,UtilityList!$A$4:$A$251&amp;UtilityList!$C$4:$C$251,0)))</f>
        <v>SW</v>
      </c>
    </row>
    <row r="148" spans="1:19" customFormat="1" ht="105" x14ac:dyDescent="0.25">
      <c r="A148" s="678" t="s">
        <v>200</v>
      </c>
      <c r="B148" s="361" t="s">
        <v>494</v>
      </c>
      <c r="C148" s="679" t="s">
        <v>658</v>
      </c>
      <c r="D148" s="680" t="s">
        <v>545</v>
      </c>
      <c r="E148" s="680" t="s">
        <v>546</v>
      </c>
      <c r="F148" s="694">
        <f t="shared" si="9"/>
        <v>286.90484400000003</v>
      </c>
      <c r="G148" s="694">
        <f t="shared" si="8"/>
        <v>920.29064400000016</v>
      </c>
      <c r="H148" s="695">
        <v>73.150000000000006</v>
      </c>
      <c r="I148" s="694">
        <f t="shared" si="10"/>
        <v>67.319260608600018</v>
      </c>
      <c r="J148" s="700">
        <f t="shared" si="11"/>
        <v>0.31175460260356613</v>
      </c>
      <c r="K148" s="697">
        <v>84.087000000000003</v>
      </c>
      <c r="L148" s="697">
        <v>6620.7960000000003</v>
      </c>
      <c r="M148" s="790">
        <v>0.13900000000000001</v>
      </c>
      <c r="N148" s="658" t="s">
        <v>356</v>
      </c>
      <c r="O148" s="698" t="str">
        <f t="array" ref="O148">INDEX(UtilityList!Q$4:Q$251,MATCH('Table 2.4a'!$A148&amp;'Table 2.4a'!$B148&amp;'Table 2.4a'!$C148,UtilityList!$A$4:$A$251&amp;UtilityList!$B$4:$B$251&amp;UtilityList!$C$4:$C$251,0))</f>
        <v>Power produced at the Tazimina hydroelectric project and the Newhalen plant is shared by Iliamna, Newhalen and Nondalton. Newhalen's information is included in Nondalton's data.</v>
      </c>
      <c r="P148" s="698" t="str">
        <f t="array" ref="P148">IFERROR(INDEX(UtilityList!J$4:J$251,MATCH('Table 2.4a'!$A148&amp;'Table 2.4a'!$B148&amp;'Table 2.4a'!$C148,UtilityList!$A$4:$A$251&amp;UtilityList!$B$4:$B$251&amp;UtilityList!$C$4:$C$251,0)), INDEX(UtilityList!J$4:J$251,MATCH('Table 2.4a'!$A148&amp;'Table 2.4a'!$C148,UtilityList!$A$4:$A$251&amp;UtilityList!$C$4:$C$251,0)))</f>
        <v>Bristol Bay</v>
      </c>
      <c r="Q148" s="698" t="str">
        <f t="array" ref="Q148">IFERROR(INDEX(UtilityList!K$4:K$251,MATCH('Table 2.4a'!$A148&amp;'Table 2.4a'!$B148&amp;'Table 2.4a'!$C148,UtilityList!$A$4:$A$251&amp;UtilityList!$B$4:$B$251&amp;UtilityList!$C$4:$C$251,0)), INDEX(UtilityList!K$4:K$251,MATCH('Table 2.4a'!$A148&amp;'Table 2.4a'!$C148,UtilityList!$A$4:$A$251&amp;UtilityList!$C$4:$C$251,0)))</f>
        <v>Lake and Peninsula</v>
      </c>
      <c r="R148" s="698" t="str">
        <f t="array" ref="R148">IFERROR(INDEX(UtilityList!L$4:L$251,MATCH('Table 2.4a'!$A148&amp;'Table 2.4a'!$B148&amp;'Table 2.4a'!$C148,UtilityList!$A$4:$A$251&amp;UtilityList!$B$4:$B$251&amp;UtilityList!$C$4:$C$251,0)), INDEX(UtilityList!L$4:L$251,MATCH('Table 2.4a'!$A148&amp;'Table 2.4a'!$C148,UtilityList!$A$4:$A$251&amp;UtilityList!$C$4:$C$251,0)))</f>
        <v>Bristol Bay</v>
      </c>
      <c r="S148" s="698" t="str">
        <f t="array" ref="S148">IFERROR(INDEX(UtilityList!M$4:M$251,MATCH('Table 2.4a'!$A148&amp;'Table 2.4a'!$B148&amp;'Table 2.4a'!$C148,UtilityList!$A$4:$A$251&amp;UtilityList!$B$4:$B$251&amp;UtilityList!$C$4:$C$251,0)), INDEX(UtilityList!M$4:M$251,MATCH('Table 2.4a'!$A148&amp;'Table 2.4a'!$C148,UtilityList!$A$4:$A$251&amp;UtilityList!$C$4:$C$251,0)))</f>
        <v>SW</v>
      </c>
    </row>
    <row r="149" spans="1:19" customFormat="1" ht="30" x14ac:dyDescent="0.25">
      <c r="A149" s="678" t="s">
        <v>201</v>
      </c>
      <c r="B149" s="361" t="s">
        <v>202</v>
      </c>
      <c r="C149" s="679" t="s">
        <v>202</v>
      </c>
      <c r="D149" s="680" t="s">
        <v>545</v>
      </c>
      <c r="E149" s="680" t="s">
        <v>546</v>
      </c>
      <c r="F149" s="694">
        <f t="shared" si="9"/>
        <v>6910.0335799999993</v>
      </c>
      <c r="G149" s="694">
        <f t="shared" si="8"/>
        <v>19601.919000000002</v>
      </c>
      <c r="H149" s="695">
        <v>73.150000000000006</v>
      </c>
      <c r="I149" s="694">
        <f t="shared" si="10"/>
        <v>1433.8803748500002</v>
      </c>
      <c r="J149" s="696">
        <f t="shared" si="11"/>
        <v>0.3525182192621038</v>
      </c>
      <c r="K149" s="697">
        <v>2025.2149999999999</v>
      </c>
      <c r="L149" s="697">
        <v>141021</v>
      </c>
      <c r="M149" s="790">
        <v>0.13900000000000001</v>
      </c>
      <c r="N149" s="658" t="s">
        <v>356</v>
      </c>
      <c r="O149" s="698">
        <f t="array" ref="O149">INDEX(UtilityList!Q$4:Q$251,MATCH('Table 2.4a'!$A149&amp;'Table 2.4a'!$B149&amp;'Table 2.4a'!$C149,UtilityList!$A$4:$A$251&amp;UtilityList!$B$4:$B$251&amp;UtilityList!$C$4:$C$251,0))</f>
        <v>0</v>
      </c>
      <c r="P149" s="698" t="str">
        <f t="array" ref="P149">IFERROR(INDEX(UtilityList!J$4:J$251,MATCH('Table 2.4a'!$A149&amp;'Table 2.4a'!$B149&amp;'Table 2.4a'!$C149,UtilityList!$A$4:$A$251&amp;UtilityList!$B$4:$B$251&amp;UtilityList!$C$4:$C$251,0)), INDEX(UtilityList!J$4:J$251,MATCH('Table 2.4a'!$A149&amp;'Table 2.4a'!$C149,UtilityList!$A$4:$A$251&amp;UtilityList!$C$4:$C$251,0)))</f>
        <v>Southeast</v>
      </c>
      <c r="Q149" s="698" t="str">
        <f t="array" ref="Q149">IFERROR(INDEX(UtilityList!K$4:K$251,MATCH('Table 2.4a'!$A149&amp;'Table 2.4a'!$B149&amp;'Table 2.4a'!$C149,UtilityList!$A$4:$A$251&amp;UtilityList!$B$4:$B$251&amp;UtilityList!$C$4:$C$251,0)), INDEX(UtilityList!K$4:K$251,MATCH('Table 2.4a'!$A149&amp;'Table 2.4a'!$C149,UtilityList!$A$4:$A$251&amp;UtilityList!$C$4:$C$251,0)))</f>
        <v>Hoonah-Angoon (CA)</v>
      </c>
      <c r="R149" s="698" t="str">
        <f t="array" ref="R149">IFERROR(INDEX(UtilityList!L$4:L$251,MATCH('Table 2.4a'!$A149&amp;'Table 2.4a'!$B149&amp;'Table 2.4a'!$C149,UtilityList!$A$4:$A$251&amp;UtilityList!$B$4:$B$251&amp;UtilityList!$C$4:$C$251,0)), INDEX(UtilityList!L$4:L$251,MATCH('Table 2.4a'!$A149&amp;'Table 2.4a'!$C149,UtilityList!$A$4:$A$251&amp;UtilityList!$C$4:$C$251,0)))</f>
        <v>Sealaska</v>
      </c>
      <c r="S149" s="698" t="str">
        <f t="array" ref="S149">IFERROR(INDEX(UtilityList!M$4:M$251,MATCH('Table 2.4a'!$A149&amp;'Table 2.4a'!$B149&amp;'Table 2.4a'!$C149,UtilityList!$A$4:$A$251&amp;UtilityList!$B$4:$B$251&amp;UtilityList!$C$4:$C$251,0)), INDEX(UtilityList!M$4:M$251,MATCH('Table 2.4a'!$A149&amp;'Table 2.4a'!$C149,UtilityList!$A$4:$A$251&amp;UtilityList!$C$4:$C$251,0)))</f>
        <v>SE</v>
      </c>
    </row>
    <row r="150" spans="1:19" customFormat="1" ht="45" x14ac:dyDescent="0.25">
      <c r="A150" s="678" t="s">
        <v>201</v>
      </c>
      <c r="B150" s="361" t="s">
        <v>203</v>
      </c>
      <c r="C150" s="679" t="s">
        <v>203</v>
      </c>
      <c r="D150" s="680" t="s">
        <v>545</v>
      </c>
      <c r="E150" s="680" t="s">
        <v>546</v>
      </c>
      <c r="F150" s="694">
        <f t="shared" si="9"/>
        <v>-233.52038492</v>
      </c>
      <c r="G150" s="694">
        <f t="shared" si="8"/>
        <v>0</v>
      </c>
      <c r="H150" s="695">
        <v>73.150000000000006</v>
      </c>
      <c r="I150" s="694">
        <f t="shared" si="10"/>
        <v>0</v>
      </c>
      <c r="J150" s="696" t="str">
        <f t="shared" si="11"/>
        <v xml:space="preserve"> </v>
      </c>
      <c r="K150" s="697">
        <v>-68.440910000000002</v>
      </c>
      <c r="L150" s="697">
        <v>0</v>
      </c>
      <c r="M150" s="790">
        <v>0.13900000000000001</v>
      </c>
      <c r="N150" s="658" t="s">
        <v>356</v>
      </c>
      <c r="O150" s="698" t="str">
        <f t="array" ref="O150">INDEX(UtilityList!Q$4:Q$251,MATCH('Table 2.4a'!$A150&amp;'Table 2.4a'!$B150&amp;'Table 2.4a'!$C150,UtilityList!$A$4:$A$251&amp;UtilityList!$B$4:$B$251&amp;UtilityList!$C$4:$C$251,0))</f>
        <v>Provides power to Klukwan via intertie. Power is purchased from AP&amp;T.</v>
      </c>
      <c r="P150" s="698" t="str">
        <f t="array" ref="P150">IFERROR(INDEX(UtilityList!J$4:J$251,MATCH('Table 2.4a'!$A150&amp;'Table 2.4a'!$B150&amp;'Table 2.4a'!$C150,UtilityList!$A$4:$A$251&amp;UtilityList!$B$4:$B$251&amp;UtilityList!$C$4:$C$251,0)), INDEX(UtilityList!J$4:J$251,MATCH('Table 2.4a'!$A150&amp;'Table 2.4a'!$C150,UtilityList!$A$4:$A$251&amp;UtilityList!$C$4:$C$251,0)))</f>
        <v>Southeast</v>
      </c>
      <c r="Q150" s="698" t="str">
        <f t="array" ref="Q150">IFERROR(INDEX(UtilityList!K$4:K$251,MATCH('Table 2.4a'!$A150&amp;'Table 2.4a'!$B150&amp;'Table 2.4a'!$C150,UtilityList!$A$4:$A$251&amp;UtilityList!$B$4:$B$251&amp;UtilityList!$C$4:$C$251,0)), INDEX(UtilityList!K$4:K$251,MATCH('Table 2.4a'!$A150&amp;'Table 2.4a'!$C150,UtilityList!$A$4:$A$251&amp;UtilityList!$C$4:$C$251,0)))</f>
        <v>Haines</v>
      </c>
      <c r="R150" s="698" t="str">
        <f t="array" ref="R150">IFERROR(INDEX(UtilityList!L$4:L$251,MATCH('Table 2.4a'!$A150&amp;'Table 2.4a'!$B150&amp;'Table 2.4a'!$C150,UtilityList!$A$4:$A$251&amp;UtilityList!$B$4:$B$251&amp;UtilityList!$C$4:$C$251,0)), INDEX(UtilityList!L$4:L$251,MATCH('Table 2.4a'!$A150&amp;'Table 2.4a'!$C150,UtilityList!$A$4:$A$251&amp;UtilityList!$C$4:$C$251,0)))</f>
        <v>Sealaska</v>
      </c>
      <c r="S150" s="698" t="str">
        <f t="array" ref="S150">IFERROR(INDEX(UtilityList!M$4:M$251,MATCH('Table 2.4a'!$A150&amp;'Table 2.4a'!$B150&amp;'Table 2.4a'!$C150,UtilityList!$A$4:$A$251&amp;UtilityList!$B$4:$B$251&amp;UtilityList!$C$4:$C$251,0)), INDEX(UtilityList!M$4:M$251,MATCH('Table 2.4a'!$A150&amp;'Table 2.4a'!$C150,UtilityList!$A$4:$A$251&amp;UtilityList!$C$4:$C$251,0)))</f>
        <v>SE</v>
      </c>
    </row>
    <row r="151" spans="1:19" customFormat="1" ht="30" x14ac:dyDescent="0.25">
      <c r="A151" s="678" t="s">
        <v>201</v>
      </c>
      <c r="B151" s="361" t="s">
        <v>204</v>
      </c>
      <c r="C151" s="679" t="s">
        <v>204</v>
      </c>
      <c r="D151" s="680" t="s">
        <v>545</v>
      </c>
      <c r="E151" s="680" t="s">
        <v>546</v>
      </c>
      <c r="F151" s="694">
        <f t="shared" si="9"/>
        <v>16435.177499999998</v>
      </c>
      <c r="G151" s="694">
        <f t="shared" si="8"/>
        <v>46034.715000000004</v>
      </c>
      <c r="H151" s="695">
        <v>73.150000000000006</v>
      </c>
      <c r="I151" s="694">
        <f t="shared" si="10"/>
        <v>3367.439402250001</v>
      </c>
      <c r="J151" s="696">
        <f t="shared" si="11"/>
        <v>0.35701703594776241</v>
      </c>
      <c r="K151" s="697">
        <v>4816.875</v>
      </c>
      <c r="L151" s="697">
        <v>331185</v>
      </c>
      <c r="M151" s="790">
        <v>0.13900000000000001</v>
      </c>
      <c r="N151" s="658" t="s">
        <v>356</v>
      </c>
      <c r="O151" s="698">
        <f t="array" ref="O151">INDEX(UtilityList!Q$4:Q$251,MATCH('Table 2.4a'!$A151&amp;'Table 2.4a'!$B151&amp;'Table 2.4a'!$C151,UtilityList!$A$4:$A$251&amp;UtilityList!$B$4:$B$251&amp;UtilityList!$C$4:$C$251,0))</f>
        <v>0</v>
      </c>
      <c r="P151" s="698" t="str">
        <f t="array" ref="P151">IFERROR(INDEX(UtilityList!J$4:J$251,MATCH('Table 2.4a'!$A151&amp;'Table 2.4a'!$B151&amp;'Table 2.4a'!$C151,UtilityList!$A$4:$A$251&amp;UtilityList!$B$4:$B$251&amp;UtilityList!$C$4:$C$251,0)), INDEX(UtilityList!J$4:J$251,MATCH('Table 2.4a'!$A151&amp;'Table 2.4a'!$C151,UtilityList!$A$4:$A$251&amp;UtilityList!$C$4:$C$251,0)))</f>
        <v>Southeast</v>
      </c>
      <c r="Q151" s="698" t="str">
        <f t="array" ref="Q151">IFERROR(INDEX(UtilityList!K$4:K$251,MATCH('Table 2.4a'!$A151&amp;'Table 2.4a'!$B151&amp;'Table 2.4a'!$C151,UtilityList!$A$4:$A$251&amp;UtilityList!$B$4:$B$251&amp;UtilityList!$C$4:$C$251,0)), INDEX(UtilityList!K$4:K$251,MATCH('Table 2.4a'!$A151&amp;'Table 2.4a'!$C151,UtilityList!$A$4:$A$251&amp;UtilityList!$C$4:$C$251,0)))</f>
        <v>Hoonah-Angoon (CA)</v>
      </c>
      <c r="R151" s="698" t="str">
        <f t="array" ref="R151">IFERROR(INDEX(UtilityList!L$4:L$251,MATCH('Table 2.4a'!$A151&amp;'Table 2.4a'!$B151&amp;'Table 2.4a'!$C151,UtilityList!$A$4:$A$251&amp;UtilityList!$B$4:$B$251&amp;UtilityList!$C$4:$C$251,0)), INDEX(UtilityList!L$4:L$251,MATCH('Table 2.4a'!$A151&amp;'Table 2.4a'!$C151,UtilityList!$A$4:$A$251&amp;UtilityList!$C$4:$C$251,0)))</f>
        <v>Sealaska</v>
      </c>
      <c r="S151" s="698" t="str">
        <f t="array" ref="S151">IFERROR(INDEX(UtilityList!M$4:M$251,MATCH('Table 2.4a'!$A151&amp;'Table 2.4a'!$B151&amp;'Table 2.4a'!$C151,UtilityList!$A$4:$A$251&amp;UtilityList!$B$4:$B$251&amp;UtilityList!$C$4:$C$251,0)), INDEX(UtilityList!M$4:M$251,MATCH('Table 2.4a'!$A151&amp;'Table 2.4a'!$C151,UtilityList!$A$4:$A$251&amp;UtilityList!$C$4:$C$251,0)))</f>
        <v>SE</v>
      </c>
    </row>
    <row r="152" spans="1:19" customFormat="1" ht="30" x14ac:dyDescent="0.25">
      <c r="A152" s="678" t="s">
        <v>201</v>
      </c>
      <c r="B152" s="361" t="s">
        <v>205</v>
      </c>
      <c r="C152" s="679" t="s">
        <v>205</v>
      </c>
      <c r="D152" s="680" t="s">
        <v>545</v>
      </c>
      <c r="E152" s="680" t="s">
        <v>546</v>
      </c>
      <c r="F152" s="694">
        <f t="shared" si="9"/>
        <v>9449.4930559999993</v>
      </c>
      <c r="G152" s="694">
        <f t="shared" si="8"/>
        <v>29676.222000000005</v>
      </c>
      <c r="H152" s="695">
        <v>73.150000000000006</v>
      </c>
      <c r="I152" s="694">
        <f t="shared" si="10"/>
        <v>2170.8156393000004</v>
      </c>
      <c r="J152" s="696">
        <f t="shared" si="11"/>
        <v>0.31841967808435984</v>
      </c>
      <c r="K152" s="697">
        <v>2769.4879999999998</v>
      </c>
      <c r="L152" s="697">
        <v>213498.00000000003</v>
      </c>
      <c r="M152" s="790">
        <v>0.13900000000000001</v>
      </c>
      <c r="N152" s="658" t="s">
        <v>356</v>
      </c>
      <c r="O152" s="698">
        <f t="array" ref="O152">INDEX(UtilityList!Q$4:Q$251,MATCH('Table 2.4a'!$A152&amp;'Table 2.4a'!$B152&amp;'Table 2.4a'!$C152,UtilityList!$A$4:$A$251&amp;UtilityList!$B$4:$B$251&amp;UtilityList!$C$4:$C$251,0))</f>
        <v>0</v>
      </c>
      <c r="P152" s="698" t="str">
        <f t="array" ref="P152">IFERROR(INDEX(UtilityList!J$4:J$251,MATCH('Table 2.4a'!$A152&amp;'Table 2.4a'!$B152&amp;'Table 2.4a'!$C152,UtilityList!$A$4:$A$251&amp;UtilityList!$B$4:$B$251&amp;UtilityList!$C$4:$C$251,0)), INDEX(UtilityList!J$4:J$251,MATCH('Table 2.4a'!$A152&amp;'Table 2.4a'!$C152,UtilityList!$A$4:$A$251&amp;UtilityList!$C$4:$C$251,0)))</f>
        <v>Southeast</v>
      </c>
      <c r="Q152" s="698" t="str">
        <f t="array" ref="Q152">IFERROR(INDEX(UtilityList!K$4:K$251,MATCH('Table 2.4a'!$A152&amp;'Table 2.4a'!$B152&amp;'Table 2.4a'!$C152,UtilityList!$A$4:$A$251&amp;UtilityList!$B$4:$B$251&amp;UtilityList!$C$4:$C$251,0)), INDEX(UtilityList!K$4:K$251,MATCH('Table 2.4a'!$A152&amp;'Table 2.4a'!$C152,UtilityList!$A$4:$A$251&amp;UtilityList!$C$4:$C$251,0)))</f>
        <v>Petersburg (CA)</v>
      </c>
      <c r="R152" s="698" t="str">
        <f t="array" ref="R152">IFERROR(INDEX(UtilityList!L$4:L$251,MATCH('Table 2.4a'!$A152&amp;'Table 2.4a'!$B152&amp;'Table 2.4a'!$C152,UtilityList!$A$4:$A$251&amp;UtilityList!$B$4:$B$251&amp;UtilityList!$C$4:$C$251,0)), INDEX(UtilityList!L$4:L$251,MATCH('Table 2.4a'!$A152&amp;'Table 2.4a'!$C152,UtilityList!$A$4:$A$251&amp;UtilityList!$C$4:$C$251,0)))</f>
        <v>Sealaska</v>
      </c>
      <c r="S152" s="698" t="str">
        <f t="array" ref="S152">IFERROR(INDEX(UtilityList!M$4:M$251,MATCH('Table 2.4a'!$A152&amp;'Table 2.4a'!$B152&amp;'Table 2.4a'!$C152,UtilityList!$A$4:$A$251&amp;UtilityList!$B$4:$B$251&amp;UtilityList!$C$4:$C$251,0)), INDEX(UtilityList!M$4:M$251,MATCH('Table 2.4a'!$A152&amp;'Table 2.4a'!$C152,UtilityList!$A$4:$A$251&amp;UtilityList!$C$4:$C$251,0)))</f>
        <v>SE</v>
      </c>
    </row>
    <row r="153" spans="1:19" customFormat="1" ht="60" x14ac:dyDescent="0.25">
      <c r="A153" s="678" t="s">
        <v>201</v>
      </c>
      <c r="B153" s="361" t="s">
        <v>206</v>
      </c>
      <c r="C153" s="679" t="s">
        <v>206</v>
      </c>
      <c r="D153" s="680" t="s">
        <v>545</v>
      </c>
      <c r="E153" s="680" t="s">
        <v>546</v>
      </c>
      <c r="F153" s="694">
        <f t="shared" si="9"/>
        <v>0</v>
      </c>
      <c r="G153" s="694">
        <f t="shared" si="8"/>
        <v>0</v>
      </c>
      <c r="H153" s="695">
        <v>73.150000000000006</v>
      </c>
      <c r="I153" s="694">
        <f t="shared" si="10"/>
        <v>0</v>
      </c>
      <c r="J153" s="696" t="str">
        <f t="shared" si="11"/>
        <v xml:space="preserve"> </v>
      </c>
      <c r="K153" s="697">
        <v>0</v>
      </c>
      <c r="L153" s="697">
        <v>0</v>
      </c>
      <c r="M153" s="790">
        <v>0.13900000000000001</v>
      </c>
      <c r="N153" s="658" t="s">
        <v>356</v>
      </c>
      <c r="O153" s="698" t="str">
        <f t="array" ref="O153">INDEX(UtilityList!Q$4:Q$251,MATCH('Table 2.4a'!$A153&amp;'Table 2.4a'!$B153&amp;'Table 2.4a'!$C153,UtilityList!$A$4:$A$251&amp;UtilityList!$B$4:$B$251&amp;UtilityList!$C$4:$C$251,0))</f>
        <v>Receives power from Chilkat Valley via intertie. Chilkat Valley purchases power from AP&amp;T.</v>
      </c>
      <c r="P153" s="698" t="str">
        <f t="array" ref="P153">IFERROR(INDEX(UtilityList!J$4:J$251,MATCH('Table 2.4a'!$A153&amp;'Table 2.4a'!$B153&amp;'Table 2.4a'!$C153,UtilityList!$A$4:$A$251&amp;UtilityList!$B$4:$B$251&amp;UtilityList!$C$4:$C$251,0)), INDEX(UtilityList!J$4:J$251,MATCH('Table 2.4a'!$A153&amp;'Table 2.4a'!$C153,UtilityList!$A$4:$A$251&amp;UtilityList!$C$4:$C$251,0)))</f>
        <v>Southeast</v>
      </c>
      <c r="Q153" s="698" t="str">
        <f t="array" ref="Q153">IFERROR(INDEX(UtilityList!K$4:K$251,MATCH('Table 2.4a'!$A153&amp;'Table 2.4a'!$B153&amp;'Table 2.4a'!$C153,UtilityList!$A$4:$A$251&amp;UtilityList!$B$4:$B$251&amp;UtilityList!$C$4:$C$251,0)), INDEX(UtilityList!K$4:K$251,MATCH('Table 2.4a'!$A153&amp;'Table 2.4a'!$C153,UtilityList!$A$4:$A$251&amp;UtilityList!$C$4:$C$251,0)))</f>
        <v>Hoonah-Angoon (CA)</v>
      </c>
      <c r="R153" s="698" t="str">
        <f t="array" ref="R153">IFERROR(INDEX(UtilityList!L$4:L$251,MATCH('Table 2.4a'!$A153&amp;'Table 2.4a'!$B153&amp;'Table 2.4a'!$C153,UtilityList!$A$4:$A$251&amp;UtilityList!$B$4:$B$251&amp;UtilityList!$C$4:$C$251,0)), INDEX(UtilityList!L$4:L$251,MATCH('Table 2.4a'!$A153&amp;'Table 2.4a'!$C153,UtilityList!$A$4:$A$251&amp;UtilityList!$C$4:$C$251,0)))</f>
        <v>Sealaska</v>
      </c>
      <c r="S153" s="698" t="str">
        <f t="array" ref="S153">IFERROR(INDEX(UtilityList!M$4:M$251,MATCH('Table 2.4a'!$A153&amp;'Table 2.4a'!$B153&amp;'Table 2.4a'!$C153,UtilityList!$A$4:$A$251&amp;UtilityList!$B$4:$B$251&amp;UtilityList!$C$4:$C$251,0)), INDEX(UtilityList!M$4:M$251,MATCH('Table 2.4a'!$A153&amp;'Table 2.4a'!$C153,UtilityList!$A$4:$A$251&amp;UtilityList!$C$4:$C$251,0)))</f>
        <v>SE</v>
      </c>
    </row>
    <row r="154" spans="1:19" customFormat="1" ht="30" x14ac:dyDescent="0.25">
      <c r="A154" s="361" t="s">
        <v>209</v>
      </c>
      <c r="B154" s="361" t="s">
        <v>212</v>
      </c>
      <c r="C154" s="361" t="s">
        <v>211</v>
      </c>
      <c r="D154" s="622" t="s">
        <v>545</v>
      </c>
      <c r="E154" s="622" t="s">
        <v>546</v>
      </c>
      <c r="F154" s="694">
        <f t="shared" si="9"/>
        <v>8881.4359999999997</v>
      </c>
      <c r="G154" s="694">
        <f t="shared" si="8"/>
        <v>40947.732000000004</v>
      </c>
      <c r="H154" s="695">
        <v>73.150000000000006</v>
      </c>
      <c r="I154" s="694">
        <f t="shared" si="10"/>
        <v>2995.3265958000006</v>
      </c>
      <c r="J154" s="696">
        <f t="shared" si="11"/>
        <v>0.21689689675608892</v>
      </c>
      <c r="K154" s="697">
        <v>2603</v>
      </c>
      <c r="L154" s="697">
        <v>294588</v>
      </c>
      <c r="M154" s="790">
        <v>0.13900000000000001</v>
      </c>
      <c r="N154" s="658" t="s">
        <v>558</v>
      </c>
      <c r="O154" s="698">
        <f t="array" ref="O154">INDEX(UtilityList!Q$4:Q$251,MATCH('Table 2.4a'!$A154&amp;'Table 2.4a'!$B154&amp;'Table 2.4a'!$C154,UtilityList!$A$4:$A$251&amp;UtilityList!$B$4:$B$251&amp;UtilityList!$C$4:$C$251,0))</f>
        <v>0</v>
      </c>
      <c r="P154" s="698" t="str">
        <f t="array" ref="P154">IFERROR(INDEX(UtilityList!J$4:J$251,MATCH('Table 2.4a'!$A154&amp;'Table 2.4a'!$B154&amp;'Table 2.4a'!$C154,UtilityList!$A$4:$A$251&amp;UtilityList!$B$4:$B$251&amp;UtilityList!$C$4:$C$251,0)), INDEX(UtilityList!J$4:J$251,MATCH('Table 2.4a'!$A154&amp;'Table 2.4a'!$C154,UtilityList!$A$4:$A$251&amp;UtilityList!$C$4:$C$251,0)))</f>
        <v>Southeast</v>
      </c>
      <c r="Q154" s="698" t="str">
        <f t="array" ref="Q154">IFERROR(INDEX(UtilityList!K$4:K$251,MATCH('Table 2.4a'!$A154&amp;'Table 2.4a'!$B154&amp;'Table 2.4a'!$C154,UtilityList!$A$4:$A$251&amp;UtilityList!$B$4:$B$251&amp;UtilityList!$C$4:$C$251,0)), INDEX(UtilityList!K$4:K$251,MATCH('Table 2.4a'!$A154&amp;'Table 2.4a'!$C154,UtilityList!$A$4:$A$251&amp;UtilityList!$C$4:$C$251,0)))</f>
        <v>Ketchikan Gateway</v>
      </c>
      <c r="R154" s="698" t="str">
        <f t="array" ref="R154">IFERROR(INDEX(UtilityList!L$4:L$251,MATCH('Table 2.4a'!$A154&amp;'Table 2.4a'!$B154&amp;'Table 2.4a'!$C154,UtilityList!$A$4:$A$251&amp;UtilityList!$B$4:$B$251&amp;UtilityList!$C$4:$C$251,0)), INDEX(UtilityList!L$4:L$251,MATCH('Table 2.4a'!$A154&amp;'Table 2.4a'!$C154,UtilityList!$A$4:$A$251&amp;UtilityList!$C$4:$C$251,0)))</f>
        <v>Sealaska</v>
      </c>
      <c r="S154" s="698" t="str">
        <f t="array" ref="S154">IFERROR(INDEX(UtilityList!M$4:M$251,MATCH('Table 2.4a'!$A154&amp;'Table 2.4a'!$B154&amp;'Table 2.4a'!$C154,UtilityList!$A$4:$A$251&amp;UtilityList!$B$4:$B$251&amp;UtilityList!$C$4:$C$251,0)), INDEX(UtilityList!M$4:M$251,MATCH('Table 2.4a'!$A154&amp;'Table 2.4a'!$C154,UtilityList!$A$4:$A$251&amp;UtilityList!$C$4:$C$251,0)))</f>
        <v>SE</v>
      </c>
    </row>
    <row r="155" spans="1:19" s="169" customFormat="1" ht="15" x14ac:dyDescent="0.25">
      <c r="A155" s="666" t="s">
        <v>215</v>
      </c>
      <c r="B155" s="361" t="s">
        <v>216</v>
      </c>
      <c r="C155" s="654" t="s">
        <v>216</v>
      </c>
      <c r="D155" s="680" t="s">
        <v>545</v>
      </c>
      <c r="E155" s="680" t="s">
        <v>546</v>
      </c>
      <c r="F155" s="694">
        <f t="shared" si="9"/>
        <v>5842.5245519999999</v>
      </c>
      <c r="G155" s="694">
        <f t="shared" si="8"/>
        <v>20012.803000000004</v>
      </c>
      <c r="H155" s="695">
        <v>73.150000000000006</v>
      </c>
      <c r="I155" s="694">
        <f t="shared" si="10"/>
        <v>1463.9365394500003</v>
      </c>
      <c r="J155" s="696">
        <f t="shared" si="11"/>
        <v>0.29193934262981547</v>
      </c>
      <c r="K155" s="697">
        <v>1712.346</v>
      </c>
      <c r="L155" s="697">
        <v>143977</v>
      </c>
      <c r="M155" s="790">
        <v>0.13900000000000001</v>
      </c>
      <c r="N155" s="658" t="s">
        <v>356</v>
      </c>
      <c r="O155" s="698">
        <f t="array" ref="O155">INDEX(UtilityList!Q$4:Q$251,MATCH('Table 2.4a'!$A155&amp;'Table 2.4a'!$B155&amp;'Table 2.4a'!$C155,UtilityList!$A$4:$A$251&amp;UtilityList!$B$4:$B$251&amp;UtilityList!$C$4:$C$251,0))</f>
        <v>0</v>
      </c>
      <c r="P155" s="698" t="str">
        <f t="array" ref="P155">IFERROR(INDEX(UtilityList!J$4:J$251,MATCH('Table 2.4a'!$A155&amp;'Table 2.4a'!$B155&amp;'Table 2.4a'!$C155,UtilityList!$A$4:$A$251&amp;UtilityList!$B$4:$B$251&amp;UtilityList!$C$4:$C$251,0)), INDEX(UtilityList!J$4:J$251,MATCH('Table 2.4a'!$A155&amp;'Table 2.4a'!$C155,UtilityList!$A$4:$A$251&amp;UtilityList!$C$4:$C$251,0)))</f>
        <v>Aleutians</v>
      </c>
      <c r="Q155" s="698" t="str">
        <f t="array" ref="Q155">IFERROR(INDEX(UtilityList!K$4:K$251,MATCH('Table 2.4a'!$A155&amp;'Table 2.4a'!$B155&amp;'Table 2.4a'!$C155,UtilityList!$A$4:$A$251&amp;UtilityList!$B$4:$B$251&amp;UtilityList!$C$4:$C$251,0)), INDEX(UtilityList!K$4:K$251,MATCH('Table 2.4a'!$A155&amp;'Table 2.4a'!$C155,UtilityList!$A$4:$A$251&amp;UtilityList!$C$4:$C$251,0)))</f>
        <v>Aleutians East</v>
      </c>
      <c r="R155" s="698" t="str">
        <f t="array" ref="R155">IFERROR(INDEX(UtilityList!L$4:L$251,MATCH('Table 2.4a'!$A155&amp;'Table 2.4a'!$B155&amp;'Table 2.4a'!$C155,UtilityList!$A$4:$A$251&amp;UtilityList!$B$4:$B$251&amp;UtilityList!$C$4:$C$251,0)), INDEX(UtilityList!L$4:L$251,MATCH('Table 2.4a'!$A155&amp;'Table 2.4a'!$C155,UtilityList!$A$4:$A$251&amp;UtilityList!$C$4:$C$251,0)))</f>
        <v>Aleut</v>
      </c>
      <c r="S155" s="698" t="str">
        <f t="array" ref="S155">IFERROR(INDEX(UtilityList!M$4:M$251,MATCH('Table 2.4a'!$A155&amp;'Table 2.4a'!$B155&amp;'Table 2.4a'!$C155,UtilityList!$A$4:$A$251&amp;UtilityList!$B$4:$B$251&amp;UtilityList!$C$4:$C$251,0)), INDEX(UtilityList!M$4:M$251,MATCH('Table 2.4a'!$A155&amp;'Table 2.4a'!$C155,UtilityList!$A$4:$A$251&amp;UtilityList!$C$4:$C$251,0)))</f>
        <v>SW</v>
      </c>
    </row>
    <row r="156" spans="1:19" customFormat="1" ht="30" x14ac:dyDescent="0.25">
      <c r="A156" s="678" t="s">
        <v>217</v>
      </c>
      <c r="B156" s="361" t="s">
        <v>218</v>
      </c>
      <c r="C156" s="679" t="s">
        <v>218</v>
      </c>
      <c r="D156" s="680" t="s">
        <v>545</v>
      </c>
      <c r="E156" s="680" t="s">
        <v>546</v>
      </c>
      <c r="F156" s="694">
        <f t="shared" si="9"/>
        <v>5401.9056959999998</v>
      </c>
      <c r="G156" s="694">
        <f t="shared" si="8"/>
        <v>21529.571000000004</v>
      </c>
      <c r="H156" s="695">
        <v>73.150000000000006</v>
      </c>
      <c r="I156" s="694">
        <f t="shared" si="10"/>
        <v>1574.8881186500003</v>
      </c>
      <c r="J156" s="696">
        <f t="shared" si="11"/>
        <v>0.25090633231846554</v>
      </c>
      <c r="K156" s="697">
        <v>1583.2080000000001</v>
      </c>
      <c r="L156" s="697">
        <v>154889</v>
      </c>
      <c r="M156" s="790">
        <v>0.13900000000000001</v>
      </c>
      <c r="N156" s="658" t="s">
        <v>356</v>
      </c>
      <c r="O156" s="698">
        <f t="array" ref="O156">INDEX(UtilityList!Q$4:Q$251,MATCH('Table 2.4a'!$A156&amp;'Table 2.4a'!$B156&amp;'Table 2.4a'!$C156,UtilityList!$A$4:$A$251&amp;UtilityList!$B$4:$B$251&amp;UtilityList!$C$4:$C$251,0))</f>
        <v>0</v>
      </c>
      <c r="P156" s="698" t="str">
        <f t="array" ref="P156">IFERROR(INDEX(UtilityList!J$4:J$251,MATCH('Table 2.4a'!$A156&amp;'Table 2.4a'!$B156&amp;'Table 2.4a'!$C156,UtilityList!$A$4:$A$251&amp;UtilityList!$B$4:$B$251&amp;UtilityList!$C$4:$C$251,0)), INDEX(UtilityList!J$4:J$251,MATCH('Table 2.4a'!$A156&amp;'Table 2.4a'!$C156,UtilityList!$A$4:$A$251&amp;UtilityList!$C$4:$C$251,0)))</f>
        <v>Lower Yukon-Kuskokwim</v>
      </c>
      <c r="Q156" s="698" t="str">
        <f t="array" ref="Q156">IFERROR(INDEX(UtilityList!K$4:K$251,MATCH('Table 2.4a'!$A156&amp;'Table 2.4a'!$B156&amp;'Table 2.4a'!$C156,UtilityList!$A$4:$A$251&amp;UtilityList!$B$4:$B$251&amp;UtilityList!$C$4:$C$251,0)), INDEX(UtilityList!K$4:K$251,MATCH('Table 2.4a'!$A156&amp;'Table 2.4a'!$C156,UtilityList!$A$4:$A$251&amp;UtilityList!$C$4:$C$251,0)))</f>
        <v>Bethel (CA)</v>
      </c>
      <c r="R156" s="698" t="str">
        <f t="array" ref="R156">IFERROR(INDEX(UtilityList!L$4:L$251,MATCH('Table 2.4a'!$A156&amp;'Table 2.4a'!$B156&amp;'Table 2.4a'!$C156,UtilityList!$A$4:$A$251&amp;UtilityList!$B$4:$B$251&amp;UtilityList!$C$4:$C$251,0)), INDEX(UtilityList!L$4:L$251,MATCH('Table 2.4a'!$A156&amp;'Table 2.4a'!$C156,UtilityList!$A$4:$A$251&amp;UtilityList!$C$4:$C$251,0)))</f>
        <v>Calista</v>
      </c>
      <c r="S156" s="698" t="str">
        <f t="array" ref="S156">IFERROR(INDEX(UtilityList!M$4:M$251,MATCH('Table 2.4a'!$A156&amp;'Table 2.4a'!$B156&amp;'Table 2.4a'!$C156,UtilityList!$A$4:$A$251&amp;UtilityList!$B$4:$B$251&amp;UtilityList!$C$4:$C$251,0)), INDEX(UtilityList!M$4:M$251,MATCH('Table 2.4a'!$A156&amp;'Table 2.4a'!$C156,UtilityList!$A$4:$A$251&amp;UtilityList!$C$4:$C$251,0)))</f>
        <v>SW</v>
      </c>
    </row>
    <row r="157" spans="1:19" customFormat="1" ht="90" x14ac:dyDescent="0.25">
      <c r="A157" s="678" t="s">
        <v>219</v>
      </c>
      <c r="B157" s="361" t="s">
        <v>220</v>
      </c>
      <c r="C157" s="679" t="s">
        <v>220</v>
      </c>
      <c r="D157" s="680" t="s">
        <v>545</v>
      </c>
      <c r="E157" s="680" t="s">
        <v>546</v>
      </c>
      <c r="F157" s="694">
        <f t="shared" si="9"/>
        <v>0</v>
      </c>
      <c r="G157" s="694">
        <f t="shared" si="8"/>
        <v>0</v>
      </c>
      <c r="H157" s="695">
        <v>73.150000000000006</v>
      </c>
      <c r="I157" s="694">
        <f t="shared" si="10"/>
        <v>0</v>
      </c>
      <c r="J157" s="696" t="str">
        <f t="shared" si="11"/>
        <v xml:space="preserve"> </v>
      </c>
      <c r="K157" s="697">
        <v>0</v>
      </c>
      <c r="L157" s="697">
        <v>0</v>
      </c>
      <c r="M157" s="790">
        <v>0.13900000000000001</v>
      </c>
      <c r="N157" s="658" t="s">
        <v>356</v>
      </c>
      <c r="O157" s="698" t="str">
        <f t="array" ref="O157">INDEX(UtilityList!Q$4:Q$251,MATCH('Table 2.4a'!$A157&amp;'Table 2.4a'!$B157&amp;'Table 2.4a'!$C157,UtilityList!$A$4:$A$251&amp;UtilityList!$B$4:$B$251&amp;UtilityList!$C$4:$C$251,0))</f>
        <v>Receives power from Shungnak via intertie. For fuel use and cost, please refer to Shungnak. On July 1, 2012, AVEC took over operations in Kobuk.</v>
      </c>
      <c r="P157" s="698" t="str">
        <f t="array" ref="P157">IFERROR(INDEX(UtilityList!J$4:J$251,MATCH('Table 2.4a'!$A157&amp;'Table 2.4a'!$B157&amp;'Table 2.4a'!$C157,UtilityList!$A$4:$A$251&amp;UtilityList!$B$4:$B$251&amp;UtilityList!$C$4:$C$251,0)), INDEX(UtilityList!J$4:J$251,MATCH('Table 2.4a'!$A157&amp;'Table 2.4a'!$C157,UtilityList!$A$4:$A$251&amp;UtilityList!$C$4:$C$251,0)))</f>
        <v>Northwest Arctic</v>
      </c>
      <c r="Q157" s="698" t="str">
        <f t="array" ref="Q157">IFERROR(INDEX(UtilityList!K$4:K$251,MATCH('Table 2.4a'!$A157&amp;'Table 2.4a'!$B157&amp;'Table 2.4a'!$C157,UtilityList!$A$4:$A$251&amp;UtilityList!$B$4:$B$251&amp;UtilityList!$C$4:$C$251,0)), INDEX(UtilityList!K$4:K$251,MATCH('Table 2.4a'!$A157&amp;'Table 2.4a'!$C157,UtilityList!$A$4:$A$251&amp;UtilityList!$C$4:$C$251,0)))</f>
        <v>Northwest Arctic</v>
      </c>
      <c r="R157" s="698" t="str">
        <f t="array" ref="R157">IFERROR(INDEX(UtilityList!L$4:L$251,MATCH('Table 2.4a'!$A157&amp;'Table 2.4a'!$B157&amp;'Table 2.4a'!$C157,UtilityList!$A$4:$A$251&amp;UtilityList!$B$4:$B$251&amp;UtilityList!$C$4:$C$251,0)), INDEX(UtilityList!L$4:L$251,MATCH('Table 2.4a'!$A157&amp;'Table 2.4a'!$C157,UtilityList!$A$4:$A$251&amp;UtilityList!$C$4:$C$251,0)))</f>
        <v>NANA</v>
      </c>
      <c r="S157" s="698" t="str">
        <f t="array" ref="S157">IFERROR(INDEX(UtilityList!M$4:M$251,MATCH('Table 2.4a'!$A157&amp;'Table 2.4a'!$B157&amp;'Table 2.4a'!$C157,UtilityList!$A$4:$A$251&amp;UtilityList!$B$4:$B$251&amp;UtilityList!$C$4:$C$251,0)), INDEX(UtilityList!M$4:M$251,MATCH('Table 2.4a'!$A157&amp;'Table 2.4a'!$C157,UtilityList!$A$4:$A$251&amp;UtilityList!$C$4:$C$251,0)))</f>
        <v>AN</v>
      </c>
    </row>
    <row r="158" spans="1:19" customFormat="1" ht="30" x14ac:dyDescent="0.25">
      <c r="A158" s="361" t="s">
        <v>221</v>
      </c>
      <c r="B158" s="361" t="s">
        <v>222</v>
      </c>
      <c r="C158" s="361" t="s">
        <v>222</v>
      </c>
      <c r="D158" s="622" t="s">
        <v>545</v>
      </c>
      <c r="E158" s="622" t="s">
        <v>546</v>
      </c>
      <c r="F158" s="694">
        <f t="shared" si="9"/>
        <v>62146.167999999998</v>
      </c>
      <c r="G158" s="694">
        <f t="shared" si="8"/>
        <v>180224.89800000002</v>
      </c>
      <c r="H158" s="695">
        <v>73.150000000000006</v>
      </c>
      <c r="I158" s="694">
        <f t="shared" si="10"/>
        <v>13183.451288700002</v>
      </c>
      <c r="J158" s="696">
        <f t="shared" si="11"/>
        <v>0.34482565222481076</v>
      </c>
      <c r="K158" s="697">
        <v>18214</v>
      </c>
      <c r="L158" s="697">
        <v>1296582</v>
      </c>
      <c r="M158" s="790">
        <v>0.13900000000000001</v>
      </c>
      <c r="N158" s="658" t="s">
        <v>558</v>
      </c>
      <c r="O158" s="698">
        <f t="array" ref="O158">INDEX(UtilityList!Q$4:Q$251,MATCH('Table 2.4a'!$A158&amp;'Table 2.4a'!$B158&amp;'Table 2.4a'!$C158,UtilityList!$A$4:$A$251&amp;UtilityList!$B$4:$B$251&amp;UtilityList!$C$4:$C$251,0))</f>
        <v>0</v>
      </c>
      <c r="P158" s="698" t="str">
        <f t="array" ref="P158">IFERROR(INDEX(UtilityList!J$4:J$251,MATCH('Table 2.4a'!$A158&amp;'Table 2.4a'!$B158&amp;'Table 2.4a'!$C158,UtilityList!$A$4:$A$251&amp;UtilityList!$B$4:$B$251&amp;UtilityList!$C$4:$C$251,0)), INDEX(UtilityList!J$4:J$251,MATCH('Table 2.4a'!$A158&amp;'Table 2.4a'!$C158,UtilityList!$A$4:$A$251&amp;UtilityList!$C$4:$C$251,0)))</f>
        <v>Kodiak</v>
      </c>
      <c r="Q158" s="698" t="str">
        <f t="array" ref="Q158">IFERROR(INDEX(UtilityList!K$4:K$251,MATCH('Table 2.4a'!$A158&amp;'Table 2.4a'!$B158&amp;'Table 2.4a'!$C158,UtilityList!$A$4:$A$251&amp;UtilityList!$B$4:$B$251&amp;UtilityList!$C$4:$C$251,0)), INDEX(UtilityList!K$4:K$251,MATCH('Table 2.4a'!$A158&amp;'Table 2.4a'!$C158,UtilityList!$A$4:$A$251&amp;UtilityList!$C$4:$C$251,0)))</f>
        <v>Kodiak Island</v>
      </c>
      <c r="R158" s="698" t="str">
        <f t="array" ref="R158">IFERROR(INDEX(UtilityList!L$4:L$251,MATCH('Table 2.4a'!$A158&amp;'Table 2.4a'!$B158&amp;'Table 2.4a'!$C158,UtilityList!$A$4:$A$251&amp;UtilityList!$B$4:$B$251&amp;UtilityList!$C$4:$C$251,0)), INDEX(UtilityList!L$4:L$251,MATCH('Table 2.4a'!$A158&amp;'Table 2.4a'!$C158,UtilityList!$A$4:$A$251&amp;UtilityList!$C$4:$C$251,0)))</f>
        <v>Koniag</v>
      </c>
      <c r="S158" s="698" t="str">
        <f t="array" ref="S158">IFERROR(INDEX(UtilityList!M$4:M$251,MATCH('Table 2.4a'!$A158&amp;'Table 2.4a'!$B158&amp;'Table 2.4a'!$C158,UtilityList!$A$4:$A$251&amp;UtilityList!$B$4:$B$251&amp;UtilityList!$C$4:$C$251,0)), INDEX(UtilityList!M$4:M$251,MATCH('Table 2.4a'!$A158&amp;'Table 2.4a'!$C158,UtilityList!$A$4:$A$251&amp;UtilityList!$C$4:$C$251,0)))</f>
        <v>SC</v>
      </c>
    </row>
    <row r="159" spans="1:19" s="169" customFormat="1" ht="30" x14ac:dyDescent="0.25">
      <c r="A159" s="361" t="s">
        <v>221</v>
      </c>
      <c r="B159" s="361" t="s">
        <v>223</v>
      </c>
      <c r="C159" s="361" t="s">
        <v>222</v>
      </c>
      <c r="D159" s="622" t="s">
        <v>545</v>
      </c>
      <c r="E159" s="622" t="s">
        <v>546</v>
      </c>
      <c r="F159" s="694">
        <f t="shared" si="9"/>
        <v>12174.016</v>
      </c>
      <c r="G159" s="694">
        <f t="shared" si="8"/>
        <v>48718.110000000008</v>
      </c>
      <c r="H159" s="695">
        <v>73.150000000000006</v>
      </c>
      <c r="I159" s="694">
        <f t="shared" si="10"/>
        <v>3563.7297465000006</v>
      </c>
      <c r="J159" s="696">
        <f t="shared" si="11"/>
        <v>0.24988686958504749</v>
      </c>
      <c r="K159" s="697">
        <v>3568</v>
      </c>
      <c r="L159" s="697">
        <v>350490</v>
      </c>
      <c r="M159" s="790">
        <v>0.13900000000000001</v>
      </c>
      <c r="N159" s="658" t="s">
        <v>558</v>
      </c>
      <c r="O159" s="698">
        <f t="array" ref="O159">INDEX(UtilityList!Q$4:Q$251,MATCH('Table 2.4a'!$A159&amp;'Table 2.4a'!$B159&amp;'Table 2.4a'!$C159,UtilityList!$A$4:$A$251&amp;UtilityList!$B$4:$B$251&amp;UtilityList!$C$4:$C$251,0))</f>
        <v>0</v>
      </c>
      <c r="P159" s="698" t="str">
        <f t="array" ref="P159">IFERROR(INDEX(UtilityList!J$4:J$251,MATCH('Table 2.4a'!$A159&amp;'Table 2.4a'!$B159&amp;'Table 2.4a'!$C159,UtilityList!$A$4:$A$251&amp;UtilityList!$B$4:$B$251&amp;UtilityList!$C$4:$C$251,0)), INDEX(UtilityList!J$4:J$251,MATCH('Table 2.4a'!$A159&amp;'Table 2.4a'!$C159,UtilityList!$A$4:$A$251&amp;UtilityList!$C$4:$C$251,0)))</f>
        <v>Kodiak</v>
      </c>
      <c r="Q159" s="698" t="str">
        <f t="array" ref="Q159">IFERROR(INDEX(UtilityList!K$4:K$251,MATCH('Table 2.4a'!$A159&amp;'Table 2.4a'!$B159&amp;'Table 2.4a'!$C159,UtilityList!$A$4:$A$251&amp;UtilityList!$B$4:$B$251&amp;UtilityList!$C$4:$C$251,0)), INDEX(UtilityList!K$4:K$251,MATCH('Table 2.4a'!$A159&amp;'Table 2.4a'!$C159,UtilityList!$A$4:$A$251&amp;UtilityList!$C$4:$C$251,0)))</f>
        <v>Kodiak Island</v>
      </c>
      <c r="R159" s="698" t="str">
        <f t="array" ref="R159">IFERROR(INDEX(UtilityList!L$4:L$251,MATCH('Table 2.4a'!$A159&amp;'Table 2.4a'!$B159&amp;'Table 2.4a'!$C159,UtilityList!$A$4:$A$251&amp;UtilityList!$B$4:$B$251&amp;UtilityList!$C$4:$C$251,0)), INDEX(UtilityList!L$4:L$251,MATCH('Table 2.4a'!$A159&amp;'Table 2.4a'!$C159,UtilityList!$A$4:$A$251&amp;UtilityList!$C$4:$C$251,0)))</f>
        <v>Koniag</v>
      </c>
      <c r="S159" s="698" t="str">
        <f t="array" ref="S159">IFERROR(INDEX(UtilityList!M$4:M$251,MATCH('Table 2.4a'!$A159&amp;'Table 2.4a'!$B159&amp;'Table 2.4a'!$C159,UtilityList!$A$4:$A$251&amp;UtilityList!$B$4:$B$251&amp;UtilityList!$C$4:$C$251,0)), INDEX(UtilityList!M$4:M$251,MATCH('Table 2.4a'!$A159&amp;'Table 2.4a'!$C159,UtilityList!$A$4:$A$251&amp;UtilityList!$C$4:$C$251,0)))</f>
        <v>SC</v>
      </c>
    </row>
    <row r="160" spans="1:19" s="169" customFormat="1" ht="30" x14ac:dyDescent="0.25">
      <c r="A160" s="361" t="s">
        <v>221</v>
      </c>
      <c r="B160" s="361" t="s">
        <v>226</v>
      </c>
      <c r="C160" s="361" t="s">
        <v>222</v>
      </c>
      <c r="D160" s="622" t="s">
        <v>545</v>
      </c>
      <c r="E160" s="622" t="s">
        <v>546</v>
      </c>
      <c r="F160" s="694">
        <f t="shared" si="9"/>
        <v>238.84</v>
      </c>
      <c r="G160" s="694">
        <f t="shared" si="8"/>
        <v>904.8900000000001</v>
      </c>
      <c r="H160" s="695">
        <v>73.150000000000006</v>
      </c>
      <c r="I160" s="694">
        <f t="shared" si="10"/>
        <v>66.192703500000022</v>
      </c>
      <c r="J160" s="696">
        <f t="shared" si="11"/>
        <v>0.26394368376266725</v>
      </c>
      <c r="K160" s="697">
        <v>70</v>
      </c>
      <c r="L160" s="697">
        <v>6510</v>
      </c>
      <c r="M160" s="790">
        <v>0.13900000000000001</v>
      </c>
      <c r="N160" s="658" t="s">
        <v>558</v>
      </c>
      <c r="O160" s="698">
        <f t="array" ref="O160">INDEX(UtilityList!Q$4:Q$251,MATCH('Table 2.4a'!$A160&amp;'Table 2.4a'!$B160&amp;'Table 2.4a'!$C160,UtilityList!$A$4:$A$251&amp;UtilityList!$B$4:$B$251&amp;UtilityList!$C$4:$C$251,0))</f>
        <v>0</v>
      </c>
      <c r="P160" s="698" t="str">
        <f t="array" ref="P160">IFERROR(INDEX(UtilityList!J$4:J$251,MATCH('Table 2.4a'!$A160&amp;'Table 2.4a'!$B160&amp;'Table 2.4a'!$C160,UtilityList!$A$4:$A$251&amp;UtilityList!$B$4:$B$251&amp;UtilityList!$C$4:$C$251,0)), INDEX(UtilityList!J$4:J$251,MATCH('Table 2.4a'!$A160&amp;'Table 2.4a'!$C160,UtilityList!$A$4:$A$251&amp;UtilityList!$C$4:$C$251,0)))</f>
        <v>Kodiak</v>
      </c>
      <c r="Q160" s="698" t="str">
        <f t="array" ref="Q160">IFERROR(INDEX(UtilityList!K$4:K$251,MATCH('Table 2.4a'!$A160&amp;'Table 2.4a'!$B160&amp;'Table 2.4a'!$C160,UtilityList!$A$4:$A$251&amp;UtilityList!$B$4:$B$251&amp;UtilityList!$C$4:$C$251,0)), INDEX(UtilityList!K$4:K$251,MATCH('Table 2.4a'!$A160&amp;'Table 2.4a'!$C160,UtilityList!$A$4:$A$251&amp;UtilityList!$C$4:$C$251,0)))</f>
        <v>Kodiak Island</v>
      </c>
      <c r="R160" s="698" t="str">
        <f t="array" ref="R160">IFERROR(INDEX(UtilityList!L$4:L$251,MATCH('Table 2.4a'!$A160&amp;'Table 2.4a'!$B160&amp;'Table 2.4a'!$C160,UtilityList!$A$4:$A$251&amp;UtilityList!$B$4:$B$251&amp;UtilityList!$C$4:$C$251,0)), INDEX(UtilityList!L$4:L$251,MATCH('Table 2.4a'!$A160&amp;'Table 2.4a'!$C160,UtilityList!$A$4:$A$251&amp;UtilityList!$C$4:$C$251,0)))</f>
        <v>Koniag</v>
      </c>
      <c r="S160" s="698" t="str">
        <f t="array" ref="S160">IFERROR(INDEX(UtilityList!M$4:M$251,MATCH('Table 2.4a'!$A160&amp;'Table 2.4a'!$B160&amp;'Table 2.4a'!$C160,UtilityList!$A$4:$A$251&amp;UtilityList!$B$4:$B$251&amp;UtilityList!$C$4:$C$251,0)), INDEX(UtilityList!M$4:M$251,MATCH('Table 2.4a'!$A160&amp;'Table 2.4a'!$C160,UtilityList!$A$4:$A$251&amp;UtilityList!$C$4:$C$251,0)))</f>
        <v>SC</v>
      </c>
    </row>
    <row r="161" spans="1:19" s="169" customFormat="1" ht="30" x14ac:dyDescent="0.25">
      <c r="A161" s="678" t="s">
        <v>227</v>
      </c>
      <c r="B161" s="361" t="s">
        <v>228</v>
      </c>
      <c r="C161" s="679" t="s">
        <v>228</v>
      </c>
      <c r="D161" s="680" t="s">
        <v>545</v>
      </c>
      <c r="E161" s="680" t="s">
        <v>546</v>
      </c>
      <c r="F161" s="694">
        <f t="shared" si="9"/>
        <v>1388.417864</v>
      </c>
      <c r="G161" s="694">
        <f t="shared" si="8"/>
        <v>5433.51</v>
      </c>
      <c r="H161" s="695">
        <v>73.150000000000006</v>
      </c>
      <c r="I161" s="694">
        <f t="shared" si="10"/>
        <v>397.4612565000001</v>
      </c>
      <c r="J161" s="696">
        <f t="shared" si="11"/>
        <v>0.25552872158144552</v>
      </c>
      <c r="K161" s="697">
        <v>406.92200000000003</v>
      </c>
      <c r="L161" s="697">
        <v>39090</v>
      </c>
      <c r="M161" s="790">
        <v>0.13900000000000001</v>
      </c>
      <c r="N161" s="658" t="s">
        <v>356</v>
      </c>
      <c r="O161" s="698">
        <f t="array" ref="O161">INDEX(UtilityList!Q$4:Q$251,MATCH('Table 2.4a'!$A161&amp;'Table 2.4a'!$B161&amp;'Table 2.4a'!$C161,UtilityList!$A$4:$A$251&amp;UtilityList!$B$4:$B$251&amp;UtilityList!$C$4:$C$251,0))</f>
        <v>0</v>
      </c>
      <c r="P161" s="698" t="str">
        <f t="array" ref="P161">IFERROR(INDEX(UtilityList!J$4:J$251,MATCH('Table 2.4a'!$A161&amp;'Table 2.4a'!$B161&amp;'Table 2.4a'!$C161,UtilityList!$A$4:$A$251&amp;UtilityList!$B$4:$B$251&amp;UtilityList!$C$4:$C$251,0)), INDEX(UtilityList!J$4:J$251,MATCH('Table 2.4a'!$A161&amp;'Table 2.4a'!$C161,UtilityList!$A$4:$A$251&amp;UtilityList!$C$4:$C$251,0)))</f>
        <v>Bristol Bay</v>
      </c>
      <c r="Q161" s="698" t="str">
        <f t="array" ref="Q161">IFERROR(INDEX(UtilityList!K$4:K$251,MATCH('Table 2.4a'!$A161&amp;'Table 2.4a'!$B161&amp;'Table 2.4a'!$C161,UtilityList!$A$4:$A$251&amp;UtilityList!$B$4:$B$251&amp;UtilityList!$C$4:$C$251,0)), INDEX(UtilityList!K$4:K$251,MATCH('Table 2.4a'!$A161&amp;'Table 2.4a'!$C161,UtilityList!$A$4:$A$251&amp;UtilityList!$C$4:$C$251,0)))</f>
        <v>Lake and Peninsula</v>
      </c>
      <c r="R161" s="698" t="str">
        <f t="array" ref="R161">IFERROR(INDEX(UtilityList!L$4:L$251,MATCH('Table 2.4a'!$A161&amp;'Table 2.4a'!$B161&amp;'Table 2.4a'!$C161,UtilityList!$A$4:$A$251&amp;UtilityList!$B$4:$B$251&amp;UtilityList!$C$4:$C$251,0)), INDEX(UtilityList!L$4:L$251,MATCH('Table 2.4a'!$A161&amp;'Table 2.4a'!$C161,UtilityList!$A$4:$A$251&amp;UtilityList!$C$4:$C$251,0)))</f>
        <v>Bristol Bay</v>
      </c>
      <c r="S161" s="698" t="str">
        <f t="array" ref="S161">IFERROR(INDEX(UtilityList!M$4:M$251,MATCH('Table 2.4a'!$A161&amp;'Table 2.4a'!$B161&amp;'Table 2.4a'!$C161,UtilityList!$A$4:$A$251&amp;UtilityList!$B$4:$B$251&amp;UtilityList!$C$4:$C$251,0)), INDEX(UtilityList!M$4:M$251,MATCH('Table 2.4a'!$A161&amp;'Table 2.4a'!$C161,UtilityList!$A$4:$A$251&amp;UtilityList!$C$4:$C$251,0)))</f>
        <v>SW</v>
      </c>
    </row>
    <row r="162" spans="1:19" customFormat="1" ht="30" x14ac:dyDescent="0.25">
      <c r="A162" s="678" t="s">
        <v>229</v>
      </c>
      <c r="B162" s="361" t="s">
        <v>230</v>
      </c>
      <c r="C162" s="679" t="s">
        <v>230</v>
      </c>
      <c r="D162" s="680" t="s">
        <v>545</v>
      </c>
      <c r="E162" s="680" t="s">
        <v>546</v>
      </c>
      <c r="F162" s="694">
        <f t="shared" si="9"/>
        <v>69263.599999999991</v>
      </c>
      <c r="G162" s="694">
        <f t="shared" si="8"/>
        <v>196973.28600000002</v>
      </c>
      <c r="H162" s="695">
        <v>73.150000000000006</v>
      </c>
      <c r="I162" s="694">
        <f t="shared" si="10"/>
        <v>14408.595870900002</v>
      </c>
      <c r="J162" s="696">
        <f t="shared" si="11"/>
        <v>0.35163956192516371</v>
      </c>
      <c r="K162" s="697">
        <v>20300</v>
      </c>
      <c r="L162" s="697">
        <v>1417074</v>
      </c>
      <c r="M162" s="790">
        <v>0.13900000000000001</v>
      </c>
      <c r="N162" s="658" t="s">
        <v>356</v>
      </c>
      <c r="O162" s="698">
        <f t="array" ref="O162">INDEX(UtilityList!Q$4:Q$251,MATCH('Table 2.4a'!$A162&amp;'Table 2.4a'!$B162&amp;'Table 2.4a'!$C162,UtilityList!$A$4:$A$251&amp;UtilityList!$B$4:$B$251&amp;UtilityList!$C$4:$C$251,0))</f>
        <v>0</v>
      </c>
      <c r="P162" s="698" t="str">
        <f t="array" ref="P162">IFERROR(INDEX(UtilityList!J$4:J$251,MATCH('Table 2.4a'!$A162&amp;'Table 2.4a'!$B162&amp;'Table 2.4a'!$C162,UtilityList!$A$4:$A$251&amp;UtilityList!$B$4:$B$251&amp;UtilityList!$C$4:$C$251,0)), INDEX(UtilityList!J$4:J$251,MATCH('Table 2.4a'!$A162&amp;'Table 2.4a'!$C162,UtilityList!$A$4:$A$251&amp;UtilityList!$C$4:$C$251,0)))</f>
        <v>Northwest Arctic</v>
      </c>
      <c r="Q162" s="698" t="str">
        <f t="array" ref="Q162">IFERROR(INDEX(UtilityList!K$4:K$251,MATCH('Table 2.4a'!$A162&amp;'Table 2.4a'!$B162&amp;'Table 2.4a'!$C162,UtilityList!$A$4:$A$251&amp;UtilityList!$B$4:$B$251&amp;UtilityList!$C$4:$C$251,0)), INDEX(UtilityList!K$4:K$251,MATCH('Table 2.4a'!$A162&amp;'Table 2.4a'!$C162,UtilityList!$A$4:$A$251&amp;UtilityList!$C$4:$C$251,0)))</f>
        <v>Northwest Arctic</v>
      </c>
      <c r="R162" s="698" t="str">
        <f t="array" ref="R162">IFERROR(INDEX(UtilityList!L$4:L$251,MATCH('Table 2.4a'!$A162&amp;'Table 2.4a'!$B162&amp;'Table 2.4a'!$C162,UtilityList!$A$4:$A$251&amp;UtilityList!$B$4:$B$251&amp;UtilityList!$C$4:$C$251,0)), INDEX(UtilityList!L$4:L$251,MATCH('Table 2.4a'!$A162&amp;'Table 2.4a'!$C162,UtilityList!$A$4:$A$251&amp;UtilityList!$C$4:$C$251,0)))</f>
        <v>NANA</v>
      </c>
      <c r="S162" s="698" t="str">
        <f t="array" ref="S162">IFERROR(INDEX(UtilityList!M$4:M$251,MATCH('Table 2.4a'!$A162&amp;'Table 2.4a'!$B162&amp;'Table 2.4a'!$C162,UtilityList!$A$4:$A$251&amp;UtilityList!$B$4:$B$251&amp;UtilityList!$C$4:$C$251,0)), INDEX(UtilityList!M$4:M$251,MATCH('Table 2.4a'!$A162&amp;'Table 2.4a'!$C162,UtilityList!$A$4:$A$251&amp;UtilityList!$C$4:$C$251,0)))</f>
        <v>AN</v>
      </c>
    </row>
    <row r="163" spans="1:19" customFormat="1" ht="45" x14ac:dyDescent="0.25">
      <c r="A163" s="678" t="s">
        <v>231</v>
      </c>
      <c r="B163" s="361" t="s">
        <v>232</v>
      </c>
      <c r="C163" s="679" t="s">
        <v>232</v>
      </c>
      <c r="D163" s="680" t="s">
        <v>545</v>
      </c>
      <c r="E163" s="680" t="s">
        <v>546</v>
      </c>
      <c r="F163" s="694">
        <f t="shared" si="9"/>
        <v>1071.8695639999999</v>
      </c>
      <c r="G163" s="694">
        <f t="shared" si="8"/>
        <v>4576.8530000000001</v>
      </c>
      <c r="H163" s="695">
        <v>73.150000000000006</v>
      </c>
      <c r="I163" s="694">
        <f t="shared" si="10"/>
        <v>334.79679695000004</v>
      </c>
      <c r="J163" s="696">
        <f t="shared" si="11"/>
        <v>0.23419357449321615</v>
      </c>
      <c r="K163" s="697">
        <v>314.14699999999999</v>
      </c>
      <c r="L163" s="697">
        <v>32927</v>
      </c>
      <c r="M163" s="790">
        <v>0.13900000000000001</v>
      </c>
      <c r="N163" s="658" t="s">
        <v>356</v>
      </c>
      <c r="O163" s="698">
        <f t="array" ref="O163">INDEX(UtilityList!Q$4:Q$251,MATCH('Table 2.4a'!$A163&amp;'Table 2.4a'!$B163&amp;'Table 2.4a'!$C163,UtilityList!$A$4:$A$251&amp;UtilityList!$B$4:$B$251&amp;UtilityList!$C$4:$C$251,0))</f>
        <v>0</v>
      </c>
      <c r="P163" s="698" t="str">
        <f t="array" ref="P163">IFERROR(INDEX(UtilityList!J$4:J$251,MATCH('Table 2.4a'!$A163&amp;'Table 2.4a'!$B163&amp;'Table 2.4a'!$C163,UtilityList!$A$4:$A$251&amp;UtilityList!$B$4:$B$251&amp;UtilityList!$C$4:$C$251,0)), INDEX(UtilityList!J$4:J$251,MATCH('Table 2.4a'!$A163&amp;'Table 2.4a'!$C163,UtilityList!$A$4:$A$251&amp;UtilityList!$C$4:$C$251,0)))</f>
        <v>Yukon-Koyukuk/Upper Tanana</v>
      </c>
      <c r="Q163" s="698" t="str">
        <f t="array" ref="Q163">IFERROR(INDEX(UtilityList!K$4:K$251,MATCH('Table 2.4a'!$A163&amp;'Table 2.4a'!$B163&amp;'Table 2.4a'!$C163,UtilityList!$A$4:$A$251&amp;UtilityList!$B$4:$B$251&amp;UtilityList!$C$4:$C$251,0)), INDEX(UtilityList!K$4:K$251,MATCH('Table 2.4a'!$A163&amp;'Table 2.4a'!$C163,UtilityList!$A$4:$A$251&amp;UtilityList!$C$4:$C$251,0)))</f>
        <v>Yukon-Koyukuk (CA)</v>
      </c>
      <c r="R163" s="698" t="str">
        <f t="array" ref="R163">IFERROR(INDEX(UtilityList!L$4:L$251,MATCH('Table 2.4a'!$A163&amp;'Table 2.4a'!$B163&amp;'Table 2.4a'!$C163,UtilityList!$A$4:$A$251&amp;UtilityList!$B$4:$B$251&amp;UtilityList!$C$4:$C$251,0)), INDEX(UtilityList!L$4:L$251,MATCH('Table 2.4a'!$A163&amp;'Table 2.4a'!$C163,UtilityList!$A$4:$A$251&amp;UtilityList!$C$4:$C$251,0)))</f>
        <v>Doyon</v>
      </c>
      <c r="S163" s="698" t="str">
        <f t="array" ref="S163">IFERROR(INDEX(UtilityList!M$4:M$251,MATCH('Table 2.4a'!$A163&amp;'Table 2.4a'!$B163&amp;'Table 2.4a'!$C163,UtilityList!$A$4:$A$251&amp;UtilityList!$B$4:$B$251&amp;UtilityList!$C$4:$C$251,0)), INDEX(UtilityList!M$4:M$251,MATCH('Table 2.4a'!$A163&amp;'Table 2.4a'!$C163,UtilityList!$A$4:$A$251&amp;UtilityList!$C$4:$C$251,0)))</f>
        <v>YU</v>
      </c>
    </row>
    <row r="164" spans="1:19" customFormat="1" ht="30" x14ac:dyDescent="0.25">
      <c r="A164" s="678" t="s">
        <v>233</v>
      </c>
      <c r="B164" s="361" t="s">
        <v>234</v>
      </c>
      <c r="C164" s="679" t="s">
        <v>234</v>
      </c>
      <c r="D164" s="680" t="s">
        <v>545</v>
      </c>
      <c r="E164" s="680" t="s">
        <v>546</v>
      </c>
      <c r="F164" s="694">
        <f t="shared" si="9"/>
        <v>4700.3473160000003</v>
      </c>
      <c r="G164" s="694">
        <f t="shared" si="8"/>
        <v>14237.492000000002</v>
      </c>
      <c r="H164" s="695">
        <v>73.150000000000006</v>
      </c>
      <c r="I164" s="694">
        <f t="shared" si="10"/>
        <v>1041.4725398000003</v>
      </c>
      <c r="J164" s="696">
        <f t="shared" si="11"/>
        <v>0.33013871516135002</v>
      </c>
      <c r="K164" s="697">
        <v>1377.5930000000001</v>
      </c>
      <c r="L164" s="697">
        <v>102428</v>
      </c>
      <c r="M164" s="790">
        <v>0.13900000000000001</v>
      </c>
      <c r="N164" s="658" t="s">
        <v>356</v>
      </c>
      <c r="O164" s="698">
        <f t="array" ref="O164">INDEX(UtilityList!Q$4:Q$251,MATCH('Table 2.4a'!$A164&amp;'Table 2.4a'!$B164&amp;'Table 2.4a'!$C164,UtilityList!$A$4:$A$251&amp;UtilityList!$B$4:$B$251&amp;UtilityList!$C$4:$C$251,0))</f>
        <v>0</v>
      </c>
      <c r="P164" s="698" t="str">
        <f t="array" ref="P164">IFERROR(INDEX(UtilityList!J$4:J$251,MATCH('Table 2.4a'!$A164&amp;'Table 2.4a'!$B164&amp;'Table 2.4a'!$C164,UtilityList!$A$4:$A$251&amp;UtilityList!$B$4:$B$251&amp;UtilityList!$C$4:$C$251,0)), INDEX(UtilityList!J$4:J$251,MATCH('Table 2.4a'!$A164&amp;'Table 2.4a'!$C164,UtilityList!$A$4:$A$251&amp;UtilityList!$C$4:$C$251,0)))</f>
        <v>Lower Yukon-Kuskokwim</v>
      </c>
      <c r="Q164" s="698" t="str">
        <f t="array" ref="Q164">IFERROR(INDEX(UtilityList!K$4:K$251,MATCH('Table 2.4a'!$A164&amp;'Table 2.4a'!$B164&amp;'Table 2.4a'!$C164,UtilityList!$A$4:$A$251&amp;UtilityList!$B$4:$B$251&amp;UtilityList!$C$4:$C$251,0)), INDEX(UtilityList!K$4:K$251,MATCH('Table 2.4a'!$A164&amp;'Table 2.4a'!$C164,UtilityList!$A$4:$A$251&amp;UtilityList!$C$4:$C$251,0)))</f>
        <v>Bethel (CA)</v>
      </c>
      <c r="R164" s="698" t="str">
        <f t="array" ref="R164">IFERROR(INDEX(UtilityList!L$4:L$251,MATCH('Table 2.4a'!$A164&amp;'Table 2.4a'!$B164&amp;'Table 2.4a'!$C164,UtilityList!$A$4:$A$251&amp;UtilityList!$B$4:$B$251&amp;UtilityList!$C$4:$C$251,0)), INDEX(UtilityList!L$4:L$251,MATCH('Table 2.4a'!$A164&amp;'Table 2.4a'!$C164,UtilityList!$A$4:$A$251&amp;UtilityList!$C$4:$C$251,0)))</f>
        <v>Calista</v>
      </c>
      <c r="S164" s="698" t="str">
        <f t="array" ref="S164">IFERROR(INDEX(UtilityList!M$4:M$251,MATCH('Table 2.4a'!$A164&amp;'Table 2.4a'!$B164&amp;'Table 2.4a'!$C164,UtilityList!$A$4:$A$251&amp;UtilityList!$B$4:$B$251&amp;UtilityList!$C$4:$C$251,0)), INDEX(UtilityList!M$4:M$251,MATCH('Table 2.4a'!$A164&amp;'Table 2.4a'!$C164,UtilityList!$A$4:$A$251&amp;UtilityList!$C$4:$C$251,0)))</f>
        <v>SW</v>
      </c>
    </row>
    <row r="165" spans="1:19" customFormat="1" ht="30" x14ac:dyDescent="0.25">
      <c r="A165" s="678" t="s">
        <v>641</v>
      </c>
      <c r="B165" s="361" t="s">
        <v>235</v>
      </c>
      <c r="C165" s="679" t="s">
        <v>235</v>
      </c>
      <c r="D165" s="680" t="s">
        <v>545</v>
      </c>
      <c r="E165" s="680" t="s">
        <v>546</v>
      </c>
      <c r="F165" s="694">
        <f t="shared" si="9"/>
        <v>3986.1235920000004</v>
      </c>
      <c r="G165" s="694">
        <f t="shared" si="8"/>
        <v>11686.842000000001</v>
      </c>
      <c r="H165" s="695">
        <v>73.150000000000006</v>
      </c>
      <c r="I165" s="694">
        <f t="shared" si="10"/>
        <v>854.89249230000019</v>
      </c>
      <c r="J165" s="696">
        <f t="shared" si="11"/>
        <v>0.34107790556251211</v>
      </c>
      <c r="K165" s="697">
        <v>1168.2660000000001</v>
      </c>
      <c r="L165" s="697">
        <v>84078</v>
      </c>
      <c r="M165" s="790">
        <v>0.13900000000000001</v>
      </c>
      <c r="N165" s="658" t="s">
        <v>356</v>
      </c>
      <c r="O165" s="698">
        <f t="array" ref="O165">INDEX(UtilityList!Q$4:Q$251,MATCH('Table 2.4a'!$A165&amp;'Table 2.4a'!$B165&amp;'Table 2.4a'!$C165,UtilityList!$A$4:$A$251&amp;UtilityList!$B$4:$B$251&amp;UtilityList!$C$4:$C$251,0))</f>
        <v>0</v>
      </c>
      <c r="P165" s="698" t="str">
        <f t="array" ref="P165">IFERROR(INDEX(UtilityList!J$4:J$251,MATCH('Table 2.4a'!$A165&amp;'Table 2.4a'!$B165&amp;'Table 2.4a'!$C165,UtilityList!$A$4:$A$251&amp;UtilityList!$B$4:$B$251&amp;UtilityList!$C$4:$C$251,0)), INDEX(UtilityList!J$4:J$251,MATCH('Table 2.4a'!$A165&amp;'Table 2.4a'!$C165,UtilityList!$A$4:$A$251&amp;UtilityList!$C$4:$C$251,0)))</f>
        <v>Lower Yukon-Kuskokwim</v>
      </c>
      <c r="Q165" s="698" t="str">
        <f t="array" ref="Q165">IFERROR(INDEX(UtilityList!K$4:K$251,MATCH('Table 2.4a'!$A165&amp;'Table 2.4a'!$B165&amp;'Table 2.4a'!$C165,UtilityList!$A$4:$A$251&amp;UtilityList!$B$4:$B$251&amp;UtilityList!$C$4:$C$251,0)), INDEX(UtilityList!K$4:K$251,MATCH('Table 2.4a'!$A165&amp;'Table 2.4a'!$C165,UtilityList!$A$4:$A$251&amp;UtilityList!$C$4:$C$251,0)))</f>
        <v>Bethel (CA)</v>
      </c>
      <c r="R165" s="698" t="str">
        <f t="array" ref="R165">IFERROR(INDEX(UtilityList!L$4:L$251,MATCH('Table 2.4a'!$A165&amp;'Table 2.4a'!$B165&amp;'Table 2.4a'!$C165,UtilityList!$A$4:$A$251&amp;UtilityList!$B$4:$B$251&amp;UtilityList!$C$4:$C$251,0)), INDEX(UtilityList!L$4:L$251,MATCH('Table 2.4a'!$A165&amp;'Table 2.4a'!$C165,UtilityList!$A$4:$A$251&amp;UtilityList!$C$4:$C$251,0)))</f>
        <v>Calista</v>
      </c>
      <c r="S165" s="698" t="str">
        <f t="array" ref="S165">IFERROR(INDEX(UtilityList!M$4:M$251,MATCH('Table 2.4a'!$A165&amp;'Table 2.4a'!$B165&amp;'Table 2.4a'!$C165,UtilityList!$A$4:$A$251&amp;UtilityList!$B$4:$B$251&amp;UtilityList!$C$4:$C$251,0)), INDEX(UtilityList!M$4:M$251,MATCH('Table 2.4a'!$A165&amp;'Table 2.4a'!$C165,UtilityList!$A$4:$A$251&amp;UtilityList!$C$4:$C$251,0)))</f>
        <v>SW</v>
      </c>
    </row>
    <row r="166" spans="1:19" customFormat="1" ht="30" x14ac:dyDescent="0.25">
      <c r="A166" s="678" t="s">
        <v>236</v>
      </c>
      <c r="B166" s="361" t="s">
        <v>237</v>
      </c>
      <c r="C166" s="654" t="s">
        <v>237</v>
      </c>
      <c r="D166" s="680" t="s">
        <v>545</v>
      </c>
      <c r="E166" s="680" t="s">
        <v>546</v>
      </c>
      <c r="F166" s="694">
        <f t="shared" si="9"/>
        <v>543.1001526</v>
      </c>
      <c r="G166" s="694">
        <f t="shared" si="8"/>
        <v>1993.2601668000002</v>
      </c>
      <c r="H166" s="695">
        <v>73.150000000000006</v>
      </c>
      <c r="I166" s="694">
        <f t="shared" si="10"/>
        <v>145.80698120142</v>
      </c>
      <c r="J166" s="696">
        <f t="shared" si="11"/>
        <v>0.27246827165161203</v>
      </c>
      <c r="K166" s="697">
        <v>159.17355000000001</v>
      </c>
      <c r="L166" s="697">
        <v>14340.001200000001</v>
      </c>
      <c r="M166" s="790">
        <v>0.13900000000000001</v>
      </c>
      <c r="N166" s="658" t="s">
        <v>356</v>
      </c>
      <c r="O166" s="698">
        <f t="array" ref="O166">INDEX(UtilityList!Q$4:Q$251,MATCH('Table 2.4a'!$A166&amp;'Table 2.4a'!$B166&amp;'Table 2.4a'!$C166,UtilityList!$A$4:$A$251&amp;UtilityList!$B$4:$B$251&amp;UtilityList!$C$4:$C$251,0))</f>
        <v>0</v>
      </c>
      <c r="P166" s="698" t="str">
        <f t="array" ref="P166">IFERROR(INDEX(UtilityList!J$4:J$251,MATCH('Table 2.4a'!$A166&amp;'Table 2.4a'!$B166&amp;'Table 2.4a'!$C166,UtilityList!$A$4:$A$251&amp;UtilityList!$B$4:$B$251&amp;UtilityList!$C$4:$C$251,0)), INDEX(UtilityList!J$4:J$251,MATCH('Table 2.4a'!$A166&amp;'Table 2.4a'!$C166,UtilityList!$A$4:$A$251&amp;UtilityList!$C$4:$C$251,0)))</f>
        <v>Kodiak</v>
      </c>
      <c r="Q166" s="698" t="str">
        <f t="array" ref="Q166">IFERROR(INDEX(UtilityList!K$4:K$251,MATCH('Table 2.4a'!$A166&amp;'Table 2.4a'!$B166&amp;'Table 2.4a'!$C166,UtilityList!$A$4:$A$251&amp;UtilityList!$B$4:$B$251&amp;UtilityList!$C$4:$C$251,0)), INDEX(UtilityList!K$4:K$251,MATCH('Table 2.4a'!$A166&amp;'Table 2.4a'!$C166,UtilityList!$A$4:$A$251&amp;UtilityList!$C$4:$C$251,0)))</f>
        <v>Kodiak Island</v>
      </c>
      <c r="R166" s="698" t="str">
        <f t="array" ref="R166">IFERROR(INDEX(UtilityList!L$4:L$251,MATCH('Table 2.4a'!$A166&amp;'Table 2.4a'!$B166&amp;'Table 2.4a'!$C166,UtilityList!$A$4:$A$251&amp;UtilityList!$B$4:$B$251&amp;UtilityList!$C$4:$C$251,0)), INDEX(UtilityList!L$4:L$251,MATCH('Table 2.4a'!$A166&amp;'Table 2.4a'!$C166,UtilityList!$A$4:$A$251&amp;UtilityList!$C$4:$C$251,0)))</f>
        <v>Koniag</v>
      </c>
      <c r="S166" s="698" t="str">
        <f t="array" ref="S166">IFERROR(INDEX(UtilityList!M$4:M$251,MATCH('Table 2.4a'!$A166&amp;'Table 2.4a'!$B166&amp;'Table 2.4a'!$C166,UtilityList!$A$4:$A$251&amp;UtilityList!$B$4:$B$251&amp;UtilityList!$C$4:$C$251,0)), INDEX(UtilityList!M$4:M$251,MATCH('Table 2.4a'!$A166&amp;'Table 2.4a'!$C166,UtilityList!$A$4:$A$251&amp;UtilityList!$C$4:$C$251,0)))</f>
        <v>SC</v>
      </c>
    </row>
    <row r="167" spans="1:19" customFormat="1" ht="30" x14ac:dyDescent="0.25">
      <c r="A167" s="678" t="s">
        <v>238</v>
      </c>
      <c r="B167" s="361" t="s">
        <v>239</v>
      </c>
      <c r="C167" s="679" t="s">
        <v>239</v>
      </c>
      <c r="D167" s="680" t="s">
        <v>545</v>
      </c>
      <c r="E167" s="680" t="s">
        <v>546</v>
      </c>
      <c r="F167" s="694">
        <f t="shared" si="9"/>
        <v>1610.866616</v>
      </c>
      <c r="G167" s="694">
        <f t="shared" si="8"/>
        <v>5898.3260000000009</v>
      </c>
      <c r="H167" s="695">
        <v>73.150000000000006</v>
      </c>
      <c r="I167" s="694">
        <f t="shared" si="10"/>
        <v>431.46254690000006</v>
      </c>
      <c r="J167" s="696">
        <f t="shared" si="11"/>
        <v>0.27310572796417149</v>
      </c>
      <c r="K167" s="697">
        <v>472.11799999999999</v>
      </c>
      <c r="L167" s="697">
        <v>42434</v>
      </c>
      <c r="M167" s="790">
        <v>0.13900000000000001</v>
      </c>
      <c r="N167" s="658" t="s">
        <v>356</v>
      </c>
      <c r="O167" s="698">
        <f t="array" ref="O167">INDEX(UtilityList!Q$4:Q$251,MATCH('Table 2.4a'!$A167&amp;'Table 2.4a'!$B167&amp;'Table 2.4a'!$C167,UtilityList!$A$4:$A$251&amp;UtilityList!$B$4:$B$251&amp;UtilityList!$C$4:$C$251,0))</f>
        <v>0</v>
      </c>
      <c r="P167" s="698" t="str">
        <f t="array" ref="P167">IFERROR(INDEX(UtilityList!J$4:J$251,MATCH('Table 2.4a'!$A167&amp;'Table 2.4a'!$B167&amp;'Table 2.4a'!$C167,UtilityList!$A$4:$A$251&amp;UtilityList!$B$4:$B$251&amp;UtilityList!$C$4:$C$251,0)), INDEX(UtilityList!J$4:J$251,MATCH('Table 2.4a'!$A167&amp;'Table 2.4a'!$C167,UtilityList!$A$4:$A$251&amp;UtilityList!$C$4:$C$251,0)))</f>
        <v>Bristol Bay</v>
      </c>
      <c r="Q167" s="698" t="str">
        <f t="array" ref="Q167">IFERROR(INDEX(UtilityList!K$4:K$251,MATCH('Table 2.4a'!$A167&amp;'Table 2.4a'!$B167&amp;'Table 2.4a'!$C167,UtilityList!$A$4:$A$251&amp;UtilityList!$B$4:$B$251&amp;UtilityList!$C$4:$C$251,0)), INDEX(UtilityList!K$4:K$251,MATCH('Table 2.4a'!$A167&amp;'Table 2.4a'!$C167,UtilityList!$A$4:$A$251&amp;UtilityList!$C$4:$C$251,0)))</f>
        <v>Lake and Peninsula</v>
      </c>
      <c r="R167" s="698" t="str">
        <f t="array" ref="R167">IFERROR(INDEX(UtilityList!L$4:L$251,MATCH('Table 2.4a'!$A167&amp;'Table 2.4a'!$B167&amp;'Table 2.4a'!$C167,UtilityList!$A$4:$A$251&amp;UtilityList!$B$4:$B$251&amp;UtilityList!$C$4:$C$251,0)), INDEX(UtilityList!L$4:L$251,MATCH('Table 2.4a'!$A167&amp;'Table 2.4a'!$C167,UtilityList!$A$4:$A$251&amp;UtilityList!$C$4:$C$251,0)))</f>
        <v>Bristol Bay</v>
      </c>
      <c r="S167" s="698" t="str">
        <f t="array" ref="S167">IFERROR(INDEX(UtilityList!M$4:M$251,MATCH('Table 2.4a'!$A167&amp;'Table 2.4a'!$B167&amp;'Table 2.4a'!$C167,UtilityList!$A$4:$A$251&amp;UtilityList!$B$4:$B$251&amp;UtilityList!$C$4:$C$251,0)), INDEX(UtilityList!M$4:M$251,MATCH('Table 2.4a'!$A167&amp;'Table 2.4a'!$C167,UtilityList!$A$4:$A$251&amp;UtilityList!$C$4:$C$251,0)))</f>
        <v>SW</v>
      </c>
    </row>
    <row r="168" spans="1:19" customFormat="1" ht="30" x14ac:dyDescent="0.25">
      <c r="A168" s="678" t="s">
        <v>242</v>
      </c>
      <c r="B168" s="361" t="s">
        <v>243</v>
      </c>
      <c r="C168" s="679" t="s">
        <v>243</v>
      </c>
      <c r="D168" s="680" t="s">
        <v>545</v>
      </c>
      <c r="E168" s="680" t="s">
        <v>546</v>
      </c>
      <c r="F168" s="694">
        <f t="shared" si="9"/>
        <v>4659.8332280000004</v>
      </c>
      <c r="G168" s="694">
        <f t="shared" si="8"/>
        <v>14572.760000000002</v>
      </c>
      <c r="H168" s="695">
        <v>73.150000000000006</v>
      </c>
      <c r="I168" s="694">
        <f t="shared" si="10"/>
        <v>1065.9973940000002</v>
      </c>
      <c r="J168" s="696">
        <f t="shared" si="11"/>
        <v>0.31976325884732881</v>
      </c>
      <c r="K168" s="697">
        <v>1365.7190000000001</v>
      </c>
      <c r="L168" s="697">
        <v>104840</v>
      </c>
      <c r="M168" s="790">
        <v>0.13900000000000001</v>
      </c>
      <c r="N168" s="658" t="s">
        <v>356</v>
      </c>
      <c r="O168" s="698">
        <f t="array" ref="O168">INDEX(UtilityList!Q$4:Q$251,MATCH('Table 2.4a'!$A168&amp;'Table 2.4a'!$B168&amp;'Table 2.4a'!$C168,UtilityList!$A$4:$A$251&amp;UtilityList!$B$4:$B$251&amp;UtilityList!$C$4:$C$251,0))</f>
        <v>0</v>
      </c>
      <c r="P168" s="698" t="str">
        <f t="array" ref="P168">IFERROR(INDEX(UtilityList!J$4:J$251,MATCH('Table 2.4a'!$A168&amp;'Table 2.4a'!$B168&amp;'Table 2.4a'!$C168,UtilityList!$A$4:$A$251&amp;UtilityList!$B$4:$B$251&amp;UtilityList!$C$4:$C$251,0)), INDEX(UtilityList!J$4:J$251,MATCH('Table 2.4a'!$A168&amp;'Table 2.4a'!$C168,UtilityList!$A$4:$A$251&amp;UtilityList!$C$4:$C$251,0)))</f>
        <v>Bristol Bay</v>
      </c>
      <c r="Q168" s="698" t="str">
        <f t="array" ref="Q168">IFERROR(INDEX(UtilityList!K$4:K$251,MATCH('Table 2.4a'!$A168&amp;'Table 2.4a'!$B168&amp;'Table 2.4a'!$C168,UtilityList!$A$4:$A$251&amp;UtilityList!$B$4:$B$251&amp;UtilityList!$C$4:$C$251,0)), INDEX(UtilityList!K$4:K$251,MATCH('Table 2.4a'!$A168&amp;'Table 2.4a'!$C168,UtilityList!$A$4:$A$251&amp;UtilityList!$C$4:$C$251,0)))</f>
        <v>Dillingham (CA)</v>
      </c>
      <c r="R168" s="698" t="str">
        <f t="array" ref="R168">IFERROR(INDEX(UtilityList!L$4:L$251,MATCH('Table 2.4a'!$A168&amp;'Table 2.4a'!$B168&amp;'Table 2.4a'!$C168,UtilityList!$A$4:$A$251&amp;UtilityList!$B$4:$B$251&amp;UtilityList!$C$4:$C$251,0)), INDEX(UtilityList!L$4:L$251,MATCH('Table 2.4a'!$A168&amp;'Table 2.4a'!$C168,UtilityList!$A$4:$A$251&amp;UtilityList!$C$4:$C$251,0)))</f>
        <v>Bristol Bay</v>
      </c>
      <c r="S168" s="698" t="str">
        <f t="array" ref="S168">IFERROR(INDEX(UtilityList!M$4:M$251,MATCH('Table 2.4a'!$A168&amp;'Table 2.4a'!$B168&amp;'Table 2.4a'!$C168,UtilityList!$A$4:$A$251&amp;UtilityList!$B$4:$B$251&amp;UtilityList!$C$4:$C$251,0)), INDEX(UtilityList!M$4:M$251,MATCH('Table 2.4a'!$A168&amp;'Table 2.4a'!$C168,UtilityList!$A$4:$A$251&amp;UtilityList!$C$4:$C$251,0)))</f>
        <v>SW</v>
      </c>
    </row>
    <row r="169" spans="1:19" customFormat="1" ht="45" x14ac:dyDescent="0.25">
      <c r="A169" s="678" t="s">
        <v>509</v>
      </c>
      <c r="B169" s="361" t="s">
        <v>244</v>
      </c>
      <c r="C169" s="679" t="s">
        <v>244</v>
      </c>
      <c r="D169" s="680" t="s">
        <v>545</v>
      </c>
      <c r="E169" s="680" t="s">
        <v>546</v>
      </c>
      <c r="F169" s="694">
        <f t="shared" si="9"/>
        <v>9692.4820479999998</v>
      </c>
      <c r="G169" s="694">
        <f t="shared" si="8"/>
        <v>26665.899000000001</v>
      </c>
      <c r="H169" s="695">
        <v>73.150000000000006</v>
      </c>
      <c r="I169" s="694">
        <f t="shared" si="10"/>
        <v>1950.6105118500004</v>
      </c>
      <c r="J169" s="696">
        <f t="shared" si="11"/>
        <v>0.36347854043848288</v>
      </c>
      <c r="K169" s="697">
        <v>2840.7040000000002</v>
      </c>
      <c r="L169" s="697">
        <v>191841</v>
      </c>
      <c r="M169" s="790">
        <v>0.13900000000000001</v>
      </c>
      <c r="N169" s="658" t="s">
        <v>356</v>
      </c>
      <c r="O169" s="698">
        <f t="array" ref="O169">INDEX(UtilityList!Q$4:Q$251,MATCH('Table 2.4a'!$A169&amp;'Table 2.4a'!$B169&amp;'Table 2.4a'!$C169,UtilityList!$A$4:$A$251&amp;UtilityList!$B$4:$B$251&amp;UtilityList!$C$4:$C$251,0))</f>
        <v>0</v>
      </c>
      <c r="P169" s="698" t="str">
        <f t="array" ref="P169">IFERROR(INDEX(UtilityList!J$4:J$251,MATCH('Table 2.4a'!$A169&amp;'Table 2.4a'!$B169&amp;'Table 2.4a'!$C169,UtilityList!$A$4:$A$251&amp;UtilityList!$B$4:$B$251&amp;UtilityList!$C$4:$C$251,0)), INDEX(UtilityList!J$4:J$251,MATCH('Table 2.4a'!$A169&amp;'Table 2.4a'!$C169,UtilityList!$A$4:$A$251&amp;UtilityList!$C$4:$C$251,0)))</f>
        <v>Yukon-Koyukuk/Upper Tanana</v>
      </c>
      <c r="Q169" s="698" t="str">
        <f t="array" ref="Q169">IFERROR(INDEX(UtilityList!K$4:K$251,MATCH('Table 2.4a'!$A169&amp;'Table 2.4a'!$B169&amp;'Table 2.4a'!$C169,UtilityList!$A$4:$A$251&amp;UtilityList!$B$4:$B$251&amp;UtilityList!$C$4:$C$251,0)), INDEX(UtilityList!K$4:K$251,MATCH('Table 2.4a'!$A169&amp;'Table 2.4a'!$C169,UtilityList!$A$4:$A$251&amp;UtilityList!$C$4:$C$251,0)))</f>
        <v>Yukon-Koyukuk (CA)</v>
      </c>
      <c r="R169" s="698" t="str">
        <f t="array" ref="R169">IFERROR(INDEX(UtilityList!L$4:L$251,MATCH('Table 2.4a'!$A169&amp;'Table 2.4a'!$B169&amp;'Table 2.4a'!$C169,UtilityList!$A$4:$A$251&amp;UtilityList!$B$4:$B$251&amp;UtilityList!$C$4:$C$251,0)), INDEX(UtilityList!L$4:L$251,MATCH('Table 2.4a'!$A169&amp;'Table 2.4a'!$C169,UtilityList!$A$4:$A$251&amp;UtilityList!$C$4:$C$251,0)))</f>
        <v>Doyon</v>
      </c>
      <c r="S169" s="698" t="str">
        <f t="array" ref="S169">IFERROR(INDEX(UtilityList!M$4:M$251,MATCH('Table 2.4a'!$A169&amp;'Table 2.4a'!$B169&amp;'Table 2.4a'!$C169,UtilityList!$A$4:$A$251&amp;UtilityList!$B$4:$B$251&amp;UtilityList!$C$4:$C$251,0)), INDEX(UtilityList!M$4:M$251,MATCH('Table 2.4a'!$A169&amp;'Table 2.4a'!$C169,UtilityList!$A$4:$A$251&amp;UtilityList!$C$4:$C$251,0)))</f>
        <v>SW</v>
      </c>
    </row>
    <row r="170" spans="1:19" customFormat="1" ht="30" x14ac:dyDescent="0.25">
      <c r="A170" s="361" t="s">
        <v>245</v>
      </c>
      <c r="B170" s="361" t="s">
        <v>246</v>
      </c>
      <c r="C170" s="361" t="s">
        <v>247</v>
      </c>
      <c r="D170" s="622" t="s">
        <v>545</v>
      </c>
      <c r="E170" s="622" t="s">
        <v>546</v>
      </c>
      <c r="F170" s="694">
        <f t="shared" si="9"/>
        <v>-150.12799999999999</v>
      </c>
      <c r="G170" s="694">
        <f t="shared" si="8"/>
        <v>2253.4680000000003</v>
      </c>
      <c r="H170" s="695">
        <v>73.150000000000006</v>
      </c>
      <c r="I170" s="694">
        <f t="shared" si="10"/>
        <v>164.84118420000004</v>
      </c>
      <c r="J170" s="696" t="str">
        <f t="shared" si="11"/>
        <v xml:space="preserve"> </v>
      </c>
      <c r="K170" s="697">
        <v>-44</v>
      </c>
      <c r="L170" s="697">
        <v>16212</v>
      </c>
      <c r="M170" s="790">
        <v>0.13900000000000001</v>
      </c>
      <c r="N170" s="658" t="s">
        <v>558</v>
      </c>
      <c r="O170" s="698">
        <f t="array" ref="O170">INDEX(UtilityList!Q$4:Q$251,MATCH('Table 2.4a'!$A170&amp;'Table 2.4a'!$B170&amp;'Table 2.4a'!$C170,UtilityList!$A$4:$A$251&amp;UtilityList!$B$4:$B$251&amp;UtilityList!$C$4:$C$251,0))</f>
        <v>0</v>
      </c>
      <c r="P170" s="698" t="str">
        <f t="array" ref="P170">IFERROR(INDEX(UtilityList!J$4:J$251,MATCH('Table 2.4a'!$A170&amp;'Table 2.4a'!$B170&amp;'Table 2.4a'!$C170,UtilityList!$A$4:$A$251&amp;UtilityList!$B$4:$B$251&amp;UtilityList!$C$4:$C$251,0)), INDEX(UtilityList!J$4:J$251,MATCH('Table 2.4a'!$A170&amp;'Table 2.4a'!$C170,UtilityList!$A$4:$A$251&amp;UtilityList!$C$4:$C$251,0)))</f>
        <v>Southeast</v>
      </c>
      <c r="Q170" s="698" t="str">
        <f t="array" ref="Q170">IFERROR(INDEX(UtilityList!K$4:K$251,MATCH('Table 2.4a'!$A170&amp;'Table 2.4a'!$B170&amp;'Table 2.4a'!$C170,UtilityList!$A$4:$A$251&amp;UtilityList!$B$4:$B$251&amp;UtilityList!$C$4:$C$251,0)), INDEX(UtilityList!K$4:K$251,MATCH('Table 2.4a'!$A170&amp;'Table 2.4a'!$C170,UtilityList!$A$4:$A$251&amp;UtilityList!$C$4:$C$251,0)))</f>
        <v>Prince of Wales-Hyder (CA)</v>
      </c>
      <c r="R170" s="698" t="str">
        <f t="array" ref="R170">IFERROR(INDEX(UtilityList!L$4:L$251,MATCH('Table 2.4a'!$A170&amp;'Table 2.4a'!$B170&amp;'Table 2.4a'!$C170,UtilityList!$A$4:$A$251&amp;UtilityList!$B$4:$B$251&amp;UtilityList!$C$4:$C$251,0)), INDEX(UtilityList!L$4:L$251,MATCH('Table 2.4a'!$A170&amp;'Table 2.4a'!$C170,UtilityList!$A$4:$A$251&amp;UtilityList!$C$4:$C$251,0)))</f>
        <v>Sealaska</v>
      </c>
      <c r="S170" s="698" t="str">
        <f t="array" ref="S170">IFERROR(INDEX(UtilityList!M$4:M$251,MATCH('Table 2.4a'!$A170&amp;'Table 2.4a'!$B170&amp;'Table 2.4a'!$C170,UtilityList!$A$4:$A$251&amp;UtilityList!$B$4:$B$251&amp;UtilityList!$C$4:$C$251,0)), INDEX(UtilityList!M$4:M$251,MATCH('Table 2.4a'!$A170&amp;'Table 2.4a'!$C170,UtilityList!$A$4:$A$251&amp;UtilityList!$C$4:$C$251,0)))</f>
        <v>SE</v>
      </c>
    </row>
    <row r="171" spans="1:19" s="169" customFormat="1" ht="30" x14ac:dyDescent="0.25">
      <c r="A171" s="678" t="s">
        <v>250</v>
      </c>
      <c r="B171" s="361" t="s">
        <v>251</v>
      </c>
      <c r="C171" s="679" t="s">
        <v>251</v>
      </c>
      <c r="D171" s="680" t="s">
        <v>545</v>
      </c>
      <c r="E171" s="680" t="s">
        <v>546</v>
      </c>
      <c r="F171" s="694">
        <f t="shared" si="9"/>
        <v>754.0001375999999</v>
      </c>
      <c r="G171" s="694">
        <f t="shared" si="8"/>
        <v>3577.5693509999996</v>
      </c>
      <c r="H171" s="695">
        <v>73.150000000000006</v>
      </c>
      <c r="I171" s="694">
        <f t="shared" si="10"/>
        <v>261.69919802564999</v>
      </c>
      <c r="J171" s="696">
        <f t="shared" si="11"/>
        <v>0.21075765795825657</v>
      </c>
      <c r="K171" s="697">
        <v>220.98479999999998</v>
      </c>
      <c r="L171" s="697">
        <v>25737.908999999996</v>
      </c>
      <c r="M171" s="790">
        <v>0.13900000000000001</v>
      </c>
      <c r="N171" s="658" t="s">
        <v>356</v>
      </c>
      <c r="O171" s="698">
        <f t="array" ref="O171">INDEX(UtilityList!Q$4:Q$251,MATCH('Table 2.4a'!$A171&amp;'Table 2.4a'!$B171&amp;'Table 2.4a'!$C171,UtilityList!$A$4:$A$251&amp;UtilityList!$B$4:$B$251&amp;UtilityList!$C$4:$C$251,0))</f>
        <v>0</v>
      </c>
      <c r="P171" s="698" t="str">
        <f t="array" ref="P171">IFERROR(INDEX(UtilityList!J$4:J$251,MATCH('Table 2.4a'!$A171&amp;'Table 2.4a'!$B171&amp;'Table 2.4a'!$C171,UtilityList!$A$4:$A$251&amp;UtilityList!$B$4:$B$251&amp;UtilityList!$C$4:$C$251,0)), INDEX(UtilityList!J$4:J$251,MATCH('Table 2.4a'!$A171&amp;'Table 2.4a'!$C171,UtilityList!$A$4:$A$251&amp;UtilityList!$C$4:$C$251,0)))</f>
        <v>Lower Yukon-Kuskokwim</v>
      </c>
      <c r="Q171" s="698" t="str">
        <f t="array" ref="Q171">IFERROR(INDEX(UtilityList!K$4:K$251,MATCH('Table 2.4a'!$A171&amp;'Table 2.4a'!$B171&amp;'Table 2.4a'!$C171,UtilityList!$A$4:$A$251&amp;UtilityList!$B$4:$B$251&amp;UtilityList!$C$4:$C$251,0)), INDEX(UtilityList!K$4:K$251,MATCH('Table 2.4a'!$A171&amp;'Table 2.4a'!$C171,UtilityList!$A$4:$A$251&amp;UtilityList!$C$4:$C$251,0)))</f>
        <v>Bethel (CA)</v>
      </c>
      <c r="R171" s="698" t="str">
        <f t="array" ref="R171">IFERROR(INDEX(UtilityList!L$4:L$251,MATCH('Table 2.4a'!$A171&amp;'Table 2.4a'!$B171&amp;'Table 2.4a'!$C171,UtilityList!$A$4:$A$251&amp;UtilityList!$B$4:$B$251&amp;UtilityList!$C$4:$C$251,0)), INDEX(UtilityList!L$4:L$251,MATCH('Table 2.4a'!$A171&amp;'Table 2.4a'!$C171,UtilityList!$A$4:$A$251&amp;UtilityList!$C$4:$C$251,0)))</f>
        <v>Calista</v>
      </c>
      <c r="S171" s="698" t="str">
        <f t="array" ref="S171">IFERROR(INDEX(UtilityList!M$4:M$251,MATCH('Table 2.4a'!$A171&amp;'Table 2.4a'!$B171&amp;'Table 2.4a'!$C171,UtilityList!$A$4:$A$251&amp;UtilityList!$B$4:$B$251&amp;UtilityList!$C$4:$C$251,0)), INDEX(UtilityList!M$4:M$251,MATCH('Table 2.4a'!$A171&amp;'Table 2.4a'!$C171,UtilityList!$A$4:$A$251&amp;UtilityList!$C$4:$C$251,0)))</f>
        <v>SW</v>
      </c>
    </row>
    <row r="172" spans="1:19" customFormat="1" ht="30" x14ac:dyDescent="0.25">
      <c r="A172" s="678" t="s">
        <v>250</v>
      </c>
      <c r="B172" s="361" t="s">
        <v>252</v>
      </c>
      <c r="C172" s="679" t="s">
        <v>252</v>
      </c>
      <c r="D172" s="680" t="s">
        <v>545</v>
      </c>
      <c r="E172" s="680" t="s">
        <v>546</v>
      </c>
      <c r="F172" s="694">
        <f t="shared" si="9"/>
        <v>1032.6499888000001</v>
      </c>
      <c r="G172" s="694">
        <f t="shared" si="8"/>
        <v>3517.3950000000004</v>
      </c>
      <c r="H172" s="695">
        <v>73.150000000000006</v>
      </c>
      <c r="I172" s="694">
        <f t="shared" si="10"/>
        <v>257.29744425000007</v>
      </c>
      <c r="J172" s="696">
        <f t="shared" si="11"/>
        <v>0.29358374274143223</v>
      </c>
      <c r="K172" s="697">
        <v>302.6524</v>
      </c>
      <c r="L172" s="697">
        <v>25305</v>
      </c>
      <c r="M172" s="790">
        <v>0.13900000000000001</v>
      </c>
      <c r="N172" s="658" t="s">
        <v>356</v>
      </c>
      <c r="O172" s="698">
        <f t="array" ref="O172">INDEX(UtilityList!Q$4:Q$251,MATCH('Table 2.4a'!$A172&amp;'Table 2.4a'!$B172&amp;'Table 2.4a'!$C172,UtilityList!$A$4:$A$251&amp;UtilityList!$B$4:$B$251&amp;UtilityList!$C$4:$C$251,0))</f>
        <v>0</v>
      </c>
      <c r="P172" s="698" t="str">
        <f t="array" ref="P172">IFERROR(INDEX(UtilityList!J$4:J$251,MATCH('Table 2.4a'!$A172&amp;'Table 2.4a'!$B172&amp;'Table 2.4a'!$C172,UtilityList!$A$4:$A$251&amp;UtilityList!$B$4:$B$251&amp;UtilityList!$C$4:$C$251,0)), INDEX(UtilityList!J$4:J$251,MATCH('Table 2.4a'!$A172&amp;'Table 2.4a'!$C172,UtilityList!$A$4:$A$251&amp;UtilityList!$C$4:$C$251,0)))</f>
        <v>Lower Yukon-Kuskokwim</v>
      </c>
      <c r="Q172" s="698" t="str">
        <f t="array" ref="Q172">IFERROR(INDEX(UtilityList!K$4:K$251,MATCH('Table 2.4a'!$A172&amp;'Table 2.4a'!$B172&amp;'Table 2.4a'!$C172,UtilityList!$A$4:$A$251&amp;UtilityList!$B$4:$B$251&amp;UtilityList!$C$4:$C$251,0)), INDEX(UtilityList!K$4:K$251,MATCH('Table 2.4a'!$A172&amp;'Table 2.4a'!$C172,UtilityList!$A$4:$A$251&amp;UtilityList!$C$4:$C$251,0)))</f>
        <v>Bethel (CA)</v>
      </c>
      <c r="R172" s="698" t="str">
        <f t="array" ref="R172">IFERROR(INDEX(UtilityList!L$4:L$251,MATCH('Table 2.4a'!$A172&amp;'Table 2.4a'!$B172&amp;'Table 2.4a'!$C172,UtilityList!$A$4:$A$251&amp;UtilityList!$B$4:$B$251&amp;UtilityList!$C$4:$C$251,0)), INDEX(UtilityList!L$4:L$251,MATCH('Table 2.4a'!$A172&amp;'Table 2.4a'!$C172,UtilityList!$A$4:$A$251&amp;UtilityList!$C$4:$C$251,0)))</f>
        <v>Calista</v>
      </c>
      <c r="S172" s="698" t="str">
        <f t="array" ref="S172">IFERROR(INDEX(UtilityList!M$4:M$251,MATCH('Table 2.4a'!$A172&amp;'Table 2.4a'!$B172&amp;'Table 2.4a'!$C172,UtilityList!$A$4:$A$251&amp;UtilityList!$B$4:$B$251&amp;UtilityList!$C$4:$C$251,0)), INDEX(UtilityList!M$4:M$251,MATCH('Table 2.4a'!$A172&amp;'Table 2.4a'!$C172,UtilityList!$A$4:$A$251&amp;UtilityList!$C$4:$C$251,0)))</f>
        <v>SW</v>
      </c>
    </row>
    <row r="173" spans="1:19" customFormat="1" ht="30" x14ac:dyDescent="0.25">
      <c r="A173" s="678" t="s">
        <v>250</v>
      </c>
      <c r="B173" s="361" t="s">
        <v>253</v>
      </c>
      <c r="C173" s="679" t="s">
        <v>253</v>
      </c>
      <c r="D173" s="680" t="s">
        <v>545</v>
      </c>
      <c r="E173" s="680" t="s">
        <v>546</v>
      </c>
      <c r="F173" s="694">
        <f t="shared" si="9"/>
        <v>363.13813640000001</v>
      </c>
      <c r="G173" s="694">
        <f t="shared" si="8"/>
        <v>1853.7040000000002</v>
      </c>
      <c r="H173" s="695">
        <v>73.150000000000006</v>
      </c>
      <c r="I173" s="694">
        <f t="shared" si="10"/>
        <v>135.59844760000001</v>
      </c>
      <c r="J173" s="696">
        <f t="shared" si="11"/>
        <v>0.19589866364856523</v>
      </c>
      <c r="K173" s="697">
        <v>106.4297</v>
      </c>
      <c r="L173" s="697">
        <v>13336</v>
      </c>
      <c r="M173" s="790">
        <v>0.13900000000000001</v>
      </c>
      <c r="N173" s="658" t="s">
        <v>356</v>
      </c>
      <c r="O173" s="698">
        <f t="array" ref="O173">INDEX(UtilityList!Q$4:Q$251,MATCH('Table 2.4a'!$A173&amp;'Table 2.4a'!$B173&amp;'Table 2.4a'!$C173,UtilityList!$A$4:$A$251&amp;UtilityList!$B$4:$B$251&amp;UtilityList!$C$4:$C$251,0))</f>
        <v>0</v>
      </c>
      <c r="P173" s="698" t="str">
        <f t="array" ref="P173">IFERROR(INDEX(UtilityList!J$4:J$251,MATCH('Table 2.4a'!$A173&amp;'Table 2.4a'!$B173&amp;'Table 2.4a'!$C173,UtilityList!$A$4:$A$251&amp;UtilityList!$B$4:$B$251&amp;UtilityList!$C$4:$C$251,0)), INDEX(UtilityList!J$4:J$251,MATCH('Table 2.4a'!$A173&amp;'Table 2.4a'!$C173,UtilityList!$A$4:$A$251&amp;UtilityList!$C$4:$C$251,0)))</f>
        <v>Lower Yukon-Kuskokwim</v>
      </c>
      <c r="Q173" s="698" t="str">
        <f t="array" ref="Q173">IFERROR(INDEX(UtilityList!K$4:K$251,MATCH('Table 2.4a'!$A173&amp;'Table 2.4a'!$B173&amp;'Table 2.4a'!$C173,UtilityList!$A$4:$A$251&amp;UtilityList!$B$4:$B$251&amp;UtilityList!$C$4:$C$251,0)), INDEX(UtilityList!K$4:K$251,MATCH('Table 2.4a'!$A173&amp;'Table 2.4a'!$C173,UtilityList!$A$4:$A$251&amp;UtilityList!$C$4:$C$251,0)))</f>
        <v>Bethel (CA)</v>
      </c>
      <c r="R173" s="698" t="str">
        <f t="array" ref="R173">IFERROR(INDEX(UtilityList!L$4:L$251,MATCH('Table 2.4a'!$A173&amp;'Table 2.4a'!$B173&amp;'Table 2.4a'!$C173,UtilityList!$A$4:$A$251&amp;UtilityList!$B$4:$B$251&amp;UtilityList!$C$4:$C$251,0)), INDEX(UtilityList!L$4:L$251,MATCH('Table 2.4a'!$A173&amp;'Table 2.4a'!$C173,UtilityList!$A$4:$A$251&amp;UtilityList!$C$4:$C$251,0)))</f>
        <v>Calista</v>
      </c>
      <c r="S173" s="698" t="str">
        <f t="array" ref="S173">IFERROR(INDEX(UtilityList!M$4:M$251,MATCH('Table 2.4a'!$A173&amp;'Table 2.4a'!$B173&amp;'Table 2.4a'!$C173,UtilityList!$A$4:$A$251&amp;UtilityList!$B$4:$B$251&amp;UtilityList!$C$4:$C$251,0)), INDEX(UtilityList!M$4:M$251,MATCH('Table 2.4a'!$A173&amp;'Table 2.4a'!$C173,UtilityList!$A$4:$A$251&amp;UtilityList!$C$4:$C$251,0)))</f>
        <v>SW</v>
      </c>
    </row>
    <row r="174" spans="1:19" customFormat="1" ht="30" x14ac:dyDescent="0.25">
      <c r="A174" s="678" t="s">
        <v>250</v>
      </c>
      <c r="B174" s="361" t="s">
        <v>254</v>
      </c>
      <c r="C174" s="679" t="s">
        <v>254</v>
      </c>
      <c r="D174" s="680" t="s">
        <v>545</v>
      </c>
      <c r="E174" s="680" t="s">
        <v>546</v>
      </c>
      <c r="F174" s="694">
        <f t="shared" si="9"/>
        <v>884.17442040000003</v>
      </c>
      <c r="G174" s="694">
        <f t="shared" si="8"/>
        <v>3409.9480000000003</v>
      </c>
      <c r="H174" s="695">
        <v>73.150000000000006</v>
      </c>
      <c r="I174" s="694">
        <f t="shared" si="10"/>
        <v>249.43769620000003</v>
      </c>
      <c r="J174" s="696">
        <f t="shared" si="11"/>
        <v>0.25929264035697902</v>
      </c>
      <c r="K174" s="697">
        <v>259.13670000000002</v>
      </c>
      <c r="L174" s="697">
        <v>24532</v>
      </c>
      <c r="M174" s="790">
        <v>0.13900000000000001</v>
      </c>
      <c r="N174" s="658" t="s">
        <v>356</v>
      </c>
      <c r="O174" s="698">
        <f t="array" ref="O174">INDEX(UtilityList!Q$4:Q$251,MATCH('Table 2.4a'!$A174&amp;'Table 2.4a'!$B174&amp;'Table 2.4a'!$C174,UtilityList!$A$4:$A$251&amp;UtilityList!$B$4:$B$251&amp;UtilityList!$C$4:$C$251,0))</f>
        <v>0</v>
      </c>
      <c r="P174" s="698" t="str">
        <f t="array" ref="P174">IFERROR(INDEX(UtilityList!J$4:J$251,MATCH('Table 2.4a'!$A174&amp;'Table 2.4a'!$B174&amp;'Table 2.4a'!$C174,UtilityList!$A$4:$A$251&amp;UtilityList!$B$4:$B$251&amp;UtilityList!$C$4:$C$251,0)), INDEX(UtilityList!J$4:J$251,MATCH('Table 2.4a'!$A174&amp;'Table 2.4a'!$C174,UtilityList!$A$4:$A$251&amp;UtilityList!$C$4:$C$251,0)))</f>
        <v>Lower Yukon-Kuskokwim</v>
      </c>
      <c r="Q174" s="698" t="str">
        <f t="array" ref="Q174">IFERROR(INDEX(UtilityList!K$4:K$251,MATCH('Table 2.4a'!$A174&amp;'Table 2.4a'!$B174&amp;'Table 2.4a'!$C174,UtilityList!$A$4:$A$251&amp;UtilityList!$B$4:$B$251&amp;UtilityList!$C$4:$C$251,0)), INDEX(UtilityList!K$4:K$251,MATCH('Table 2.4a'!$A174&amp;'Table 2.4a'!$C174,UtilityList!$A$4:$A$251&amp;UtilityList!$C$4:$C$251,0)))</f>
        <v>Bethel (CA)</v>
      </c>
      <c r="R174" s="698" t="str">
        <f t="array" ref="R174">IFERROR(INDEX(UtilityList!L$4:L$251,MATCH('Table 2.4a'!$A174&amp;'Table 2.4a'!$B174&amp;'Table 2.4a'!$C174,UtilityList!$A$4:$A$251&amp;UtilityList!$B$4:$B$251&amp;UtilityList!$C$4:$C$251,0)), INDEX(UtilityList!L$4:L$251,MATCH('Table 2.4a'!$A174&amp;'Table 2.4a'!$C174,UtilityList!$A$4:$A$251&amp;UtilityList!$C$4:$C$251,0)))</f>
        <v>Calista</v>
      </c>
      <c r="S174" s="698" t="str">
        <f t="array" ref="S174">IFERROR(INDEX(UtilityList!M$4:M$251,MATCH('Table 2.4a'!$A174&amp;'Table 2.4a'!$B174&amp;'Table 2.4a'!$C174,UtilityList!$A$4:$A$251&amp;UtilityList!$B$4:$B$251&amp;UtilityList!$C$4:$C$251,0)), INDEX(UtilityList!M$4:M$251,MATCH('Table 2.4a'!$A174&amp;'Table 2.4a'!$C174,UtilityList!$A$4:$A$251&amp;UtilityList!$C$4:$C$251,0)))</f>
        <v>SW</v>
      </c>
    </row>
    <row r="175" spans="1:19" customFormat="1" ht="30" x14ac:dyDescent="0.25">
      <c r="A175" s="678" t="s">
        <v>250</v>
      </c>
      <c r="B175" s="361" t="s">
        <v>255</v>
      </c>
      <c r="C175" s="679" t="s">
        <v>255</v>
      </c>
      <c r="D175" s="680" t="s">
        <v>545</v>
      </c>
      <c r="E175" s="680" t="s">
        <v>546</v>
      </c>
      <c r="F175" s="694">
        <f t="shared" si="9"/>
        <v>436.98166400000002</v>
      </c>
      <c r="G175" s="694">
        <f t="shared" si="8"/>
        <v>1971.2980000000002</v>
      </c>
      <c r="H175" s="695">
        <v>73.150000000000006</v>
      </c>
      <c r="I175" s="694">
        <f t="shared" si="10"/>
        <v>144.20044870000004</v>
      </c>
      <c r="J175" s="696">
        <f t="shared" si="11"/>
        <v>0.22167204755445397</v>
      </c>
      <c r="K175" s="697">
        <v>128.072</v>
      </c>
      <c r="L175" s="697">
        <v>14182</v>
      </c>
      <c r="M175" s="790">
        <v>0.13900000000000001</v>
      </c>
      <c r="N175" s="658" t="s">
        <v>356</v>
      </c>
      <c r="O175" s="698">
        <f t="array" ref="O175">INDEX(UtilityList!Q$4:Q$251,MATCH('Table 2.4a'!$A175&amp;'Table 2.4a'!$B175&amp;'Table 2.4a'!$C175,UtilityList!$A$4:$A$251&amp;UtilityList!$B$4:$B$251&amp;UtilityList!$C$4:$C$251,0))</f>
        <v>0</v>
      </c>
      <c r="P175" s="698" t="str">
        <f t="array" ref="P175">IFERROR(INDEX(UtilityList!J$4:J$251,MATCH('Table 2.4a'!$A175&amp;'Table 2.4a'!$B175&amp;'Table 2.4a'!$C175,UtilityList!$A$4:$A$251&amp;UtilityList!$B$4:$B$251&amp;UtilityList!$C$4:$C$251,0)), INDEX(UtilityList!J$4:J$251,MATCH('Table 2.4a'!$A175&amp;'Table 2.4a'!$C175,UtilityList!$A$4:$A$251&amp;UtilityList!$C$4:$C$251,0)))</f>
        <v>Lower Yukon-Kuskokwim</v>
      </c>
      <c r="Q175" s="698" t="str">
        <f t="array" ref="Q175">IFERROR(INDEX(UtilityList!K$4:K$251,MATCH('Table 2.4a'!$A175&amp;'Table 2.4a'!$B175&amp;'Table 2.4a'!$C175,UtilityList!$A$4:$A$251&amp;UtilityList!$B$4:$B$251&amp;UtilityList!$C$4:$C$251,0)), INDEX(UtilityList!K$4:K$251,MATCH('Table 2.4a'!$A175&amp;'Table 2.4a'!$C175,UtilityList!$A$4:$A$251&amp;UtilityList!$C$4:$C$251,0)))</f>
        <v>Bethel (CA)</v>
      </c>
      <c r="R175" s="698" t="str">
        <f t="array" ref="R175">IFERROR(INDEX(UtilityList!L$4:L$251,MATCH('Table 2.4a'!$A175&amp;'Table 2.4a'!$B175&amp;'Table 2.4a'!$C175,UtilityList!$A$4:$A$251&amp;UtilityList!$B$4:$B$251&amp;UtilityList!$C$4:$C$251,0)), INDEX(UtilityList!L$4:L$251,MATCH('Table 2.4a'!$A175&amp;'Table 2.4a'!$C175,UtilityList!$A$4:$A$251&amp;UtilityList!$C$4:$C$251,0)))</f>
        <v>Calista</v>
      </c>
      <c r="S175" s="698" t="str">
        <f t="array" ref="S175">IFERROR(INDEX(UtilityList!M$4:M$251,MATCH('Table 2.4a'!$A175&amp;'Table 2.4a'!$B175&amp;'Table 2.4a'!$C175,UtilityList!$A$4:$A$251&amp;UtilityList!$B$4:$B$251&amp;UtilityList!$C$4:$C$251,0)), INDEX(UtilityList!M$4:M$251,MATCH('Table 2.4a'!$A175&amp;'Table 2.4a'!$C175,UtilityList!$A$4:$A$251&amp;UtilityList!$C$4:$C$251,0)))</f>
        <v>SW</v>
      </c>
    </row>
    <row r="176" spans="1:19" customFormat="1" ht="75" x14ac:dyDescent="0.25">
      <c r="A176" s="678" t="s">
        <v>258</v>
      </c>
      <c r="B176" s="361" t="s">
        <v>259</v>
      </c>
      <c r="C176" s="679" t="s">
        <v>682</v>
      </c>
      <c r="D176" s="680" t="s">
        <v>545</v>
      </c>
      <c r="E176" s="680" t="s">
        <v>546</v>
      </c>
      <c r="F176" s="694">
        <f t="shared" si="9"/>
        <v>67898.8</v>
      </c>
      <c r="G176" s="694">
        <f t="shared" si="8"/>
        <v>183361.43300000002</v>
      </c>
      <c r="H176" s="695">
        <v>73.150000000000006</v>
      </c>
      <c r="I176" s="694">
        <f t="shared" si="10"/>
        <v>13412.888823950001</v>
      </c>
      <c r="J176" s="696">
        <f t="shared" si="11"/>
        <v>0.37030033464016393</v>
      </c>
      <c r="K176" s="697">
        <v>19900</v>
      </c>
      <c r="L176" s="697">
        <v>1319147</v>
      </c>
      <c r="M176" s="790">
        <v>0.13900000000000001</v>
      </c>
      <c r="N176" s="658" t="s">
        <v>356</v>
      </c>
      <c r="O176" s="698" t="str">
        <f t="array" ref="O176">INDEX(UtilityList!Q$4:Q$251,MATCH('Table 2.4a'!$A176&amp;'Table 2.4a'!$B176&amp;'Table 2.4a'!$C176,UtilityList!$A$4:$A$251&amp;UtilityList!$B$4:$B$251&amp;UtilityList!$C$4:$C$251,0))</f>
        <v>Provides power to South Naknek and King Salmon via intertie. Data includes South Naknek's and King Salmon's information.</v>
      </c>
      <c r="P176" s="698" t="str">
        <f t="array" ref="P176">IFERROR(INDEX(UtilityList!J$4:J$251,MATCH('Table 2.4a'!$A176&amp;'Table 2.4a'!$B176&amp;'Table 2.4a'!$C176,UtilityList!$A$4:$A$251&amp;UtilityList!$B$4:$B$251&amp;UtilityList!$C$4:$C$251,0)), INDEX(UtilityList!J$4:J$251,MATCH('Table 2.4a'!$A176&amp;'Table 2.4a'!$C176,UtilityList!$A$4:$A$251&amp;UtilityList!$C$4:$C$251,0)))</f>
        <v>Bristol Bay</v>
      </c>
      <c r="Q176" s="698" t="str">
        <f t="array" ref="Q176">IFERROR(INDEX(UtilityList!K$4:K$251,MATCH('Table 2.4a'!$A176&amp;'Table 2.4a'!$B176&amp;'Table 2.4a'!$C176,UtilityList!$A$4:$A$251&amp;UtilityList!$B$4:$B$251&amp;UtilityList!$C$4:$C$251,0)), INDEX(UtilityList!K$4:K$251,MATCH('Table 2.4a'!$A176&amp;'Table 2.4a'!$C176,UtilityList!$A$4:$A$251&amp;UtilityList!$C$4:$C$251,0)))</f>
        <v>Bristol Bay</v>
      </c>
      <c r="R176" s="698" t="str">
        <f t="array" ref="R176">IFERROR(INDEX(UtilityList!L$4:L$251,MATCH('Table 2.4a'!$A176&amp;'Table 2.4a'!$B176&amp;'Table 2.4a'!$C176,UtilityList!$A$4:$A$251&amp;UtilityList!$B$4:$B$251&amp;UtilityList!$C$4:$C$251,0)), INDEX(UtilityList!L$4:L$251,MATCH('Table 2.4a'!$A176&amp;'Table 2.4a'!$C176,UtilityList!$A$4:$A$251&amp;UtilityList!$C$4:$C$251,0)))</f>
        <v>Bristol Bay</v>
      </c>
      <c r="S176" s="698" t="str">
        <f t="array" ref="S176">IFERROR(INDEX(UtilityList!M$4:M$251,MATCH('Table 2.4a'!$A176&amp;'Table 2.4a'!$B176&amp;'Table 2.4a'!$C176,UtilityList!$A$4:$A$251&amp;UtilityList!$B$4:$B$251&amp;UtilityList!$C$4:$C$251,0)), INDEX(UtilityList!M$4:M$251,MATCH('Table 2.4a'!$A176&amp;'Table 2.4a'!$C176,UtilityList!$A$4:$A$251&amp;UtilityList!$C$4:$C$251,0)))</f>
        <v>SW</v>
      </c>
    </row>
    <row r="177" spans="1:19" customFormat="1" ht="30" x14ac:dyDescent="0.25">
      <c r="A177" s="678" t="s">
        <v>260</v>
      </c>
      <c r="B177" s="361" t="s">
        <v>261</v>
      </c>
      <c r="C177" s="679" t="s">
        <v>261</v>
      </c>
      <c r="D177" s="680" t="s">
        <v>545</v>
      </c>
      <c r="E177" s="680" t="s">
        <v>546</v>
      </c>
      <c r="F177" s="694">
        <f t="shared" si="9"/>
        <v>0</v>
      </c>
      <c r="G177" s="694">
        <f t="shared" si="8"/>
        <v>0</v>
      </c>
      <c r="H177" s="695">
        <v>73.150000000000006</v>
      </c>
      <c r="I177" s="694">
        <f t="shared" si="10"/>
        <v>0</v>
      </c>
      <c r="J177" s="696" t="str">
        <f t="shared" si="11"/>
        <v xml:space="preserve"> </v>
      </c>
      <c r="K177" s="697">
        <v>0</v>
      </c>
      <c r="L177" s="697">
        <v>0</v>
      </c>
      <c r="M177" s="790">
        <v>0.13900000000000001</v>
      </c>
      <c r="N177" s="658" t="s">
        <v>356</v>
      </c>
      <c r="O177" s="698" t="str">
        <f t="array" ref="O177">INDEX(UtilityList!Q$4:Q$251,MATCH('Table 2.4a'!$A177&amp;'Table 2.4a'!$B177&amp;'Table 2.4a'!$C177,UtilityList!$A$4:$A$251&amp;UtilityList!$B$4:$B$251&amp;UtilityList!$C$4:$C$251,0))</f>
        <v>Purchases power from Bethel Utilities Corporation</v>
      </c>
      <c r="P177" s="698" t="str">
        <f t="array" ref="P177">IFERROR(INDEX(UtilityList!J$4:J$251,MATCH('Table 2.4a'!$A177&amp;'Table 2.4a'!$B177&amp;'Table 2.4a'!$C177,UtilityList!$A$4:$A$251&amp;UtilityList!$B$4:$B$251&amp;UtilityList!$C$4:$C$251,0)), INDEX(UtilityList!J$4:J$251,MATCH('Table 2.4a'!$A177&amp;'Table 2.4a'!$C177,UtilityList!$A$4:$A$251&amp;UtilityList!$C$4:$C$251,0)))</f>
        <v>Lower Yukon-Kuskokwim</v>
      </c>
      <c r="Q177" s="698" t="str">
        <f t="array" ref="Q177">IFERROR(INDEX(UtilityList!K$4:K$251,MATCH('Table 2.4a'!$A177&amp;'Table 2.4a'!$B177&amp;'Table 2.4a'!$C177,UtilityList!$A$4:$A$251&amp;UtilityList!$B$4:$B$251&amp;UtilityList!$C$4:$C$251,0)), INDEX(UtilityList!K$4:K$251,MATCH('Table 2.4a'!$A177&amp;'Table 2.4a'!$C177,UtilityList!$A$4:$A$251&amp;UtilityList!$C$4:$C$251,0)))</f>
        <v>Bethel (CA)</v>
      </c>
      <c r="R177" s="698" t="str">
        <f t="array" ref="R177">IFERROR(INDEX(UtilityList!L$4:L$251,MATCH('Table 2.4a'!$A177&amp;'Table 2.4a'!$B177&amp;'Table 2.4a'!$C177,UtilityList!$A$4:$A$251&amp;UtilityList!$B$4:$B$251&amp;UtilityList!$C$4:$C$251,0)), INDEX(UtilityList!L$4:L$251,MATCH('Table 2.4a'!$A177&amp;'Table 2.4a'!$C177,UtilityList!$A$4:$A$251&amp;UtilityList!$C$4:$C$251,0)))</f>
        <v>Calista</v>
      </c>
      <c r="S177" s="698" t="str">
        <f t="array" ref="S177">IFERROR(INDEX(UtilityList!M$4:M$251,MATCH('Table 2.4a'!$A177&amp;'Table 2.4a'!$B177&amp;'Table 2.4a'!$C177,UtilityList!$A$4:$A$251&amp;UtilityList!$B$4:$B$251&amp;UtilityList!$C$4:$C$251,0)), INDEX(UtilityList!M$4:M$251,MATCH('Table 2.4a'!$A177&amp;'Table 2.4a'!$C177,UtilityList!$A$4:$A$251&amp;UtilityList!$C$4:$C$251,0)))</f>
        <v>SW</v>
      </c>
    </row>
    <row r="178" spans="1:19" customFormat="1" ht="30" x14ac:dyDescent="0.25">
      <c r="A178" s="678" t="s">
        <v>262</v>
      </c>
      <c r="B178" s="361" t="s">
        <v>263</v>
      </c>
      <c r="C178" s="679" t="s">
        <v>263</v>
      </c>
      <c r="D178" s="680" t="s">
        <v>545</v>
      </c>
      <c r="E178" s="680" t="s">
        <v>546</v>
      </c>
      <c r="F178" s="694">
        <f t="shared" si="9"/>
        <v>3341.8834000000002</v>
      </c>
      <c r="G178" s="694">
        <f t="shared" si="8"/>
        <v>10715.927000000001</v>
      </c>
      <c r="H178" s="695">
        <v>73.150000000000006</v>
      </c>
      <c r="I178" s="694">
        <f t="shared" si="10"/>
        <v>783.87006005000023</v>
      </c>
      <c r="J178" s="696">
        <f t="shared" si="11"/>
        <v>0.31186134433353269</v>
      </c>
      <c r="K178" s="697">
        <v>979.45</v>
      </c>
      <c r="L178" s="697">
        <v>77093</v>
      </c>
      <c r="M178" s="790">
        <v>0.13900000000000001</v>
      </c>
      <c r="N178" s="658" t="s">
        <v>356</v>
      </c>
      <c r="O178" s="698">
        <f t="array" ref="O178">INDEX(UtilityList!Q$4:Q$251,MATCH('Table 2.4a'!$A178&amp;'Table 2.4a'!$B178&amp;'Table 2.4a'!$C178,UtilityList!$A$4:$A$251&amp;UtilityList!$B$4:$B$251&amp;UtilityList!$C$4:$C$251,0))</f>
        <v>0</v>
      </c>
      <c r="P178" s="698" t="str">
        <f t="array" ref="P178">IFERROR(INDEX(UtilityList!J$4:J$251,MATCH('Table 2.4a'!$A178&amp;'Table 2.4a'!$B178&amp;'Table 2.4a'!$C178,UtilityList!$A$4:$A$251&amp;UtilityList!$B$4:$B$251&amp;UtilityList!$C$4:$C$251,0)), INDEX(UtilityList!J$4:J$251,MATCH('Table 2.4a'!$A178&amp;'Table 2.4a'!$C178,UtilityList!$A$4:$A$251&amp;UtilityList!$C$4:$C$251,0)))</f>
        <v>Lower Yukon-Kuskokwim</v>
      </c>
      <c r="Q178" s="698" t="str">
        <f t="array" ref="Q178">IFERROR(INDEX(UtilityList!K$4:K$251,MATCH('Table 2.4a'!$A178&amp;'Table 2.4a'!$B178&amp;'Table 2.4a'!$C178,UtilityList!$A$4:$A$251&amp;UtilityList!$B$4:$B$251&amp;UtilityList!$C$4:$C$251,0)), INDEX(UtilityList!K$4:K$251,MATCH('Table 2.4a'!$A178&amp;'Table 2.4a'!$C178,UtilityList!$A$4:$A$251&amp;UtilityList!$C$4:$C$251,0)))</f>
        <v>Bethel (CA)</v>
      </c>
      <c r="R178" s="698" t="str">
        <f t="array" ref="R178">IFERROR(INDEX(UtilityList!L$4:L$251,MATCH('Table 2.4a'!$A178&amp;'Table 2.4a'!$B178&amp;'Table 2.4a'!$C178,UtilityList!$A$4:$A$251&amp;UtilityList!$B$4:$B$251&amp;UtilityList!$C$4:$C$251,0)), INDEX(UtilityList!L$4:L$251,MATCH('Table 2.4a'!$A178&amp;'Table 2.4a'!$C178,UtilityList!$A$4:$A$251&amp;UtilityList!$C$4:$C$251,0)))</f>
        <v>Calista</v>
      </c>
      <c r="S178" s="698" t="str">
        <f t="array" ref="S178">IFERROR(INDEX(UtilityList!M$4:M$251,MATCH('Table 2.4a'!$A178&amp;'Table 2.4a'!$B178&amp;'Table 2.4a'!$C178,UtilityList!$A$4:$A$251&amp;UtilityList!$B$4:$B$251&amp;UtilityList!$C$4:$C$251,0)), INDEX(UtilityList!M$4:M$251,MATCH('Table 2.4a'!$A178&amp;'Table 2.4a'!$C178,UtilityList!$A$4:$A$251&amp;UtilityList!$C$4:$C$251,0)))</f>
        <v>SW</v>
      </c>
    </row>
    <row r="179" spans="1:19" customFormat="1" ht="30" x14ac:dyDescent="0.25">
      <c r="A179" s="678" t="s">
        <v>264</v>
      </c>
      <c r="B179" s="361" t="s">
        <v>265</v>
      </c>
      <c r="C179" s="679" t="s">
        <v>265</v>
      </c>
      <c r="D179" s="680" t="s">
        <v>545</v>
      </c>
      <c r="E179" s="680" t="s">
        <v>546</v>
      </c>
      <c r="F179" s="694">
        <f t="shared" si="9"/>
        <v>5563.6890880000001</v>
      </c>
      <c r="G179" s="694">
        <f t="shared" si="8"/>
        <v>17194.717000000001</v>
      </c>
      <c r="H179" s="695">
        <v>73.150000000000006</v>
      </c>
      <c r="I179" s="694">
        <f t="shared" si="10"/>
        <v>1257.7935485500002</v>
      </c>
      <c r="J179" s="696">
        <f t="shared" si="11"/>
        <v>0.323569680617599</v>
      </c>
      <c r="K179" s="697">
        <v>1630.624</v>
      </c>
      <c r="L179" s="697">
        <v>123703</v>
      </c>
      <c r="M179" s="790">
        <v>0.13900000000000001</v>
      </c>
      <c r="N179" s="658" t="s">
        <v>356</v>
      </c>
      <c r="O179" s="698">
        <f t="array" ref="O179">INDEX(UtilityList!Q$4:Q$251,MATCH('Table 2.4a'!$A179&amp;'Table 2.4a'!$B179&amp;'Table 2.4a'!$C179,UtilityList!$A$4:$A$251&amp;UtilityList!$B$4:$B$251&amp;UtilityList!$C$4:$C$251,0))</f>
        <v>0</v>
      </c>
      <c r="P179" s="698" t="str">
        <f t="array" ref="P179">IFERROR(INDEX(UtilityList!J$4:J$251,MATCH('Table 2.4a'!$A179&amp;'Table 2.4a'!$B179&amp;'Table 2.4a'!$C179,UtilityList!$A$4:$A$251&amp;UtilityList!$B$4:$B$251&amp;UtilityList!$C$4:$C$251,0)), INDEX(UtilityList!J$4:J$251,MATCH('Table 2.4a'!$A179&amp;'Table 2.4a'!$C179,UtilityList!$A$4:$A$251&amp;UtilityList!$C$4:$C$251,0)))</f>
        <v>Lower Yukon-Kuskokwim</v>
      </c>
      <c r="Q179" s="698" t="str">
        <f t="array" ref="Q179">IFERROR(INDEX(UtilityList!K$4:K$251,MATCH('Table 2.4a'!$A179&amp;'Table 2.4a'!$B179&amp;'Table 2.4a'!$C179,UtilityList!$A$4:$A$251&amp;UtilityList!$B$4:$B$251&amp;UtilityList!$C$4:$C$251,0)), INDEX(UtilityList!K$4:K$251,MATCH('Table 2.4a'!$A179&amp;'Table 2.4a'!$C179,UtilityList!$A$4:$A$251&amp;UtilityList!$C$4:$C$251,0)))</f>
        <v>Bethel (CA)</v>
      </c>
      <c r="R179" s="698" t="str">
        <f t="array" ref="R179">IFERROR(INDEX(UtilityList!L$4:L$251,MATCH('Table 2.4a'!$A179&amp;'Table 2.4a'!$B179&amp;'Table 2.4a'!$C179,UtilityList!$A$4:$A$251&amp;UtilityList!$B$4:$B$251&amp;UtilityList!$C$4:$C$251,0)), INDEX(UtilityList!L$4:L$251,MATCH('Table 2.4a'!$A179&amp;'Table 2.4a'!$C179,UtilityList!$A$4:$A$251&amp;UtilityList!$C$4:$C$251,0)))</f>
        <v>Calista</v>
      </c>
      <c r="S179" s="698" t="str">
        <f t="array" ref="S179">IFERROR(INDEX(UtilityList!M$4:M$251,MATCH('Table 2.4a'!$A179&amp;'Table 2.4a'!$B179&amp;'Table 2.4a'!$C179,UtilityList!$A$4:$A$251&amp;UtilityList!$B$4:$B$251&amp;UtilityList!$C$4:$C$251,0)), INDEX(UtilityList!M$4:M$251,MATCH('Table 2.4a'!$A179&amp;'Table 2.4a'!$C179,UtilityList!$A$4:$A$251&amp;UtilityList!$C$4:$C$251,0)))</f>
        <v>SW</v>
      </c>
    </row>
    <row r="180" spans="1:19" customFormat="1" ht="30" x14ac:dyDescent="0.25">
      <c r="A180" s="678" t="s">
        <v>266</v>
      </c>
      <c r="B180" s="361" t="s">
        <v>267</v>
      </c>
      <c r="C180" s="654" t="s">
        <v>267</v>
      </c>
      <c r="D180" s="680" t="s">
        <v>545</v>
      </c>
      <c r="E180" s="680" t="s">
        <v>546</v>
      </c>
      <c r="F180" s="694">
        <f t="shared" si="9"/>
        <v>601.98359559999994</v>
      </c>
      <c r="G180" s="694">
        <f t="shared" si="8"/>
        <v>2010.4960000000003</v>
      </c>
      <c r="H180" s="695">
        <v>73.150000000000006</v>
      </c>
      <c r="I180" s="694">
        <f t="shared" si="10"/>
        <v>147.06778240000003</v>
      </c>
      <c r="J180" s="696">
        <f t="shared" si="11"/>
        <v>0.29942043933437312</v>
      </c>
      <c r="K180" s="697">
        <v>176.43129999999999</v>
      </c>
      <c r="L180" s="697">
        <v>14464.000000000002</v>
      </c>
      <c r="M180" s="790">
        <v>0.13900000000000001</v>
      </c>
      <c r="N180" s="658" t="s">
        <v>356</v>
      </c>
      <c r="O180" s="698">
        <f t="array" ref="O180">INDEX(UtilityList!Q$4:Q$251,MATCH('Table 2.4a'!$A180&amp;'Table 2.4a'!$B180&amp;'Table 2.4a'!$C180,UtilityList!$A$4:$A$251&amp;UtilityList!$B$4:$B$251&amp;UtilityList!$C$4:$C$251,0))</f>
        <v>0</v>
      </c>
      <c r="P180" s="698" t="str">
        <f t="array" ref="P180">IFERROR(INDEX(UtilityList!J$4:J$251,MATCH('Table 2.4a'!$A180&amp;'Table 2.4a'!$B180&amp;'Table 2.4a'!$C180,UtilityList!$A$4:$A$251&amp;UtilityList!$B$4:$B$251&amp;UtilityList!$C$4:$C$251,0)), INDEX(UtilityList!J$4:J$251,MATCH('Table 2.4a'!$A180&amp;'Table 2.4a'!$C180,UtilityList!$A$4:$A$251&amp;UtilityList!$C$4:$C$251,0)))</f>
        <v>Bristol Bay</v>
      </c>
      <c r="Q180" s="698" t="str">
        <f t="array" ref="Q180">IFERROR(INDEX(UtilityList!K$4:K$251,MATCH('Table 2.4a'!$A180&amp;'Table 2.4a'!$B180&amp;'Table 2.4a'!$C180,UtilityList!$A$4:$A$251&amp;UtilityList!$B$4:$B$251&amp;UtilityList!$C$4:$C$251,0)), INDEX(UtilityList!K$4:K$251,MATCH('Table 2.4a'!$A180&amp;'Table 2.4a'!$C180,UtilityList!$A$4:$A$251&amp;UtilityList!$C$4:$C$251,0)))</f>
        <v>Lake and Peninsula</v>
      </c>
      <c r="R180" s="698" t="str">
        <f t="array" ref="R180">IFERROR(INDEX(UtilityList!L$4:L$251,MATCH('Table 2.4a'!$A180&amp;'Table 2.4a'!$B180&amp;'Table 2.4a'!$C180,UtilityList!$A$4:$A$251&amp;UtilityList!$B$4:$B$251&amp;UtilityList!$C$4:$C$251,0)), INDEX(UtilityList!L$4:L$251,MATCH('Table 2.4a'!$A180&amp;'Table 2.4a'!$C180,UtilityList!$A$4:$A$251&amp;UtilityList!$C$4:$C$251,0)))</f>
        <v>Bristol Bay</v>
      </c>
      <c r="S180" s="698" t="str">
        <f t="array" ref="S180">IFERROR(INDEX(UtilityList!M$4:M$251,MATCH('Table 2.4a'!$A180&amp;'Table 2.4a'!$B180&amp;'Table 2.4a'!$C180,UtilityList!$A$4:$A$251&amp;UtilityList!$B$4:$B$251&amp;UtilityList!$C$4:$C$251,0)), INDEX(UtilityList!M$4:M$251,MATCH('Table 2.4a'!$A180&amp;'Table 2.4a'!$C180,UtilityList!$A$4:$A$251&amp;UtilityList!$C$4:$C$251,0)))</f>
        <v>SW</v>
      </c>
    </row>
    <row r="181" spans="1:19" customFormat="1" ht="30" x14ac:dyDescent="0.25">
      <c r="A181" s="678" t="s">
        <v>268</v>
      </c>
      <c r="B181" s="361" t="s">
        <v>269</v>
      </c>
      <c r="C181" s="679" t="s">
        <v>269</v>
      </c>
      <c r="D181" s="680" t="s">
        <v>545</v>
      </c>
      <c r="E181" s="680" t="s">
        <v>546</v>
      </c>
      <c r="F181" s="694">
        <f t="shared" si="9"/>
        <v>1338.2952427999999</v>
      </c>
      <c r="G181" s="694">
        <f t="shared" si="8"/>
        <v>6185.5000000000018</v>
      </c>
      <c r="H181" s="695">
        <v>73.150000000000006</v>
      </c>
      <c r="I181" s="694">
        <f t="shared" si="10"/>
        <v>452.4693250000002</v>
      </c>
      <c r="J181" s="696">
        <f t="shared" si="11"/>
        <v>0.2163600748201438</v>
      </c>
      <c r="K181" s="697">
        <v>392.2319</v>
      </c>
      <c r="L181" s="697">
        <v>44500.000000000007</v>
      </c>
      <c r="M181" s="790">
        <v>0.13900000000000001</v>
      </c>
      <c r="N181" s="658" t="s">
        <v>356</v>
      </c>
      <c r="O181" s="698">
        <f t="array" ref="O181">INDEX(UtilityList!Q$4:Q$251,MATCH('Table 2.4a'!$A181&amp;'Table 2.4a'!$B181&amp;'Table 2.4a'!$C181,UtilityList!$A$4:$A$251&amp;UtilityList!$B$4:$B$251&amp;UtilityList!$C$4:$C$251,0))</f>
        <v>0</v>
      </c>
      <c r="P181" s="698" t="str">
        <f t="array" ref="P181">IFERROR(INDEX(UtilityList!J$4:J$251,MATCH('Table 2.4a'!$A181&amp;'Table 2.4a'!$B181&amp;'Table 2.4a'!$C181,UtilityList!$A$4:$A$251&amp;UtilityList!$B$4:$B$251&amp;UtilityList!$C$4:$C$251,0)), INDEX(UtilityList!J$4:J$251,MATCH('Table 2.4a'!$A181&amp;'Table 2.4a'!$C181,UtilityList!$A$4:$A$251&amp;UtilityList!$C$4:$C$251,0)))</f>
        <v>Aleutians</v>
      </c>
      <c r="Q181" s="698" t="str">
        <f t="array" ref="Q181">IFERROR(INDEX(UtilityList!K$4:K$251,MATCH('Table 2.4a'!$A181&amp;'Table 2.4a'!$B181&amp;'Table 2.4a'!$C181,UtilityList!$A$4:$A$251&amp;UtilityList!$B$4:$B$251&amp;UtilityList!$C$4:$C$251,0)), INDEX(UtilityList!K$4:K$251,MATCH('Table 2.4a'!$A181&amp;'Table 2.4a'!$C181,UtilityList!$A$4:$A$251&amp;UtilityList!$C$4:$C$251,0)))</f>
        <v>Aleutians East</v>
      </c>
      <c r="R181" s="698" t="str">
        <f t="array" ref="R181">IFERROR(INDEX(UtilityList!L$4:L$251,MATCH('Table 2.4a'!$A181&amp;'Table 2.4a'!$B181&amp;'Table 2.4a'!$C181,UtilityList!$A$4:$A$251&amp;UtilityList!$B$4:$B$251&amp;UtilityList!$C$4:$C$251,0)), INDEX(UtilityList!L$4:L$251,MATCH('Table 2.4a'!$A181&amp;'Table 2.4a'!$C181,UtilityList!$A$4:$A$251&amp;UtilityList!$C$4:$C$251,0)))</f>
        <v>Aleut</v>
      </c>
      <c r="S181" s="698" t="str">
        <f t="array" ref="S181">IFERROR(INDEX(UtilityList!M$4:M$251,MATCH('Table 2.4a'!$A181&amp;'Table 2.4a'!$B181&amp;'Table 2.4a'!$C181,UtilityList!$A$4:$A$251&amp;UtilityList!$B$4:$B$251&amp;UtilityList!$C$4:$C$251,0)), INDEX(UtilityList!M$4:M$251,MATCH('Table 2.4a'!$A181&amp;'Table 2.4a'!$C181,UtilityList!$A$4:$A$251&amp;UtilityList!$C$4:$C$251,0)))</f>
        <v>SW</v>
      </c>
    </row>
    <row r="182" spans="1:19" customFormat="1" ht="30" x14ac:dyDescent="0.25">
      <c r="A182" s="678" t="s">
        <v>270</v>
      </c>
      <c r="B182" s="361" t="s">
        <v>271</v>
      </c>
      <c r="C182" s="679" t="s">
        <v>271</v>
      </c>
      <c r="D182" s="680" t="s">
        <v>545</v>
      </c>
      <c r="E182" s="680" t="s">
        <v>546</v>
      </c>
      <c r="F182" s="694">
        <f t="shared" si="9"/>
        <v>2212.4772800000001</v>
      </c>
      <c r="G182" s="694">
        <f t="shared" si="8"/>
        <v>10036.773000000001</v>
      </c>
      <c r="H182" s="695">
        <v>73.150000000000006</v>
      </c>
      <c r="I182" s="694">
        <f t="shared" si="10"/>
        <v>734.18994495000015</v>
      </c>
      <c r="J182" s="696">
        <f t="shared" si="11"/>
        <v>0.22043711459848697</v>
      </c>
      <c r="K182" s="697">
        <v>648.44000000000005</v>
      </c>
      <c r="L182" s="697">
        <v>72207</v>
      </c>
      <c r="M182" s="790">
        <v>0.13900000000000001</v>
      </c>
      <c r="N182" s="658" t="s">
        <v>356</v>
      </c>
      <c r="O182" s="698">
        <f t="array" ref="O182">INDEX(UtilityList!Q$4:Q$251,MATCH('Table 2.4a'!$A182&amp;'Table 2.4a'!$B182&amp;'Table 2.4a'!$C182,UtilityList!$A$4:$A$251&amp;UtilityList!$B$4:$B$251&amp;UtilityList!$C$4:$C$251,0))</f>
        <v>0</v>
      </c>
      <c r="P182" s="698" t="str">
        <f t="array" ref="P182">IFERROR(INDEX(UtilityList!J$4:J$251,MATCH('Table 2.4a'!$A182&amp;'Table 2.4a'!$B182&amp;'Table 2.4a'!$C182,UtilityList!$A$4:$A$251&amp;UtilityList!$B$4:$B$251&amp;UtilityList!$C$4:$C$251,0)), INDEX(UtilityList!J$4:J$251,MATCH('Table 2.4a'!$A182&amp;'Table 2.4a'!$C182,UtilityList!$A$4:$A$251&amp;UtilityList!$C$4:$C$251,0)))</f>
        <v>Bristol Bay</v>
      </c>
      <c r="Q182" s="698" t="str">
        <f t="array" ref="Q182">IFERROR(INDEX(UtilityList!K$4:K$251,MATCH('Table 2.4a'!$A182&amp;'Table 2.4a'!$B182&amp;'Table 2.4a'!$C182,UtilityList!$A$4:$A$251&amp;UtilityList!$B$4:$B$251&amp;UtilityList!$C$4:$C$251,0)), INDEX(UtilityList!K$4:K$251,MATCH('Table 2.4a'!$A182&amp;'Table 2.4a'!$C182,UtilityList!$A$4:$A$251&amp;UtilityList!$C$4:$C$251,0)))</f>
        <v>Dillingham (CA)</v>
      </c>
      <c r="R182" s="698" t="str">
        <f t="array" ref="R182">IFERROR(INDEX(UtilityList!L$4:L$251,MATCH('Table 2.4a'!$A182&amp;'Table 2.4a'!$B182&amp;'Table 2.4a'!$C182,UtilityList!$A$4:$A$251&amp;UtilityList!$B$4:$B$251&amp;UtilityList!$C$4:$C$251,0)), INDEX(UtilityList!L$4:L$251,MATCH('Table 2.4a'!$A182&amp;'Table 2.4a'!$C182,UtilityList!$A$4:$A$251&amp;UtilityList!$C$4:$C$251,0)))</f>
        <v>Bristol Bay</v>
      </c>
      <c r="S182" s="698" t="str">
        <f t="array" ref="S182">IFERROR(INDEX(UtilityList!M$4:M$251,MATCH('Table 2.4a'!$A182&amp;'Table 2.4a'!$B182&amp;'Table 2.4a'!$C182,UtilityList!$A$4:$A$251&amp;UtilityList!$B$4:$B$251&amp;UtilityList!$C$4:$C$251,0)), INDEX(UtilityList!M$4:M$251,MATCH('Table 2.4a'!$A182&amp;'Table 2.4a'!$C182,UtilityList!$A$4:$A$251&amp;UtilityList!$C$4:$C$251,0)))</f>
        <v>SW</v>
      </c>
    </row>
    <row r="183" spans="1:19" customFormat="1" ht="45" x14ac:dyDescent="0.25">
      <c r="A183" s="678" t="s">
        <v>272</v>
      </c>
      <c r="B183" s="361" t="s">
        <v>273</v>
      </c>
      <c r="C183" s="679" t="s">
        <v>273</v>
      </c>
      <c r="D183" s="680" t="s">
        <v>545</v>
      </c>
      <c r="E183" s="680" t="s">
        <v>546</v>
      </c>
      <c r="F183" s="694">
        <f t="shared" si="9"/>
        <v>1362.1082732</v>
      </c>
      <c r="G183" s="694">
        <f t="shared" si="8"/>
        <v>5077.2530000000006</v>
      </c>
      <c r="H183" s="695">
        <v>73.150000000000006</v>
      </c>
      <c r="I183" s="694">
        <f t="shared" si="10"/>
        <v>371.40105695000005</v>
      </c>
      <c r="J183" s="696">
        <f t="shared" si="11"/>
        <v>0.26827661989662516</v>
      </c>
      <c r="K183" s="697">
        <v>399.21109999999999</v>
      </c>
      <c r="L183" s="697">
        <v>36527</v>
      </c>
      <c r="M183" s="790">
        <v>0.13900000000000001</v>
      </c>
      <c r="N183" s="658" t="s">
        <v>356</v>
      </c>
      <c r="O183" s="698">
        <f t="array" ref="O183">INDEX(UtilityList!Q$4:Q$251,MATCH('Table 2.4a'!$A183&amp;'Table 2.4a'!$B183&amp;'Table 2.4a'!$C183,UtilityList!$A$4:$A$251&amp;UtilityList!$B$4:$B$251&amp;UtilityList!$C$4:$C$251,0))</f>
        <v>0</v>
      </c>
      <c r="P183" s="698" t="str">
        <f t="array" ref="P183">IFERROR(INDEX(UtilityList!J$4:J$251,MATCH('Table 2.4a'!$A183&amp;'Table 2.4a'!$B183&amp;'Table 2.4a'!$C183,UtilityList!$A$4:$A$251&amp;UtilityList!$B$4:$B$251&amp;UtilityList!$C$4:$C$251,0)), INDEX(UtilityList!J$4:J$251,MATCH('Table 2.4a'!$A183&amp;'Table 2.4a'!$C183,UtilityList!$A$4:$A$251&amp;UtilityList!$C$4:$C$251,0)))</f>
        <v>Yukon-Koyukuk/Upper Tanana</v>
      </c>
      <c r="Q183" s="698" t="str">
        <f t="array" ref="Q183">IFERROR(INDEX(UtilityList!K$4:K$251,MATCH('Table 2.4a'!$A183&amp;'Table 2.4a'!$B183&amp;'Table 2.4a'!$C183,UtilityList!$A$4:$A$251&amp;UtilityList!$B$4:$B$251&amp;UtilityList!$C$4:$C$251,0)), INDEX(UtilityList!K$4:K$251,MATCH('Table 2.4a'!$A183&amp;'Table 2.4a'!$C183,UtilityList!$A$4:$A$251&amp;UtilityList!$C$4:$C$251,0)))</f>
        <v>Yukon-Koyukuk (CA)</v>
      </c>
      <c r="R183" s="698" t="str">
        <f t="array" ref="R183">IFERROR(INDEX(UtilityList!L$4:L$251,MATCH('Table 2.4a'!$A183&amp;'Table 2.4a'!$B183&amp;'Table 2.4a'!$C183,UtilityList!$A$4:$A$251&amp;UtilityList!$B$4:$B$251&amp;UtilityList!$C$4:$C$251,0)), INDEX(UtilityList!L$4:L$251,MATCH('Table 2.4a'!$A183&amp;'Table 2.4a'!$C183,UtilityList!$A$4:$A$251&amp;UtilityList!$C$4:$C$251,0)))</f>
        <v>Doyon</v>
      </c>
      <c r="S183" s="698" t="str">
        <f t="array" ref="S183">IFERROR(INDEX(UtilityList!M$4:M$251,MATCH('Table 2.4a'!$A183&amp;'Table 2.4a'!$B183&amp;'Table 2.4a'!$C183,UtilityList!$A$4:$A$251&amp;UtilityList!$B$4:$B$251&amp;UtilityList!$C$4:$C$251,0)), INDEX(UtilityList!M$4:M$251,MATCH('Table 2.4a'!$A183&amp;'Table 2.4a'!$C183,UtilityList!$A$4:$A$251&amp;UtilityList!$C$4:$C$251,0)))</f>
        <v>SW</v>
      </c>
    </row>
    <row r="184" spans="1:19" customFormat="1" ht="30" x14ac:dyDescent="0.25">
      <c r="A184" s="678" t="s">
        <v>274</v>
      </c>
      <c r="B184" s="361" t="s">
        <v>275</v>
      </c>
      <c r="C184" s="679" t="s">
        <v>276</v>
      </c>
      <c r="D184" s="622" t="s">
        <v>545</v>
      </c>
      <c r="E184" s="622" t="s">
        <v>546</v>
      </c>
      <c r="F184" s="694">
        <f t="shared" si="9"/>
        <v>114302</v>
      </c>
      <c r="G184" s="694">
        <f t="shared" si="8"/>
        <v>293262.478</v>
      </c>
      <c r="H184" s="695">
        <v>73.150000000000006</v>
      </c>
      <c r="I184" s="694">
        <f t="shared" si="10"/>
        <v>21452.150265700002</v>
      </c>
      <c r="J184" s="696">
        <f t="shared" si="11"/>
        <v>0.38976005651837942</v>
      </c>
      <c r="K184" s="697">
        <v>33500</v>
      </c>
      <c r="L184" s="697">
        <v>2109802</v>
      </c>
      <c r="M184" s="790">
        <v>0.13900000000000001</v>
      </c>
      <c r="N184" s="658" t="s">
        <v>356</v>
      </c>
      <c r="O184" s="698">
        <f t="array" ref="O184">INDEX(UtilityList!Q$4:Q$251,MATCH('Table 2.4a'!$A184&amp;'Table 2.4a'!$B184&amp;'Table 2.4a'!$C184,UtilityList!$A$4:$A$251&amp;UtilityList!$B$4:$B$251&amp;UtilityList!$C$4:$C$251,0))</f>
        <v>0</v>
      </c>
      <c r="P184" s="698" t="str">
        <f t="array" ref="P184">IFERROR(INDEX(UtilityList!J$4:J$251,MATCH('Table 2.4a'!$A184&amp;'Table 2.4a'!$B184&amp;'Table 2.4a'!$C184,UtilityList!$A$4:$A$251&amp;UtilityList!$B$4:$B$251&amp;UtilityList!$C$4:$C$251,0)), INDEX(UtilityList!J$4:J$251,MATCH('Table 2.4a'!$A184&amp;'Table 2.4a'!$C184,UtilityList!$A$4:$A$251&amp;UtilityList!$C$4:$C$251,0)))</f>
        <v>Bering Straits</v>
      </c>
      <c r="Q184" s="698" t="str">
        <f t="array" ref="Q184">IFERROR(INDEX(UtilityList!K$4:K$251,MATCH('Table 2.4a'!$A184&amp;'Table 2.4a'!$B184&amp;'Table 2.4a'!$C184,UtilityList!$A$4:$A$251&amp;UtilityList!$B$4:$B$251&amp;UtilityList!$C$4:$C$251,0)), INDEX(UtilityList!K$4:K$251,MATCH('Table 2.4a'!$A184&amp;'Table 2.4a'!$C184,UtilityList!$A$4:$A$251&amp;UtilityList!$C$4:$C$251,0)))</f>
        <v>Nome (CA)</v>
      </c>
      <c r="R184" s="698" t="str">
        <f t="array" ref="R184">IFERROR(INDEX(UtilityList!L$4:L$251,MATCH('Table 2.4a'!$A184&amp;'Table 2.4a'!$B184&amp;'Table 2.4a'!$C184,UtilityList!$A$4:$A$251&amp;UtilityList!$B$4:$B$251&amp;UtilityList!$C$4:$C$251,0)), INDEX(UtilityList!L$4:L$251,MATCH('Table 2.4a'!$A184&amp;'Table 2.4a'!$C184,UtilityList!$A$4:$A$251&amp;UtilityList!$C$4:$C$251,0)))</f>
        <v>Bering Straits</v>
      </c>
      <c r="S184" s="698" t="str">
        <f t="array" ref="S184">IFERROR(INDEX(UtilityList!M$4:M$251,MATCH('Table 2.4a'!$A184&amp;'Table 2.4a'!$B184&amp;'Table 2.4a'!$C184,UtilityList!$A$4:$A$251&amp;UtilityList!$B$4:$B$251&amp;UtilityList!$C$4:$C$251,0)), INDEX(UtilityList!M$4:M$251,MATCH('Table 2.4a'!$A184&amp;'Table 2.4a'!$C184,UtilityList!$A$4:$A$251&amp;UtilityList!$C$4:$C$251,0)))</f>
        <v>AN</v>
      </c>
    </row>
    <row r="185" spans="1:19" s="126" customFormat="1" ht="30" x14ac:dyDescent="0.25">
      <c r="A185" s="684" t="s">
        <v>277</v>
      </c>
      <c r="B185" s="352" t="s">
        <v>278</v>
      </c>
      <c r="C185" s="352" t="s">
        <v>278</v>
      </c>
      <c r="D185" s="685" t="s">
        <v>545</v>
      </c>
      <c r="E185" s="685" t="s">
        <v>546</v>
      </c>
      <c r="F185" s="694">
        <f t="shared" si="9"/>
        <v>12279.788</v>
      </c>
      <c r="G185" s="694">
        <f t="shared" si="8"/>
        <v>38770.158000000003</v>
      </c>
      <c r="H185" s="699">
        <v>73.150000000000006</v>
      </c>
      <c r="I185" s="694">
        <f t="shared" si="10"/>
        <v>2836.0370577000003</v>
      </c>
      <c r="J185" s="696">
        <f t="shared" si="11"/>
        <v>0.3167329882947601</v>
      </c>
      <c r="K185" s="697">
        <v>3599</v>
      </c>
      <c r="L185" s="697">
        <v>278922</v>
      </c>
      <c r="M185" s="790">
        <v>0.13900000000000001</v>
      </c>
      <c r="N185" s="662" t="s">
        <v>558</v>
      </c>
      <c r="O185" s="698">
        <f t="array" ref="O185">INDEX(UtilityList!Q$4:Q$251,MATCH('Table 2.4a'!$A185&amp;'Table 2.4a'!$B185&amp;'Table 2.4a'!$C185,UtilityList!$A$4:$A$251&amp;UtilityList!$B$4:$B$251&amp;UtilityList!$C$4:$C$251,0))</f>
        <v>0</v>
      </c>
      <c r="P185" s="698" t="str">
        <f t="array" ref="P185">IFERROR(INDEX(UtilityList!J$4:J$251,MATCH('Table 2.4a'!$A185&amp;'Table 2.4a'!$B185&amp;'Table 2.4a'!$C185,UtilityList!$A$4:$A$251&amp;UtilityList!$B$4:$B$251&amp;UtilityList!$C$4:$C$251,0)), INDEX(UtilityList!J$4:J$251,MATCH('Table 2.4a'!$A185&amp;'Table 2.4a'!$C185,UtilityList!$A$4:$A$251&amp;UtilityList!$C$4:$C$251,0)))</f>
        <v>North Slope</v>
      </c>
      <c r="Q185" s="698" t="str">
        <f t="array" ref="Q185">IFERROR(INDEX(UtilityList!K$4:K$251,MATCH('Table 2.4a'!$A185&amp;'Table 2.4a'!$B185&amp;'Table 2.4a'!$C185,UtilityList!$A$4:$A$251&amp;UtilityList!$B$4:$B$251&amp;UtilityList!$C$4:$C$251,0)), INDEX(UtilityList!K$4:K$251,MATCH('Table 2.4a'!$A185&amp;'Table 2.4a'!$C185,UtilityList!$A$4:$A$251&amp;UtilityList!$C$4:$C$251,0)))</f>
        <v>North Slope</v>
      </c>
      <c r="R185" s="698" t="str">
        <f t="array" ref="R185">IFERROR(INDEX(UtilityList!L$4:L$251,MATCH('Table 2.4a'!$A185&amp;'Table 2.4a'!$B185&amp;'Table 2.4a'!$C185,UtilityList!$A$4:$A$251&amp;UtilityList!$B$4:$B$251&amp;UtilityList!$C$4:$C$251,0)), INDEX(UtilityList!L$4:L$251,MATCH('Table 2.4a'!$A185&amp;'Table 2.4a'!$C185,UtilityList!$A$4:$A$251&amp;UtilityList!$C$4:$C$251,0)))</f>
        <v>Arctic Slope</v>
      </c>
      <c r="S185" s="698" t="str">
        <f t="array" ref="S185">IFERROR(INDEX(UtilityList!M$4:M$251,MATCH('Table 2.4a'!$A185&amp;'Table 2.4a'!$B185&amp;'Table 2.4a'!$C185,UtilityList!$A$4:$A$251&amp;UtilityList!$B$4:$B$251&amp;UtilityList!$C$4:$C$251,0)), INDEX(UtilityList!M$4:M$251,MATCH('Table 2.4a'!$A185&amp;'Table 2.4a'!$C185,UtilityList!$A$4:$A$251&amp;UtilityList!$C$4:$C$251,0)))</f>
        <v>AN</v>
      </c>
    </row>
    <row r="186" spans="1:19" s="126" customFormat="1" ht="30" x14ac:dyDescent="0.25">
      <c r="A186" s="684" t="s">
        <v>277</v>
      </c>
      <c r="B186" s="352" t="s">
        <v>279</v>
      </c>
      <c r="C186" s="352" t="s">
        <v>279</v>
      </c>
      <c r="D186" s="685" t="s">
        <v>545</v>
      </c>
      <c r="E186" s="685" t="s">
        <v>546</v>
      </c>
      <c r="F186" s="694">
        <f t="shared" si="9"/>
        <v>11058.291999999999</v>
      </c>
      <c r="G186" s="694">
        <f t="shared" si="8"/>
        <v>35489.202000000005</v>
      </c>
      <c r="H186" s="699">
        <v>73.150000000000006</v>
      </c>
      <c r="I186" s="694">
        <f t="shared" si="10"/>
        <v>2596.0351263000007</v>
      </c>
      <c r="J186" s="696">
        <f t="shared" si="11"/>
        <v>0.31159596093482173</v>
      </c>
      <c r="K186" s="697">
        <v>3241</v>
      </c>
      <c r="L186" s="697">
        <v>255318</v>
      </c>
      <c r="M186" s="790">
        <v>0.13900000000000001</v>
      </c>
      <c r="N186" s="662" t="s">
        <v>558</v>
      </c>
      <c r="O186" s="698">
        <f t="array" ref="O186">INDEX(UtilityList!Q$4:Q$251,MATCH('Table 2.4a'!$A186&amp;'Table 2.4a'!$B186&amp;'Table 2.4a'!$C186,UtilityList!$A$4:$A$251&amp;UtilityList!$B$4:$B$251&amp;UtilityList!$C$4:$C$251,0))</f>
        <v>0</v>
      </c>
      <c r="P186" s="698" t="str">
        <f t="array" ref="P186">IFERROR(INDEX(UtilityList!J$4:J$251,MATCH('Table 2.4a'!$A186&amp;'Table 2.4a'!$B186&amp;'Table 2.4a'!$C186,UtilityList!$A$4:$A$251&amp;UtilityList!$B$4:$B$251&amp;UtilityList!$C$4:$C$251,0)), INDEX(UtilityList!J$4:J$251,MATCH('Table 2.4a'!$A186&amp;'Table 2.4a'!$C186,UtilityList!$A$4:$A$251&amp;UtilityList!$C$4:$C$251,0)))</f>
        <v>North Slope</v>
      </c>
      <c r="Q186" s="698" t="str">
        <f t="array" ref="Q186">IFERROR(INDEX(UtilityList!K$4:K$251,MATCH('Table 2.4a'!$A186&amp;'Table 2.4a'!$B186&amp;'Table 2.4a'!$C186,UtilityList!$A$4:$A$251&amp;UtilityList!$B$4:$B$251&amp;UtilityList!$C$4:$C$251,0)), INDEX(UtilityList!K$4:K$251,MATCH('Table 2.4a'!$A186&amp;'Table 2.4a'!$C186,UtilityList!$A$4:$A$251&amp;UtilityList!$C$4:$C$251,0)))</f>
        <v>North Slope</v>
      </c>
      <c r="R186" s="698" t="str">
        <f t="array" ref="R186">IFERROR(INDEX(UtilityList!L$4:L$251,MATCH('Table 2.4a'!$A186&amp;'Table 2.4a'!$B186&amp;'Table 2.4a'!$C186,UtilityList!$A$4:$A$251&amp;UtilityList!$B$4:$B$251&amp;UtilityList!$C$4:$C$251,0)), INDEX(UtilityList!L$4:L$251,MATCH('Table 2.4a'!$A186&amp;'Table 2.4a'!$C186,UtilityList!$A$4:$A$251&amp;UtilityList!$C$4:$C$251,0)))</f>
        <v>Arctic Slope</v>
      </c>
      <c r="S186" s="698" t="str">
        <f t="array" ref="S186">IFERROR(INDEX(UtilityList!M$4:M$251,MATCH('Table 2.4a'!$A186&amp;'Table 2.4a'!$B186&amp;'Table 2.4a'!$C186,UtilityList!$A$4:$A$251&amp;UtilityList!$B$4:$B$251&amp;UtilityList!$C$4:$C$251,0)), INDEX(UtilityList!M$4:M$251,MATCH('Table 2.4a'!$A186&amp;'Table 2.4a'!$C186,UtilityList!$A$4:$A$251&amp;UtilityList!$C$4:$C$251,0)))</f>
        <v>AN</v>
      </c>
    </row>
    <row r="187" spans="1:19" s="126" customFormat="1" ht="30" x14ac:dyDescent="0.25">
      <c r="A187" s="352" t="s">
        <v>277</v>
      </c>
      <c r="B187" s="352" t="s">
        <v>280</v>
      </c>
      <c r="C187" s="352" t="s">
        <v>280</v>
      </c>
      <c r="D187" s="685" t="s">
        <v>545</v>
      </c>
      <c r="E187" s="685" t="s">
        <v>546</v>
      </c>
      <c r="F187" s="694">
        <f t="shared" si="9"/>
        <v>15524.6</v>
      </c>
      <c r="G187" s="694">
        <f t="shared" si="8"/>
        <v>49126.770000000004</v>
      </c>
      <c r="H187" s="699">
        <v>73.150000000000006</v>
      </c>
      <c r="I187" s="694">
        <f t="shared" si="10"/>
        <v>3593.6232255000004</v>
      </c>
      <c r="J187" s="696">
        <f t="shared" si="11"/>
        <v>0.31601100581210612</v>
      </c>
      <c r="K187" s="697">
        <v>4550</v>
      </c>
      <c r="L187" s="697">
        <v>353430</v>
      </c>
      <c r="M187" s="790">
        <v>0.13900000000000001</v>
      </c>
      <c r="N187" s="662" t="s">
        <v>558</v>
      </c>
      <c r="O187" s="698">
        <f t="array" ref="O187">INDEX(UtilityList!Q$4:Q$251,MATCH('Table 2.4a'!$A187&amp;'Table 2.4a'!$B187&amp;'Table 2.4a'!$C187,UtilityList!$A$4:$A$251&amp;UtilityList!$B$4:$B$251&amp;UtilityList!$C$4:$C$251,0))</f>
        <v>0</v>
      </c>
      <c r="P187" s="698" t="str">
        <f t="array" ref="P187">IFERROR(INDEX(UtilityList!J$4:J$251,MATCH('Table 2.4a'!$A187&amp;'Table 2.4a'!$B187&amp;'Table 2.4a'!$C187,UtilityList!$A$4:$A$251&amp;UtilityList!$B$4:$B$251&amp;UtilityList!$C$4:$C$251,0)), INDEX(UtilityList!J$4:J$251,MATCH('Table 2.4a'!$A187&amp;'Table 2.4a'!$C187,UtilityList!$A$4:$A$251&amp;UtilityList!$C$4:$C$251,0)))</f>
        <v>North Slope</v>
      </c>
      <c r="Q187" s="698" t="str">
        <f t="array" ref="Q187">IFERROR(INDEX(UtilityList!K$4:K$251,MATCH('Table 2.4a'!$A187&amp;'Table 2.4a'!$B187&amp;'Table 2.4a'!$C187,UtilityList!$A$4:$A$251&amp;UtilityList!$B$4:$B$251&amp;UtilityList!$C$4:$C$251,0)), INDEX(UtilityList!K$4:K$251,MATCH('Table 2.4a'!$A187&amp;'Table 2.4a'!$C187,UtilityList!$A$4:$A$251&amp;UtilityList!$C$4:$C$251,0)))</f>
        <v>North Slope</v>
      </c>
      <c r="R187" s="698" t="str">
        <f t="array" ref="R187">IFERROR(INDEX(UtilityList!L$4:L$251,MATCH('Table 2.4a'!$A187&amp;'Table 2.4a'!$B187&amp;'Table 2.4a'!$C187,UtilityList!$A$4:$A$251&amp;UtilityList!$B$4:$B$251&amp;UtilityList!$C$4:$C$251,0)), INDEX(UtilityList!L$4:L$251,MATCH('Table 2.4a'!$A187&amp;'Table 2.4a'!$C187,UtilityList!$A$4:$A$251&amp;UtilityList!$C$4:$C$251,0)))</f>
        <v>Arctic Slope</v>
      </c>
      <c r="S187" s="698" t="str">
        <f t="array" ref="S187">IFERROR(INDEX(UtilityList!M$4:M$251,MATCH('Table 2.4a'!$A187&amp;'Table 2.4a'!$B187&amp;'Table 2.4a'!$C187,UtilityList!$A$4:$A$251&amp;UtilityList!$B$4:$B$251&amp;UtilityList!$C$4:$C$251,0)), INDEX(UtilityList!M$4:M$251,MATCH('Table 2.4a'!$A187&amp;'Table 2.4a'!$C187,UtilityList!$A$4:$A$251&amp;UtilityList!$C$4:$C$251,0)))</f>
        <v>AN</v>
      </c>
    </row>
    <row r="188" spans="1:19" s="126" customFormat="1" ht="30" x14ac:dyDescent="0.25">
      <c r="A188" s="352" t="s">
        <v>277</v>
      </c>
      <c r="B188" s="352" t="s">
        <v>281</v>
      </c>
      <c r="C188" s="352" t="s">
        <v>281</v>
      </c>
      <c r="D188" s="685" t="s">
        <v>545</v>
      </c>
      <c r="E188" s="685" t="s">
        <v>546</v>
      </c>
      <c r="F188" s="694">
        <f t="shared" si="9"/>
        <v>5984.6480000000001</v>
      </c>
      <c r="G188" s="694">
        <f t="shared" si="8"/>
        <v>12271.476000000001</v>
      </c>
      <c r="H188" s="699">
        <v>73.150000000000006</v>
      </c>
      <c r="I188" s="694">
        <f t="shared" si="10"/>
        <v>897.65846940000006</v>
      </c>
      <c r="J188" s="696">
        <f t="shared" si="11"/>
        <v>0.48768770765635688</v>
      </c>
      <c r="K188" s="697">
        <v>1754</v>
      </c>
      <c r="L188" s="697">
        <v>88284</v>
      </c>
      <c r="M188" s="790">
        <v>0.13900000000000001</v>
      </c>
      <c r="N188" s="662" t="s">
        <v>558</v>
      </c>
      <c r="O188" s="698">
        <f t="array" ref="O188">INDEX(UtilityList!Q$4:Q$251,MATCH('Table 2.4a'!$A188&amp;'Table 2.4a'!$B188&amp;'Table 2.4a'!$C188,UtilityList!$A$4:$A$251&amp;UtilityList!$B$4:$B$251&amp;UtilityList!$C$4:$C$251,0))</f>
        <v>0</v>
      </c>
      <c r="P188" s="698" t="str">
        <f t="array" ref="P188">IFERROR(INDEX(UtilityList!J$4:J$251,MATCH('Table 2.4a'!$A188&amp;'Table 2.4a'!$B188&amp;'Table 2.4a'!$C188,UtilityList!$A$4:$A$251&amp;UtilityList!$B$4:$B$251&amp;UtilityList!$C$4:$C$251,0)), INDEX(UtilityList!J$4:J$251,MATCH('Table 2.4a'!$A188&amp;'Table 2.4a'!$C188,UtilityList!$A$4:$A$251&amp;UtilityList!$C$4:$C$251,0)))</f>
        <v>North Slope</v>
      </c>
      <c r="Q188" s="698" t="str">
        <f t="array" ref="Q188">IFERROR(INDEX(UtilityList!K$4:K$251,MATCH('Table 2.4a'!$A188&amp;'Table 2.4a'!$B188&amp;'Table 2.4a'!$C188,UtilityList!$A$4:$A$251&amp;UtilityList!$B$4:$B$251&amp;UtilityList!$C$4:$C$251,0)), INDEX(UtilityList!K$4:K$251,MATCH('Table 2.4a'!$A188&amp;'Table 2.4a'!$C188,UtilityList!$A$4:$A$251&amp;UtilityList!$C$4:$C$251,0)))</f>
        <v>North Slope</v>
      </c>
      <c r="R188" s="698" t="str">
        <f t="array" ref="R188">IFERROR(INDEX(UtilityList!L$4:L$251,MATCH('Table 2.4a'!$A188&amp;'Table 2.4a'!$B188&amp;'Table 2.4a'!$C188,UtilityList!$A$4:$A$251&amp;UtilityList!$B$4:$B$251&amp;UtilityList!$C$4:$C$251,0)), INDEX(UtilityList!L$4:L$251,MATCH('Table 2.4a'!$A188&amp;'Table 2.4a'!$C188,UtilityList!$A$4:$A$251&amp;UtilityList!$C$4:$C$251,0)))</f>
        <v>Arctic Slope</v>
      </c>
      <c r="S188" s="698" t="str">
        <f t="array" ref="S188">IFERROR(INDEX(UtilityList!M$4:M$251,MATCH('Table 2.4a'!$A188&amp;'Table 2.4a'!$B188&amp;'Table 2.4a'!$C188,UtilityList!$A$4:$A$251&amp;UtilityList!$B$4:$B$251&amp;UtilityList!$C$4:$C$251,0)), INDEX(UtilityList!M$4:M$251,MATCH('Table 2.4a'!$A188&amp;'Table 2.4a'!$C188,UtilityList!$A$4:$A$251&amp;UtilityList!$C$4:$C$251,0)))</f>
        <v>AN</v>
      </c>
    </row>
    <row r="189" spans="1:19" s="126" customFormat="1" ht="30" x14ac:dyDescent="0.25">
      <c r="A189" s="352" t="s">
        <v>277</v>
      </c>
      <c r="B189" s="352" t="s">
        <v>281</v>
      </c>
      <c r="C189" s="352" t="s">
        <v>281</v>
      </c>
      <c r="D189" s="685" t="s">
        <v>564</v>
      </c>
      <c r="E189" s="685" t="s">
        <v>546</v>
      </c>
      <c r="F189" s="694">
        <f t="shared" si="9"/>
        <v>5032.7</v>
      </c>
      <c r="G189" s="694">
        <f t="shared" si="8"/>
        <v>10556.237999999999</v>
      </c>
      <c r="H189" s="699">
        <v>53.06</v>
      </c>
      <c r="I189" s="694">
        <f t="shared" si="10"/>
        <v>560.11398828000006</v>
      </c>
      <c r="J189" s="696">
        <f t="shared" si="11"/>
        <v>0.47675128203816552</v>
      </c>
      <c r="K189" s="697">
        <v>1475</v>
      </c>
      <c r="L189" s="697">
        <v>10329</v>
      </c>
      <c r="M189" s="790">
        <v>1.022</v>
      </c>
      <c r="N189" s="662" t="s">
        <v>558</v>
      </c>
      <c r="O189" s="698">
        <f t="array" ref="O189">INDEX(UtilityList!Q$4:Q$251,MATCH('Table 2.4a'!$A189&amp;'Table 2.4a'!$B189&amp;'Table 2.4a'!$C189,UtilityList!$A$4:$A$251&amp;UtilityList!$B$4:$B$251&amp;UtilityList!$C$4:$C$251,0))</f>
        <v>0</v>
      </c>
      <c r="P189" s="698" t="str">
        <f t="array" ref="P189">IFERROR(INDEX(UtilityList!J$4:J$251,MATCH('Table 2.4a'!$A189&amp;'Table 2.4a'!$B189&amp;'Table 2.4a'!$C189,UtilityList!$A$4:$A$251&amp;UtilityList!$B$4:$B$251&amp;UtilityList!$C$4:$C$251,0)), INDEX(UtilityList!J$4:J$251,MATCH('Table 2.4a'!$A189&amp;'Table 2.4a'!$C189,UtilityList!$A$4:$A$251&amp;UtilityList!$C$4:$C$251,0)))</f>
        <v>North Slope</v>
      </c>
      <c r="Q189" s="698" t="str">
        <f t="array" ref="Q189">IFERROR(INDEX(UtilityList!K$4:K$251,MATCH('Table 2.4a'!$A189&amp;'Table 2.4a'!$B189&amp;'Table 2.4a'!$C189,UtilityList!$A$4:$A$251&amp;UtilityList!$B$4:$B$251&amp;UtilityList!$C$4:$C$251,0)), INDEX(UtilityList!K$4:K$251,MATCH('Table 2.4a'!$A189&amp;'Table 2.4a'!$C189,UtilityList!$A$4:$A$251&amp;UtilityList!$C$4:$C$251,0)))</f>
        <v>North Slope</v>
      </c>
      <c r="R189" s="698" t="str">
        <f t="array" ref="R189">IFERROR(INDEX(UtilityList!L$4:L$251,MATCH('Table 2.4a'!$A189&amp;'Table 2.4a'!$B189&amp;'Table 2.4a'!$C189,UtilityList!$A$4:$A$251&amp;UtilityList!$B$4:$B$251&amp;UtilityList!$C$4:$C$251,0)), INDEX(UtilityList!L$4:L$251,MATCH('Table 2.4a'!$A189&amp;'Table 2.4a'!$C189,UtilityList!$A$4:$A$251&amp;UtilityList!$C$4:$C$251,0)))</f>
        <v>Arctic Slope</v>
      </c>
      <c r="S189" s="698" t="str">
        <f t="array" ref="S189">IFERROR(INDEX(UtilityList!M$4:M$251,MATCH('Table 2.4a'!$A189&amp;'Table 2.4a'!$B189&amp;'Table 2.4a'!$C189,UtilityList!$A$4:$A$251&amp;UtilityList!$B$4:$B$251&amp;UtilityList!$C$4:$C$251,0)), INDEX(UtilityList!M$4:M$251,MATCH('Table 2.4a'!$A189&amp;'Table 2.4a'!$C189,UtilityList!$A$4:$A$251&amp;UtilityList!$C$4:$C$251,0)))</f>
        <v>AN</v>
      </c>
    </row>
    <row r="190" spans="1:19" s="126" customFormat="1" ht="30" x14ac:dyDescent="0.25">
      <c r="A190" s="352" t="s">
        <v>277</v>
      </c>
      <c r="B190" s="352" t="s">
        <v>282</v>
      </c>
      <c r="C190" s="352" t="s">
        <v>282</v>
      </c>
      <c r="D190" s="685" t="s">
        <v>545</v>
      </c>
      <c r="E190" s="685" t="s">
        <v>546</v>
      </c>
      <c r="F190" s="694">
        <f t="shared" si="9"/>
        <v>20994.036</v>
      </c>
      <c r="G190" s="694">
        <f t="shared" si="8"/>
        <v>57334.998000000007</v>
      </c>
      <c r="H190" s="699">
        <v>73.150000000000006</v>
      </c>
      <c r="I190" s="694">
        <f t="shared" si="10"/>
        <v>4194.0551037000005</v>
      </c>
      <c r="J190" s="696">
        <f t="shared" si="11"/>
        <v>0.36616441497041646</v>
      </c>
      <c r="K190" s="697">
        <v>6153</v>
      </c>
      <c r="L190" s="697">
        <v>412482</v>
      </c>
      <c r="M190" s="790">
        <v>0.13900000000000001</v>
      </c>
      <c r="N190" s="662" t="s">
        <v>558</v>
      </c>
      <c r="O190" s="698">
        <f t="array" ref="O190">INDEX(UtilityList!Q$4:Q$251,MATCH('Table 2.4a'!$A190&amp;'Table 2.4a'!$B190&amp;'Table 2.4a'!$C190,UtilityList!$A$4:$A$251&amp;UtilityList!$B$4:$B$251&amp;UtilityList!$C$4:$C$251,0))</f>
        <v>0</v>
      </c>
      <c r="P190" s="698" t="str">
        <f t="array" ref="P190">IFERROR(INDEX(UtilityList!J$4:J$251,MATCH('Table 2.4a'!$A190&amp;'Table 2.4a'!$B190&amp;'Table 2.4a'!$C190,UtilityList!$A$4:$A$251&amp;UtilityList!$B$4:$B$251&amp;UtilityList!$C$4:$C$251,0)), INDEX(UtilityList!J$4:J$251,MATCH('Table 2.4a'!$A190&amp;'Table 2.4a'!$C190,UtilityList!$A$4:$A$251&amp;UtilityList!$C$4:$C$251,0)))</f>
        <v>North Slope</v>
      </c>
      <c r="Q190" s="698" t="str">
        <f t="array" ref="Q190">IFERROR(INDEX(UtilityList!K$4:K$251,MATCH('Table 2.4a'!$A190&amp;'Table 2.4a'!$B190&amp;'Table 2.4a'!$C190,UtilityList!$A$4:$A$251&amp;UtilityList!$B$4:$B$251&amp;UtilityList!$C$4:$C$251,0)), INDEX(UtilityList!K$4:K$251,MATCH('Table 2.4a'!$A190&amp;'Table 2.4a'!$C190,UtilityList!$A$4:$A$251&amp;UtilityList!$C$4:$C$251,0)))</f>
        <v>North Slope</v>
      </c>
      <c r="R190" s="698" t="str">
        <f t="array" ref="R190">IFERROR(INDEX(UtilityList!L$4:L$251,MATCH('Table 2.4a'!$A190&amp;'Table 2.4a'!$B190&amp;'Table 2.4a'!$C190,UtilityList!$A$4:$A$251&amp;UtilityList!$B$4:$B$251&amp;UtilityList!$C$4:$C$251,0)), INDEX(UtilityList!L$4:L$251,MATCH('Table 2.4a'!$A190&amp;'Table 2.4a'!$C190,UtilityList!$A$4:$A$251&amp;UtilityList!$C$4:$C$251,0)))</f>
        <v>Arctic Slope</v>
      </c>
      <c r="S190" s="698" t="str">
        <f t="array" ref="S190">IFERROR(INDEX(UtilityList!M$4:M$251,MATCH('Table 2.4a'!$A190&amp;'Table 2.4a'!$B190&amp;'Table 2.4a'!$C190,UtilityList!$A$4:$A$251&amp;UtilityList!$B$4:$B$251&amp;UtilityList!$C$4:$C$251,0)), INDEX(UtilityList!M$4:M$251,MATCH('Table 2.4a'!$A190&amp;'Table 2.4a'!$C190,UtilityList!$A$4:$A$251&amp;UtilityList!$C$4:$C$251,0)))</f>
        <v>AN</v>
      </c>
    </row>
    <row r="191" spans="1:19" s="126" customFormat="1" ht="30" x14ac:dyDescent="0.25">
      <c r="A191" s="352" t="s">
        <v>277</v>
      </c>
      <c r="B191" s="352" t="s">
        <v>283</v>
      </c>
      <c r="C191" s="352" t="s">
        <v>283</v>
      </c>
      <c r="D191" s="685" t="s">
        <v>545</v>
      </c>
      <c r="E191" s="685" t="s">
        <v>546</v>
      </c>
      <c r="F191" s="694">
        <f t="shared" si="9"/>
        <v>10526.02</v>
      </c>
      <c r="G191" s="694">
        <f t="shared" si="8"/>
        <v>39400.662000000004</v>
      </c>
      <c r="H191" s="699">
        <v>73.150000000000006</v>
      </c>
      <c r="I191" s="694">
        <f t="shared" si="10"/>
        <v>2882.1584253000005</v>
      </c>
      <c r="J191" s="696">
        <f t="shared" si="11"/>
        <v>0.2671533793010889</v>
      </c>
      <c r="K191" s="697">
        <v>3085</v>
      </c>
      <c r="L191" s="697">
        <v>283458</v>
      </c>
      <c r="M191" s="790">
        <v>0.13900000000000001</v>
      </c>
      <c r="N191" s="662" t="s">
        <v>558</v>
      </c>
      <c r="O191" s="698">
        <f t="array" ref="O191">INDEX(UtilityList!Q$4:Q$251,MATCH('Table 2.4a'!$A191&amp;'Table 2.4a'!$B191&amp;'Table 2.4a'!$C191,UtilityList!$A$4:$A$251&amp;UtilityList!$B$4:$B$251&amp;UtilityList!$C$4:$C$251,0))</f>
        <v>0</v>
      </c>
      <c r="P191" s="698" t="str">
        <f t="array" ref="P191">IFERROR(INDEX(UtilityList!J$4:J$251,MATCH('Table 2.4a'!$A191&amp;'Table 2.4a'!$B191&amp;'Table 2.4a'!$C191,UtilityList!$A$4:$A$251&amp;UtilityList!$B$4:$B$251&amp;UtilityList!$C$4:$C$251,0)), INDEX(UtilityList!J$4:J$251,MATCH('Table 2.4a'!$A191&amp;'Table 2.4a'!$C191,UtilityList!$A$4:$A$251&amp;UtilityList!$C$4:$C$251,0)))</f>
        <v>North Slope</v>
      </c>
      <c r="Q191" s="698" t="str">
        <f t="array" ref="Q191">IFERROR(INDEX(UtilityList!K$4:K$251,MATCH('Table 2.4a'!$A191&amp;'Table 2.4a'!$B191&amp;'Table 2.4a'!$C191,UtilityList!$A$4:$A$251&amp;UtilityList!$B$4:$B$251&amp;UtilityList!$C$4:$C$251,0)), INDEX(UtilityList!K$4:K$251,MATCH('Table 2.4a'!$A191&amp;'Table 2.4a'!$C191,UtilityList!$A$4:$A$251&amp;UtilityList!$C$4:$C$251,0)))</f>
        <v>North Slope</v>
      </c>
      <c r="R191" s="698" t="str">
        <f t="array" ref="R191">IFERROR(INDEX(UtilityList!L$4:L$251,MATCH('Table 2.4a'!$A191&amp;'Table 2.4a'!$B191&amp;'Table 2.4a'!$C191,UtilityList!$A$4:$A$251&amp;UtilityList!$B$4:$B$251&amp;UtilityList!$C$4:$C$251,0)), INDEX(UtilityList!L$4:L$251,MATCH('Table 2.4a'!$A191&amp;'Table 2.4a'!$C191,UtilityList!$A$4:$A$251&amp;UtilityList!$C$4:$C$251,0)))</f>
        <v>Arctic Slope</v>
      </c>
      <c r="S191" s="698" t="str">
        <f t="array" ref="S191">IFERROR(INDEX(UtilityList!M$4:M$251,MATCH('Table 2.4a'!$A191&amp;'Table 2.4a'!$B191&amp;'Table 2.4a'!$C191,UtilityList!$A$4:$A$251&amp;UtilityList!$B$4:$B$251&amp;UtilityList!$C$4:$C$251,0)), INDEX(UtilityList!M$4:M$251,MATCH('Table 2.4a'!$A191&amp;'Table 2.4a'!$C191,UtilityList!$A$4:$A$251&amp;UtilityList!$C$4:$C$251,0)))</f>
        <v>AN</v>
      </c>
    </row>
    <row r="192" spans="1:19" s="126" customFormat="1" ht="30" x14ac:dyDescent="0.25">
      <c r="A192" s="352" t="s">
        <v>277</v>
      </c>
      <c r="B192" s="352" t="s">
        <v>284</v>
      </c>
      <c r="C192" s="352" t="s">
        <v>284</v>
      </c>
      <c r="D192" s="685" t="s">
        <v>545</v>
      </c>
      <c r="E192" s="685" t="s">
        <v>546</v>
      </c>
      <c r="F192" s="694">
        <f t="shared" si="9"/>
        <v>21352.295999999998</v>
      </c>
      <c r="G192" s="694">
        <f t="shared" si="8"/>
        <v>68234.544000000009</v>
      </c>
      <c r="H192" s="699">
        <v>73.150000000000006</v>
      </c>
      <c r="I192" s="694">
        <f t="shared" si="10"/>
        <v>4991.3568936000011</v>
      </c>
      <c r="J192" s="696">
        <f t="shared" si="11"/>
        <v>0.31292501932745376</v>
      </c>
      <c r="K192" s="697">
        <v>6258</v>
      </c>
      <c r="L192" s="697">
        <v>490896</v>
      </c>
      <c r="M192" s="790">
        <v>0.13900000000000001</v>
      </c>
      <c r="N192" s="662" t="s">
        <v>558</v>
      </c>
      <c r="O192" s="698">
        <f t="array" ref="O192">INDEX(UtilityList!Q$4:Q$251,MATCH('Table 2.4a'!$A192&amp;'Table 2.4a'!$B192&amp;'Table 2.4a'!$C192,UtilityList!$A$4:$A$251&amp;UtilityList!$B$4:$B$251&amp;UtilityList!$C$4:$C$251,0))</f>
        <v>0</v>
      </c>
      <c r="P192" s="698" t="str">
        <f t="array" ref="P192">IFERROR(INDEX(UtilityList!J$4:J$251,MATCH('Table 2.4a'!$A192&amp;'Table 2.4a'!$B192&amp;'Table 2.4a'!$C192,UtilityList!$A$4:$A$251&amp;UtilityList!$B$4:$B$251&amp;UtilityList!$C$4:$C$251,0)), INDEX(UtilityList!J$4:J$251,MATCH('Table 2.4a'!$A192&amp;'Table 2.4a'!$C192,UtilityList!$A$4:$A$251&amp;UtilityList!$C$4:$C$251,0)))</f>
        <v>North Slope</v>
      </c>
      <c r="Q192" s="698" t="str">
        <f t="array" ref="Q192">IFERROR(INDEX(UtilityList!K$4:K$251,MATCH('Table 2.4a'!$A192&amp;'Table 2.4a'!$B192&amp;'Table 2.4a'!$C192,UtilityList!$A$4:$A$251&amp;UtilityList!$B$4:$B$251&amp;UtilityList!$C$4:$C$251,0)), INDEX(UtilityList!K$4:K$251,MATCH('Table 2.4a'!$A192&amp;'Table 2.4a'!$C192,UtilityList!$A$4:$A$251&amp;UtilityList!$C$4:$C$251,0)))</f>
        <v>North Slope</v>
      </c>
      <c r="R192" s="698" t="str">
        <f t="array" ref="R192">IFERROR(INDEX(UtilityList!L$4:L$251,MATCH('Table 2.4a'!$A192&amp;'Table 2.4a'!$B192&amp;'Table 2.4a'!$C192,UtilityList!$A$4:$A$251&amp;UtilityList!$B$4:$B$251&amp;UtilityList!$C$4:$C$251,0)), INDEX(UtilityList!L$4:L$251,MATCH('Table 2.4a'!$A192&amp;'Table 2.4a'!$C192,UtilityList!$A$4:$A$251&amp;UtilityList!$C$4:$C$251,0)))</f>
        <v>Arctic Slope</v>
      </c>
      <c r="S192" s="698" t="str">
        <f t="array" ref="S192">IFERROR(INDEX(UtilityList!M$4:M$251,MATCH('Table 2.4a'!$A192&amp;'Table 2.4a'!$B192&amp;'Table 2.4a'!$C192,UtilityList!$A$4:$A$251&amp;UtilityList!$B$4:$B$251&amp;UtilityList!$C$4:$C$251,0)), INDEX(UtilityList!M$4:M$251,MATCH('Table 2.4a'!$A192&amp;'Table 2.4a'!$C192,UtilityList!$A$4:$A$251&amp;UtilityList!$C$4:$C$251,0)))</f>
        <v>AN</v>
      </c>
    </row>
    <row r="193" spans="1:19" s="87" customFormat="1" ht="30" x14ac:dyDescent="0.25">
      <c r="A193" s="678" t="s">
        <v>285</v>
      </c>
      <c r="B193" s="361" t="s">
        <v>521</v>
      </c>
      <c r="C193" s="679" t="s">
        <v>286</v>
      </c>
      <c r="D193" s="680" t="s">
        <v>545</v>
      </c>
      <c r="E193" s="680" t="s">
        <v>546</v>
      </c>
      <c r="F193" s="694">
        <f t="shared" si="9"/>
        <v>2829.3975879999998</v>
      </c>
      <c r="G193" s="694">
        <f t="shared" si="8"/>
        <v>9431.0110000000004</v>
      </c>
      <c r="H193" s="695">
        <v>73.150000000000006</v>
      </c>
      <c r="I193" s="694">
        <f t="shared" si="10"/>
        <v>689.87845465000009</v>
      </c>
      <c r="J193" s="696">
        <f t="shared" si="11"/>
        <v>0.30000999765560654</v>
      </c>
      <c r="K193" s="697">
        <v>829.24900000000002</v>
      </c>
      <c r="L193" s="697">
        <v>67849</v>
      </c>
      <c r="M193" s="790">
        <v>0.13900000000000001</v>
      </c>
      <c r="N193" s="658" t="s">
        <v>356</v>
      </c>
      <c r="O193" s="698">
        <f t="array" ref="O193">INDEX(UtilityList!Q$4:Q$251,MATCH('Table 2.4a'!$A193&amp;'Table 2.4a'!$B193&amp;'Table 2.4a'!$C193,UtilityList!$A$4:$A$251&amp;UtilityList!$B$4:$B$251&amp;UtilityList!$C$4:$C$251,0))</f>
        <v>0</v>
      </c>
      <c r="P193" s="698" t="str">
        <f t="array" ref="P193">IFERROR(INDEX(UtilityList!J$4:J$251,MATCH('Table 2.4a'!$A193&amp;'Table 2.4a'!$B193&amp;'Table 2.4a'!$C193,UtilityList!$A$4:$A$251&amp;UtilityList!$B$4:$B$251&amp;UtilityList!$C$4:$C$251,0)), INDEX(UtilityList!J$4:J$251,MATCH('Table 2.4a'!$A193&amp;'Table 2.4a'!$C193,UtilityList!$A$4:$A$251&amp;UtilityList!$C$4:$C$251,0)))</f>
        <v>Lower Yukon-Kuskokwim</v>
      </c>
      <c r="Q193" s="698" t="str">
        <f t="array" ref="Q193">IFERROR(INDEX(UtilityList!K$4:K$251,MATCH('Table 2.4a'!$A193&amp;'Table 2.4a'!$B193&amp;'Table 2.4a'!$C193,UtilityList!$A$4:$A$251&amp;UtilityList!$B$4:$B$251&amp;UtilityList!$C$4:$C$251,0)), INDEX(UtilityList!K$4:K$251,MATCH('Table 2.4a'!$A193&amp;'Table 2.4a'!$C193,UtilityList!$A$4:$A$251&amp;UtilityList!$C$4:$C$251,0)))</f>
        <v>Wade Hampton (CA)</v>
      </c>
      <c r="R193" s="698" t="str">
        <f t="array" ref="R193">IFERROR(INDEX(UtilityList!L$4:L$251,MATCH('Table 2.4a'!$A193&amp;'Table 2.4a'!$B193&amp;'Table 2.4a'!$C193,UtilityList!$A$4:$A$251&amp;UtilityList!$B$4:$B$251&amp;UtilityList!$C$4:$C$251,0)), INDEX(UtilityList!L$4:L$251,MATCH('Table 2.4a'!$A193&amp;'Table 2.4a'!$C193,UtilityList!$A$4:$A$251&amp;UtilityList!$C$4:$C$251,0)))</f>
        <v>Calista</v>
      </c>
      <c r="S193" s="698" t="str">
        <f t="array" ref="S193">IFERROR(INDEX(UtilityList!M$4:M$251,MATCH('Table 2.4a'!$A193&amp;'Table 2.4a'!$B193&amp;'Table 2.4a'!$C193,UtilityList!$A$4:$A$251&amp;UtilityList!$B$4:$B$251&amp;UtilityList!$C$4:$C$251,0)), INDEX(UtilityList!M$4:M$251,MATCH('Table 2.4a'!$A193&amp;'Table 2.4a'!$C193,UtilityList!$A$4:$A$251&amp;UtilityList!$C$4:$C$251,0)))</f>
        <v>YU</v>
      </c>
    </row>
    <row r="194" spans="1:19" s="87" customFormat="1" ht="45" x14ac:dyDescent="0.25">
      <c r="A194" s="678" t="s">
        <v>536</v>
      </c>
      <c r="B194" s="361" t="s">
        <v>287</v>
      </c>
      <c r="C194" s="679" t="s">
        <v>687</v>
      </c>
      <c r="D194" s="680" t="s">
        <v>545</v>
      </c>
      <c r="E194" s="680" t="s">
        <v>546</v>
      </c>
      <c r="F194" s="694">
        <f t="shared" si="9"/>
        <v>64145.599999999999</v>
      </c>
      <c r="G194" s="694">
        <f t="shared" si="8"/>
        <v>177464.77500000002</v>
      </c>
      <c r="H194" s="695">
        <v>73.150000000000006</v>
      </c>
      <c r="I194" s="694">
        <f t="shared" si="10"/>
        <v>12981.548291250003</v>
      </c>
      <c r="J194" s="696">
        <f t="shared" si="11"/>
        <v>0.3614553930491276</v>
      </c>
      <c r="K194" s="697">
        <v>18800</v>
      </c>
      <c r="L194" s="697">
        <v>1276725</v>
      </c>
      <c r="M194" s="790">
        <v>0.13900000000000001</v>
      </c>
      <c r="N194" s="658" t="s">
        <v>356</v>
      </c>
      <c r="O194" s="698" t="str">
        <f t="array" ref="O194">INDEX(UtilityList!Q$4:Q$251,MATCH('Table 2.4a'!$A194&amp;'Table 2.4a'!$B194&amp;'Table 2.4a'!$C194,UtilityList!$A$4:$A$251&amp;UtilityList!$B$4:$B$251&amp;UtilityList!$C$4:$C$251,0))</f>
        <v>Provides power to Aleknagik via intertie. Data includes Aleknagik's information.</v>
      </c>
      <c r="P194" s="698" t="str">
        <f t="array" ref="P194">IFERROR(INDEX(UtilityList!J$4:J$251,MATCH('Table 2.4a'!$A194&amp;'Table 2.4a'!$B194&amp;'Table 2.4a'!$C194,UtilityList!$A$4:$A$251&amp;UtilityList!$B$4:$B$251&amp;UtilityList!$C$4:$C$251,0)), INDEX(UtilityList!J$4:J$251,MATCH('Table 2.4a'!$A194&amp;'Table 2.4a'!$C194,UtilityList!$A$4:$A$251&amp;UtilityList!$C$4:$C$251,0)))</f>
        <v>Bristol Bay</v>
      </c>
      <c r="Q194" s="698" t="str">
        <f t="array" ref="Q194">IFERROR(INDEX(UtilityList!K$4:K$251,MATCH('Table 2.4a'!$A194&amp;'Table 2.4a'!$B194&amp;'Table 2.4a'!$C194,UtilityList!$A$4:$A$251&amp;UtilityList!$B$4:$B$251&amp;UtilityList!$C$4:$C$251,0)), INDEX(UtilityList!K$4:K$251,MATCH('Table 2.4a'!$A194&amp;'Table 2.4a'!$C194,UtilityList!$A$4:$A$251&amp;UtilityList!$C$4:$C$251,0)))</f>
        <v>Dillingham (CA)</v>
      </c>
      <c r="R194" s="698" t="str">
        <f t="array" ref="R194">IFERROR(INDEX(UtilityList!L$4:L$251,MATCH('Table 2.4a'!$A194&amp;'Table 2.4a'!$B194&amp;'Table 2.4a'!$C194,UtilityList!$A$4:$A$251&amp;UtilityList!$B$4:$B$251&amp;UtilityList!$C$4:$C$251,0)), INDEX(UtilityList!L$4:L$251,MATCH('Table 2.4a'!$A194&amp;'Table 2.4a'!$C194,UtilityList!$A$4:$A$251&amp;UtilityList!$C$4:$C$251,0)))</f>
        <v>Bristol Bay</v>
      </c>
      <c r="S194" s="698" t="str">
        <f t="array" ref="S194">IFERROR(INDEX(UtilityList!M$4:M$251,MATCH('Table 2.4a'!$A194&amp;'Table 2.4a'!$B194&amp;'Table 2.4a'!$C194,UtilityList!$A$4:$A$251&amp;UtilityList!$B$4:$B$251&amp;UtilityList!$C$4:$C$251,0)), INDEX(UtilityList!M$4:M$251,MATCH('Table 2.4a'!$A194&amp;'Table 2.4a'!$C194,UtilityList!$A$4:$A$251&amp;UtilityList!$C$4:$C$251,0)))</f>
        <v>SW</v>
      </c>
    </row>
    <row r="195" spans="1:19" s="87" customFormat="1" ht="15" x14ac:dyDescent="0.25">
      <c r="A195" s="678" t="s">
        <v>288</v>
      </c>
      <c r="B195" s="361" t="s">
        <v>289</v>
      </c>
      <c r="C195" s="679" t="s">
        <v>289</v>
      </c>
      <c r="D195" s="680" t="s">
        <v>545</v>
      </c>
      <c r="E195" s="680" t="s">
        <v>546</v>
      </c>
      <c r="F195" s="694">
        <f t="shared" si="9"/>
        <v>1121.9338399999999</v>
      </c>
      <c r="G195" s="694">
        <f t="shared" si="8"/>
        <v>3635.1280000000002</v>
      </c>
      <c r="H195" s="695">
        <v>73.150000000000006</v>
      </c>
      <c r="I195" s="694">
        <f t="shared" si="10"/>
        <v>265.90961320000002</v>
      </c>
      <c r="J195" s="696">
        <f t="shared" si="11"/>
        <v>0.30863668074411682</v>
      </c>
      <c r="K195" s="697">
        <v>328.82</v>
      </c>
      <c r="L195" s="697">
        <v>26152</v>
      </c>
      <c r="M195" s="790">
        <v>0.13900000000000001</v>
      </c>
      <c r="N195" s="658" t="s">
        <v>356</v>
      </c>
      <c r="O195" s="698">
        <f t="array" ref="O195">INDEX(UtilityList!Q$4:Q$251,MATCH('Table 2.4a'!$A195&amp;'Table 2.4a'!$B195&amp;'Table 2.4a'!$C195,UtilityList!$A$4:$A$251&amp;UtilityList!$B$4:$B$251&amp;UtilityList!$C$4:$C$251,0))</f>
        <v>0</v>
      </c>
      <c r="P195" s="698" t="str">
        <f t="array" ref="P195">IFERROR(INDEX(UtilityList!J$4:J$251,MATCH('Table 2.4a'!$A195&amp;'Table 2.4a'!$B195&amp;'Table 2.4a'!$C195,UtilityList!$A$4:$A$251&amp;UtilityList!$B$4:$B$251&amp;UtilityList!$C$4:$C$251,0)), INDEX(UtilityList!J$4:J$251,MATCH('Table 2.4a'!$A195&amp;'Table 2.4a'!$C195,UtilityList!$A$4:$A$251&amp;UtilityList!$C$4:$C$251,0)))</f>
        <v>Kodiak</v>
      </c>
      <c r="Q195" s="698" t="str">
        <f t="array" ref="Q195">IFERROR(INDEX(UtilityList!K$4:K$251,MATCH('Table 2.4a'!$A195&amp;'Table 2.4a'!$B195&amp;'Table 2.4a'!$C195,UtilityList!$A$4:$A$251&amp;UtilityList!$B$4:$B$251&amp;UtilityList!$C$4:$C$251,0)), INDEX(UtilityList!K$4:K$251,MATCH('Table 2.4a'!$A195&amp;'Table 2.4a'!$C195,UtilityList!$A$4:$A$251&amp;UtilityList!$C$4:$C$251,0)))</f>
        <v>Kodiak Island</v>
      </c>
      <c r="R195" s="698" t="str">
        <f t="array" ref="R195">IFERROR(INDEX(UtilityList!L$4:L$251,MATCH('Table 2.4a'!$A195&amp;'Table 2.4a'!$B195&amp;'Table 2.4a'!$C195,UtilityList!$A$4:$A$251&amp;UtilityList!$B$4:$B$251&amp;UtilityList!$C$4:$C$251,0)), INDEX(UtilityList!L$4:L$251,MATCH('Table 2.4a'!$A195&amp;'Table 2.4a'!$C195,UtilityList!$A$4:$A$251&amp;UtilityList!$C$4:$C$251,0)))</f>
        <v>Koniag</v>
      </c>
      <c r="S195" s="698" t="str">
        <f t="array" ref="S195">IFERROR(INDEX(UtilityList!M$4:M$251,MATCH('Table 2.4a'!$A195&amp;'Table 2.4a'!$B195&amp;'Table 2.4a'!$C195,UtilityList!$A$4:$A$251&amp;UtilityList!$B$4:$B$251&amp;UtilityList!$C$4:$C$251,0)), INDEX(UtilityList!M$4:M$251,MATCH('Table 2.4a'!$A195&amp;'Table 2.4a'!$C195,UtilityList!$A$4:$A$251&amp;UtilityList!$C$4:$C$251,0)))</f>
        <v>SC</v>
      </c>
    </row>
    <row r="196" spans="1:19" s="87" customFormat="1" ht="30" x14ac:dyDescent="0.25">
      <c r="A196" s="678" t="s">
        <v>290</v>
      </c>
      <c r="B196" s="361" t="s">
        <v>291</v>
      </c>
      <c r="C196" s="679" t="s">
        <v>291</v>
      </c>
      <c r="D196" s="680" t="s">
        <v>545</v>
      </c>
      <c r="E196" s="680" t="s">
        <v>546</v>
      </c>
      <c r="F196" s="694">
        <f t="shared" si="9"/>
        <v>722.61724400000003</v>
      </c>
      <c r="G196" s="694">
        <f t="shared" si="8"/>
        <v>2712.4460000000004</v>
      </c>
      <c r="H196" s="695">
        <v>73.150000000000006</v>
      </c>
      <c r="I196" s="694">
        <f t="shared" si="10"/>
        <v>198.41542490000003</v>
      </c>
      <c r="J196" s="696">
        <f t="shared" si="11"/>
        <v>0.26640797420483209</v>
      </c>
      <c r="K196" s="697">
        <v>211.78700000000001</v>
      </c>
      <c r="L196" s="697">
        <v>19514</v>
      </c>
      <c r="M196" s="790">
        <v>0.13900000000000001</v>
      </c>
      <c r="N196" s="658" t="s">
        <v>356</v>
      </c>
      <c r="O196" s="698">
        <f t="array" ref="O196">INDEX(UtilityList!Q$4:Q$251,MATCH('Table 2.4a'!$A196&amp;'Table 2.4a'!$B196&amp;'Table 2.4a'!$C196,UtilityList!$A$4:$A$251&amp;UtilityList!$B$4:$B$251&amp;UtilityList!$C$4:$C$251,0))</f>
        <v>0</v>
      </c>
      <c r="P196" s="698" t="str">
        <f t="array" ref="P196">IFERROR(INDEX(UtilityList!J$4:J$251,MATCH('Table 2.4a'!$A196&amp;'Table 2.4a'!$B196&amp;'Table 2.4a'!$C196,UtilityList!$A$4:$A$251&amp;UtilityList!$B$4:$B$251&amp;UtilityList!$C$4:$C$251,0)), INDEX(UtilityList!J$4:J$251,MATCH('Table 2.4a'!$A196&amp;'Table 2.4a'!$C196,UtilityList!$A$4:$A$251&amp;UtilityList!$C$4:$C$251,0)))</f>
        <v>Bristol Bay</v>
      </c>
      <c r="Q196" s="698" t="str">
        <f t="array" ref="Q196">IFERROR(INDEX(UtilityList!K$4:K$251,MATCH('Table 2.4a'!$A196&amp;'Table 2.4a'!$B196&amp;'Table 2.4a'!$C196,UtilityList!$A$4:$A$251&amp;UtilityList!$B$4:$B$251&amp;UtilityList!$C$4:$C$251,0)), INDEX(UtilityList!K$4:K$251,MATCH('Table 2.4a'!$A196&amp;'Table 2.4a'!$C196,UtilityList!$A$4:$A$251&amp;UtilityList!$C$4:$C$251,0)))</f>
        <v>Lake and Peninsula</v>
      </c>
      <c r="R196" s="698" t="str">
        <f t="array" ref="R196">IFERROR(INDEX(UtilityList!L$4:L$251,MATCH('Table 2.4a'!$A196&amp;'Table 2.4a'!$B196&amp;'Table 2.4a'!$C196,UtilityList!$A$4:$A$251&amp;UtilityList!$B$4:$B$251&amp;UtilityList!$C$4:$C$251,0)), INDEX(UtilityList!L$4:L$251,MATCH('Table 2.4a'!$A196&amp;'Table 2.4a'!$C196,UtilityList!$A$4:$A$251&amp;UtilityList!$C$4:$C$251,0)))</f>
        <v>Bristol Bay</v>
      </c>
      <c r="S196" s="698" t="str">
        <f t="array" ref="S196">IFERROR(INDEX(UtilityList!M$4:M$251,MATCH('Table 2.4a'!$A196&amp;'Table 2.4a'!$B196&amp;'Table 2.4a'!$C196,UtilityList!$A$4:$A$251&amp;UtilityList!$B$4:$B$251&amp;UtilityList!$C$4:$C$251,0)), INDEX(UtilityList!M$4:M$251,MATCH('Table 2.4a'!$A196&amp;'Table 2.4a'!$C196,UtilityList!$A$4:$A$251&amp;UtilityList!$C$4:$C$251,0)))</f>
        <v>SW</v>
      </c>
    </row>
    <row r="197" spans="1:19" customFormat="1" ht="30" x14ac:dyDescent="0.25">
      <c r="A197" s="678" t="s">
        <v>292</v>
      </c>
      <c r="B197" s="361" t="s">
        <v>293</v>
      </c>
      <c r="C197" s="679" t="s">
        <v>293</v>
      </c>
      <c r="D197" s="680" t="s">
        <v>545</v>
      </c>
      <c r="E197" s="680" t="s">
        <v>546</v>
      </c>
      <c r="F197" s="694">
        <f t="shared" si="9"/>
        <v>2724.4888239999996</v>
      </c>
      <c r="G197" s="694">
        <f t="shared" si="8"/>
        <v>9261.7090000000007</v>
      </c>
      <c r="H197" s="695">
        <v>73.150000000000006</v>
      </c>
      <c r="I197" s="694">
        <f t="shared" si="10"/>
        <v>677.49401335000016</v>
      </c>
      <c r="J197" s="696">
        <f t="shared" si="11"/>
        <v>0.29416696464982861</v>
      </c>
      <c r="K197" s="697">
        <v>798.50199999999995</v>
      </c>
      <c r="L197" s="697">
        <v>66631</v>
      </c>
      <c r="M197" s="790">
        <v>0.13900000000000001</v>
      </c>
      <c r="N197" s="658" t="s">
        <v>356</v>
      </c>
      <c r="O197" s="698">
        <f t="array" ref="O197">INDEX(UtilityList!Q$4:Q$251,MATCH('Table 2.4a'!$A197&amp;'Table 2.4a'!$B197&amp;'Table 2.4a'!$C197,UtilityList!$A$4:$A$251&amp;UtilityList!$B$4:$B$251&amp;UtilityList!$C$4:$C$251,0))</f>
        <v>0</v>
      </c>
      <c r="P197" s="698" t="str">
        <f t="array" ref="P197">IFERROR(INDEX(UtilityList!J$4:J$251,MATCH('Table 2.4a'!$A197&amp;'Table 2.4a'!$B197&amp;'Table 2.4a'!$C197,UtilityList!$A$4:$A$251&amp;UtilityList!$B$4:$B$251&amp;UtilityList!$C$4:$C$251,0)), INDEX(UtilityList!J$4:J$251,MATCH('Table 2.4a'!$A197&amp;'Table 2.4a'!$C197,UtilityList!$A$4:$A$251&amp;UtilityList!$C$4:$C$251,0)))</f>
        <v>Southeast</v>
      </c>
      <c r="Q197" s="698" t="str">
        <f t="array" ref="Q197">IFERROR(INDEX(UtilityList!K$4:K$251,MATCH('Table 2.4a'!$A197&amp;'Table 2.4a'!$B197&amp;'Table 2.4a'!$C197,UtilityList!$A$4:$A$251&amp;UtilityList!$B$4:$B$251&amp;UtilityList!$C$4:$C$251,0)), INDEX(UtilityList!K$4:K$251,MATCH('Table 2.4a'!$A197&amp;'Table 2.4a'!$C197,UtilityList!$A$4:$A$251&amp;UtilityList!$C$4:$C$251,0)))</f>
        <v>Hoonah-Angoon (CA)</v>
      </c>
      <c r="R197" s="698" t="str">
        <f t="array" ref="R197">IFERROR(INDEX(UtilityList!L$4:L$251,MATCH('Table 2.4a'!$A197&amp;'Table 2.4a'!$B197&amp;'Table 2.4a'!$C197,UtilityList!$A$4:$A$251&amp;UtilityList!$B$4:$B$251&amp;UtilityList!$C$4:$C$251,0)), INDEX(UtilityList!L$4:L$251,MATCH('Table 2.4a'!$A197&amp;'Table 2.4a'!$C197,UtilityList!$A$4:$A$251&amp;UtilityList!$C$4:$C$251,0)))</f>
        <v>Sealaska</v>
      </c>
      <c r="S197" s="698" t="str">
        <f t="array" ref="S197">IFERROR(INDEX(UtilityList!M$4:M$251,MATCH('Table 2.4a'!$A197&amp;'Table 2.4a'!$B197&amp;'Table 2.4a'!$C197,UtilityList!$A$4:$A$251&amp;UtilityList!$B$4:$B$251&amp;UtilityList!$C$4:$C$251,0)), INDEX(UtilityList!M$4:M$251,MATCH('Table 2.4a'!$A197&amp;'Table 2.4a'!$C197,UtilityList!$A$4:$A$251&amp;UtilityList!$C$4:$C$251,0)))</f>
        <v>SE</v>
      </c>
    </row>
    <row r="198" spans="1:19" s="169" customFormat="1" ht="15" x14ac:dyDescent="0.25">
      <c r="A198" s="361" t="s">
        <v>294</v>
      </c>
      <c r="B198" s="361" t="s">
        <v>522</v>
      </c>
      <c r="C198" s="361" t="s">
        <v>295</v>
      </c>
      <c r="D198" s="622" t="s">
        <v>545</v>
      </c>
      <c r="E198" s="622" t="s">
        <v>546</v>
      </c>
      <c r="F198" s="694">
        <f t="shared" si="9"/>
        <v>2067.672</v>
      </c>
      <c r="G198" s="694">
        <f t="shared" si="8"/>
        <v>6486.0180000000009</v>
      </c>
      <c r="H198" s="695">
        <v>73.150000000000006</v>
      </c>
      <c r="I198" s="694">
        <f t="shared" si="10"/>
        <v>474.45221670000012</v>
      </c>
      <c r="J198" s="696">
        <f t="shared" si="11"/>
        <v>0.31878912454452019</v>
      </c>
      <c r="K198" s="697">
        <v>606</v>
      </c>
      <c r="L198" s="697">
        <v>46662</v>
      </c>
      <c r="M198" s="790">
        <v>0.13900000000000001</v>
      </c>
      <c r="N198" s="658" t="s">
        <v>558</v>
      </c>
      <c r="O198" s="698">
        <f t="array" ref="O198">INDEX(UtilityList!Q$4:Q$251,MATCH('Table 2.4a'!$A198&amp;'Table 2.4a'!$B198&amp;'Table 2.4a'!$C198,UtilityList!$A$4:$A$251&amp;UtilityList!$B$4:$B$251&amp;UtilityList!$C$4:$C$251,0))</f>
        <v>0</v>
      </c>
      <c r="P198" s="698" t="str">
        <f t="array" ref="P198">IFERROR(INDEX(UtilityList!J$4:J$251,MATCH('Table 2.4a'!$A198&amp;'Table 2.4a'!$B198&amp;'Table 2.4a'!$C198,UtilityList!$A$4:$A$251&amp;UtilityList!$B$4:$B$251&amp;UtilityList!$C$4:$C$251,0)), INDEX(UtilityList!J$4:J$251,MATCH('Table 2.4a'!$A198&amp;'Table 2.4a'!$C198,UtilityList!$A$4:$A$251&amp;UtilityList!$C$4:$C$251,0)))</f>
        <v>Southeast</v>
      </c>
      <c r="Q198" s="698" t="str">
        <f t="array" ref="Q198">IFERROR(INDEX(UtilityList!K$4:K$251,MATCH('Table 2.4a'!$A198&amp;'Table 2.4a'!$B198&amp;'Table 2.4a'!$C198,UtilityList!$A$4:$A$251&amp;UtilityList!$B$4:$B$251&amp;UtilityList!$C$4:$C$251,0)), INDEX(UtilityList!K$4:K$251,MATCH('Table 2.4a'!$A198&amp;'Table 2.4a'!$C198,UtilityList!$A$4:$A$251&amp;UtilityList!$C$4:$C$251,0)))</f>
        <v>Petersburg (CA)</v>
      </c>
      <c r="R198" s="698" t="str">
        <f t="array" ref="R198">IFERROR(INDEX(UtilityList!L$4:L$251,MATCH('Table 2.4a'!$A198&amp;'Table 2.4a'!$B198&amp;'Table 2.4a'!$C198,UtilityList!$A$4:$A$251&amp;UtilityList!$B$4:$B$251&amp;UtilityList!$C$4:$C$251,0)), INDEX(UtilityList!L$4:L$251,MATCH('Table 2.4a'!$A198&amp;'Table 2.4a'!$C198,UtilityList!$A$4:$A$251&amp;UtilityList!$C$4:$C$251,0)))</f>
        <v>Sealaska</v>
      </c>
      <c r="S198" s="698" t="str">
        <f t="array" ref="S198">IFERROR(INDEX(UtilityList!M$4:M$251,MATCH('Table 2.4a'!$A198&amp;'Table 2.4a'!$B198&amp;'Table 2.4a'!$C198,UtilityList!$A$4:$A$251&amp;UtilityList!$B$4:$B$251&amp;UtilityList!$C$4:$C$251,0)), INDEX(UtilityList!M$4:M$251,MATCH('Table 2.4a'!$A198&amp;'Table 2.4a'!$C198,UtilityList!$A$4:$A$251&amp;UtilityList!$C$4:$C$251,0)))</f>
        <v>SE</v>
      </c>
    </row>
    <row r="199" spans="1:19" s="87" customFormat="1" ht="30" x14ac:dyDescent="0.25">
      <c r="A199" s="678" t="s">
        <v>296</v>
      </c>
      <c r="B199" s="361" t="s">
        <v>297</v>
      </c>
      <c r="C199" s="679" t="s">
        <v>297</v>
      </c>
      <c r="D199" s="680" t="s">
        <v>545</v>
      </c>
      <c r="E199" s="680" t="s">
        <v>546</v>
      </c>
      <c r="F199" s="694">
        <f t="shared" si="9"/>
        <v>1511.802608</v>
      </c>
      <c r="G199" s="694">
        <f t="shared" si="8"/>
        <v>6142.6880000000001</v>
      </c>
      <c r="H199" s="695">
        <v>73.150000000000006</v>
      </c>
      <c r="I199" s="694">
        <f t="shared" si="10"/>
        <v>449.33762720000004</v>
      </c>
      <c r="J199" s="696">
        <f t="shared" si="11"/>
        <v>0.24611417802759963</v>
      </c>
      <c r="K199" s="697">
        <v>443.084</v>
      </c>
      <c r="L199" s="697">
        <v>44192</v>
      </c>
      <c r="M199" s="790">
        <v>0.13900000000000001</v>
      </c>
      <c r="N199" s="658" t="s">
        <v>356</v>
      </c>
      <c r="O199" s="698">
        <f t="array" ref="O199">INDEX(UtilityList!Q$4:Q$251,MATCH('Table 2.4a'!$A199&amp;'Table 2.4a'!$B199&amp;'Table 2.4a'!$C199,UtilityList!$A$4:$A$251&amp;UtilityList!$B$4:$B$251&amp;UtilityList!$C$4:$C$251,0))</f>
        <v>0</v>
      </c>
      <c r="P199" s="698" t="str">
        <f t="array" ref="P199">IFERROR(INDEX(UtilityList!J$4:J$251,MATCH('Table 2.4a'!$A199&amp;'Table 2.4a'!$B199&amp;'Table 2.4a'!$C199,UtilityList!$A$4:$A$251&amp;UtilityList!$B$4:$B$251&amp;UtilityList!$C$4:$C$251,0)), INDEX(UtilityList!J$4:J$251,MATCH('Table 2.4a'!$A199&amp;'Table 2.4a'!$C199,UtilityList!$A$4:$A$251&amp;UtilityList!$C$4:$C$251,0)))</f>
        <v>Bristol Bay</v>
      </c>
      <c r="Q199" s="698" t="str">
        <f t="array" ref="Q199">IFERROR(INDEX(UtilityList!K$4:K$251,MATCH('Table 2.4a'!$A199&amp;'Table 2.4a'!$B199&amp;'Table 2.4a'!$C199,UtilityList!$A$4:$A$251&amp;UtilityList!$B$4:$B$251&amp;UtilityList!$C$4:$C$251,0)), INDEX(UtilityList!K$4:K$251,MATCH('Table 2.4a'!$A199&amp;'Table 2.4a'!$C199,UtilityList!$A$4:$A$251&amp;UtilityList!$C$4:$C$251,0)))</f>
        <v>Lake and Peninsula</v>
      </c>
      <c r="R199" s="698" t="str">
        <f t="array" ref="R199">IFERROR(INDEX(UtilityList!L$4:L$251,MATCH('Table 2.4a'!$A199&amp;'Table 2.4a'!$B199&amp;'Table 2.4a'!$C199,UtilityList!$A$4:$A$251&amp;UtilityList!$B$4:$B$251&amp;UtilityList!$C$4:$C$251,0)), INDEX(UtilityList!L$4:L$251,MATCH('Table 2.4a'!$A199&amp;'Table 2.4a'!$C199,UtilityList!$A$4:$A$251&amp;UtilityList!$C$4:$C$251,0)))</f>
        <v>Bristol Bay</v>
      </c>
      <c r="S199" s="698" t="str">
        <f t="array" ref="S199">IFERROR(INDEX(UtilityList!M$4:M$251,MATCH('Table 2.4a'!$A199&amp;'Table 2.4a'!$B199&amp;'Table 2.4a'!$C199,UtilityList!$A$4:$A$251&amp;UtilityList!$B$4:$B$251&amp;UtilityList!$C$4:$C$251,0)), INDEX(UtilityList!M$4:M$251,MATCH('Table 2.4a'!$A199&amp;'Table 2.4a'!$C199,UtilityList!$A$4:$A$251&amp;UtilityList!$C$4:$C$251,0)))</f>
        <v>SW</v>
      </c>
    </row>
    <row r="200" spans="1:19" customFormat="1" ht="30" x14ac:dyDescent="0.25">
      <c r="A200" s="678" t="s">
        <v>300</v>
      </c>
      <c r="B200" s="361" t="s">
        <v>301</v>
      </c>
      <c r="C200" s="654" t="s">
        <v>301</v>
      </c>
      <c r="D200" s="680" t="s">
        <v>545</v>
      </c>
      <c r="E200" s="680" t="s">
        <v>546</v>
      </c>
      <c r="F200" s="694">
        <f t="shared" si="9"/>
        <v>357.17498399999999</v>
      </c>
      <c r="G200" s="694">
        <f t="shared" si="8"/>
        <v>7998.4770000000017</v>
      </c>
      <c r="H200" s="695">
        <v>73.150000000000006</v>
      </c>
      <c r="I200" s="694">
        <f t="shared" si="10"/>
        <v>585.08859255000016</v>
      </c>
      <c r="J200" s="700">
        <f t="shared" si="11"/>
        <v>4.4655374266876047E-2</v>
      </c>
      <c r="K200" s="697">
        <v>104.682</v>
      </c>
      <c r="L200" s="697">
        <v>57543.000000000007</v>
      </c>
      <c r="M200" s="790">
        <v>0.13900000000000001</v>
      </c>
      <c r="N200" s="658" t="s">
        <v>356</v>
      </c>
      <c r="O200" s="698">
        <f t="array" ref="O200">INDEX(UtilityList!Q$4:Q$251,MATCH('Table 2.4a'!$A200&amp;'Table 2.4a'!$B200&amp;'Table 2.4a'!$C200,UtilityList!$A$4:$A$251&amp;UtilityList!$B$4:$B$251&amp;UtilityList!$C$4:$C$251,0))</f>
        <v>0</v>
      </c>
      <c r="P200" s="698" t="str">
        <f t="array" ref="P200">IFERROR(INDEX(UtilityList!J$4:J$251,MATCH('Table 2.4a'!$A200&amp;'Table 2.4a'!$B200&amp;'Table 2.4a'!$C200,UtilityList!$A$4:$A$251&amp;UtilityList!$B$4:$B$251&amp;UtilityList!$C$4:$C$251,0)), INDEX(UtilityList!J$4:J$251,MATCH('Table 2.4a'!$A200&amp;'Table 2.4a'!$C200,UtilityList!$A$4:$A$251&amp;UtilityList!$C$4:$C$251,0)))</f>
        <v>Bristol Bay</v>
      </c>
      <c r="Q200" s="698" t="str">
        <f t="array" ref="Q200">IFERROR(INDEX(UtilityList!K$4:K$251,MATCH('Table 2.4a'!$A200&amp;'Table 2.4a'!$B200&amp;'Table 2.4a'!$C200,UtilityList!$A$4:$A$251&amp;UtilityList!$B$4:$B$251&amp;UtilityList!$C$4:$C$251,0)), INDEX(UtilityList!K$4:K$251,MATCH('Table 2.4a'!$A200&amp;'Table 2.4a'!$C200,UtilityList!$A$4:$A$251&amp;UtilityList!$C$4:$C$251,0)))</f>
        <v>Lake and Peninsula</v>
      </c>
      <c r="R200" s="698" t="str">
        <f t="array" ref="R200">IFERROR(INDEX(UtilityList!L$4:L$251,MATCH('Table 2.4a'!$A200&amp;'Table 2.4a'!$B200&amp;'Table 2.4a'!$C200,UtilityList!$A$4:$A$251&amp;UtilityList!$B$4:$B$251&amp;UtilityList!$C$4:$C$251,0)), INDEX(UtilityList!L$4:L$251,MATCH('Table 2.4a'!$A200&amp;'Table 2.4a'!$C200,UtilityList!$A$4:$A$251&amp;UtilityList!$C$4:$C$251,0)))</f>
        <v>Bristol Bay</v>
      </c>
      <c r="S200" s="698" t="str">
        <f t="array" ref="S200">IFERROR(INDEX(UtilityList!M$4:M$251,MATCH('Table 2.4a'!$A200&amp;'Table 2.4a'!$B200&amp;'Table 2.4a'!$C200,UtilityList!$A$4:$A$251&amp;UtilityList!$B$4:$B$251&amp;UtilityList!$C$4:$C$251,0)), INDEX(UtilityList!M$4:M$251,MATCH('Table 2.4a'!$A200&amp;'Table 2.4a'!$C200,UtilityList!$A$4:$A$251&amp;UtilityList!$C$4:$C$251,0)))</f>
        <v>SW</v>
      </c>
    </row>
    <row r="201" spans="1:19" customFormat="1" ht="30" x14ac:dyDescent="0.25">
      <c r="A201" s="678" t="s">
        <v>302</v>
      </c>
      <c r="B201" s="361" t="s">
        <v>303</v>
      </c>
      <c r="C201" s="679" t="s">
        <v>303</v>
      </c>
      <c r="D201" s="680" t="s">
        <v>545</v>
      </c>
      <c r="E201" s="680" t="s">
        <v>546</v>
      </c>
      <c r="F201" s="694">
        <f t="shared" si="9"/>
        <v>772.50375479999991</v>
      </c>
      <c r="G201" s="694">
        <f t="shared" ref="G201:G224" si="12">L201*M201</f>
        <v>12287.183000000001</v>
      </c>
      <c r="H201" s="695">
        <v>73.150000000000006</v>
      </c>
      <c r="I201" s="694">
        <f t="shared" si="10"/>
        <v>898.80743645000018</v>
      </c>
      <c r="J201" s="700">
        <f t="shared" si="11"/>
        <v>6.2870696627534556E-2</v>
      </c>
      <c r="K201" s="697">
        <v>226.40789999999998</v>
      </c>
      <c r="L201" s="697">
        <v>88397</v>
      </c>
      <c r="M201" s="790">
        <v>0.13900000000000001</v>
      </c>
      <c r="N201" s="658" t="s">
        <v>356</v>
      </c>
      <c r="O201" s="698">
        <f t="array" ref="O201">INDEX(UtilityList!Q$4:Q$251,MATCH('Table 2.4a'!$A201&amp;'Table 2.4a'!$B201&amp;'Table 2.4a'!$C201,UtilityList!$A$4:$A$251&amp;UtilityList!$B$4:$B$251&amp;UtilityList!$C$4:$C$251,0))</f>
        <v>0</v>
      </c>
      <c r="P201" s="698" t="str">
        <f t="array" ref="P201">IFERROR(INDEX(UtilityList!J$4:J$251,MATCH('Table 2.4a'!$A201&amp;'Table 2.4a'!$B201&amp;'Table 2.4a'!$C201,UtilityList!$A$4:$A$251&amp;UtilityList!$B$4:$B$251&amp;UtilityList!$C$4:$C$251,0)), INDEX(UtilityList!J$4:J$251,MATCH('Table 2.4a'!$A201&amp;'Table 2.4a'!$C201,UtilityList!$A$4:$A$251&amp;UtilityList!$C$4:$C$251,0)))</f>
        <v>Lower Yukon-Kuskokwim</v>
      </c>
      <c r="Q201" s="698" t="str">
        <f t="array" ref="Q201">IFERROR(INDEX(UtilityList!K$4:K$251,MATCH('Table 2.4a'!$A201&amp;'Table 2.4a'!$B201&amp;'Table 2.4a'!$C201,UtilityList!$A$4:$A$251&amp;UtilityList!$B$4:$B$251&amp;UtilityList!$C$4:$C$251,0)), INDEX(UtilityList!K$4:K$251,MATCH('Table 2.4a'!$A201&amp;'Table 2.4a'!$C201,UtilityList!$A$4:$A$251&amp;UtilityList!$C$4:$C$251,0)))</f>
        <v>Bethel (CA)</v>
      </c>
      <c r="R201" s="698" t="str">
        <f t="array" ref="R201">IFERROR(INDEX(UtilityList!L$4:L$251,MATCH('Table 2.4a'!$A201&amp;'Table 2.4a'!$B201&amp;'Table 2.4a'!$C201,UtilityList!$A$4:$A$251&amp;UtilityList!$B$4:$B$251&amp;UtilityList!$C$4:$C$251,0)), INDEX(UtilityList!L$4:L$251,MATCH('Table 2.4a'!$A201&amp;'Table 2.4a'!$C201,UtilityList!$A$4:$A$251&amp;UtilityList!$C$4:$C$251,0)))</f>
        <v>Calista</v>
      </c>
      <c r="S201" s="698" t="str">
        <f t="array" ref="S201">IFERROR(INDEX(UtilityList!M$4:M$251,MATCH('Table 2.4a'!$A201&amp;'Table 2.4a'!$B201&amp;'Table 2.4a'!$C201,UtilityList!$A$4:$A$251&amp;UtilityList!$B$4:$B$251&amp;UtilityList!$C$4:$C$251,0)), INDEX(UtilityList!M$4:M$251,MATCH('Table 2.4a'!$A201&amp;'Table 2.4a'!$C201,UtilityList!$A$4:$A$251&amp;UtilityList!$C$4:$C$251,0)))</f>
        <v>SW</v>
      </c>
    </row>
    <row r="202" spans="1:19" customFormat="1" ht="45" x14ac:dyDescent="0.25">
      <c r="A202" s="678" t="s">
        <v>306</v>
      </c>
      <c r="B202" s="361" t="s">
        <v>307</v>
      </c>
      <c r="C202" s="679" t="s">
        <v>307</v>
      </c>
      <c r="D202" s="680" t="s">
        <v>545</v>
      </c>
      <c r="E202" s="680" t="s">
        <v>546</v>
      </c>
      <c r="F202" s="694">
        <f t="shared" ref="F202:F224" si="13">K202*3.412</f>
        <v>2499.5506768</v>
      </c>
      <c r="G202" s="694">
        <f t="shared" si="12"/>
        <v>7401.4720000000007</v>
      </c>
      <c r="H202" s="695">
        <v>73.150000000000006</v>
      </c>
      <c r="I202" s="694">
        <f t="shared" ref="I202:I224" si="14">(G202*H202)/1000</f>
        <v>541.41767680000009</v>
      </c>
      <c r="J202" s="696">
        <f t="shared" ref="J202:J224" si="15">IF(F202&gt;0,IFERROR(F202/G202," ")," ")</f>
        <v>0.33770994158999723</v>
      </c>
      <c r="K202" s="697">
        <v>732.57640000000004</v>
      </c>
      <c r="L202" s="697">
        <v>53248</v>
      </c>
      <c r="M202" s="790">
        <v>0.13900000000000001</v>
      </c>
      <c r="N202" s="658" t="s">
        <v>356</v>
      </c>
      <c r="O202" s="698">
        <f t="array" ref="O202">INDEX(UtilityList!Q$4:Q$251,MATCH('Table 2.4a'!$A202&amp;'Table 2.4a'!$B202&amp;'Table 2.4a'!$C202,UtilityList!$A$4:$A$251&amp;UtilityList!$B$4:$B$251&amp;UtilityList!$C$4:$C$251,0))</f>
        <v>0</v>
      </c>
      <c r="P202" s="698" t="str">
        <f t="array" ref="P202">IFERROR(INDEX(UtilityList!J$4:J$251,MATCH('Table 2.4a'!$A202&amp;'Table 2.4a'!$B202&amp;'Table 2.4a'!$C202,UtilityList!$A$4:$A$251&amp;UtilityList!$B$4:$B$251&amp;UtilityList!$C$4:$C$251,0)), INDEX(UtilityList!J$4:J$251,MATCH('Table 2.4a'!$A202&amp;'Table 2.4a'!$C202,UtilityList!$A$4:$A$251&amp;UtilityList!$C$4:$C$251,0)))</f>
        <v>Yukon-Koyukuk/Upper Tanana</v>
      </c>
      <c r="Q202" s="698" t="str">
        <f t="array" ref="Q202">IFERROR(INDEX(UtilityList!K$4:K$251,MATCH('Table 2.4a'!$A202&amp;'Table 2.4a'!$B202&amp;'Table 2.4a'!$C202,UtilityList!$A$4:$A$251&amp;UtilityList!$B$4:$B$251&amp;UtilityList!$C$4:$C$251,0)), INDEX(UtilityList!K$4:K$251,MATCH('Table 2.4a'!$A202&amp;'Table 2.4a'!$C202,UtilityList!$A$4:$A$251&amp;UtilityList!$C$4:$C$251,0)))</f>
        <v>Yukon-Koyukuk (CA)</v>
      </c>
      <c r="R202" s="698" t="str">
        <f t="array" ref="R202">IFERROR(INDEX(UtilityList!L$4:L$251,MATCH('Table 2.4a'!$A202&amp;'Table 2.4a'!$B202&amp;'Table 2.4a'!$C202,UtilityList!$A$4:$A$251&amp;UtilityList!$B$4:$B$251&amp;UtilityList!$C$4:$C$251,0)), INDEX(UtilityList!L$4:L$251,MATCH('Table 2.4a'!$A202&amp;'Table 2.4a'!$C202,UtilityList!$A$4:$A$251&amp;UtilityList!$C$4:$C$251,0)))</f>
        <v>Doyon</v>
      </c>
      <c r="S202" s="698" t="str">
        <f t="array" ref="S202">IFERROR(INDEX(UtilityList!M$4:M$251,MATCH('Table 2.4a'!$A202&amp;'Table 2.4a'!$B202&amp;'Table 2.4a'!$C202,UtilityList!$A$4:$A$251&amp;UtilityList!$B$4:$B$251&amp;UtilityList!$C$4:$C$251,0)), INDEX(UtilityList!M$4:M$251,MATCH('Table 2.4a'!$A202&amp;'Table 2.4a'!$C202,UtilityList!$A$4:$A$251&amp;UtilityList!$C$4:$C$251,0)))</f>
        <v>YU</v>
      </c>
    </row>
    <row r="203" spans="1:19" customFormat="1" ht="30" x14ac:dyDescent="0.25">
      <c r="A203" s="678" t="s">
        <v>308</v>
      </c>
      <c r="B203" s="361" t="s">
        <v>309</v>
      </c>
      <c r="C203" s="654" t="s">
        <v>309</v>
      </c>
      <c r="D203" s="680" t="s">
        <v>545</v>
      </c>
      <c r="E203" s="680" t="s">
        <v>546</v>
      </c>
      <c r="F203" s="694">
        <f t="shared" si="13"/>
        <v>1435.5375840000002</v>
      </c>
      <c r="G203" s="694">
        <f t="shared" si="12"/>
        <v>5002.6100000000006</v>
      </c>
      <c r="H203" s="695">
        <v>73.150000000000006</v>
      </c>
      <c r="I203" s="694">
        <f t="shared" si="14"/>
        <v>365.94092150000006</v>
      </c>
      <c r="J203" s="696">
        <f t="shared" si="15"/>
        <v>0.28695772486761911</v>
      </c>
      <c r="K203" s="697">
        <v>420.73200000000003</v>
      </c>
      <c r="L203" s="697">
        <v>35990</v>
      </c>
      <c r="M203" s="790">
        <v>0.13900000000000001</v>
      </c>
      <c r="N203" s="658" t="s">
        <v>356</v>
      </c>
      <c r="O203" s="698">
        <f t="array" ref="O203">INDEX(UtilityList!Q$4:Q$251,MATCH('Table 2.4a'!$A203&amp;'Table 2.4a'!$B203&amp;'Table 2.4a'!$C203,UtilityList!$A$4:$A$251&amp;UtilityList!$B$4:$B$251&amp;UtilityList!$C$4:$C$251,0))</f>
        <v>0</v>
      </c>
      <c r="P203" s="698" t="str">
        <f t="array" ref="P203">IFERROR(INDEX(UtilityList!J$4:J$251,MATCH('Table 2.4a'!$A203&amp;'Table 2.4a'!$B203&amp;'Table 2.4a'!$C203,UtilityList!$A$4:$A$251&amp;UtilityList!$B$4:$B$251&amp;UtilityList!$C$4:$C$251,0)), INDEX(UtilityList!J$4:J$251,MATCH('Table 2.4a'!$A203&amp;'Table 2.4a'!$C203,UtilityList!$A$4:$A$251&amp;UtilityList!$C$4:$C$251,0)))</f>
        <v>Aleutians</v>
      </c>
      <c r="Q203" s="698" t="str">
        <f t="array" ref="Q203">IFERROR(INDEX(UtilityList!K$4:K$251,MATCH('Table 2.4a'!$A203&amp;'Table 2.4a'!$B203&amp;'Table 2.4a'!$C203,UtilityList!$A$4:$A$251&amp;UtilityList!$B$4:$B$251&amp;UtilityList!$C$4:$C$251,0)), INDEX(UtilityList!K$4:K$251,MATCH('Table 2.4a'!$A203&amp;'Table 2.4a'!$C203,UtilityList!$A$4:$A$251&amp;UtilityList!$C$4:$C$251,0)))</f>
        <v>Aleutians West (CA)</v>
      </c>
      <c r="R203" s="698" t="str">
        <f t="array" ref="R203">IFERROR(INDEX(UtilityList!L$4:L$251,MATCH('Table 2.4a'!$A203&amp;'Table 2.4a'!$B203&amp;'Table 2.4a'!$C203,UtilityList!$A$4:$A$251&amp;UtilityList!$B$4:$B$251&amp;UtilityList!$C$4:$C$251,0)), INDEX(UtilityList!L$4:L$251,MATCH('Table 2.4a'!$A203&amp;'Table 2.4a'!$C203,UtilityList!$A$4:$A$251&amp;UtilityList!$C$4:$C$251,0)))</f>
        <v>Aleut</v>
      </c>
      <c r="S203" s="698" t="str">
        <f t="array" ref="S203">IFERROR(INDEX(UtilityList!M$4:M$251,MATCH('Table 2.4a'!$A203&amp;'Table 2.4a'!$B203&amp;'Table 2.4a'!$C203,UtilityList!$A$4:$A$251&amp;UtilityList!$B$4:$B$251&amp;UtilityList!$C$4:$C$251,0)), INDEX(UtilityList!M$4:M$251,MATCH('Table 2.4a'!$A203&amp;'Table 2.4a'!$C203,UtilityList!$A$4:$A$251&amp;UtilityList!$C$4:$C$251,0)))</f>
        <v>SW</v>
      </c>
    </row>
    <row r="204" spans="1:19" s="169" customFormat="1" ht="30" x14ac:dyDescent="0.25">
      <c r="A204" s="678" t="s">
        <v>633</v>
      </c>
      <c r="B204" s="361" t="s">
        <v>320</v>
      </c>
      <c r="C204" s="679" t="s">
        <v>320</v>
      </c>
      <c r="D204" s="680" t="s">
        <v>545</v>
      </c>
      <c r="E204" s="680" t="s">
        <v>546</v>
      </c>
      <c r="F204" s="694">
        <f t="shared" si="13"/>
        <v>14657.8667</v>
      </c>
      <c r="G204" s="694">
        <f t="shared" si="12"/>
        <v>43954.858000000007</v>
      </c>
      <c r="H204" s="695">
        <v>73.150000000000006</v>
      </c>
      <c r="I204" s="694">
        <f t="shared" si="14"/>
        <v>3215.2978627000007</v>
      </c>
      <c r="J204" s="696">
        <f t="shared" si="15"/>
        <v>0.33347546475977691</v>
      </c>
      <c r="K204" s="697">
        <v>4295.9750000000004</v>
      </c>
      <c r="L204" s="697">
        <v>316222</v>
      </c>
      <c r="M204" s="790">
        <v>0.13900000000000001</v>
      </c>
      <c r="N204" s="658" t="s">
        <v>356</v>
      </c>
      <c r="O204" s="698">
        <f t="array" ref="O204">INDEX(UtilityList!Q$4:Q$251,MATCH('Table 2.4a'!$A204&amp;'Table 2.4a'!$B204&amp;'Table 2.4a'!$C204,UtilityList!$A$4:$A$251&amp;UtilityList!$B$4:$B$251&amp;UtilityList!$C$4:$C$251,0))</f>
        <v>0</v>
      </c>
      <c r="P204" s="698" t="str">
        <f t="array" ref="P204">IFERROR(INDEX(UtilityList!J$4:J$251,MATCH('Table 2.4a'!$A204&amp;'Table 2.4a'!$B204&amp;'Table 2.4a'!$C204,UtilityList!$A$4:$A$251&amp;UtilityList!$B$4:$B$251&amp;UtilityList!$C$4:$C$251,0)), INDEX(UtilityList!J$4:J$251,MATCH('Table 2.4a'!$A204&amp;'Table 2.4a'!$C204,UtilityList!$A$4:$A$251&amp;UtilityList!$C$4:$C$251,0)))</f>
        <v>Aleutians</v>
      </c>
      <c r="Q204" s="698" t="str">
        <f t="array" ref="Q204">IFERROR(INDEX(UtilityList!K$4:K$251,MATCH('Table 2.4a'!$A204&amp;'Table 2.4a'!$B204&amp;'Table 2.4a'!$C204,UtilityList!$A$4:$A$251&amp;UtilityList!$B$4:$B$251&amp;UtilityList!$C$4:$C$251,0)), INDEX(UtilityList!K$4:K$251,MATCH('Table 2.4a'!$A204&amp;'Table 2.4a'!$C204,UtilityList!$A$4:$A$251&amp;UtilityList!$C$4:$C$251,0)))</f>
        <v>Aleutians West (CA)</v>
      </c>
      <c r="R204" s="698" t="str">
        <f t="array" ref="R204">IFERROR(INDEX(UtilityList!L$4:L$251,MATCH('Table 2.4a'!$A204&amp;'Table 2.4a'!$B204&amp;'Table 2.4a'!$C204,UtilityList!$A$4:$A$251&amp;UtilityList!$B$4:$B$251&amp;UtilityList!$C$4:$C$251,0)), INDEX(UtilityList!L$4:L$251,MATCH('Table 2.4a'!$A204&amp;'Table 2.4a'!$C204,UtilityList!$A$4:$A$251&amp;UtilityList!$C$4:$C$251,0)))</f>
        <v>Aleut</v>
      </c>
      <c r="S204" s="698" t="str">
        <f t="array" ref="S204">IFERROR(INDEX(UtilityList!M$4:M$251,MATCH('Table 2.4a'!$A204&amp;'Table 2.4a'!$B204&amp;'Table 2.4a'!$C204,UtilityList!$A$4:$A$251&amp;UtilityList!$B$4:$B$251&amp;UtilityList!$C$4:$C$251,0)), INDEX(UtilityList!M$4:M$251,MATCH('Table 2.4a'!$A204&amp;'Table 2.4a'!$C204,UtilityList!$A$4:$A$251&amp;UtilityList!$C$4:$C$251,0)))</f>
        <v>SW</v>
      </c>
    </row>
    <row r="205" spans="1:19" s="169" customFormat="1" ht="30" x14ac:dyDescent="0.25">
      <c r="A205" s="361" t="s">
        <v>310</v>
      </c>
      <c r="B205" s="636" t="s">
        <v>311</v>
      </c>
      <c r="C205" s="361" t="s">
        <v>311</v>
      </c>
      <c r="D205" s="622" t="s">
        <v>545</v>
      </c>
      <c r="E205" s="622" t="s">
        <v>546</v>
      </c>
      <c r="F205" s="694">
        <f t="shared" si="13"/>
        <v>150.12799999999999</v>
      </c>
      <c r="G205" s="694">
        <f t="shared" si="12"/>
        <v>309.41400000000004</v>
      </c>
      <c r="H205" s="695">
        <v>73.150000000000006</v>
      </c>
      <c r="I205" s="694">
        <f t="shared" si="14"/>
        <v>22.633634100000005</v>
      </c>
      <c r="J205" s="696">
        <f t="shared" si="15"/>
        <v>0.48520105748285458</v>
      </c>
      <c r="K205" s="697">
        <v>44</v>
      </c>
      <c r="L205" s="697">
        <v>2226</v>
      </c>
      <c r="M205" s="790">
        <v>0.13900000000000001</v>
      </c>
      <c r="N205" s="658" t="s">
        <v>558</v>
      </c>
      <c r="O205" s="698">
        <f t="array" ref="O205">INDEX(UtilityList!Q$4:Q$251,MATCH('Table 2.4a'!$A205&amp;'Table 2.4a'!$B205&amp;'Table 2.4a'!$C205,UtilityList!$A$4:$A$251&amp;UtilityList!$B$4:$B$251&amp;UtilityList!$C$4:$C$251,0))</f>
        <v>0</v>
      </c>
      <c r="P205" s="698" t="str">
        <f t="array" ref="P205">IFERROR(INDEX(UtilityList!J$4:J$251,MATCH('Table 2.4a'!$A205&amp;'Table 2.4a'!$B205&amp;'Table 2.4a'!$C205,UtilityList!$A$4:$A$251&amp;UtilityList!$B$4:$B$251&amp;UtilityList!$C$4:$C$251,0)), INDEX(UtilityList!J$4:J$251,MATCH('Table 2.4a'!$A205&amp;'Table 2.4a'!$C205,UtilityList!$A$4:$A$251&amp;UtilityList!$C$4:$C$251,0)))</f>
        <v>Railbelt</v>
      </c>
      <c r="Q205" s="698" t="str">
        <f t="array" ref="Q205">IFERROR(INDEX(UtilityList!K$4:K$251,MATCH('Table 2.4a'!$A205&amp;'Table 2.4a'!$B205&amp;'Table 2.4a'!$C205,UtilityList!$A$4:$A$251&amp;UtilityList!$B$4:$B$251&amp;UtilityList!$C$4:$C$251,0)), INDEX(UtilityList!K$4:K$251,MATCH('Table 2.4a'!$A205&amp;'Table 2.4a'!$C205,UtilityList!$A$4:$A$251&amp;UtilityList!$C$4:$C$251,0)))</f>
        <v>Kenai Peninsula</v>
      </c>
      <c r="R205" s="698" t="str">
        <f t="array" ref="R205">IFERROR(INDEX(UtilityList!L$4:L$251,MATCH('Table 2.4a'!$A205&amp;'Table 2.4a'!$B205&amp;'Table 2.4a'!$C205,UtilityList!$A$4:$A$251&amp;UtilityList!$B$4:$B$251&amp;UtilityList!$C$4:$C$251,0)), INDEX(UtilityList!L$4:L$251,MATCH('Table 2.4a'!$A205&amp;'Table 2.4a'!$C205,UtilityList!$A$4:$A$251&amp;UtilityList!$C$4:$C$251,0)))</f>
        <v>Chugach</v>
      </c>
      <c r="S205" s="698" t="str">
        <f t="array" ref="S205">IFERROR(INDEX(UtilityList!M$4:M$251,MATCH('Table 2.4a'!$A205&amp;'Table 2.4a'!$B205&amp;'Table 2.4a'!$C205,UtilityList!$A$4:$A$251&amp;UtilityList!$B$4:$B$251&amp;UtilityList!$C$4:$C$251,0)), INDEX(UtilityList!M$4:M$251,MATCH('Table 2.4a'!$A205&amp;'Table 2.4a'!$C205,UtilityList!$A$4:$A$251&amp;UtilityList!$C$4:$C$251,0)))</f>
        <v>SC</v>
      </c>
    </row>
    <row r="206" spans="1:19" customFormat="1" ht="30" x14ac:dyDescent="0.25">
      <c r="A206" s="361" t="s">
        <v>638</v>
      </c>
      <c r="B206" s="361" t="s">
        <v>316</v>
      </c>
      <c r="C206" s="361" t="s">
        <v>314</v>
      </c>
      <c r="D206" s="622" t="s">
        <v>545</v>
      </c>
      <c r="E206" s="622" t="s">
        <v>546</v>
      </c>
      <c r="F206" s="694">
        <f t="shared" si="13"/>
        <v>4729.0320000000002</v>
      </c>
      <c r="G206" s="694">
        <f t="shared" si="12"/>
        <v>22382.892000000003</v>
      </c>
      <c r="H206" s="695">
        <v>73.150000000000006</v>
      </c>
      <c r="I206" s="694">
        <f t="shared" si="14"/>
        <v>1637.3085498000005</v>
      </c>
      <c r="J206" s="696">
        <f t="shared" si="15"/>
        <v>0.21127886423255759</v>
      </c>
      <c r="K206" s="697">
        <v>1386</v>
      </c>
      <c r="L206" s="697">
        <v>161028</v>
      </c>
      <c r="M206" s="790">
        <v>0.13900000000000001</v>
      </c>
      <c r="N206" s="658" t="s">
        <v>558</v>
      </c>
      <c r="O206" s="698">
        <f t="array" ref="O206">INDEX(UtilityList!Q$4:Q$251,MATCH('Table 2.4a'!$A206&amp;'Table 2.4a'!$B206&amp;'Table 2.4a'!$C206,UtilityList!$A$4:$A$251&amp;UtilityList!$B$4:$B$251&amp;UtilityList!$C$4:$C$251,0))</f>
        <v>0</v>
      </c>
      <c r="P206" s="698" t="str">
        <f t="array" ref="P206">IFERROR(INDEX(UtilityList!J$4:J$251,MATCH('Table 2.4a'!$A206&amp;'Table 2.4a'!$B206&amp;'Table 2.4a'!$C206,UtilityList!$A$4:$A$251&amp;UtilityList!$B$4:$B$251&amp;UtilityList!$C$4:$C$251,0)), INDEX(UtilityList!J$4:J$251,MATCH('Table 2.4a'!$A206&amp;'Table 2.4a'!$C206,UtilityList!$A$4:$A$251&amp;UtilityList!$C$4:$C$251,0)))</f>
        <v>Southeast</v>
      </c>
      <c r="Q206" s="698" t="str">
        <f t="array" ref="Q206">IFERROR(INDEX(UtilityList!K$4:K$251,MATCH('Table 2.4a'!$A206&amp;'Table 2.4a'!$B206&amp;'Table 2.4a'!$C206,UtilityList!$A$4:$A$251&amp;UtilityList!$B$4:$B$251&amp;UtilityList!$C$4:$C$251,0)), INDEX(UtilityList!K$4:K$251,MATCH('Table 2.4a'!$A206&amp;'Table 2.4a'!$C206,UtilityList!$A$4:$A$251&amp;UtilityList!$C$4:$C$251,0)))</f>
        <v>Sitka</v>
      </c>
      <c r="R206" s="698" t="str">
        <f t="array" ref="R206">IFERROR(INDEX(UtilityList!L$4:L$251,MATCH('Table 2.4a'!$A206&amp;'Table 2.4a'!$B206&amp;'Table 2.4a'!$C206,UtilityList!$A$4:$A$251&amp;UtilityList!$B$4:$B$251&amp;UtilityList!$C$4:$C$251,0)), INDEX(UtilityList!L$4:L$251,MATCH('Table 2.4a'!$A206&amp;'Table 2.4a'!$C206,UtilityList!$A$4:$A$251&amp;UtilityList!$C$4:$C$251,0)))</f>
        <v>Sealaska</v>
      </c>
      <c r="S206" s="698" t="str">
        <f t="array" ref="S206">IFERROR(INDEX(UtilityList!M$4:M$251,MATCH('Table 2.4a'!$A206&amp;'Table 2.4a'!$B206&amp;'Table 2.4a'!$C206,UtilityList!$A$4:$A$251&amp;UtilityList!$B$4:$B$251&amp;UtilityList!$C$4:$C$251,0)), INDEX(UtilityList!M$4:M$251,MATCH('Table 2.4a'!$A206&amp;'Table 2.4a'!$C206,UtilityList!$A$4:$A$251&amp;UtilityList!$C$4:$C$251,0)))</f>
        <v>SE</v>
      </c>
    </row>
    <row r="207" spans="1:19" s="87" customFormat="1" ht="45" x14ac:dyDescent="0.25">
      <c r="A207" s="678" t="s">
        <v>323</v>
      </c>
      <c r="B207" s="361" t="s">
        <v>324</v>
      </c>
      <c r="C207" s="679" t="s">
        <v>324</v>
      </c>
      <c r="D207" s="680" t="s">
        <v>545</v>
      </c>
      <c r="E207" s="680" t="s">
        <v>546</v>
      </c>
      <c r="F207" s="694">
        <f t="shared" si="13"/>
        <v>663.87454600000001</v>
      </c>
      <c r="G207" s="694">
        <f t="shared" si="12"/>
        <v>3030.0610000000001</v>
      </c>
      <c r="H207" s="695">
        <v>73.150000000000006</v>
      </c>
      <c r="I207" s="694">
        <f t="shared" si="14"/>
        <v>221.64896215000005</v>
      </c>
      <c r="J207" s="696">
        <f t="shared" si="15"/>
        <v>0.2190960993854579</v>
      </c>
      <c r="K207" s="697">
        <v>194.57050000000001</v>
      </c>
      <c r="L207" s="697">
        <v>21799</v>
      </c>
      <c r="M207" s="790">
        <v>0.13900000000000001</v>
      </c>
      <c r="N207" s="658" t="s">
        <v>356</v>
      </c>
      <c r="O207" s="698">
        <f t="array" ref="O207">INDEX(UtilityList!Q$4:Q$251,MATCH('Table 2.4a'!$A207&amp;'Table 2.4a'!$B207&amp;'Table 2.4a'!$C207,UtilityList!$A$4:$A$251&amp;UtilityList!$B$4:$B$251&amp;UtilityList!$C$4:$C$251,0))</f>
        <v>0</v>
      </c>
      <c r="P207" s="698" t="str">
        <f t="array" ref="P207">IFERROR(INDEX(UtilityList!J$4:J$251,MATCH('Table 2.4a'!$A207&amp;'Table 2.4a'!$B207&amp;'Table 2.4a'!$C207,UtilityList!$A$4:$A$251&amp;UtilityList!$B$4:$B$251&amp;UtilityList!$C$4:$C$251,0)), INDEX(UtilityList!J$4:J$251,MATCH('Table 2.4a'!$A207&amp;'Table 2.4a'!$C207,UtilityList!$A$4:$A$251&amp;UtilityList!$C$4:$C$251,0)))</f>
        <v>Yukon-Koyukuk/Upper Tanana</v>
      </c>
      <c r="Q207" s="698" t="str">
        <f t="array" ref="Q207">IFERROR(INDEX(UtilityList!K$4:K$251,MATCH('Table 2.4a'!$A207&amp;'Table 2.4a'!$B207&amp;'Table 2.4a'!$C207,UtilityList!$A$4:$A$251&amp;UtilityList!$B$4:$B$251&amp;UtilityList!$C$4:$C$251,0)), INDEX(UtilityList!K$4:K$251,MATCH('Table 2.4a'!$A207&amp;'Table 2.4a'!$C207,UtilityList!$A$4:$A$251&amp;UtilityList!$C$4:$C$251,0)))</f>
        <v>Yukon-Koyukuk (CA)</v>
      </c>
      <c r="R207" s="698" t="str">
        <f t="array" ref="R207">IFERROR(INDEX(UtilityList!L$4:L$251,MATCH('Table 2.4a'!$A207&amp;'Table 2.4a'!$B207&amp;'Table 2.4a'!$C207,UtilityList!$A$4:$A$251&amp;UtilityList!$B$4:$B$251&amp;UtilityList!$C$4:$C$251,0)), INDEX(UtilityList!L$4:L$251,MATCH('Table 2.4a'!$A207&amp;'Table 2.4a'!$C207,UtilityList!$A$4:$A$251&amp;UtilityList!$C$4:$C$251,0)))</f>
        <v>Doyon</v>
      </c>
      <c r="S207" s="698" t="str">
        <f t="array" ref="S207">IFERROR(INDEX(UtilityList!M$4:M$251,MATCH('Table 2.4a'!$A207&amp;'Table 2.4a'!$B207&amp;'Table 2.4a'!$C207,UtilityList!$A$4:$A$251&amp;UtilityList!$B$4:$B$251&amp;UtilityList!$C$4:$C$251,0)), INDEX(UtilityList!M$4:M$251,MATCH('Table 2.4a'!$A207&amp;'Table 2.4a'!$C207,UtilityList!$A$4:$A$251&amp;UtilityList!$C$4:$C$251,0)))</f>
        <v>SW</v>
      </c>
    </row>
    <row r="208" spans="1:19" s="87" customFormat="1" ht="30" x14ac:dyDescent="0.25">
      <c r="A208" s="678" t="s">
        <v>325</v>
      </c>
      <c r="B208" s="361" t="s">
        <v>326</v>
      </c>
      <c r="C208" s="679" t="s">
        <v>326</v>
      </c>
      <c r="D208" s="680" t="s">
        <v>545</v>
      </c>
      <c r="E208" s="680" t="s">
        <v>546</v>
      </c>
      <c r="F208" s="694">
        <f t="shared" si="13"/>
        <v>2212.043956</v>
      </c>
      <c r="G208" s="694">
        <f t="shared" si="12"/>
        <v>7597.8790000000008</v>
      </c>
      <c r="H208" s="695">
        <v>73.150000000000006</v>
      </c>
      <c r="I208" s="694">
        <f t="shared" si="14"/>
        <v>555.78484885000012</v>
      </c>
      <c r="J208" s="696">
        <f t="shared" si="15"/>
        <v>0.29113966621474224</v>
      </c>
      <c r="K208" s="697">
        <v>648.31299999999999</v>
      </c>
      <c r="L208" s="697">
        <v>54661</v>
      </c>
      <c r="M208" s="790">
        <v>0.13900000000000001</v>
      </c>
      <c r="N208" s="658" t="s">
        <v>356</v>
      </c>
      <c r="O208" s="698">
        <f t="array" ref="O208">INDEX(UtilityList!Q$4:Q$251,MATCH('Table 2.4a'!$A208&amp;'Table 2.4a'!$B208&amp;'Table 2.4a'!$C208,UtilityList!$A$4:$A$251&amp;UtilityList!$B$4:$B$251&amp;UtilityList!$C$4:$C$251,0))</f>
        <v>0</v>
      </c>
      <c r="P208" s="698" t="str">
        <f t="array" ref="P208">IFERROR(INDEX(UtilityList!J$4:J$251,MATCH('Table 2.4a'!$A208&amp;'Table 2.4a'!$B208&amp;'Table 2.4a'!$C208,UtilityList!$A$4:$A$251&amp;UtilityList!$B$4:$B$251&amp;UtilityList!$C$4:$C$251,0)), INDEX(UtilityList!J$4:J$251,MATCH('Table 2.4a'!$A208&amp;'Table 2.4a'!$C208,UtilityList!$A$4:$A$251&amp;UtilityList!$C$4:$C$251,0)))</f>
        <v>Bristol Bay</v>
      </c>
      <c r="Q208" s="698" t="str">
        <f t="array" ref="Q208">IFERROR(INDEX(UtilityList!K$4:K$251,MATCH('Table 2.4a'!$A208&amp;'Table 2.4a'!$B208&amp;'Table 2.4a'!$C208,UtilityList!$A$4:$A$251&amp;UtilityList!$B$4:$B$251&amp;UtilityList!$C$4:$C$251,0)), INDEX(UtilityList!K$4:K$251,MATCH('Table 2.4a'!$A208&amp;'Table 2.4a'!$C208,UtilityList!$A$4:$A$251&amp;UtilityList!$C$4:$C$251,0)))</f>
        <v>Lake and Peninsula</v>
      </c>
      <c r="R208" s="698" t="str">
        <f t="array" ref="R208">IFERROR(INDEX(UtilityList!L$4:L$251,MATCH('Table 2.4a'!$A208&amp;'Table 2.4a'!$B208&amp;'Table 2.4a'!$C208,UtilityList!$A$4:$A$251&amp;UtilityList!$B$4:$B$251&amp;UtilityList!$C$4:$C$251,0)), INDEX(UtilityList!L$4:L$251,MATCH('Table 2.4a'!$A208&amp;'Table 2.4a'!$C208,UtilityList!$A$4:$A$251&amp;UtilityList!$C$4:$C$251,0)))</f>
        <v>Cook Inlet</v>
      </c>
      <c r="S208" s="698" t="str">
        <f t="array" ref="S208">IFERROR(INDEX(UtilityList!M$4:M$251,MATCH('Table 2.4a'!$A208&amp;'Table 2.4a'!$B208&amp;'Table 2.4a'!$C208,UtilityList!$A$4:$A$251&amp;UtilityList!$B$4:$B$251&amp;UtilityList!$C$4:$C$251,0)), INDEX(UtilityList!M$4:M$251,MATCH('Table 2.4a'!$A208&amp;'Table 2.4a'!$C208,UtilityList!$A$4:$A$251&amp;UtilityList!$C$4:$C$251,0)))</f>
        <v>SW</v>
      </c>
    </row>
    <row r="209" spans="1:19" s="87" customFormat="1" ht="45" x14ac:dyDescent="0.25">
      <c r="A209" s="678" t="s">
        <v>510</v>
      </c>
      <c r="B209" s="361" t="s">
        <v>327</v>
      </c>
      <c r="C209" s="679" t="s">
        <v>327</v>
      </c>
      <c r="D209" s="680" t="s">
        <v>545</v>
      </c>
      <c r="E209" s="680" t="s">
        <v>546</v>
      </c>
      <c r="F209" s="694">
        <f t="shared" si="13"/>
        <v>3912.1855519999999</v>
      </c>
      <c r="G209" s="694">
        <f t="shared" si="12"/>
        <v>12358.629000000001</v>
      </c>
      <c r="H209" s="695">
        <v>73.150000000000006</v>
      </c>
      <c r="I209" s="694">
        <f t="shared" si="14"/>
        <v>904.03371135000009</v>
      </c>
      <c r="J209" s="696">
        <f t="shared" si="15"/>
        <v>0.31655497968261687</v>
      </c>
      <c r="K209" s="697">
        <v>1146.596</v>
      </c>
      <c r="L209" s="697">
        <v>88911</v>
      </c>
      <c r="M209" s="790">
        <v>0.13900000000000001</v>
      </c>
      <c r="N209" s="658" t="s">
        <v>356</v>
      </c>
      <c r="O209" s="698">
        <f t="array" ref="O209">INDEX(UtilityList!Q$4:Q$251,MATCH('Table 2.4a'!$A209&amp;'Table 2.4a'!$B209&amp;'Table 2.4a'!$C209,UtilityList!$A$4:$A$251&amp;UtilityList!$B$4:$B$251&amp;UtilityList!$C$4:$C$251,0))</f>
        <v>0</v>
      </c>
      <c r="P209" s="698" t="str">
        <f t="array" ref="P209">IFERROR(INDEX(UtilityList!J$4:J$251,MATCH('Table 2.4a'!$A209&amp;'Table 2.4a'!$B209&amp;'Table 2.4a'!$C209,UtilityList!$A$4:$A$251&amp;UtilityList!$B$4:$B$251&amp;UtilityList!$C$4:$C$251,0)), INDEX(UtilityList!J$4:J$251,MATCH('Table 2.4a'!$A209&amp;'Table 2.4a'!$C209,UtilityList!$A$4:$A$251&amp;UtilityList!$C$4:$C$251,0)))</f>
        <v>Yukon-Koyukuk/Upper Tanana</v>
      </c>
      <c r="Q209" s="698" t="str">
        <f t="array" ref="Q209">IFERROR(INDEX(UtilityList!K$4:K$251,MATCH('Table 2.4a'!$A209&amp;'Table 2.4a'!$B209&amp;'Table 2.4a'!$C209,UtilityList!$A$4:$A$251&amp;UtilityList!$B$4:$B$251&amp;UtilityList!$C$4:$C$251,0)), INDEX(UtilityList!K$4:K$251,MATCH('Table 2.4a'!$A209&amp;'Table 2.4a'!$C209,UtilityList!$A$4:$A$251&amp;UtilityList!$C$4:$C$251,0)))</f>
        <v>Yukon-Koyukuk (CA)</v>
      </c>
      <c r="R209" s="698" t="str">
        <f t="array" ref="R209">IFERROR(INDEX(UtilityList!L$4:L$251,MATCH('Table 2.4a'!$A209&amp;'Table 2.4a'!$B209&amp;'Table 2.4a'!$C209,UtilityList!$A$4:$A$251&amp;UtilityList!$B$4:$B$251&amp;UtilityList!$C$4:$C$251,0)), INDEX(UtilityList!L$4:L$251,MATCH('Table 2.4a'!$A209&amp;'Table 2.4a'!$C209,UtilityList!$A$4:$A$251&amp;UtilityList!$C$4:$C$251,0)))</f>
        <v>Doyon</v>
      </c>
      <c r="S209" s="698" t="str">
        <f t="array" ref="S209">IFERROR(INDEX(UtilityList!M$4:M$251,MATCH('Table 2.4a'!$A209&amp;'Table 2.4a'!$B209&amp;'Table 2.4a'!$C209,UtilityList!$A$4:$A$251&amp;UtilityList!$B$4:$B$251&amp;UtilityList!$C$4:$C$251,0)), INDEX(UtilityList!M$4:M$251,MATCH('Table 2.4a'!$A209&amp;'Table 2.4a'!$C209,UtilityList!$A$4:$A$251&amp;UtilityList!$C$4:$C$251,0)))</f>
        <v>YU</v>
      </c>
    </row>
    <row r="210" spans="1:19" s="87" customFormat="1" ht="30" x14ac:dyDescent="0.25">
      <c r="A210" s="678" t="s">
        <v>328</v>
      </c>
      <c r="B210" s="361" t="s">
        <v>329</v>
      </c>
      <c r="C210" s="679" t="s">
        <v>329</v>
      </c>
      <c r="D210" s="680" t="s">
        <v>545</v>
      </c>
      <c r="E210" s="680" t="s">
        <v>546</v>
      </c>
      <c r="F210" s="694">
        <f t="shared" si="13"/>
        <v>1611.160048</v>
      </c>
      <c r="G210" s="694">
        <f t="shared" si="12"/>
        <v>5921.2610000000004</v>
      </c>
      <c r="H210" s="695">
        <v>73.150000000000006</v>
      </c>
      <c r="I210" s="694">
        <f t="shared" si="14"/>
        <v>433.14024215000006</v>
      </c>
      <c r="J210" s="696">
        <f t="shared" si="15"/>
        <v>0.27209745491711984</v>
      </c>
      <c r="K210" s="697">
        <v>472.20400000000001</v>
      </c>
      <c r="L210" s="697">
        <v>42599</v>
      </c>
      <c r="M210" s="790">
        <v>0.13900000000000001</v>
      </c>
      <c r="N210" s="658" t="s">
        <v>356</v>
      </c>
      <c r="O210" s="698">
        <f t="array" ref="O210">INDEX(UtilityList!Q$4:Q$251,MATCH('Table 2.4a'!$A210&amp;'Table 2.4a'!$B210&amp;'Table 2.4a'!$C210,UtilityList!$A$4:$A$251&amp;UtilityList!$B$4:$B$251&amp;UtilityList!$C$4:$C$251,0))</f>
        <v>0</v>
      </c>
      <c r="P210" s="698" t="str">
        <f t="array" ref="P210">IFERROR(INDEX(UtilityList!J$4:J$251,MATCH('Table 2.4a'!$A210&amp;'Table 2.4a'!$B210&amp;'Table 2.4a'!$C210,UtilityList!$A$4:$A$251&amp;UtilityList!$B$4:$B$251&amp;UtilityList!$C$4:$C$251,0)), INDEX(UtilityList!J$4:J$251,MATCH('Table 2.4a'!$A210&amp;'Table 2.4a'!$C210,UtilityList!$A$4:$A$251&amp;UtilityList!$C$4:$C$251,0)))</f>
        <v>Copper River/Chugach</v>
      </c>
      <c r="Q210" s="698" t="str">
        <f t="array" ref="Q210">IFERROR(INDEX(UtilityList!K$4:K$251,MATCH('Table 2.4a'!$A210&amp;'Table 2.4a'!$B210&amp;'Table 2.4a'!$C210,UtilityList!$A$4:$A$251&amp;UtilityList!$B$4:$B$251&amp;UtilityList!$C$4:$C$251,0)), INDEX(UtilityList!K$4:K$251,MATCH('Table 2.4a'!$A210&amp;'Table 2.4a'!$C210,UtilityList!$A$4:$A$251&amp;UtilityList!$C$4:$C$251,0)))</f>
        <v>Valdez-Cordova (CA)</v>
      </c>
      <c r="R210" s="698" t="str">
        <f t="array" ref="R210">IFERROR(INDEX(UtilityList!L$4:L$251,MATCH('Table 2.4a'!$A210&amp;'Table 2.4a'!$B210&amp;'Table 2.4a'!$C210,UtilityList!$A$4:$A$251&amp;UtilityList!$B$4:$B$251&amp;UtilityList!$C$4:$C$251,0)), INDEX(UtilityList!L$4:L$251,MATCH('Table 2.4a'!$A210&amp;'Table 2.4a'!$C210,UtilityList!$A$4:$A$251&amp;UtilityList!$C$4:$C$251,0)))</f>
        <v>Chugach</v>
      </c>
      <c r="S210" s="698" t="str">
        <f t="array" ref="S210">IFERROR(INDEX(UtilityList!M$4:M$251,MATCH('Table 2.4a'!$A210&amp;'Table 2.4a'!$B210&amp;'Table 2.4a'!$C210,UtilityList!$A$4:$A$251&amp;UtilityList!$B$4:$B$251&amp;UtilityList!$C$4:$C$251,0)), INDEX(UtilityList!M$4:M$251,MATCH('Table 2.4a'!$A210&amp;'Table 2.4a'!$C210,UtilityList!$A$4:$A$251&amp;UtilityList!$C$4:$C$251,0)))</f>
        <v>SC</v>
      </c>
    </row>
    <row r="211" spans="1:19" s="87" customFormat="1" ht="30" x14ac:dyDescent="0.25">
      <c r="A211" s="678" t="s">
        <v>1080</v>
      </c>
      <c r="B211" s="361" t="s">
        <v>330</v>
      </c>
      <c r="C211" s="654" t="s">
        <v>330</v>
      </c>
      <c r="D211" s="680" t="s">
        <v>545</v>
      </c>
      <c r="E211" s="680" t="s">
        <v>546</v>
      </c>
      <c r="F211" s="694">
        <f t="shared" si="13"/>
        <v>6511.5153919999993</v>
      </c>
      <c r="G211" s="694">
        <f t="shared" si="12"/>
        <v>30203.615800000003</v>
      </c>
      <c r="H211" s="695">
        <v>73.150000000000006</v>
      </c>
      <c r="I211" s="694">
        <f t="shared" si="14"/>
        <v>2209.3944957700005</v>
      </c>
      <c r="J211" s="696">
        <f t="shared" si="15"/>
        <v>0.21558728051361317</v>
      </c>
      <c r="K211" s="697">
        <v>1908.4159999999999</v>
      </c>
      <c r="L211" s="697">
        <v>217292.2</v>
      </c>
      <c r="M211" s="790">
        <v>0.13900000000000001</v>
      </c>
      <c r="N211" s="658" t="s">
        <v>356</v>
      </c>
      <c r="O211" s="698">
        <f t="array" ref="O211">INDEX(UtilityList!Q$4:Q$251,MATCH('Table 2.4a'!$A211&amp;'Table 2.4a'!$B211&amp;'Table 2.4a'!$C211,UtilityList!$A$4:$A$251&amp;UtilityList!$B$4:$B$251&amp;UtilityList!$C$4:$C$251,0))</f>
        <v>0</v>
      </c>
      <c r="P211" s="698" t="str">
        <f t="array" ref="P211">IFERROR(INDEX(UtilityList!J$4:J$251,MATCH('Table 2.4a'!$A211&amp;'Table 2.4a'!$B211&amp;'Table 2.4a'!$C211,UtilityList!$A$4:$A$251&amp;UtilityList!$B$4:$B$251&amp;UtilityList!$C$4:$C$251,0)), INDEX(UtilityList!J$4:J$251,MATCH('Table 2.4a'!$A211&amp;'Table 2.4a'!$C211,UtilityList!$A$4:$A$251&amp;UtilityList!$C$4:$C$251,0)))</f>
        <v>Aleutians</v>
      </c>
      <c r="Q211" s="698" t="str">
        <f t="array" ref="Q211">IFERROR(INDEX(UtilityList!K$4:K$251,MATCH('Table 2.4a'!$A211&amp;'Table 2.4a'!$B211&amp;'Table 2.4a'!$C211,UtilityList!$A$4:$A$251&amp;UtilityList!$B$4:$B$251&amp;UtilityList!$C$4:$C$251,0)), INDEX(UtilityList!K$4:K$251,MATCH('Table 2.4a'!$A211&amp;'Table 2.4a'!$C211,UtilityList!$A$4:$A$251&amp;UtilityList!$C$4:$C$251,0)))</f>
        <v>Aleutians West (CA)</v>
      </c>
      <c r="R211" s="698" t="str">
        <f t="array" ref="R211">IFERROR(INDEX(UtilityList!L$4:L$251,MATCH('Table 2.4a'!$A211&amp;'Table 2.4a'!$B211&amp;'Table 2.4a'!$C211,UtilityList!$A$4:$A$251&amp;UtilityList!$B$4:$B$251&amp;UtilityList!$C$4:$C$251,0)), INDEX(UtilityList!L$4:L$251,MATCH('Table 2.4a'!$A211&amp;'Table 2.4a'!$C211,UtilityList!$A$4:$A$251&amp;UtilityList!$C$4:$C$251,0)))</f>
        <v>Aleut</v>
      </c>
      <c r="S211" s="698" t="str">
        <f t="array" ref="S211">IFERROR(INDEX(UtilityList!M$4:M$251,MATCH('Table 2.4a'!$A211&amp;'Table 2.4a'!$B211&amp;'Table 2.4a'!$C211,UtilityList!$A$4:$A$251&amp;UtilityList!$B$4:$B$251&amp;UtilityList!$C$4:$C$251,0)), INDEX(UtilityList!M$4:M$251,MATCH('Table 2.4a'!$A211&amp;'Table 2.4a'!$C211,UtilityList!$A$4:$A$251&amp;UtilityList!$C$4:$C$251,0)))</f>
        <v>SW</v>
      </c>
    </row>
    <row r="212" spans="1:19" customFormat="1" ht="15" x14ac:dyDescent="0.25">
      <c r="A212" s="678" t="s">
        <v>331</v>
      </c>
      <c r="B212" s="361" t="s">
        <v>332</v>
      </c>
      <c r="C212" s="679" t="s">
        <v>332</v>
      </c>
      <c r="D212" s="680" t="s">
        <v>545</v>
      </c>
      <c r="E212" s="680" t="s">
        <v>546</v>
      </c>
      <c r="F212" s="694">
        <f t="shared" si="13"/>
        <v>14718.668540000001</v>
      </c>
      <c r="G212" s="694">
        <f t="shared" si="12"/>
        <v>41586.576000000001</v>
      </c>
      <c r="H212" s="695">
        <v>73.150000000000006</v>
      </c>
      <c r="I212" s="694">
        <f t="shared" si="14"/>
        <v>3042.0580344000005</v>
      </c>
      <c r="J212" s="696">
        <f t="shared" si="15"/>
        <v>0.35392835755461088</v>
      </c>
      <c r="K212" s="697">
        <v>4313.7950000000001</v>
      </c>
      <c r="L212" s="697">
        <v>299184</v>
      </c>
      <c r="M212" s="790">
        <v>0.13900000000000001</v>
      </c>
      <c r="N212" s="658" t="s">
        <v>356</v>
      </c>
      <c r="O212" s="698">
        <f t="array" ref="O212">INDEX(UtilityList!Q$4:Q$251,MATCH('Table 2.4a'!$A212&amp;'Table 2.4a'!$B212&amp;'Table 2.4a'!$C212,UtilityList!$A$4:$A$251&amp;UtilityList!$B$4:$B$251&amp;UtilityList!$C$4:$C$251,0))</f>
        <v>0</v>
      </c>
      <c r="P212" s="698" t="str">
        <f t="array" ref="P212">IFERROR(INDEX(UtilityList!J$4:J$251,MATCH('Table 2.4a'!$A212&amp;'Table 2.4a'!$B212&amp;'Table 2.4a'!$C212,UtilityList!$A$4:$A$251&amp;UtilityList!$B$4:$B$251&amp;UtilityList!$C$4:$C$251,0)), INDEX(UtilityList!J$4:J$251,MATCH('Table 2.4a'!$A212&amp;'Table 2.4a'!$C212,UtilityList!$A$4:$A$251&amp;UtilityList!$C$4:$C$251,0)))</f>
        <v>Aleutians</v>
      </c>
      <c r="Q212" s="698" t="str">
        <f t="array" ref="Q212">IFERROR(INDEX(UtilityList!K$4:K$251,MATCH('Table 2.4a'!$A212&amp;'Table 2.4a'!$B212&amp;'Table 2.4a'!$C212,UtilityList!$A$4:$A$251&amp;UtilityList!$B$4:$B$251&amp;UtilityList!$C$4:$C$251,0)), INDEX(UtilityList!K$4:K$251,MATCH('Table 2.4a'!$A212&amp;'Table 2.4a'!$C212,UtilityList!$A$4:$A$251&amp;UtilityList!$C$4:$C$251,0)))</f>
        <v>Aleutians East</v>
      </c>
      <c r="R212" s="698" t="str">
        <f t="array" ref="R212">IFERROR(INDEX(UtilityList!L$4:L$251,MATCH('Table 2.4a'!$A212&amp;'Table 2.4a'!$B212&amp;'Table 2.4a'!$C212,UtilityList!$A$4:$A$251&amp;UtilityList!$B$4:$B$251&amp;UtilityList!$C$4:$C$251,0)), INDEX(UtilityList!L$4:L$251,MATCH('Table 2.4a'!$A212&amp;'Table 2.4a'!$C212,UtilityList!$A$4:$A$251&amp;UtilityList!$C$4:$C$251,0)))</f>
        <v>Aleut</v>
      </c>
      <c r="S212" s="698" t="str">
        <f t="array" ref="S212">IFERROR(INDEX(UtilityList!M$4:M$251,MATCH('Table 2.4a'!$A212&amp;'Table 2.4a'!$B212&amp;'Table 2.4a'!$C212,UtilityList!$A$4:$A$251&amp;UtilityList!$B$4:$B$251&amp;UtilityList!$C$4:$C$251,0)), INDEX(UtilityList!M$4:M$251,MATCH('Table 2.4a'!$A212&amp;'Table 2.4a'!$C212,UtilityList!$A$4:$A$251&amp;UtilityList!$C$4:$C$251,0)))</f>
        <v>SW</v>
      </c>
    </row>
    <row r="213" spans="1:19" customFormat="1" ht="45" x14ac:dyDescent="0.25">
      <c r="A213" s="678" t="s">
        <v>333</v>
      </c>
      <c r="B213" s="361" t="s">
        <v>334</v>
      </c>
      <c r="C213" s="654" t="s">
        <v>334</v>
      </c>
      <c r="D213" s="680" t="s">
        <v>545</v>
      </c>
      <c r="E213" s="680" t="s">
        <v>546</v>
      </c>
      <c r="F213" s="694">
        <f t="shared" si="13"/>
        <v>1481.3597204</v>
      </c>
      <c r="G213" s="694">
        <f t="shared" si="12"/>
        <v>4800.3187130000006</v>
      </c>
      <c r="H213" s="695">
        <v>73.150000000000006</v>
      </c>
      <c r="I213" s="694">
        <f t="shared" si="14"/>
        <v>351.14331385595005</v>
      </c>
      <c r="J213" s="696">
        <f t="shared" si="15"/>
        <v>0.30859611808446186</v>
      </c>
      <c r="K213" s="697">
        <v>434.1617</v>
      </c>
      <c r="L213" s="697">
        <v>34534.667000000001</v>
      </c>
      <c r="M213" s="790">
        <v>0.13900000000000001</v>
      </c>
      <c r="N213" s="658" t="s">
        <v>356</v>
      </c>
      <c r="O213" s="698">
        <f t="array" ref="O213">INDEX(UtilityList!Q$4:Q$251,MATCH('Table 2.4a'!$A213&amp;'Table 2.4a'!$B213&amp;'Table 2.4a'!$C213,UtilityList!$A$4:$A$251&amp;UtilityList!$B$4:$B$251&amp;UtilityList!$C$4:$C$251,0))</f>
        <v>0</v>
      </c>
      <c r="P213" s="698" t="str">
        <f t="array" ref="P213">IFERROR(INDEX(UtilityList!J$4:J$251,MATCH('Table 2.4a'!$A213&amp;'Table 2.4a'!$B213&amp;'Table 2.4a'!$C213,UtilityList!$A$4:$A$251&amp;UtilityList!$B$4:$B$251&amp;UtilityList!$C$4:$C$251,0)), INDEX(UtilityList!J$4:J$251,MATCH('Table 2.4a'!$A213&amp;'Table 2.4a'!$C213,UtilityList!$A$4:$A$251&amp;UtilityList!$C$4:$C$251,0)))</f>
        <v>Yukon-Koyukuk/Upper Tanana</v>
      </c>
      <c r="Q213" s="698" t="str">
        <f t="array" ref="Q213">IFERROR(INDEX(UtilityList!K$4:K$251,MATCH('Table 2.4a'!$A213&amp;'Table 2.4a'!$B213&amp;'Table 2.4a'!$C213,UtilityList!$A$4:$A$251&amp;UtilityList!$B$4:$B$251&amp;UtilityList!$C$4:$C$251,0)), INDEX(UtilityList!K$4:K$251,MATCH('Table 2.4a'!$A213&amp;'Table 2.4a'!$C213,UtilityList!$A$4:$A$251&amp;UtilityList!$C$4:$C$251,0)))</f>
        <v>Yukon-Koyukuk (CA)</v>
      </c>
      <c r="R213" s="698" t="str">
        <f t="array" ref="R213">IFERROR(INDEX(UtilityList!L$4:L$251,MATCH('Table 2.4a'!$A213&amp;'Table 2.4a'!$B213&amp;'Table 2.4a'!$C213,UtilityList!$A$4:$A$251&amp;UtilityList!$B$4:$B$251&amp;UtilityList!$C$4:$C$251,0)), INDEX(UtilityList!L$4:L$251,MATCH('Table 2.4a'!$A213&amp;'Table 2.4a'!$C213,UtilityList!$A$4:$A$251&amp;UtilityList!$C$4:$C$251,0)))</f>
        <v>Doyon</v>
      </c>
      <c r="S213" s="698" t="str">
        <f t="array" ref="S213">IFERROR(INDEX(UtilityList!M$4:M$251,MATCH('Table 2.4a'!$A213&amp;'Table 2.4a'!$B213&amp;'Table 2.4a'!$C213,UtilityList!$A$4:$A$251&amp;UtilityList!$B$4:$B$251&amp;UtilityList!$C$4:$C$251,0)), INDEX(UtilityList!M$4:M$251,MATCH('Table 2.4a'!$A213&amp;'Table 2.4a'!$C213,UtilityList!$A$4:$A$251&amp;UtilityList!$C$4:$C$251,0)))</f>
        <v>YU</v>
      </c>
    </row>
    <row r="214" spans="1:19" customFormat="1" ht="30" x14ac:dyDescent="0.25">
      <c r="A214" s="678" t="s">
        <v>335</v>
      </c>
      <c r="B214" s="361" t="s">
        <v>336</v>
      </c>
      <c r="C214" s="679" t="s">
        <v>336</v>
      </c>
      <c r="D214" s="680" t="s">
        <v>545</v>
      </c>
      <c r="E214" s="680" t="s">
        <v>546</v>
      </c>
      <c r="F214" s="694">
        <f t="shared" si="13"/>
        <v>1420.4599559999999</v>
      </c>
      <c r="G214" s="694">
        <f t="shared" si="12"/>
        <v>4672.6240000000007</v>
      </c>
      <c r="H214" s="695">
        <v>73.150000000000006</v>
      </c>
      <c r="I214" s="694">
        <f t="shared" si="14"/>
        <v>341.80244560000011</v>
      </c>
      <c r="J214" s="696">
        <f t="shared" si="15"/>
        <v>0.30399620341803657</v>
      </c>
      <c r="K214" s="697">
        <v>416.31299999999999</v>
      </c>
      <c r="L214" s="697">
        <v>33616</v>
      </c>
      <c r="M214" s="790">
        <v>0.13900000000000001</v>
      </c>
      <c r="N214" s="658" t="s">
        <v>356</v>
      </c>
      <c r="O214" s="698">
        <f t="array" ref="O214">INDEX(UtilityList!Q$4:Q$251,MATCH('Table 2.4a'!$A214&amp;'Table 2.4a'!$B214&amp;'Table 2.4a'!$C214,UtilityList!$A$4:$A$251&amp;UtilityList!$B$4:$B$251&amp;UtilityList!$C$4:$C$251,0))</f>
        <v>0</v>
      </c>
      <c r="P214" s="698" t="str">
        <f t="array" ref="P214">IFERROR(INDEX(UtilityList!J$4:J$251,MATCH('Table 2.4a'!$A214&amp;'Table 2.4a'!$B214&amp;'Table 2.4a'!$C214,UtilityList!$A$4:$A$251&amp;UtilityList!$B$4:$B$251&amp;UtilityList!$C$4:$C$251,0)), INDEX(UtilityList!J$4:J$251,MATCH('Table 2.4a'!$A214&amp;'Table 2.4a'!$C214,UtilityList!$A$4:$A$251&amp;UtilityList!$C$4:$C$251,0)))</f>
        <v>Southeast</v>
      </c>
      <c r="Q214" s="698" t="str">
        <f t="array" ref="Q214">IFERROR(INDEX(UtilityList!K$4:K$251,MATCH('Table 2.4a'!$A214&amp;'Table 2.4a'!$B214&amp;'Table 2.4a'!$C214,UtilityList!$A$4:$A$251&amp;UtilityList!$B$4:$B$251&amp;UtilityList!$C$4:$C$251,0)), INDEX(UtilityList!K$4:K$251,MATCH('Table 2.4a'!$A214&amp;'Table 2.4a'!$C214,UtilityList!$A$4:$A$251&amp;UtilityList!$C$4:$C$251,0)))</f>
        <v>Hoonah-Angoon (CA)</v>
      </c>
      <c r="R214" s="698" t="str">
        <f t="array" ref="R214">IFERROR(INDEX(UtilityList!L$4:L$251,MATCH('Table 2.4a'!$A214&amp;'Table 2.4a'!$B214&amp;'Table 2.4a'!$C214,UtilityList!$A$4:$A$251&amp;UtilityList!$B$4:$B$251&amp;UtilityList!$C$4:$C$251,0)), INDEX(UtilityList!L$4:L$251,MATCH('Table 2.4a'!$A214&amp;'Table 2.4a'!$C214,UtilityList!$A$4:$A$251&amp;UtilityList!$C$4:$C$251,0)))</f>
        <v>Sealaska</v>
      </c>
      <c r="S214" s="698" t="str">
        <f t="array" ref="S214">IFERROR(INDEX(UtilityList!M$4:M$251,MATCH('Table 2.4a'!$A214&amp;'Table 2.4a'!$B214&amp;'Table 2.4a'!$C214,UtilityList!$A$4:$A$251&amp;UtilityList!$B$4:$B$251&amp;UtilityList!$C$4:$C$251,0)), INDEX(UtilityList!M$4:M$251,MATCH('Table 2.4a'!$A214&amp;'Table 2.4a'!$C214,UtilityList!$A$4:$A$251&amp;UtilityList!$C$4:$C$251,0)))</f>
        <v>SE</v>
      </c>
    </row>
    <row r="215" spans="1:19" customFormat="1" ht="30" x14ac:dyDescent="0.25">
      <c r="A215" s="678" t="s">
        <v>337</v>
      </c>
      <c r="B215" s="361" t="s">
        <v>338</v>
      </c>
      <c r="C215" s="679" t="s">
        <v>338</v>
      </c>
      <c r="D215" s="680" t="s">
        <v>545</v>
      </c>
      <c r="E215" s="680" t="s">
        <v>546</v>
      </c>
      <c r="F215" s="694">
        <f t="shared" si="13"/>
        <v>2070.1392171999996</v>
      </c>
      <c r="G215" s="694">
        <f t="shared" si="12"/>
        <v>8091.746000000001</v>
      </c>
      <c r="H215" s="695">
        <v>73.150000000000006</v>
      </c>
      <c r="I215" s="694">
        <f t="shared" si="14"/>
        <v>591.91121990000011</v>
      </c>
      <c r="J215" s="696">
        <f t="shared" si="15"/>
        <v>0.25583344029829896</v>
      </c>
      <c r="K215" s="697">
        <v>606.72309999999993</v>
      </c>
      <c r="L215" s="697">
        <v>58214</v>
      </c>
      <c r="M215" s="790">
        <v>0.13900000000000001</v>
      </c>
      <c r="N215" s="658" t="s">
        <v>356</v>
      </c>
      <c r="O215" s="698">
        <f t="array" ref="O215">INDEX(UtilityList!Q$4:Q$251,MATCH('Table 2.4a'!$A215&amp;'Table 2.4a'!$B215&amp;'Table 2.4a'!$C215,UtilityList!$A$4:$A$251&amp;UtilityList!$B$4:$B$251&amp;UtilityList!$C$4:$C$251,0))</f>
        <v>0</v>
      </c>
      <c r="P215" s="698" t="str">
        <f t="array" ref="P215">IFERROR(INDEX(UtilityList!J$4:J$251,MATCH('Table 2.4a'!$A215&amp;'Table 2.4a'!$B215&amp;'Table 2.4a'!$C215,UtilityList!$A$4:$A$251&amp;UtilityList!$B$4:$B$251&amp;UtilityList!$C$4:$C$251,0)), INDEX(UtilityList!J$4:J$251,MATCH('Table 2.4a'!$A215&amp;'Table 2.4a'!$C215,UtilityList!$A$4:$A$251&amp;UtilityList!$C$4:$C$251,0)))</f>
        <v>Lower Yukon-Kuskokwim</v>
      </c>
      <c r="Q215" s="698" t="str">
        <f t="array" ref="Q215">IFERROR(INDEX(UtilityList!K$4:K$251,MATCH('Table 2.4a'!$A215&amp;'Table 2.4a'!$B215&amp;'Table 2.4a'!$C215,UtilityList!$A$4:$A$251&amp;UtilityList!$B$4:$B$251&amp;UtilityList!$C$4:$C$251,0)), INDEX(UtilityList!K$4:K$251,MATCH('Table 2.4a'!$A215&amp;'Table 2.4a'!$C215,UtilityList!$A$4:$A$251&amp;UtilityList!$C$4:$C$251,0)))</f>
        <v>Bethel (CA)</v>
      </c>
      <c r="R215" s="698" t="str">
        <f t="array" ref="R215">IFERROR(INDEX(UtilityList!L$4:L$251,MATCH('Table 2.4a'!$A215&amp;'Table 2.4a'!$B215&amp;'Table 2.4a'!$C215,UtilityList!$A$4:$A$251&amp;UtilityList!$B$4:$B$251&amp;UtilityList!$C$4:$C$251,0)), INDEX(UtilityList!L$4:L$251,MATCH('Table 2.4a'!$A215&amp;'Table 2.4a'!$C215,UtilityList!$A$4:$A$251&amp;UtilityList!$C$4:$C$251,0)))</f>
        <v>Calista</v>
      </c>
      <c r="S215" s="698" t="str">
        <f t="array" ref="S215">IFERROR(INDEX(UtilityList!M$4:M$251,MATCH('Table 2.4a'!$A215&amp;'Table 2.4a'!$B215&amp;'Table 2.4a'!$C215,UtilityList!$A$4:$A$251&amp;UtilityList!$B$4:$B$251&amp;UtilityList!$C$4:$C$251,0)), INDEX(UtilityList!M$4:M$251,MATCH('Table 2.4a'!$A215&amp;'Table 2.4a'!$C215,UtilityList!$A$4:$A$251&amp;UtilityList!$C$4:$C$251,0)))</f>
        <v>SW</v>
      </c>
    </row>
    <row r="216" spans="1:19" s="87" customFormat="1" ht="30" x14ac:dyDescent="0.25">
      <c r="A216" s="678" t="s">
        <v>339</v>
      </c>
      <c r="B216" s="361" t="s">
        <v>340</v>
      </c>
      <c r="C216" s="679" t="s">
        <v>340</v>
      </c>
      <c r="D216" s="680" t="s">
        <v>545</v>
      </c>
      <c r="E216" s="680" t="s">
        <v>546</v>
      </c>
      <c r="F216" s="694">
        <f t="shared" si="13"/>
        <v>3312.8848119999998</v>
      </c>
      <c r="G216" s="694">
        <f t="shared" si="12"/>
        <v>12826.920000000004</v>
      </c>
      <c r="H216" s="695">
        <v>73.150000000000006</v>
      </c>
      <c r="I216" s="694">
        <f t="shared" si="14"/>
        <v>938.28919800000028</v>
      </c>
      <c r="J216" s="696">
        <f t="shared" si="15"/>
        <v>0.25827593935254906</v>
      </c>
      <c r="K216" s="697">
        <v>970.95100000000002</v>
      </c>
      <c r="L216" s="697">
        <v>92280.000000000015</v>
      </c>
      <c r="M216" s="790">
        <v>0.13900000000000001</v>
      </c>
      <c r="N216" s="658" t="s">
        <v>356</v>
      </c>
      <c r="O216" s="698">
        <f t="array" ref="O216">INDEX(UtilityList!Q$4:Q$251,MATCH('Table 2.4a'!$A216&amp;'Table 2.4a'!$B216&amp;'Table 2.4a'!$C216,UtilityList!$A$4:$A$251&amp;UtilityList!$B$4:$B$251&amp;UtilityList!$C$4:$C$251,0))</f>
        <v>0</v>
      </c>
      <c r="P216" s="698" t="str">
        <f t="array" ref="P216">IFERROR(INDEX(UtilityList!J$4:J$251,MATCH('Table 2.4a'!$A216&amp;'Table 2.4a'!$B216&amp;'Table 2.4a'!$C216,UtilityList!$A$4:$A$251&amp;UtilityList!$B$4:$B$251&amp;UtilityList!$C$4:$C$251,0)), INDEX(UtilityList!J$4:J$251,MATCH('Table 2.4a'!$A216&amp;'Table 2.4a'!$C216,UtilityList!$A$4:$A$251&amp;UtilityList!$C$4:$C$251,0)))</f>
        <v>Lower Yukon-Kuskokwim</v>
      </c>
      <c r="Q216" s="698" t="str">
        <f t="array" ref="Q216">IFERROR(INDEX(UtilityList!K$4:K$251,MATCH('Table 2.4a'!$A216&amp;'Table 2.4a'!$B216&amp;'Table 2.4a'!$C216,UtilityList!$A$4:$A$251&amp;UtilityList!$B$4:$B$251&amp;UtilityList!$C$4:$C$251,0)), INDEX(UtilityList!K$4:K$251,MATCH('Table 2.4a'!$A216&amp;'Table 2.4a'!$C216,UtilityList!$A$4:$A$251&amp;UtilityList!$C$4:$C$251,0)))</f>
        <v>Bethel (CA)</v>
      </c>
      <c r="R216" s="698" t="str">
        <f t="array" ref="R216">IFERROR(INDEX(UtilityList!L$4:L$251,MATCH('Table 2.4a'!$A216&amp;'Table 2.4a'!$B216&amp;'Table 2.4a'!$C216,UtilityList!$A$4:$A$251&amp;UtilityList!$B$4:$B$251&amp;UtilityList!$C$4:$C$251,0)), INDEX(UtilityList!L$4:L$251,MATCH('Table 2.4a'!$A216&amp;'Table 2.4a'!$C216,UtilityList!$A$4:$A$251&amp;UtilityList!$C$4:$C$251,0)))</f>
        <v>Calista</v>
      </c>
      <c r="S216" s="698" t="str">
        <f t="array" ref="S216">IFERROR(INDEX(UtilityList!M$4:M$251,MATCH('Table 2.4a'!$A216&amp;'Table 2.4a'!$B216&amp;'Table 2.4a'!$C216,UtilityList!$A$4:$A$251&amp;UtilityList!$B$4:$B$251&amp;UtilityList!$C$4:$C$251,0)), INDEX(UtilityList!M$4:M$251,MATCH('Table 2.4a'!$A216&amp;'Table 2.4a'!$C216,UtilityList!$A$4:$A$251&amp;UtilityList!$C$4:$C$251,0)))</f>
        <v>SW</v>
      </c>
    </row>
    <row r="217" spans="1:19" s="87" customFormat="1" ht="30" x14ac:dyDescent="0.25">
      <c r="A217" s="678" t="s">
        <v>341</v>
      </c>
      <c r="B217" s="361" t="s">
        <v>342</v>
      </c>
      <c r="C217" s="679" t="s">
        <v>342</v>
      </c>
      <c r="D217" s="680" t="s">
        <v>545</v>
      </c>
      <c r="E217" s="680" t="s">
        <v>546</v>
      </c>
      <c r="F217" s="694">
        <f t="shared" si="13"/>
        <v>963.00902159999998</v>
      </c>
      <c r="G217" s="694">
        <f t="shared" si="12"/>
        <v>4192.3790000000008</v>
      </c>
      <c r="H217" s="695">
        <v>73.150000000000006</v>
      </c>
      <c r="I217" s="694">
        <f t="shared" si="14"/>
        <v>306.67252385000006</v>
      </c>
      <c r="J217" s="696">
        <f t="shared" si="15"/>
        <v>0.22970466687291388</v>
      </c>
      <c r="K217" s="697">
        <v>282.24180000000001</v>
      </c>
      <c r="L217" s="697">
        <v>30161</v>
      </c>
      <c r="M217" s="790">
        <v>0.13900000000000001</v>
      </c>
      <c r="N217" s="658" t="s">
        <v>356</v>
      </c>
      <c r="O217" s="698">
        <f t="array" ref="O217">INDEX(UtilityList!Q$4:Q$251,MATCH('Table 2.4a'!$A217&amp;'Table 2.4a'!$B217&amp;'Table 2.4a'!$C217,UtilityList!$A$4:$A$251&amp;UtilityList!$B$4:$B$251&amp;UtilityList!$C$4:$C$251,0))</f>
        <v>0</v>
      </c>
      <c r="P217" s="698" t="str">
        <f t="array" ref="P217">IFERROR(INDEX(UtilityList!J$4:J$251,MATCH('Table 2.4a'!$A217&amp;'Table 2.4a'!$B217&amp;'Table 2.4a'!$C217,UtilityList!$A$4:$A$251&amp;UtilityList!$B$4:$B$251&amp;UtilityList!$C$4:$C$251,0)), INDEX(UtilityList!J$4:J$251,MATCH('Table 2.4a'!$A217&amp;'Table 2.4a'!$C217,UtilityList!$A$4:$A$251&amp;UtilityList!$C$4:$C$251,0)))</f>
        <v>Bristol Bay</v>
      </c>
      <c r="Q217" s="698" t="str">
        <f t="array" ref="Q217">IFERROR(INDEX(UtilityList!K$4:K$251,MATCH('Table 2.4a'!$A217&amp;'Table 2.4a'!$B217&amp;'Table 2.4a'!$C217,UtilityList!$A$4:$A$251&amp;UtilityList!$B$4:$B$251&amp;UtilityList!$C$4:$C$251,0)), INDEX(UtilityList!K$4:K$251,MATCH('Table 2.4a'!$A217&amp;'Table 2.4a'!$C217,UtilityList!$A$4:$A$251&amp;UtilityList!$C$4:$C$251,0)))</f>
        <v>Dillingham (CA)</v>
      </c>
      <c r="R217" s="698" t="str">
        <f t="array" ref="R217">IFERROR(INDEX(UtilityList!L$4:L$251,MATCH('Table 2.4a'!$A217&amp;'Table 2.4a'!$B217&amp;'Table 2.4a'!$C217,UtilityList!$A$4:$A$251&amp;UtilityList!$B$4:$B$251&amp;UtilityList!$C$4:$C$251,0)), INDEX(UtilityList!L$4:L$251,MATCH('Table 2.4a'!$A217&amp;'Table 2.4a'!$C217,UtilityList!$A$4:$A$251&amp;UtilityList!$C$4:$C$251,0)))</f>
        <v>Bristol Bay</v>
      </c>
      <c r="S217" s="698" t="str">
        <f t="array" ref="S217">IFERROR(INDEX(UtilityList!M$4:M$251,MATCH('Table 2.4a'!$A217&amp;'Table 2.4a'!$B217&amp;'Table 2.4a'!$C217,UtilityList!$A$4:$A$251&amp;UtilityList!$B$4:$B$251&amp;UtilityList!$C$4:$C$251,0)), INDEX(UtilityList!M$4:M$251,MATCH('Table 2.4a'!$A217&amp;'Table 2.4a'!$C217,UtilityList!$A$4:$A$251&amp;UtilityList!$C$4:$C$251,0)))</f>
        <v>SW</v>
      </c>
    </row>
    <row r="218" spans="1:19" customFormat="1" ht="30" x14ac:dyDescent="0.25">
      <c r="A218" s="678" t="s">
        <v>343</v>
      </c>
      <c r="B218" s="361" t="s">
        <v>344</v>
      </c>
      <c r="C218" s="679" t="s">
        <v>344</v>
      </c>
      <c r="D218" s="680" t="s">
        <v>545</v>
      </c>
      <c r="E218" s="680" t="s">
        <v>546</v>
      </c>
      <c r="F218" s="694">
        <f t="shared" si="13"/>
        <v>722.12591599999996</v>
      </c>
      <c r="G218" s="694">
        <f t="shared" si="12"/>
        <v>3409.9480000000003</v>
      </c>
      <c r="H218" s="695">
        <v>73.150000000000006</v>
      </c>
      <c r="I218" s="694">
        <f t="shared" si="14"/>
        <v>249.43769620000003</v>
      </c>
      <c r="J218" s="696">
        <f t="shared" si="15"/>
        <v>0.21177036013452402</v>
      </c>
      <c r="K218" s="697">
        <v>211.643</v>
      </c>
      <c r="L218" s="697">
        <v>24532</v>
      </c>
      <c r="M218" s="790">
        <v>0.13900000000000001</v>
      </c>
      <c r="N218" s="658" t="s">
        <v>356</v>
      </c>
      <c r="O218" s="698">
        <f t="array" ref="O218">INDEX(UtilityList!Q$4:Q$251,MATCH('Table 2.4a'!$A218&amp;'Table 2.4a'!$B218&amp;'Table 2.4a'!$C218,UtilityList!$A$4:$A$251&amp;UtilityList!$B$4:$B$251&amp;UtilityList!$C$4:$C$251,0))</f>
        <v>0</v>
      </c>
      <c r="P218" s="698" t="str">
        <f t="array" ref="P218">IFERROR(INDEX(UtilityList!J$4:J$251,MATCH('Table 2.4a'!$A218&amp;'Table 2.4a'!$B218&amp;'Table 2.4a'!$C218,UtilityList!$A$4:$A$251&amp;UtilityList!$B$4:$B$251&amp;UtilityList!$C$4:$C$251,0)), INDEX(UtilityList!J$4:J$251,MATCH('Table 2.4a'!$A218&amp;'Table 2.4a'!$C218,UtilityList!$A$4:$A$251&amp;UtilityList!$C$4:$C$251,0)))</f>
        <v>Aleutians</v>
      </c>
      <c r="Q218" s="698" t="str">
        <f t="array" ref="Q218">IFERROR(INDEX(UtilityList!K$4:K$251,MATCH('Table 2.4a'!$A218&amp;'Table 2.4a'!$B218&amp;'Table 2.4a'!$C218,UtilityList!$A$4:$A$251&amp;UtilityList!$B$4:$B$251&amp;UtilityList!$C$4:$C$251,0)), INDEX(UtilityList!K$4:K$251,MATCH('Table 2.4a'!$A218&amp;'Table 2.4a'!$C218,UtilityList!$A$4:$A$251&amp;UtilityList!$C$4:$C$251,0)))</f>
        <v>Aleutians West (CA)</v>
      </c>
      <c r="R218" s="698" t="str">
        <f t="array" ref="R218">IFERROR(INDEX(UtilityList!L$4:L$251,MATCH('Table 2.4a'!$A218&amp;'Table 2.4a'!$B218&amp;'Table 2.4a'!$C218,UtilityList!$A$4:$A$251&amp;UtilityList!$B$4:$B$251&amp;UtilityList!$C$4:$C$251,0)), INDEX(UtilityList!L$4:L$251,MATCH('Table 2.4a'!$A218&amp;'Table 2.4a'!$C218,UtilityList!$A$4:$A$251&amp;UtilityList!$C$4:$C$251,0)))</f>
        <v>Aleut</v>
      </c>
      <c r="S218" s="698" t="str">
        <f t="array" ref="S218">IFERROR(INDEX(UtilityList!M$4:M$251,MATCH('Table 2.4a'!$A218&amp;'Table 2.4a'!$B218&amp;'Table 2.4a'!$C218,UtilityList!$A$4:$A$251&amp;UtilityList!$B$4:$B$251&amp;UtilityList!$C$4:$C$251,0)), INDEX(UtilityList!M$4:M$251,MATCH('Table 2.4a'!$A218&amp;'Table 2.4a'!$C218,UtilityList!$A$4:$A$251&amp;UtilityList!$C$4:$C$251,0)))</f>
        <v>SW</v>
      </c>
    </row>
    <row r="219" spans="1:19" customFormat="1" ht="30" x14ac:dyDescent="0.25">
      <c r="A219" s="678" t="s">
        <v>537</v>
      </c>
      <c r="B219" s="361" t="s">
        <v>345</v>
      </c>
      <c r="C219" s="679" t="s">
        <v>345</v>
      </c>
      <c r="D219" s="680" t="s">
        <v>545</v>
      </c>
      <c r="E219" s="680" t="s">
        <v>546</v>
      </c>
      <c r="F219" s="694">
        <f t="shared" si="13"/>
        <v>11934.984928</v>
      </c>
      <c r="G219" s="694">
        <f t="shared" si="12"/>
        <v>32475.543000000009</v>
      </c>
      <c r="H219" s="695">
        <v>73.150000000000006</v>
      </c>
      <c r="I219" s="694">
        <f t="shared" si="14"/>
        <v>2375.5859704500008</v>
      </c>
      <c r="J219" s="696">
        <f t="shared" si="15"/>
        <v>0.36750686287216189</v>
      </c>
      <c r="K219" s="697">
        <v>3497.944</v>
      </c>
      <c r="L219" s="697">
        <v>233637.00000000003</v>
      </c>
      <c r="M219" s="790">
        <v>0.13900000000000001</v>
      </c>
      <c r="N219" s="658" t="s">
        <v>356</v>
      </c>
      <c r="O219" s="698">
        <f t="array" ref="O219">INDEX(UtilityList!Q$4:Q$251,MATCH('Table 2.4a'!$A219&amp;'Table 2.4a'!$B219&amp;'Table 2.4a'!$C219,UtilityList!$A$4:$A$251&amp;UtilityList!$B$4:$B$251&amp;UtilityList!$C$4:$C$251,0))</f>
        <v>0</v>
      </c>
      <c r="P219" s="698" t="str">
        <f t="array" ref="P219">IFERROR(INDEX(UtilityList!J$4:J$251,MATCH('Table 2.4a'!$A219&amp;'Table 2.4a'!$B219&amp;'Table 2.4a'!$C219,UtilityList!$A$4:$A$251&amp;UtilityList!$B$4:$B$251&amp;UtilityList!$C$4:$C$251,0)), INDEX(UtilityList!J$4:J$251,MATCH('Table 2.4a'!$A219&amp;'Table 2.4a'!$C219,UtilityList!$A$4:$A$251&amp;UtilityList!$C$4:$C$251,0)))</f>
        <v>Bering Straits</v>
      </c>
      <c r="Q219" s="698" t="str">
        <f t="array" ref="Q219">IFERROR(INDEX(UtilityList!K$4:K$251,MATCH('Table 2.4a'!$A219&amp;'Table 2.4a'!$B219&amp;'Table 2.4a'!$C219,UtilityList!$A$4:$A$251&amp;UtilityList!$B$4:$B$251&amp;UtilityList!$C$4:$C$251,0)), INDEX(UtilityList!K$4:K$251,MATCH('Table 2.4a'!$A219&amp;'Table 2.4a'!$C219,UtilityList!$A$4:$A$251&amp;UtilityList!$C$4:$C$251,0)))</f>
        <v>Nome (CA)</v>
      </c>
      <c r="R219" s="698" t="str">
        <f t="array" ref="R219">IFERROR(INDEX(UtilityList!L$4:L$251,MATCH('Table 2.4a'!$A219&amp;'Table 2.4a'!$B219&amp;'Table 2.4a'!$C219,UtilityList!$A$4:$A$251&amp;UtilityList!$B$4:$B$251&amp;UtilityList!$C$4:$C$251,0)), INDEX(UtilityList!L$4:L$251,MATCH('Table 2.4a'!$A219&amp;'Table 2.4a'!$C219,UtilityList!$A$4:$A$251&amp;UtilityList!$C$4:$C$251,0)))</f>
        <v>Bering Straits</v>
      </c>
      <c r="S219" s="698" t="str">
        <f t="array" ref="S219">IFERROR(INDEX(UtilityList!M$4:M$251,MATCH('Table 2.4a'!$A219&amp;'Table 2.4a'!$B219&amp;'Table 2.4a'!$C219,UtilityList!$A$4:$A$251&amp;UtilityList!$B$4:$B$251&amp;UtilityList!$C$4:$C$251,0)), INDEX(UtilityList!M$4:M$251,MATCH('Table 2.4a'!$A219&amp;'Table 2.4a'!$C219,UtilityList!$A$4:$A$251&amp;UtilityList!$C$4:$C$251,0)))</f>
        <v>AN</v>
      </c>
    </row>
    <row r="220" spans="1:19" customFormat="1" ht="45" x14ac:dyDescent="0.25">
      <c r="A220" s="678" t="s">
        <v>637</v>
      </c>
      <c r="B220" s="361"/>
      <c r="C220" s="654" t="s">
        <v>492</v>
      </c>
      <c r="D220" s="680" t="s">
        <v>545</v>
      </c>
      <c r="E220" s="680" t="s">
        <v>546</v>
      </c>
      <c r="F220" s="694">
        <f t="shared" si="13"/>
        <v>148422</v>
      </c>
      <c r="G220" s="694">
        <f t="shared" si="12"/>
        <v>388427.16000000003</v>
      </c>
      <c r="H220" s="695">
        <v>73.150000000000006</v>
      </c>
      <c r="I220" s="694">
        <f t="shared" si="14"/>
        <v>28413.446754000004</v>
      </c>
      <c r="J220" s="696">
        <f t="shared" si="15"/>
        <v>0.38211025202254134</v>
      </c>
      <c r="K220" s="697">
        <v>43500</v>
      </c>
      <c r="L220" s="697">
        <v>2794440</v>
      </c>
      <c r="M220" s="790">
        <v>0.13900000000000001</v>
      </c>
      <c r="N220" s="658" t="s">
        <v>356</v>
      </c>
      <c r="O220" s="698" t="s">
        <v>721</v>
      </c>
      <c r="P220" s="698" t="str">
        <f t="array" ref="P220">IFERROR(INDEX(UtilityList!J$4:J$251,MATCH('Table 2.4a'!$A220&amp;'Table 2.4a'!$B220&amp;'Table 2.4a'!$C220,UtilityList!$A$4:$A$251&amp;UtilityList!$B$4:$B$251&amp;UtilityList!$C$4:$C$251,0)), INDEX(UtilityList!J$4:J$251,MATCH('Table 2.4a'!$A220&amp;'Table 2.4a'!$C220,UtilityList!$A$4:$A$251&amp;UtilityList!$C$4:$C$251,0)))</f>
        <v>Aleutians</v>
      </c>
      <c r="Q220" s="698" t="str">
        <f t="array" ref="Q220">IFERROR(INDEX(UtilityList!K$4:K$251,MATCH('Table 2.4a'!$A220&amp;'Table 2.4a'!$B220&amp;'Table 2.4a'!$C220,UtilityList!$A$4:$A$251&amp;UtilityList!$B$4:$B$251&amp;UtilityList!$C$4:$C$251,0)), INDEX(UtilityList!K$4:K$251,MATCH('Table 2.4a'!$A220&amp;'Table 2.4a'!$C220,UtilityList!$A$4:$A$251&amp;UtilityList!$C$4:$C$251,0)))</f>
        <v>Aleutians West (CA)</v>
      </c>
      <c r="R220" s="698" t="str">
        <f t="array" ref="R220">IFERROR(INDEX(UtilityList!L$4:L$251,MATCH('Table 2.4a'!$A220&amp;'Table 2.4a'!$B220&amp;'Table 2.4a'!$C220,UtilityList!$A$4:$A$251&amp;UtilityList!$B$4:$B$251&amp;UtilityList!$C$4:$C$251,0)), INDEX(UtilityList!L$4:L$251,MATCH('Table 2.4a'!$A220&amp;'Table 2.4a'!$C220,UtilityList!$A$4:$A$251&amp;UtilityList!$C$4:$C$251,0)))</f>
        <v>Aleut</v>
      </c>
      <c r="S220" s="698" t="str">
        <f t="array" ref="S220">IFERROR(INDEX(UtilityList!M$4:M$251,MATCH('Table 2.4a'!$A220&amp;'Table 2.4a'!$B220&amp;'Table 2.4a'!$C220,UtilityList!$A$4:$A$251&amp;UtilityList!$B$4:$B$251&amp;UtilityList!$C$4:$C$251,0)), INDEX(UtilityList!M$4:M$251,MATCH('Table 2.4a'!$A220&amp;'Table 2.4a'!$C220,UtilityList!$A$4:$A$251&amp;UtilityList!$C$4:$C$251,0)))</f>
        <v>SW</v>
      </c>
    </row>
    <row r="221" spans="1:19" customFormat="1" ht="30" x14ac:dyDescent="0.25">
      <c r="A221" s="678" t="s">
        <v>346</v>
      </c>
      <c r="B221" s="361" t="s">
        <v>347</v>
      </c>
      <c r="C221" s="679" t="s">
        <v>347</v>
      </c>
      <c r="D221" s="680" t="s">
        <v>545</v>
      </c>
      <c r="E221" s="680" t="s">
        <v>546</v>
      </c>
      <c r="F221" s="694">
        <f t="shared" si="13"/>
        <v>1456.8694079999998</v>
      </c>
      <c r="G221" s="694">
        <f t="shared" si="12"/>
        <v>5721.1010000000006</v>
      </c>
      <c r="H221" s="695">
        <v>73.150000000000006</v>
      </c>
      <c r="I221" s="694">
        <f t="shared" si="14"/>
        <v>418.49853815000012</v>
      </c>
      <c r="J221" s="696">
        <f t="shared" si="15"/>
        <v>0.25464843357948053</v>
      </c>
      <c r="K221" s="697">
        <v>426.98399999999998</v>
      </c>
      <c r="L221" s="697">
        <v>41159</v>
      </c>
      <c r="M221" s="790">
        <v>0.13900000000000001</v>
      </c>
      <c r="N221" s="658" t="s">
        <v>356</v>
      </c>
      <c r="O221" s="698">
        <f t="array" ref="O221">INDEX(UtilityList!Q$4:Q$251,MATCH('Table 2.4a'!$A221&amp;'Table 2.4a'!$B221&amp;'Table 2.4a'!$C221,UtilityList!$A$4:$A$251&amp;UtilityList!$B$4:$B$251&amp;UtilityList!$C$4:$C$251,0))</f>
        <v>0</v>
      </c>
      <c r="P221" s="698" t="str">
        <f t="array" ref="P221">IFERROR(INDEX(UtilityList!J$4:J$251,MATCH('Table 2.4a'!$A221&amp;'Table 2.4a'!$B221&amp;'Table 2.4a'!$C221,UtilityList!$A$4:$A$251&amp;UtilityList!$B$4:$B$251&amp;UtilityList!$C$4:$C$251,0)), INDEX(UtilityList!J$4:J$251,MATCH('Table 2.4a'!$A221&amp;'Table 2.4a'!$C221,UtilityList!$A$4:$A$251&amp;UtilityList!$C$4:$C$251,0)))</f>
        <v>Lower Yukon-Kuskokwim</v>
      </c>
      <c r="Q221" s="698" t="str">
        <f t="array" ref="Q221">IFERROR(INDEX(UtilityList!K$4:K$251,MATCH('Table 2.4a'!$A221&amp;'Table 2.4a'!$B221&amp;'Table 2.4a'!$C221,UtilityList!$A$4:$A$251&amp;UtilityList!$B$4:$B$251&amp;UtilityList!$C$4:$C$251,0)), INDEX(UtilityList!K$4:K$251,MATCH('Table 2.4a'!$A221&amp;'Table 2.4a'!$C221,UtilityList!$A$4:$A$251&amp;UtilityList!$C$4:$C$251,0)))</f>
        <v>Bethel (CA)</v>
      </c>
      <c r="R221" s="698" t="str">
        <f t="array" ref="R221">IFERROR(INDEX(UtilityList!L$4:L$251,MATCH('Table 2.4a'!$A221&amp;'Table 2.4a'!$B221&amp;'Table 2.4a'!$C221,UtilityList!$A$4:$A$251&amp;UtilityList!$B$4:$B$251&amp;UtilityList!$C$4:$C$251,0)), INDEX(UtilityList!L$4:L$251,MATCH('Table 2.4a'!$A221&amp;'Table 2.4a'!$C221,UtilityList!$A$4:$A$251&amp;UtilityList!$C$4:$C$251,0)))</f>
        <v>Calista</v>
      </c>
      <c r="S221" s="698" t="str">
        <f t="array" ref="S221">IFERROR(INDEX(UtilityList!M$4:M$251,MATCH('Table 2.4a'!$A221&amp;'Table 2.4a'!$B221&amp;'Table 2.4a'!$C221,UtilityList!$A$4:$A$251&amp;UtilityList!$B$4:$B$251&amp;UtilityList!$C$4:$C$251,0)), INDEX(UtilityList!M$4:M$251,MATCH('Table 2.4a'!$A221&amp;'Table 2.4a'!$C221,UtilityList!$A$4:$A$251&amp;UtilityList!$C$4:$C$251,0)))</f>
        <v>SW</v>
      </c>
    </row>
    <row r="222" spans="1:19" customFormat="1" ht="30" x14ac:dyDescent="0.25">
      <c r="A222" s="678" t="s">
        <v>350</v>
      </c>
      <c r="B222" s="361" t="s">
        <v>351</v>
      </c>
      <c r="C222" s="654" t="s">
        <v>351</v>
      </c>
      <c r="D222" s="680" t="s">
        <v>545</v>
      </c>
      <c r="E222" s="680" t="s">
        <v>546</v>
      </c>
      <c r="F222" s="694">
        <f t="shared" si="13"/>
        <v>1259.7649919999999</v>
      </c>
      <c r="G222" s="694">
        <f t="shared" si="12"/>
        <v>4101.7510000000002</v>
      </c>
      <c r="H222" s="695">
        <v>73.150000000000006</v>
      </c>
      <c r="I222" s="694">
        <f t="shared" si="14"/>
        <v>300.04308565000002</v>
      </c>
      <c r="J222" s="696">
        <f t="shared" si="15"/>
        <v>0.30712858776654162</v>
      </c>
      <c r="K222" s="697">
        <v>369.21600000000001</v>
      </c>
      <c r="L222" s="697">
        <v>29509</v>
      </c>
      <c r="M222" s="790">
        <v>0.13900000000000001</v>
      </c>
      <c r="N222" s="658" t="s">
        <v>356</v>
      </c>
      <c r="O222" s="698">
        <f t="array" ref="O222">INDEX(UtilityList!Q$4:Q$251,MATCH('Table 2.4a'!$A222&amp;'Table 2.4a'!$B222&amp;'Table 2.4a'!$C222,UtilityList!$A$4:$A$251&amp;UtilityList!$B$4:$B$251&amp;UtilityList!$C$4:$C$251,0))</f>
        <v>0</v>
      </c>
      <c r="P222" s="698" t="str">
        <f t="array" ref="P222">IFERROR(INDEX(UtilityList!J$4:J$251,MATCH('Table 2.4a'!$A222&amp;'Table 2.4a'!$B222&amp;'Table 2.4a'!$C222,UtilityList!$A$4:$A$251&amp;UtilityList!$B$4:$B$251&amp;UtilityList!$C$4:$C$251,0)), INDEX(UtilityList!J$4:J$251,MATCH('Table 2.4a'!$A222&amp;'Table 2.4a'!$C222,UtilityList!$A$4:$A$251&amp;UtilityList!$C$4:$C$251,0)))</f>
        <v>Bering Straits</v>
      </c>
      <c r="Q222" s="698" t="str">
        <f t="array" ref="Q222">IFERROR(INDEX(UtilityList!K$4:K$251,MATCH('Table 2.4a'!$A222&amp;'Table 2.4a'!$B222&amp;'Table 2.4a'!$C222,UtilityList!$A$4:$A$251&amp;UtilityList!$B$4:$B$251&amp;UtilityList!$C$4:$C$251,0)), INDEX(UtilityList!K$4:K$251,MATCH('Table 2.4a'!$A222&amp;'Table 2.4a'!$C222,UtilityList!$A$4:$A$251&amp;UtilityList!$C$4:$C$251,0)))</f>
        <v>Nome (CA)</v>
      </c>
      <c r="R222" s="698" t="str">
        <f t="array" ref="R222">IFERROR(INDEX(UtilityList!L$4:L$251,MATCH('Table 2.4a'!$A222&amp;'Table 2.4a'!$B222&amp;'Table 2.4a'!$C222,UtilityList!$A$4:$A$251&amp;UtilityList!$B$4:$B$251&amp;UtilityList!$C$4:$C$251,0)), INDEX(UtilityList!L$4:L$251,MATCH('Table 2.4a'!$A222&amp;'Table 2.4a'!$C222,UtilityList!$A$4:$A$251&amp;UtilityList!$C$4:$C$251,0)))</f>
        <v>Bering Straits</v>
      </c>
      <c r="S222" s="698" t="str">
        <f t="array" ref="S222">IFERROR(INDEX(UtilityList!M$4:M$251,MATCH('Table 2.4a'!$A222&amp;'Table 2.4a'!$B222&amp;'Table 2.4a'!$C222,UtilityList!$A$4:$A$251&amp;UtilityList!$B$4:$B$251&amp;UtilityList!$C$4:$C$251,0)), INDEX(UtilityList!M$4:M$251,MATCH('Table 2.4a'!$A222&amp;'Table 2.4a'!$C222,UtilityList!$A$4:$A$251&amp;UtilityList!$C$4:$C$251,0)))</f>
        <v>AN</v>
      </c>
    </row>
    <row r="223" spans="1:19" s="169" customFormat="1" ht="15" x14ac:dyDescent="0.25">
      <c r="A223" s="361" t="s">
        <v>352</v>
      </c>
      <c r="B223" s="361" t="s">
        <v>353</v>
      </c>
      <c r="C223" s="361" t="s">
        <v>353</v>
      </c>
      <c r="D223" s="622" t="s">
        <v>545</v>
      </c>
      <c r="E223" s="622" t="s">
        <v>546</v>
      </c>
      <c r="F223" s="694">
        <f t="shared" si="13"/>
        <v>1671.8799999999999</v>
      </c>
      <c r="G223" s="694">
        <f t="shared" si="12"/>
        <v>5534.4240000000009</v>
      </c>
      <c r="H223" s="695">
        <v>73.150000000000006</v>
      </c>
      <c r="I223" s="694">
        <f t="shared" si="14"/>
        <v>404.84311560000009</v>
      </c>
      <c r="J223" s="696">
        <f t="shared" si="15"/>
        <v>0.30208744396887544</v>
      </c>
      <c r="K223" s="697">
        <v>490</v>
      </c>
      <c r="L223" s="697">
        <v>39816</v>
      </c>
      <c r="M223" s="790">
        <v>0.13900000000000001</v>
      </c>
      <c r="N223" s="658" t="s">
        <v>558</v>
      </c>
      <c r="O223" s="698">
        <f t="array" ref="O223">INDEX(UtilityList!Q$4:Q$251,MATCH('Table 2.4a'!$A223&amp;'Table 2.4a'!$B223&amp;'Table 2.4a'!$C223,UtilityList!$A$4:$A$251&amp;UtilityList!$B$4:$B$251&amp;UtilityList!$C$4:$C$251,0))</f>
        <v>0</v>
      </c>
      <c r="P223" s="698" t="str">
        <f t="array" ref="P223">IFERROR(INDEX(UtilityList!J$4:J$251,MATCH('Table 2.4a'!$A223&amp;'Table 2.4a'!$B223&amp;'Table 2.4a'!$C223,UtilityList!$A$4:$A$251&amp;UtilityList!$B$4:$B$251&amp;UtilityList!$C$4:$C$251,0)), INDEX(UtilityList!J$4:J$251,MATCH('Table 2.4a'!$A223&amp;'Table 2.4a'!$C223,UtilityList!$A$4:$A$251&amp;UtilityList!$C$4:$C$251,0)))</f>
        <v>Southeast</v>
      </c>
      <c r="Q223" s="698" t="str">
        <f t="array" ref="Q223">IFERROR(INDEX(UtilityList!K$4:K$251,MATCH('Table 2.4a'!$A223&amp;'Table 2.4a'!$B223&amp;'Table 2.4a'!$C223,UtilityList!$A$4:$A$251&amp;UtilityList!$B$4:$B$251&amp;UtilityList!$C$4:$C$251,0)), INDEX(UtilityList!K$4:K$251,MATCH('Table 2.4a'!$A223&amp;'Table 2.4a'!$C223,UtilityList!$A$4:$A$251&amp;UtilityList!$C$4:$C$251,0)))</f>
        <v>Wrangell</v>
      </c>
      <c r="R223" s="698" t="str">
        <f t="array" ref="R223">IFERROR(INDEX(UtilityList!L$4:L$251,MATCH('Table 2.4a'!$A223&amp;'Table 2.4a'!$B223&amp;'Table 2.4a'!$C223,UtilityList!$A$4:$A$251&amp;UtilityList!$B$4:$B$251&amp;UtilityList!$C$4:$C$251,0)), INDEX(UtilityList!L$4:L$251,MATCH('Table 2.4a'!$A223&amp;'Table 2.4a'!$C223,UtilityList!$A$4:$A$251&amp;UtilityList!$C$4:$C$251,0)))</f>
        <v>Sealaska</v>
      </c>
      <c r="S223" s="698" t="str">
        <f t="array" ref="S223">IFERROR(INDEX(UtilityList!M$4:M$251,MATCH('Table 2.4a'!$A223&amp;'Table 2.4a'!$B223&amp;'Table 2.4a'!$C223,UtilityList!$A$4:$A$251&amp;UtilityList!$B$4:$B$251&amp;UtilityList!$C$4:$C$251,0)), INDEX(UtilityList!M$4:M$251,MATCH('Table 2.4a'!$A223&amp;'Table 2.4a'!$C223,UtilityList!$A$4:$A$251&amp;UtilityList!$C$4:$C$251,0)))</f>
        <v>SE</v>
      </c>
    </row>
    <row r="224" spans="1:19" customFormat="1" ht="15" x14ac:dyDescent="0.25">
      <c r="A224" s="678" t="s">
        <v>354</v>
      </c>
      <c r="B224" s="361" t="s">
        <v>355</v>
      </c>
      <c r="C224" s="654" t="s">
        <v>355</v>
      </c>
      <c r="D224" s="680" t="s">
        <v>545</v>
      </c>
      <c r="E224" s="680" t="s">
        <v>546</v>
      </c>
      <c r="F224" s="694">
        <f t="shared" si="13"/>
        <v>22217.951107999997</v>
      </c>
      <c r="G224" s="694">
        <f t="shared" si="12"/>
        <v>62630.342000000004</v>
      </c>
      <c r="H224" s="695">
        <v>73.150000000000006</v>
      </c>
      <c r="I224" s="694">
        <f t="shared" si="14"/>
        <v>4581.4095173000005</v>
      </c>
      <c r="J224" s="696">
        <f t="shared" si="15"/>
        <v>0.35474740195415183</v>
      </c>
      <c r="K224" s="697">
        <v>6511.7089999999998</v>
      </c>
      <c r="L224" s="697">
        <v>450578</v>
      </c>
      <c r="M224" s="790">
        <v>0.13900000000000001</v>
      </c>
      <c r="N224" s="658" t="s">
        <v>356</v>
      </c>
      <c r="O224" s="698">
        <f t="array" ref="O224">INDEX(UtilityList!Q$4:Q$251,MATCH('Table 2.4a'!$A224&amp;'Table 2.4a'!$B224&amp;'Table 2.4a'!$C224,UtilityList!$A$4:$A$251&amp;UtilityList!$B$4:$B$251&amp;UtilityList!$C$4:$C$251,0))</f>
        <v>0</v>
      </c>
      <c r="P224" s="698" t="str">
        <f t="array" ref="P224">IFERROR(INDEX(UtilityList!J$4:J$251,MATCH('Table 2.4a'!$A224&amp;'Table 2.4a'!$B224&amp;'Table 2.4a'!$C224,UtilityList!$A$4:$A$251&amp;UtilityList!$B$4:$B$251&amp;UtilityList!$C$4:$C$251,0)), INDEX(UtilityList!J$4:J$251,MATCH('Table 2.4a'!$A224&amp;'Table 2.4a'!$C224,UtilityList!$A$4:$A$251&amp;UtilityList!$C$4:$C$251,0)))</f>
        <v>Southeast</v>
      </c>
      <c r="Q224" s="698" t="str">
        <f t="array" ref="Q224">IFERROR(INDEX(UtilityList!K$4:K$251,MATCH('Table 2.4a'!$A224&amp;'Table 2.4a'!$B224&amp;'Table 2.4a'!$C224,UtilityList!$A$4:$A$251&amp;UtilityList!$B$4:$B$251&amp;UtilityList!$C$4:$C$251,0)), INDEX(UtilityList!K$4:K$251,MATCH('Table 2.4a'!$A224&amp;'Table 2.4a'!$C224,UtilityList!$A$4:$A$251&amp;UtilityList!$C$4:$C$251,0)))</f>
        <v>Yakutat</v>
      </c>
      <c r="R224" s="698" t="str">
        <f t="array" ref="R224">IFERROR(INDEX(UtilityList!L$4:L$251,MATCH('Table 2.4a'!$A224&amp;'Table 2.4a'!$B224&amp;'Table 2.4a'!$C224,UtilityList!$A$4:$A$251&amp;UtilityList!$B$4:$B$251&amp;UtilityList!$C$4:$C$251,0)), INDEX(UtilityList!L$4:L$251,MATCH('Table 2.4a'!$A224&amp;'Table 2.4a'!$C224,UtilityList!$A$4:$A$251&amp;UtilityList!$C$4:$C$251,0)))</f>
        <v>Sealaska</v>
      </c>
      <c r="S224" s="698" t="str">
        <f t="array" ref="S224">IFERROR(INDEX(UtilityList!M$4:M$251,MATCH('Table 2.4a'!$A224&amp;'Table 2.4a'!$B224&amp;'Table 2.4a'!$C224,UtilityList!$A$4:$A$251&amp;UtilityList!$B$4:$B$251&amp;UtilityList!$C$4:$C$251,0)), INDEX(UtilityList!M$4:M$251,MATCH('Table 2.4a'!$A224&amp;'Table 2.4a'!$C224,UtilityList!$A$4:$A$251&amp;UtilityList!$C$4:$C$251,0)))</f>
        <v>SE</v>
      </c>
    </row>
    <row r="225" spans="1:18" customFormat="1" ht="15" x14ac:dyDescent="0.25">
      <c r="A225" s="89"/>
      <c r="B225" s="88"/>
      <c r="C225" s="88"/>
      <c r="D225" s="175"/>
      <c r="E225" s="175"/>
      <c r="F225" s="175"/>
      <c r="G225" s="21"/>
      <c r="H225" s="21"/>
      <c r="I225" s="39"/>
      <c r="J225" s="39"/>
      <c r="K225" s="36"/>
      <c r="L225" s="30"/>
      <c r="M225" s="791"/>
      <c r="N225" s="31"/>
      <c r="O225" s="365"/>
      <c r="P225" s="40"/>
      <c r="Q225" s="117"/>
      <c r="R225" s="286"/>
    </row>
    <row r="226" spans="1:18" customFormat="1" ht="15" x14ac:dyDescent="0.25">
      <c r="A226" s="89"/>
      <c r="B226" s="88"/>
      <c r="C226" s="88"/>
      <c r="D226" s="118"/>
      <c r="E226" s="118"/>
      <c r="F226" s="118"/>
      <c r="G226" s="22"/>
      <c r="H226" s="22"/>
      <c r="I226" s="39"/>
      <c r="J226" s="39"/>
      <c r="K226" s="36"/>
      <c r="L226" s="30"/>
      <c r="M226" s="791"/>
      <c r="N226" s="37"/>
      <c r="O226" s="365"/>
      <c r="P226" s="38"/>
      <c r="Q226" s="117"/>
      <c r="R226" s="286"/>
    </row>
    <row r="227" spans="1:18" customFormat="1" ht="15" x14ac:dyDescent="0.25">
      <c r="A227" s="120"/>
      <c r="B227" s="120"/>
      <c r="C227" s="120"/>
      <c r="D227" s="88"/>
      <c r="E227" s="88"/>
      <c r="F227" s="88"/>
      <c r="G227" s="20"/>
      <c r="H227" s="20"/>
      <c r="I227" s="20"/>
      <c r="J227" s="20"/>
      <c r="K227" s="20"/>
      <c r="L227" s="20"/>
      <c r="M227" s="792"/>
      <c r="N227" s="20"/>
      <c r="O227" s="364"/>
      <c r="P227" s="20"/>
      <c r="Q227" s="148"/>
      <c r="R227" s="291"/>
    </row>
    <row r="228" spans="1:18" customFormat="1" ht="15" x14ac:dyDescent="0.25">
      <c r="A228" s="120"/>
      <c r="B228" s="120"/>
      <c r="C228" s="120"/>
      <c r="D228" s="88"/>
      <c r="E228" s="88"/>
      <c r="F228" s="88"/>
      <c r="G228" s="20"/>
      <c r="H228" s="20"/>
      <c r="I228" s="20"/>
      <c r="J228" s="20"/>
      <c r="K228" s="20"/>
      <c r="L228" s="20"/>
      <c r="M228" s="792"/>
      <c r="N228" s="20"/>
      <c r="O228" s="364"/>
      <c r="P228" s="20"/>
      <c r="Q228" s="148"/>
      <c r="R228" s="291"/>
    </row>
    <row r="229" spans="1:18" customFormat="1" ht="15" x14ac:dyDescent="0.25">
      <c r="A229" s="120"/>
      <c r="B229" s="120"/>
      <c r="C229" s="120"/>
      <c r="D229" s="292"/>
      <c r="E229" s="292"/>
      <c r="F229" s="292"/>
      <c r="G229" s="20"/>
      <c r="H229" s="20"/>
      <c r="I229" s="20"/>
      <c r="J229" s="20"/>
      <c r="K229" s="20"/>
      <c r="L229" s="41"/>
      <c r="M229" s="792"/>
      <c r="N229" s="20"/>
      <c r="O229" s="364"/>
      <c r="P229" s="20"/>
      <c r="Q229" s="148"/>
      <c r="R229" s="291"/>
    </row>
    <row r="230" spans="1:18" customFormat="1" ht="15" x14ac:dyDescent="0.25">
      <c r="A230" s="120"/>
      <c r="B230" s="120"/>
      <c r="C230" s="120"/>
      <c r="D230" s="292"/>
      <c r="E230" s="292"/>
      <c r="F230" s="292"/>
      <c r="G230" s="20"/>
      <c r="H230" s="20"/>
      <c r="I230" s="20"/>
      <c r="J230" s="20"/>
      <c r="K230" s="20"/>
      <c r="L230" s="41"/>
      <c r="M230" s="792"/>
      <c r="N230" s="20"/>
      <c r="O230" s="364"/>
      <c r="P230" s="20"/>
      <c r="Q230" s="148"/>
      <c r="R230" s="291"/>
    </row>
    <row r="231" spans="1:18" customFormat="1" ht="15" x14ac:dyDescent="0.25">
      <c r="A231" s="120"/>
      <c r="B231" s="120"/>
      <c r="C231" s="120"/>
      <c r="D231" s="157"/>
      <c r="E231" s="347"/>
      <c r="F231" s="257"/>
      <c r="G231" s="20"/>
      <c r="H231" s="20"/>
      <c r="I231" s="20"/>
      <c r="J231" s="20"/>
      <c r="K231" s="20"/>
      <c r="L231" s="20"/>
      <c r="M231" s="792"/>
      <c r="N231" s="20"/>
      <c r="O231" s="364"/>
      <c r="P231" s="20"/>
      <c r="Q231" s="148"/>
      <c r="R231" s="291"/>
    </row>
    <row r="232" spans="1:18" customFormat="1" ht="15" x14ac:dyDescent="0.25">
      <c r="A232" s="120"/>
      <c r="B232" s="120"/>
      <c r="C232" s="120"/>
      <c r="D232" s="292"/>
      <c r="E232" s="292"/>
      <c r="F232" s="292"/>
      <c r="G232" s="20"/>
      <c r="H232" s="20"/>
      <c r="I232" s="20"/>
      <c r="J232" s="20"/>
      <c r="K232" s="20"/>
      <c r="L232" s="20"/>
      <c r="M232" s="792"/>
      <c r="N232" s="20"/>
      <c r="O232" s="364"/>
      <c r="P232" s="20"/>
      <c r="Q232" s="148"/>
      <c r="R232" s="291"/>
    </row>
    <row r="233" spans="1:18" customFormat="1" ht="15" x14ac:dyDescent="0.25">
      <c r="A233" s="120"/>
      <c r="B233" s="120"/>
      <c r="C233" s="120"/>
      <c r="D233" s="292"/>
      <c r="E233" s="292"/>
      <c r="F233" s="292"/>
      <c r="G233" s="20"/>
      <c r="H233" s="20"/>
      <c r="I233" s="20"/>
      <c r="J233" s="20"/>
      <c r="K233" s="20"/>
      <c r="L233" s="20"/>
      <c r="M233" s="792"/>
      <c r="N233" s="20"/>
      <c r="O233" s="364"/>
      <c r="P233" s="20"/>
      <c r="Q233" s="148"/>
      <c r="R233" s="291"/>
    </row>
    <row r="234" spans="1:18" customFormat="1" ht="15" x14ac:dyDescent="0.25">
      <c r="A234" s="120"/>
      <c r="B234" s="120"/>
      <c r="C234" s="120"/>
      <c r="D234" s="292"/>
      <c r="E234" s="292"/>
      <c r="F234" s="292"/>
      <c r="G234" s="20"/>
      <c r="H234" s="20"/>
      <c r="I234" s="20"/>
      <c r="J234" s="20"/>
      <c r="K234" s="20"/>
      <c r="L234" s="20"/>
      <c r="M234" s="792"/>
      <c r="N234" s="20"/>
      <c r="O234" s="364"/>
      <c r="P234" s="20"/>
      <c r="Q234" s="148"/>
      <c r="R234" s="291"/>
    </row>
    <row r="235" spans="1:18" customFormat="1" ht="15" x14ac:dyDescent="0.25">
      <c r="A235" s="120"/>
      <c r="B235" s="120"/>
      <c r="C235" s="120"/>
      <c r="D235" s="292"/>
      <c r="E235" s="292"/>
      <c r="F235" s="292"/>
      <c r="G235" s="20"/>
      <c r="H235" s="20"/>
      <c r="I235" s="20"/>
      <c r="J235" s="20"/>
      <c r="K235" s="20"/>
      <c r="L235" s="20"/>
      <c r="M235" s="792"/>
      <c r="N235" s="20"/>
      <c r="O235" s="364"/>
      <c r="P235" s="20"/>
      <c r="Q235" s="148"/>
      <c r="R235" s="291"/>
    </row>
    <row r="236" spans="1:18" customFormat="1" ht="15" x14ac:dyDescent="0.25">
      <c r="A236" s="120"/>
      <c r="B236" s="120"/>
      <c r="C236" s="120"/>
      <c r="D236" s="292"/>
      <c r="E236" s="292"/>
      <c r="F236" s="292"/>
      <c r="G236" s="20"/>
      <c r="H236" s="20"/>
      <c r="I236" s="20"/>
      <c r="J236" s="20"/>
      <c r="K236" s="20"/>
      <c r="L236" s="20"/>
      <c r="M236" s="792"/>
      <c r="N236" s="20"/>
      <c r="O236" s="364"/>
      <c r="P236" s="20"/>
      <c r="Q236" s="148"/>
      <c r="R236" s="291"/>
    </row>
    <row r="237" spans="1:18" customFormat="1" ht="15" x14ac:dyDescent="0.25">
      <c r="A237" s="120"/>
      <c r="B237" s="120"/>
      <c r="C237" s="120"/>
      <c r="D237" s="292"/>
      <c r="E237" s="292"/>
      <c r="F237" s="292"/>
      <c r="G237" s="20"/>
      <c r="H237" s="20"/>
      <c r="I237" s="20"/>
      <c r="J237" s="20"/>
      <c r="K237" s="20"/>
      <c r="L237" s="20"/>
      <c r="M237" s="792"/>
      <c r="N237" s="20"/>
      <c r="O237" s="364"/>
      <c r="P237" s="20"/>
      <c r="Q237" s="148"/>
      <c r="R237" s="291"/>
    </row>
    <row r="238" spans="1:18" customFormat="1" ht="15" x14ac:dyDescent="0.25">
      <c r="A238" s="120"/>
      <c r="B238" s="120"/>
      <c r="C238" s="120"/>
      <c r="D238" s="292"/>
      <c r="E238" s="292"/>
      <c r="F238" s="292"/>
      <c r="G238" s="20"/>
      <c r="H238" s="20"/>
      <c r="I238" s="20"/>
      <c r="J238" s="20"/>
      <c r="K238" s="20"/>
      <c r="L238" s="20"/>
      <c r="M238" s="792"/>
      <c r="N238" s="20"/>
      <c r="O238" s="364"/>
      <c r="P238" s="20"/>
      <c r="Q238" s="148"/>
      <c r="R238" s="291"/>
    </row>
    <row r="239" spans="1:18" customFormat="1" ht="15" x14ac:dyDescent="0.25">
      <c r="A239" s="120"/>
      <c r="B239" s="120"/>
      <c r="C239" s="120"/>
      <c r="D239" s="292"/>
      <c r="E239" s="292"/>
      <c r="F239" s="292"/>
      <c r="G239" s="20"/>
      <c r="H239" s="20"/>
      <c r="I239" s="20"/>
      <c r="J239" s="20"/>
      <c r="K239" s="20"/>
      <c r="L239" s="20"/>
      <c r="M239" s="792"/>
      <c r="N239" s="20"/>
      <c r="O239" s="364"/>
      <c r="P239" s="20"/>
      <c r="Q239" s="148"/>
      <c r="R239" s="291"/>
    </row>
    <row r="240" spans="1:18" customFormat="1" ht="15" x14ac:dyDescent="0.25">
      <c r="A240" s="120"/>
      <c r="B240" s="120"/>
      <c r="C240" s="120"/>
      <c r="D240" s="292"/>
      <c r="E240" s="292"/>
      <c r="F240" s="292"/>
      <c r="G240" s="20"/>
      <c r="H240" s="20"/>
      <c r="I240" s="20"/>
      <c r="J240" s="20"/>
      <c r="K240" s="20"/>
      <c r="L240" s="20"/>
      <c r="M240" s="792"/>
      <c r="N240" s="20"/>
      <c r="O240" s="364"/>
      <c r="P240" s="20"/>
      <c r="Q240" s="148"/>
      <c r="R240" s="291"/>
    </row>
    <row r="241" spans="1:18" customFormat="1" ht="15" x14ac:dyDescent="0.25">
      <c r="A241" s="120"/>
      <c r="B241" s="120"/>
      <c r="C241" s="120"/>
      <c r="D241" s="292"/>
      <c r="E241" s="292"/>
      <c r="F241" s="292"/>
      <c r="G241" s="20"/>
      <c r="H241" s="20"/>
      <c r="I241" s="20"/>
      <c r="J241" s="20"/>
      <c r="K241" s="20"/>
      <c r="L241" s="20"/>
      <c r="M241" s="792"/>
      <c r="N241" s="20"/>
      <c r="O241" s="364"/>
      <c r="P241" s="20"/>
      <c r="Q241" s="148"/>
      <c r="R241" s="291"/>
    </row>
    <row r="242" spans="1:18" customFormat="1" ht="15" x14ac:dyDescent="0.25">
      <c r="A242" s="120"/>
      <c r="B242" s="120"/>
      <c r="C242" s="120"/>
      <c r="D242" s="292"/>
      <c r="E242" s="292"/>
      <c r="F242" s="292"/>
      <c r="G242" s="20"/>
      <c r="H242" s="20"/>
      <c r="I242" s="20"/>
      <c r="J242" s="20"/>
      <c r="K242" s="20"/>
      <c r="L242" s="20"/>
      <c r="M242" s="792"/>
      <c r="N242" s="20"/>
      <c r="O242" s="364"/>
      <c r="P242" s="20"/>
      <c r="Q242" s="148"/>
      <c r="R242" s="291"/>
    </row>
    <row r="243" spans="1:18" customFormat="1" ht="15" x14ac:dyDescent="0.25">
      <c r="A243" s="120"/>
      <c r="B243" s="120"/>
      <c r="C243" s="120"/>
      <c r="D243" s="292"/>
      <c r="E243" s="292"/>
      <c r="F243" s="292"/>
      <c r="G243" s="20"/>
      <c r="H243" s="20"/>
      <c r="I243" s="20"/>
      <c r="J243" s="20"/>
      <c r="K243" s="20"/>
      <c r="L243" s="20"/>
      <c r="M243" s="792"/>
      <c r="N243" s="20"/>
      <c r="O243" s="364"/>
      <c r="P243" s="20"/>
      <c r="Q243" s="148"/>
      <c r="R243" s="291"/>
    </row>
    <row r="244" spans="1:18" customFormat="1" ht="15" x14ac:dyDescent="0.25">
      <c r="A244" s="120"/>
      <c r="B244" s="120"/>
      <c r="C244" s="120"/>
      <c r="D244" s="292"/>
      <c r="E244" s="292"/>
      <c r="F244" s="292"/>
      <c r="G244" s="20"/>
      <c r="H244" s="20"/>
      <c r="I244" s="20"/>
      <c r="J244" s="20"/>
      <c r="K244" s="20"/>
      <c r="L244" s="20"/>
      <c r="M244" s="792"/>
      <c r="N244" s="20"/>
      <c r="O244" s="364"/>
      <c r="P244" s="20"/>
      <c r="Q244" s="148"/>
      <c r="R244" s="291"/>
    </row>
    <row r="245" spans="1:18" customFormat="1" ht="15" x14ac:dyDescent="0.25">
      <c r="A245" s="120"/>
      <c r="B245" s="120"/>
      <c r="C245" s="120"/>
      <c r="D245" s="292"/>
      <c r="E245" s="292"/>
      <c r="F245" s="292"/>
      <c r="G245" s="20"/>
      <c r="H245" s="20"/>
      <c r="I245" s="20"/>
      <c r="J245" s="20"/>
      <c r="K245" s="20"/>
      <c r="L245" s="20"/>
      <c r="M245" s="792"/>
      <c r="N245" s="20"/>
      <c r="O245" s="364"/>
      <c r="P245" s="20"/>
      <c r="Q245" s="148"/>
      <c r="R245" s="291"/>
    </row>
    <row r="246" spans="1:18" customFormat="1" ht="15" x14ac:dyDescent="0.25">
      <c r="A246" s="120"/>
      <c r="B246" s="120"/>
      <c r="C246" s="120"/>
      <c r="D246" s="292"/>
      <c r="E246" s="292"/>
      <c r="F246" s="292"/>
      <c r="G246" s="20"/>
      <c r="H246" s="20"/>
      <c r="I246" s="20"/>
      <c r="J246" s="20"/>
      <c r="K246" s="20"/>
      <c r="L246" s="20"/>
      <c r="M246" s="792"/>
      <c r="N246" s="20"/>
      <c r="O246" s="364"/>
      <c r="P246" s="20"/>
      <c r="Q246" s="148"/>
      <c r="R246" s="291"/>
    </row>
    <row r="247" spans="1:18" customFormat="1" ht="15" x14ac:dyDescent="0.25">
      <c r="A247" s="120"/>
      <c r="B247" s="120"/>
      <c r="C247" s="120"/>
      <c r="D247" s="292"/>
      <c r="E247" s="292"/>
      <c r="F247" s="292"/>
      <c r="G247" s="20"/>
      <c r="H247" s="20"/>
      <c r="I247" s="20"/>
      <c r="J247" s="20"/>
      <c r="K247" s="20"/>
      <c r="L247" s="20"/>
      <c r="M247" s="792"/>
      <c r="N247" s="20"/>
      <c r="O247" s="364"/>
      <c r="P247" s="20"/>
      <c r="Q247" s="148"/>
      <c r="R247" s="291"/>
    </row>
    <row r="248" spans="1:18" customFormat="1" ht="15" x14ac:dyDescent="0.25">
      <c r="A248" s="120"/>
      <c r="B248" s="120"/>
      <c r="C248" s="120"/>
      <c r="D248" s="292"/>
      <c r="E248" s="292"/>
      <c r="F248" s="292"/>
      <c r="G248" s="20"/>
      <c r="H248" s="20"/>
      <c r="I248" s="20"/>
      <c r="J248" s="20"/>
      <c r="K248" s="20"/>
      <c r="L248" s="20"/>
      <c r="M248" s="792"/>
      <c r="N248" s="20"/>
      <c r="O248" s="364"/>
      <c r="P248" s="20"/>
      <c r="Q248" s="148"/>
      <c r="R248" s="291"/>
    </row>
    <row r="249" spans="1:18" customFormat="1" ht="15" x14ac:dyDescent="0.25">
      <c r="A249" s="120"/>
      <c r="B249" s="120"/>
      <c r="C249" s="120"/>
      <c r="D249" s="292"/>
      <c r="E249" s="292"/>
      <c r="F249" s="292"/>
      <c r="G249" s="20"/>
      <c r="H249" s="20"/>
      <c r="I249" s="20"/>
      <c r="J249" s="20"/>
      <c r="K249" s="20"/>
      <c r="L249" s="20"/>
      <c r="M249" s="792"/>
      <c r="N249" s="20"/>
      <c r="O249" s="364"/>
      <c r="P249" s="20"/>
      <c r="Q249" s="148"/>
      <c r="R249" s="291"/>
    </row>
    <row r="250" spans="1:18" customFormat="1" ht="15" x14ac:dyDescent="0.25">
      <c r="A250" s="120"/>
      <c r="B250" s="120"/>
      <c r="C250" s="120"/>
      <c r="D250" s="292"/>
      <c r="E250" s="292"/>
      <c r="F250" s="292"/>
      <c r="G250" s="20"/>
      <c r="H250" s="20"/>
      <c r="I250" s="20"/>
      <c r="J250" s="20"/>
      <c r="K250" s="20"/>
      <c r="L250" s="20"/>
      <c r="M250" s="792"/>
      <c r="N250" s="20"/>
      <c r="O250" s="364"/>
      <c r="P250" s="20"/>
      <c r="Q250" s="148"/>
      <c r="R250" s="291"/>
    </row>
    <row r="251" spans="1:18" customFormat="1" ht="15" x14ac:dyDescent="0.25">
      <c r="A251" s="120"/>
      <c r="B251" s="120"/>
      <c r="C251" s="120"/>
      <c r="D251" s="292"/>
      <c r="E251" s="292"/>
      <c r="F251" s="292"/>
      <c r="G251" s="20"/>
      <c r="H251" s="20"/>
      <c r="I251" s="20"/>
      <c r="J251" s="20"/>
      <c r="K251" s="20"/>
      <c r="L251" s="20"/>
      <c r="M251" s="792"/>
      <c r="N251" s="20"/>
      <c r="O251" s="364"/>
      <c r="P251" s="20"/>
      <c r="Q251" s="148"/>
      <c r="R251" s="291"/>
    </row>
    <row r="252" spans="1:18" customFormat="1" ht="15" x14ac:dyDescent="0.25">
      <c r="A252" s="120"/>
      <c r="B252" s="120"/>
      <c r="C252" s="120"/>
      <c r="D252" s="292"/>
      <c r="E252" s="292"/>
      <c r="F252" s="292"/>
      <c r="G252" s="20"/>
      <c r="H252" s="20"/>
      <c r="I252" s="20"/>
      <c r="J252" s="20"/>
      <c r="K252" s="20"/>
      <c r="L252" s="20"/>
      <c r="M252" s="792"/>
      <c r="N252" s="20"/>
      <c r="O252" s="364"/>
      <c r="P252" s="20"/>
      <c r="Q252" s="148"/>
      <c r="R252" s="291"/>
    </row>
    <row r="253" spans="1:18" customFormat="1" ht="15" x14ac:dyDescent="0.25">
      <c r="A253" s="120"/>
      <c r="B253" s="120"/>
      <c r="C253" s="120"/>
      <c r="D253" s="292"/>
      <c r="E253" s="292"/>
      <c r="F253" s="292"/>
      <c r="G253" s="20"/>
      <c r="H253" s="20"/>
      <c r="I253" s="20"/>
      <c r="J253" s="20"/>
      <c r="K253" s="20"/>
      <c r="L253" s="20"/>
      <c r="M253" s="792"/>
      <c r="N253" s="20"/>
      <c r="O253" s="364"/>
      <c r="P253" s="20"/>
      <c r="Q253" s="148"/>
      <c r="R253" s="291"/>
    </row>
    <row r="254" spans="1:18" customFormat="1" ht="15" x14ac:dyDescent="0.25">
      <c r="A254" s="120"/>
      <c r="B254" s="120"/>
      <c r="C254" s="120"/>
      <c r="D254" s="292"/>
      <c r="E254" s="292"/>
      <c r="F254" s="292"/>
      <c r="G254" s="20"/>
      <c r="H254" s="20"/>
      <c r="I254" s="20"/>
      <c r="J254" s="20"/>
      <c r="K254" s="20"/>
      <c r="L254" s="20"/>
      <c r="M254" s="792"/>
      <c r="N254" s="20"/>
      <c r="O254" s="364"/>
      <c r="P254" s="20"/>
      <c r="Q254" s="148"/>
      <c r="R254" s="291"/>
    </row>
    <row r="255" spans="1:18" customFormat="1" ht="15" x14ac:dyDescent="0.25">
      <c r="A255" s="120"/>
      <c r="B255" s="120"/>
      <c r="C255" s="120"/>
      <c r="D255" s="292"/>
      <c r="E255" s="292"/>
      <c r="F255" s="292"/>
      <c r="G255" s="20"/>
      <c r="H255" s="20"/>
      <c r="I255" s="20"/>
      <c r="J255" s="20"/>
      <c r="K255" s="20"/>
      <c r="L255" s="20"/>
      <c r="M255" s="792"/>
      <c r="N255" s="20"/>
      <c r="O255" s="364"/>
      <c r="P255" s="20"/>
      <c r="Q255" s="148"/>
      <c r="R255" s="291"/>
    </row>
    <row r="256" spans="1:18" customFormat="1" ht="15" x14ac:dyDescent="0.25">
      <c r="A256" s="120"/>
      <c r="B256" s="120"/>
      <c r="C256" s="120"/>
      <c r="D256" s="292"/>
      <c r="E256" s="292"/>
      <c r="F256" s="292"/>
      <c r="G256" s="20"/>
      <c r="H256" s="20"/>
      <c r="I256" s="20"/>
      <c r="J256" s="20"/>
      <c r="K256" s="20"/>
      <c r="L256" s="20"/>
      <c r="M256" s="792"/>
      <c r="N256" s="20"/>
      <c r="O256" s="364"/>
      <c r="P256" s="20"/>
      <c r="Q256" s="148"/>
      <c r="R256" s="291"/>
    </row>
    <row r="257" spans="1:19" customFormat="1" ht="15" x14ac:dyDescent="0.25">
      <c r="A257" s="120"/>
      <c r="B257" s="120"/>
      <c r="C257" s="120"/>
      <c r="D257" s="292"/>
      <c r="E257" s="292"/>
      <c r="F257" s="292"/>
      <c r="G257" s="20"/>
      <c r="H257" s="20"/>
      <c r="I257" s="20"/>
      <c r="J257" s="20"/>
      <c r="K257" s="20"/>
      <c r="L257" s="20"/>
      <c r="M257" s="792"/>
      <c r="N257" s="20"/>
      <c r="O257" s="364"/>
      <c r="P257" s="20"/>
      <c r="Q257" s="148"/>
      <c r="R257" s="291"/>
    </row>
    <row r="258" spans="1:19" customFormat="1" ht="15" x14ac:dyDescent="0.25">
      <c r="A258" s="120"/>
      <c r="B258" s="120"/>
      <c r="C258" s="120"/>
      <c r="D258" s="292"/>
      <c r="E258" s="292"/>
      <c r="F258" s="292"/>
      <c r="G258" s="20"/>
      <c r="H258" s="20"/>
      <c r="I258" s="20"/>
      <c r="J258" s="20"/>
      <c r="K258" s="20"/>
      <c r="L258" s="20"/>
      <c r="M258" s="792"/>
      <c r="N258" s="20"/>
      <c r="O258" s="364"/>
      <c r="P258" s="20"/>
      <c r="Q258" s="148"/>
      <c r="R258" s="291"/>
    </row>
    <row r="259" spans="1:19" customFormat="1" ht="15" x14ac:dyDescent="0.25">
      <c r="A259" s="120"/>
      <c r="B259" s="120"/>
      <c r="C259" s="120"/>
      <c r="D259" s="292"/>
      <c r="E259" s="292"/>
      <c r="F259" s="292"/>
      <c r="G259" s="20"/>
      <c r="H259" s="20"/>
      <c r="I259" s="20"/>
      <c r="J259" s="20"/>
      <c r="K259" s="20"/>
      <c r="L259" s="20"/>
      <c r="M259" s="792"/>
      <c r="N259" s="20"/>
      <c r="O259" s="364"/>
      <c r="P259" s="20"/>
      <c r="Q259" s="148"/>
      <c r="R259" s="291"/>
    </row>
    <row r="260" spans="1:19" customFormat="1" ht="15" x14ac:dyDescent="0.25">
      <c r="A260" s="120"/>
      <c r="B260" s="120"/>
      <c r="C260" s="120"/>
      <c r="D260" s="292"/>
      <c r="E260" s="292"/>
      <c r="F260" s="292"/>
      <c r="G260" s="20"/>
      <c r="H260" s="20"/>
      <c r="I260" s="20"/>
      <c r="J260" s="20"/>
      <c r="K260" s="20"/>
      <c r="L260" s="20"/>
      <c r="M260" s="792"/>
      <c r="N260" s="20"/>
      <c r="O260" s="364"/>
      <c r="P260" s="20"/>
      <c r="Q260" s="148"/>
      <c r="R260" s="291"/>
    </row>
    <row r="261" spans="1:19" customFormat="1" ht="15" x14ac:dyDescent="0.25">
      <c r="A261" s="120"/>
      <c r="B261" s="120"/>
      <c r="C261" s="120"/>
      <c r="D261" s="292"/>
      <c r="E261" s="292"/>
      <c r="F261" s="292"/>
      <c r="G261" s="20"/>
      <c r="H261" s="20"/>
      <c r="I261" s="20"/>
      <c r="J261" s="20"/>
      <c r="K261" s="20"/>
      <c r="L261" s="20"/>
      <c r="M261" s="792"/>
      <c r="N261" s="20"/>
      <c r="O261" s="364"/>
      <c r="P261" s="20"/>
      <c r="Q261" s="148"/>
      <c r="R261" s="291"/>
    </row>
    <row r="262" spans="1:19" customFormat="1" ht="15" x14ac:dyDescent="0.25">
      <c r="A262" s="120"/>
      <c r="B262" s="120"/>
      <c r="C262" s="120"/>
      <c r="D262" s="292"/>
      <c r="E262" s="292"/>
      <c r="F262" s="292"/>
      <c r="G262" s="120"/>
      <c r="H262" s="20"/>
      <c r="I262" s="20"/>
      <c r="J262" s="20"/>
      <c r="K262" s="20"/>
      <c r="L262" s="20"/>
      <c r="M262" s="792"/>
      <c r="N262" s="20"/>
      <c r="O262" s="364"/>
      <c r="P262" s="20"/>
      <c r="Q262" s="20"/>
      <c r="R262" s="262"/>
      <c r="S262" s="20"/>
    </row>
    <row r="263" spans="1:19" customFormat="1" ht="15" x14ac:dyDescent="0.25">
      <c r="A263" s="120"/>
      <c r="B263" s="120"/>
      <c r="C263" s="120"/>
      <c r="D263" s="292"/>
      <c r="E263" s="292"/>
      <c r="F263" s="292"/>
      <c r="G263" s="120"/>
      <c r="H263" s="20"/>
      <c r="I263" s="20"/>
      <c r="J263" s="20"/>
      <c r="K263" s="20"/>
      <c r="L263" s="20"/>
      <c r="M263" s="792"/>
      <c r="N263" s="20"/>
      <c r="O263" s="364"/>
      <c r="P263" s="20"/>
      <c r="Q263" s="20"/>
      <c r="R263" s="262"/>
      <c r="S263" s="20"/>
    </row>
    <row r="264" spans="1:19" customFormat="1" ht="15" x14ac:dyDescent="0.25">
      <c r="A264" s="120"/>
      <c r="B264" s="120"/>
      <c r="C264" s="120"/>
      <c r="D264" s="292"/>
      <c r="E264" s="292"/>
      <c r="F264" s="292"/>
      <c r="G264" s="120"/>
      <c r="H264" s="20"/>
      <c r="I264" s="20"/>
      <c r="J264" s="20"/>
      <c r="K264" s="20"/>
      <c r="L264" s="20"/>
      <c r="M264" s="792"/>
      <c r="N264" s="20"/>
      <c r="O264" s="364"/>
      <c r="P264" s="20"/>
      <c r="Q264" s="20"/>
      <c r="R264" s="262"/>
      <c r="S264" s="20"/>
    </row>
    <row r="265" spans="1:19" customFormat="1" ht="15" x14ac:dyDescent="0.25">
      <c r="A265" s="120"/>
      <c r="B265" s="120"/>
      <c r="C265" s="120"/>
      <c r="D265" s="292"/>
      <c r="E265" s="292"/>
      <c r="F265" s="292"/>
      <c r="G265" s="120"/>
      <c r="H265" s="20"/>
      <c r="I265" s="20"/>
      <c r="J265" s="20"/>
      <c r="K265" s="20"/>
      <c r="L265" s="20"/>
      <c r="M265" s="792"/>
      <c r="N265" s="20"/>
      <c r="O265" s="364"/>
      <c r="P265" s="20"/>
      <c r="Q265" s="20"/>
      <c r="R265" s="262"/>
      <c r="S265" s="20"/>
    </row>
    <row r="266" spans="1:19" customFormat="1" ht="15" x14ac:dyDescent="0.25">
      <c r="A266" s="120"/>
      <c r="B266" s="120"/>
      <c r="C266" s="120"/>
      <c r="D266" s="292"/>
      <c r="E266" s="292"/>
      <c r="F266" s="292"/>
      <c r="G266" s="120"/>
      <c r="H266" s="20"/>
      <c r="I266" s="20"/>
      <c r="J266" s="20"/>
      <c r="K266" s="20"/>
      <c r="L266" s="20"/>
      <c r="M266" s="792"/>
      <c r="N266" s="20"/>
      <c r="O266" s="364"/>
      <c r="P266" s="20"/>
      <c r="Q266" s="20"/>
      <c r="R266" s="262"/>
      <c r="S266" s="20"/>
    </row>
    <row r="267" spans="1:19" customFormat="1" ht="15" x14ac:dyDescent="0.25">
      <c r="A267" s="120"/>
      <c r="B267" s="120"/>
      <c r="C267" s="120"/>
      <c r="D267" s="292"/>
      <c r="E267" s="292"/>
      <c r="F267" s="292"/>
      <c r="G267" s="120"/>
      <c r="H267" s="20"/>
      <c r="I267" s="20"/>
      <c r="J267" s="20"/>
      <c r="K267" s="20"/>
      <c r="L267" s="20"/>
      <c r="M267" s="792"/>
      <c r="N267" s="20"/>
      <c r="O267" s="364"/>
      <c r="P267" s="20"/>
      <c r="Q267" s="20"/>
      <c r="R267" s="262"/>
      <c r="S267" s="20"/>
    </row>
    <row r="268" spans="1:19" customFormat="1" ht="15" x14ac:dyDescent="0.25">
      <c r="A268" s="120"/>
      <c r="B268" s="120"/>
      <c r="C268" s="120"/>
      <c r="D268" s="292"/>
      <c r="E268" s="292"/>
      <c r="F268" s="292"/>
      <c r="G268" s="120"/>
      <c r="H268" s="20"/>
      <c r="I268" s="20"/>
      <c r="J268" s="20"/>
      <c r="K268" s="20"/>
      <c r="L268" s="20"/>
      <c r="M268" s="792"/>
      <c r="N268" s="20"/>
      <c r="O268" s="364"/>
      <c r="P268" s="20"/>
      <c r="Q268" s="20"/>
      <c r="R268" s="262"/>
      <c r="S268" s="20"/>
    </row>
    <row r="269" spans="1:19" customFormat="1" ht="15" x14ac:dyDescent="0.25">
      <c r="A269" s="120"/>
      <c r="B269" s="120"/>
      <c r="C269" s="120"/>
      <c r="D269" s="292"/>
      <c r="E269" s="292"/>
      <c r="F269" s="292"/>
      <c r="G269" s="120"/>
      <c r="H269" s="20"/>
      <c r="I269" s="20"/>
      <c r="J269" s="20"/>
      <c r="K269" s="20"/>
      <c r="L269" s="20"/>
      <c r="M269" s="792"/>
      <c r="N269" s="20"/>
      <c r="O269" s="364"/>
      <c r="P269" s="20"/>
      <c r="Q269" s="20"/>
      <c r="R269" s="262"/>
      <c r="S269" s="20"/>
    </row>
    <row r="270" spans="1:19" customFormat="1" ht="15" x14ac:dyDescent="0.25">
      <c r="A270" s="120"/>
      <c r="B270" s="120"/>
      <c r="C270" s="120"/>
      <c r="D270" s="292"/>
      <c r="E270" s="292"/>
      <c r="F270" s="292"/>
      <c r="G270" s="120"/>
      <c r="H270" s="20"/>
      <c r="I270" s="20"/>
      <c r="J270" s="20"/>
      <c r="K270" s="20"/>
      <c r="L270" s="20"/>
      <c r="M270" s="792"/>
      <c r="N270" s="20"/>
      <c r="O270" s="364"/>
      <c r="P270" s="20"/>
      <c r="Q270" s="20"/>
      <c r="R270" s="262"/>
      <c r="S270" s="20"/>
    </row>
    <row r="271" spans="1:19" customFormat="1" ht="15" x14ac:dyDescent="0.25">
      <c r="A271" s="120"/>
      <c r="B271" s="120"/>
      <c r="C271" s="120"/>
      <c r="D271" s="292"/>
      <c r="E271" s="292"/>
      <c r="F271" s="292"/>
      <c r="G271" s="120"/>
      <c r="H271" s="20"/>
      <c r="I271" s="20"/>
      <c r="J271" s="20"/>
      <c r="K271" s="20"/>
      <c r="L271" s="20"/>
      <c r="M271" s="792"/>
      <c r="N271" s="20"/>
      <c r="O271" s="364"/>
      <c r="P271" s="20"/>
      <c r="Q271" s="20"/>
      <c r="R271" s="262"/>
      <c r="S271" s="20"/>
    </row>
    <row r="272" spans="1:19" customFormat="1" ht="15" x14ac:dyDescent="0.25">
      <c r="A272" s="120"/>
      <c r="B272" s="120"/>
      <c r="C272" s="120"/>
      <c r="D272" s="292"/>
      <c r="E272" s="292"/>
      <c r="F272" s="292"/>
      <c r="G272" s="120"/>
      <c r="H272" s="20"/>
      <c r="I272" s="20"/>
      <c r="J272" s="20"/>
      <c r="K272" s="20"/>
      <c r="L272" s="20"/>
      <c r="M272" s="792"/>
      <c r="N272" s="20"/>
      <c r="O272" s="364"/>
      <c r="P272" s="20"/>
      <c r="Q272" s="20"/>
      <c r="R272" s="262"/>
      <c r="S272" s="20"/>
    </row>
    <row r="273" spans="1:19" customFormat="1" ht="15" x14ac:dyDescent="0.25">
      <c r="A273" s="120"/>
      <c r="B273" s="120"/>
      <c r="C273" s="120"/>
      <c r="D273" s="292"/>
      <c r="E273" s="292"/>
      <c r="F273" s="292"/>
      <c r="G273" s="120"/>
      <c r="H273" s="20"/>
      <c r="I273" s="20"/>
      <c r="J273" s="20"/>
      <c r="K273" s="20"/>
      <c r="L273" s="20"/>
      <c r="M273" s="792"/>
      <c r="N273" s="20"/>
      <c r="O273" s="364"/>
      <c r="P273" s="20"/>
      <c r="Q273" s="20"/>
      <c r="R273" s="262"/>
      <c r="S273" s="20"/>
    </row>
    <row r="274" spans="1:19" customFormat="1" ht="15" x14ac:dyDescent="0.25">
      <c r="A274" s="120"/>
      <c r="B274" s="120"/>
      <c r="C274" s="120"/>
      <c r="D274" s="292"/>
      <c r="E274" s="292"/>
      <c r="F274" s="292"/>
      <c r="G274" s="120"/>
      <c r="H274" s="20"/>
      <c r="I274" s="20"/>
      <c r="J274" s="20"/>
      <c r="K274" s="20"/>
      <c r="L274" s="20"/>
      <c r="M274" s="792"/>
      <c r="N274" s="20"/>
      <c r="O274" s="364"/>
      <c r="P274" s="20"/>
      <c r="Q274" s="20"/>
      <c r="R274" s="262"/>
      <c r="S274" s="20"/>
    </row>
    <row r="275" spans="1:19" customFormat="1" ht="15" x14ac:dyDescent="0.25">
      <c r="A275" s="120"/>
      <c r="B275" s="120"/>
      <c r="C275" s="120"/>
      <c r="D275" s="292"/>
      <c r="E275" s="292"/>
      <c r="F275" s="292"/>
      <c r="G275" s="120"/>
      <c r="H275" s="20"/>
      <c r="I275" s="20"/>
      <c r="J275" s="20"/>
      <c r="K275" s="20"/>
      <c r="L275" s="20"/>
      <c r="M275" s="792"/>
      <c r="N275" s="20"/>
      <c r="O275" s="364"/>
      <c r="P275" s="20"/>
      <c r="Q275" s="20"/>
      <c r="R275" s="262"/>
      <c r="S275" s="20"/>
    </row>
    <row r="276" spans="1:19" customFormat="1" ht="15" x14ac:dyDescent="0.25">
      <c r="A276" s="120"/>
      <c r="B276" s="120"/>
      <c r="C276" s="120"/>
      <c r="D276" s="292"/>
      <c r="E276" s="292"/>
      <c r="F276" s="292"/>
      <c r="G276" s="120"/>
      <c r="H276" s="20"/>
      <c r="I276" s="20"/>
      <c r="J276" s="20"/>
      <c r="K276" s="20"/>
      <c r="L276" s="20"/>
      <c r="M276" s="792"/>
      <c r="N276" s="20"/>
      <c r="O276" s="364"/>
      <c r="P276" s="20"/>
      <c r="Q276" s="20"/>
      <c r="R276" s="262"/>
      <c r="S276" s="20"/>
    </row>
    <row r="277" spans="1:19" customFormat="1" ht="15" x14ac:dyDescent="0.25">
      <c r="A277" s="120"/>
      <c r="B277" s="120"/>
      <c r="C277" s="120"/>
      <c r="D277" s="292"/>
      <c r="E277" s="292"/>
      <c r="F277" s="292"/>
      <c r="G277" s="120"/>
      <c r="H277" s="20"/>
      <c r="I277" s="20"/>
      <c r="J277" s="20"/>
      <c r="K277" s="20"/>
      <c r="L277" s="20"/>
      <c r="M277" s="792"/>
      <c r="N277" s="20"/>
      <c r="O277" s="364"/>
      <c r="P277" s="20"/>
      <c r="Q277" s="20"/>
      <c r="R277" s="262"/>
      <c r="S277" s="20"/>
    </row>
    <row r="278" spans="1:19" customFormat="1" ht="15" x14ac:dyDescent="0.25">
      <c r="A278" s="120"/>
      <c r="B278" s="120"/>
      <c r="C278" s="120"/>
      <c r="D278" s="292"/>
      <c r="E278" s="292"/>
      <c r="F278" s="292"/>
      <c r="G278" s="120"/>
      <c r="H278" s="20"/>
      <c r="I278" s="20"/>
      <c r="J278" s="20"/>
      <c r="K278" s="20"/>
      <c r="L278" s="20"/>
      <c r="M278" s="792"/>
      <c r="N278" s="20"/>
      <c r="O278" s="364"/>
      <c r="P278" s="20"/>
      <c r="Q278" s="20"/>
      <c r="R278" s="262"/>
      <c r="S278" s="20"/>
    </row>
    <row r="279" spans="1:19" customFormat="1" ht="15" x14ac:dyDescent="0.25">
      <c r="A279" s="120"/>
      <c r="B279" s="120"/>
      <c r="C279" s="120"/>
      <c r="D279" s="292"/>
      <c r="E279" s="292"/>
      <c r="F279" s="292"/>
      <c r="G279" s="120"/>
      <c r="H279" s="20"/>
      <c r="I279" s="20"/>
      <c r="J279" s="20"/>
      <c r="K279" s="20"/>
      <c r="L279" s="20"/>
      <c r="M279" s="792"/>
      <c r="N279" s="20"/>
      <c r="O279" s="364"/>
      <c r="P279" s="20"/>
      <c r="Q279" s="20"/>
      <c r="R279" s="262"/>
      <c r="S279" s="20"/>
    </row>
    <row r="280" spans="1:19" customFormat="1" ht="15" x14ac:dyDescent="0.25">
      <c r="A280" s="120"/>
      <c r="B280" s="120"/>
      <c r="C280" s="120"/>
      <c r="D280" s="292"/>
      <c r="E280" s="292"/>
      <c r="F280" s="292"/>
      <c r="G280" s="120"/>
      <c r="H280" s="20"/>
      <c r="I280" s="20"/>
      <c r="J280" s="20"/>
      <c r="K280" s="20"/>
      <c r="L280" s="20"/>
      <c r="M280" s="792"/>
      <c r="N280" s="20"/>
      <c r="O280" s="364"/>
      <c r="P280" s="20"/>
      <c r="Q280" s="20"/>
      <c r="R280" s="262"/>
      <c r="S280" s="20"/>
    </row>
    <row r="281" spans="1:19" customFormat="1" ht="15" x14ac:dyDescent="0.25">
      <c r="A281" s="120"/>
      <c r="B281" s="120"/>
      <c r="C281" s="120"/>
      <c r="D281" s="292"/>
      <c r="E281" s="292"/>
      <c r="F281" s="292"/>
      <c r="G281" s="120"/>
      <c r="H281" s="20"/>
      <c r="I281" s="20"/>
      <c r="J281" s="20"/>
      <c r="K281" s="20"/>
      <c r="L281" s="20"/>
      <c r="M281" s="792"/>
      <c r="N281" s="20"/>
      <c r="O281" s="364"/>
      <c r="P281" s="20"/>
      <c r="Q281" s="20"/>
      <c r="R281" s="262"/>
      <c r="S281" s="20"/>
    </row>
    <row r="282" spans="1:19" customFormat="1" ht="15" x14ac:dyDescent="0.25">
      <c r="A282" s="120"/>
      <c r="B282" s="120"/>
      <c r="C282" s="120"/>
      <c r="D282" s="292"/>
      <c r="E282" s="292"/>
      <c r="F282" s="292"/>
      <c r="G282" s="120"/>
      <c r="H282" s="20"/>
      <c r="I282" s="20"/>
      <c r="J282" s="20"/>
      <c r="K282" s="20"/>
      <c r="L282" s="20"/>
      <c r="M282" s="792"/>
      <c r="N282" s="20"/>
      <c r="O282" s="364"/>
      <c r="P282" s="20"/>
      <c r="Q282" s="20"/>
      <c r="R282" s="262"/>
      <c r="S282" s="20"/>
    </row>
    <row r="283" spans="1:19" customFormat="1" ht="15" x14ac:dyDescent="0.25">
      <c r="A283" s="120"/>
      <c r="B283" s="120"/>
      <c r="C283" s="120"/>
      <c r="D283" s="292"/>
      <c r="E283" s="292"/>
      <c r="F283" s="292"/>
      <c r="G283" s="120"/>
      <c r="H283" s="20"/>
      <c r="I283" s="20"/>
      <c r="J283" s="20"/>
      <c r="K283" s="20"/>
      <c r="L283" s="20"/>
      <c r="M283" s="792"/>
      <c r="N283" s="20"/>
      <c r="O283" s="364"/>
      <c r="P283" s="20"/>
      <c r="Q283" s="20"/>
      <c r="R283" s="262"/>
      <c r="S283" s="20"/>
    </row>
    <row r="284" spans="1:19" customFormat="1" ht="15" x14ac:dyDescent="0.25">
      <c r="A284" s="120"/>
      <c r="B284" s="120"/>
      <c r="C284" s="120"/>
      <c r="D284" s="292"/>
      <c r="E284" s="292"/>
      <c r="F284" s="292"/>
      <c r="G284" s="120"/>
      <c r="H284" s="20"/>
      <c r="I284" s="20"/>
      <c r="J284" s="20"/>
      <c r="K284" s="20"/>
      <c r="L284" s="20"/>
      <c r="M284" s="792"/>
      <c r="N284" s="20"/>
      <c r="O284" s="364"/>
      <c r="P284" s="20"/>
      <c r="Q284" s="20"/>
      <c r="R284" s="262"/>
      <c r="S284" s="20"/>
    </row>
    <row r="285" spans="1:19" customFormat="1" ht="15" x14ac:dyDescent="0.25">
      <c r="A285" s="120"/>
      <c r="B285" s="120"/>
      <c r="C285" s="120"/>
      <c r="D285" s="292"/>
      <c r="E285" s="292"/>
      <c r="F285" s="292"/>
      <c r="G285" s="120"/>
      <c r="H285" s="20"/>
      <c r="I285" s="20"/>
      <c r="J285" s="20"/>
      <c r="K285" s="20"/>
      <c r="L285" s="20"/>
      <c r="M285" s="792"/>
      <c r="N285" s="20"/>
      <c r="O285" s="364"/>
      <c r="P285" s="20"/>
      <c r="Q285" s="20"/>
      <c r="R285" s="262"/>
      <c r="S285" s="20"/>
    </row>
    <row r="286" spans="1:19" customFormat="1" ht="15" x14ac:dyDescent="0.25">
      <c r="A286" s="120"/>
      <c r="B286" s="120"/>
      <c r="C286" s="120"/>
      <c r="D286" s="292"/>
      <c r="E286" s="292"/>
      <c r="F286" s="292"/>
      <c r="G286" s="120"/>
      <c r="H286" s="20"/>
      <c r="I286" s="20"/>
      <c r="J286" s="20"/>
      <c r="K286" s="20"/>
      <c r="L286" s="20"/>
      <c r="M286" s="792"/>
      <c r="N286" s="20"/>
      <c r="O286" s="364"/>
      <c r="P286" s="20"/>
      <c r="Q286" s="20"/>
      <c r="R286" s="262"/>
      <c r="S286" s="20"/>
    </row>
    <row r="287" spans="1:19" customFormat="1" ht="15" x14ac:dyDescent="0.25">
      <c r="A287" s="120"/>
      <c r="B287" s="120"/>
      <c r="C287" s="120"/>
      <c r="D287" s="292"/>
      <c r="E287" s="292"/>
      <c r="F287" s="292"/>
      <c r="G287" s="120"/>
      <c r="H287" s="20"/>
      <c r="I287" s="20"/>
      <c r="J287" s="20"/>
      <c r="K287" s="20"/>
      <c r="L287" s="20"/>
      <c r="M287" s="792"/>
      <c r="N287" s="20"/>
      <c r="O287" s="364"/>
      <c r="P287" s="20"/>
      <c r="Q287" s="20"/>
      <c r="R287" s="262"/>
      <c r="S287" s="20"/>
    </row>
    <row r="288" spans="1:19" customFormat="1" ht="15" x14ac:dyDescent="0.25">
      <c r="A288" s="120"/>
      <c r="B288" s="120"/>
      <c r="C288" s="120"/>
      <c r="D288" s="292"/>
      <c r="E288" s="292"/>
      <c r="F288" s="292"/>
      <c r="G288" s="120"/>
      <c r="H288" s="20"/>
      <c r="I288" s="20"/>
      <c r="J288" s="20"/>
      <c r="K288" s="20"/>
      <c r="L288" s="20"/>
      <c r="M288" s="792"/>
      <c r="N288" s="20"/>
      <c r="O288" s="364"/>
      <c r="P288" s="20"/>
      <c r="Q288" s="20"/>
      <c r="R288" s="262"/>
      <c r="S288" s="20"/>
    </row>
    <row r="289" spans="1:19" customFormat="1" ht="15" x14ac:dyDescent="0.25">
      <c r="A289" s="120"/>
      <c r="B289" s="120"/>
      <c r="C289" s="120"/>
      <c r="D289" s="292"/>
      <c r="E289" s="292"/>
      <c r="F289" s="292"/>
      <c r="G289" s="120"/>
      <c r="H289" s="20"/>
      <c r="I289" s="20"/>
      <c r="J289" s="20"/>
      <c r="K289" s="20"/>
      <c r="L289" s="20"/>
      <c r="M289" s="792"/>
      <c r="N289" s="20"/>
      <c r="O289" s="364"/>
      <c r="P289" s="20"/>
      <c r="Q289" s="20"/>
      <c r="R289" s="262"/>
      <c r="S289" s="20"/>
    </row>
    <row r="290" spans="1:19" customFormat="1" ht="15" x14ac:dyDescent="0.25">
      <c r="A290" s="120"/>
      <c r="B290" s="120"/>
      <c r="C290" s="120"/>
      <c r="D290" s="292"/>
      <c r="E290" s="292"/>
      <c r="F290" s="292"/>
      <c r="G290" s="120"/>
      <c r="H290" s="20"/>
      <c r="I290" s="20"/>
      <c r="J290" s="20"/>
      <c r="K290" s="20"/>
      <c r="L290" s="20"/>
      <c r="M290" s="792"/>
      <c r="N290" s="20"/>
      <c r="O290" s="364"/>
      <c r="P290" s="20"/>
      <c r="Q290" s="20"/>
      <c r="R290" s="262"/>
      <c r="S290" s="20"/>
    </row>
    <row r="291" spans="1:19" customFormat="1" ht="15" x14ac:dyDescent="0.25">
      <c r="A291" s="120"/>
      <c r="B291" s="120"/>
      <c r="C291" s="120"/>
      <c r="D291" s="292"/>
      <c r="E291" s="292"/>
      <c r="F291" s="292"/>
      <c r="G291" s="120"/>
      <c r="H291" s="20"/>
      <c r="I291" s="20"/>
      <c r="J291" s="20"/>
      <c r="K291" s="20"/>
      <c r="L291" s="20"/>
      <c r="M291" s="792"/>
      <c r="N291" s="20"/>
      <c r="O291" s="364"/>
      <c r="P291" s="20"/>
      <c r="Q291" s="20"/>
      <c r="R291" s="262"/>
      <c r="S291" s="20"/>
    </row>
    <row r="292" spans="1:19" customFormat="1" ht="30" customHeight="1" x14ac:dyDescent="0.25">
      <c r="A292" s="120"/>
      <c r="B292" s="120"/>
      <c r="C292" s="120"/>
      <c r="D292" s="292"/>
      <c r="E292" s="292"/>
      <c r="F292" s="292"/>
      <c r="G292" s="120"/>
      <c r="H292" s="20"/>
      <c r="I292" s="20"/>
      <c r="J292" s="20"/>
      <c r="K292" s="20"/>
      <c r="L292" s="20"/>
      <c r="M292" s="792"/>
      <c r="N292" s="20"/>
      <c r="O292" s="364"/>
      <c r="P292" s="20"/>
      <c r="Q292" s="20"/>
      <c r="R292" s="262"/>
      <c r="S292" s="20"/>
    </row>
    <row r="293" spans="1:19" customFormat="1" ht="30" customHeight="1" x14ac:dyDescent="0.25">
      <c r="A293" s="120"/>
      <c r="B293" s="120"/>
      <c r="C293" s="120"/>
      <c r="D293" s="292"/>
      <c r="E293" s="292"/>
      <c r="F293" s="292"/>
      <c r="G293" s="120"/>
      <c r="H293" s="20"/>
      <c r="I293" s="20"/>
      <c r="J293" s="29"/>
      <c r="K293" s="29"/>
      <c r="L293" s="20"/>
      <c r="M293" s="793"/>
      <c r="N293" s="28"/>
      <c r="O293" s="364"/>
      <c r="P293" s="20"/>
      <c r="Q293" s="20"/>
      <c r="R293" s="262"/>
      <c r="S293" s="20"/>
    </row>
    <row r="294" spans="1:19" customFormat="1" ht="30" customHeight="1" x14ac:dyDescent="0.25">
      <c r="A294" s="120"/>
      <c r="B294" s="120"/>
      <c r="C294" s="120"/>
      <c r="D294" s="292"/>
      <c r="E294" s="292"/>
      <c r="F294" s="292"/>
      <c r="G294" s="120"/>
      <c r="H294" s="20"/>
      <c r="I294" s="20"/>
      <c r="J294" s="29"/>
      <c r="K294" s="29"/>
      <c r="L294" s="20"/>
      <c r="M294" s="793"/>
      <c r="N294" s="28"/>
      <c r="O294" s="364"/>
      <c r="P294" s="20"/>
      <c r="Q294" s="20"/>
      <c r="R294" s="262"/>
      <c r="S294" s="20"/>
    </row>
    <row r="295" spans="1:19" customFormat="1" ht="30" customHeight="1" x14ac:dyDescent="0.25">
      <c r="A295" s="120"/>
      <c r="B295" s="120"/>
      <c r="C295" s="120"/>
      <c r="D295" s="292"/>
      <c r="E295" s="292"/>
      <c r="F295" s="292"/>
      <c r="G295" s="120"/>
      <c r="H295" s="20"/>
      <c r="I295" s="20"/>
      <c r="J295" s="29"/>
      <c r="K295" s="29"/>
      <c r="L295" s="20"/>
      <c r="M295" s="793"/>
      <c r="N295" s="28"/>
      <c r="O295" s="364"/>
      <c r="P295" s="20"/>
      <c r="Q295" s="20"/>
      <c r="R295" s="262"/>
      <c r="S295" s="20"/>
    </row>
    <row r="296" spans="1:19" customFormat="1" ht="30" customHeight="1" x14ac:dyDescent="0.25">
      <c r="A296" s="120"/>
      <c r="B296" s="120"/>
      <c r="C296" s="120"/>
      <c r="D296" s="292"/>
      <c r="E296" s="292"/>
      <c r="F296" s="292"/>
      <c r="G296" s="120"/>
      <c r="H296" s="20"/>
      <c r="I296" s="20"/>
      <c r="J296" s="29"/>
      <c r="K296" s="29"/>
      <c r="L296" s="20"/>
      <c r="M296" s="793"/>
      <c r="N296" s="28"/>
      <c r="O296" s="364"/>
      <c r="P296" s="20"/>
      <c r="Q296" s="20"/>
      <c r="R296" s="262"/>
      <c r="S296" s="20"/>
    </row>
    <row r="297" spans="1:19" customFormat="1" ht="30" customHeight="1" x14ac:dyDescent="0.25">
      <c r="A297" s="120"/>
      <c r="B297" s="120"/>
      <c r="C297" s="120"/>
      <c r="D297" s="292"/>
      <c r="E297" s="292"/>
      <c r="F297" s="292"/>
      <c r="G297" s="120"/>
      <c r="H297" s="20"/>
      <c r="I297" s="20"/>
      <c r="J297" s="29"/>
      <c r="K297" s="29"/>
      <c r="L297" s="20"/>
      <c r="M297" s="793"/>
      <c r="N297" s="28"/>
      <c r="O297" s="364"/>
      <c r="P297" s="20"/>
      <c r="Q297" s="20"/>
      <c r="R297" s="262"/>
      <c r="S297" s="20"/>
    </row>
    <row r="298" spans="1:19" customFormat="1" ht="30" customHeight="1" x14ac:dyDescent="0.25">
      <c r="A298" s="120"/>
      <c r="B298" s="120"/>
      <c r="C298" s="120"/>
      <c r="D298" s="292"/>
      <c r="E298" s="292"/>
      <c r="F298" s="292"/>
      <c r="G298" s="120"/>
      <c r="H298" s="20"/>
      <c r="I298" s="20"/>
      <c r="J298" s="29"/>
      <c r="K298" s="29"/>
      <c r="L298" s="20"/>
      <c r="M298" s="793"/>
      <c r="N298" s="28"/>
      <c r="O298" s="364"/>
      <c r="P298" s="20"/>
      <c r="Q298" s="20"/>
      <c r="R298" s="262"/>
      <c r="S298" s="20"/>
    </row>
    <row r="299" spans="1:19" customFormat="1" ht="30" customHeight="1" x14ac:dyDescent="0.25">
      <c r="A299" s="120"/>
      <c r="B299" s="120"/>
      <c r="C299" s="120"/>
      <c r="D299" s="292"/>
      <c r="E299" s="292"/>
      <c r="F299" s="292"/>
      <c r="G299" s="120"/>
      <c r="H299" s="20"/>
      <c r="I299" s="20"/>
      <c r="J299" s="29"/>
      <c r="K299" s="29"/>
      <c r="L299" s="20"/>
      <c r="M299" s="793"/>
      <c r="N299" s="28"/>
      <c r="O299" s="364"/>
      <c r="P299" s="20"/>
      <c r="Q299" s="20"/>
      <c r="R299" s="262"/>
      <c r="S299" s="20"/>
    </row>
    <row r="300" spans="1:19" customFormat="1" ht="30" customHeight="1" x14ac:dyDescent="0.25">
      <c r="A300" s="120"/>
      <c r="B300" s="120"/>
      <c r="C300" s="120"/>
      <c r="D300" s="292"/>
      <c r="E300" s="292"/>
      <c r="F300" s="292"/>
      <c r="G300" s="120"/>
      <c r="H300" s="20"/>
      <c r="I300" s="20"/>
      <c r="J300" s="29"/>
      <c r="K300" s="29"/>
      <c r="L300" s="20"/>
      <c r="M300" s="793"/>
      <c r="N300" s="28"/>
      <c r="O300" s="364"/>
      <c r="P300" s="20"/>
      <c r="Q300" s="20"/>
      <c r="R300" s="262"/>
      <c r="S300" s="20"/>
    </row>
    <row r="301" spans="1:19" customFormat="1" ht="30" customHeight="1" x14ac:dyDescent="0.25">
      <c r="A301" s="120"/>
      <c r="B301" s="120"/>
      <c r="C301" s="120"/>
      <c r="D301" s="292"/>
      <c r="E301" s="292"/>
      <c r="F301" s="292"/>
      <c r="G301" s="120"/>
      <c r="H301" s="20"/>
      <c r="I301" s="20"/>
      <c r="J301" s="29"/>
      <c r="K301" s="29"/>
      <c r="L301" s="20"/>
      <c r="M301" s="793"/>
      <c r="N301" s="28"/>
      <c r="O301" s="364"/>
      <c r="P301" s="20"/>
      <c r="Q301" s="20"/>
      <c r="R301" s="262"/>
      <c r="S301" s="20"/>
    </row>
    <row r="302" spans="1:19" customFormat="1" ht="30" customHeight="1" x14ac:dyDescent="0.25">
      <c r="A302" s="120"/>
      <c r="B302" s="120"/>
      <c r="C302" s="120"/>
      <c r="D302" s="292"/>
      <c r="E302" s="292"/>
      <c r="F302" s="292"/>
      <c r="G302" s="120"/>
      <c r="H302" s="20"/>
      <c r="I302" s="20"/>
      <c r="J302" s="29"/>
      <c r="K302" s="29"/>
      <c r="L302" s="20"/>
      <c r="M302" s="793"/>
      <c r="N302" s="28"/>
      <c r="O302" s="364"/>
      <c r="P302" s="20"/>
      <c r="Q302" s="20"/>
      <c r="R302" s="262"/>
      <c r="S302" s="20"/>
    </row>
    <row r="303" spans="1:19" customFormat="1" ht="30" customHeight="1" x14ac:dyDescent="0.25">
      <c r="A303" s="120"/>
      <c r="B303" s="120"/>
      <c r="C303" s="120"/>
      <c r="D303" s="292"/>
      <c r="E303" s="292"/>
      <c r="F303" s="292"/>
      <c r="G303" s="120"/>
      <c r="H303" s="20"/>
      <c r="I303" s="20"/>
      <c r="J303" s="29"/>
      <c r="K303" s="29"/>
      <c r="L303" s="20"/>
      <c r="M303" s="793"/>
      <c r="N303" s="28"/>
      <c r="O303" s="364"/>
      <c r="P303" s="20"/>
      <c r="Q303" s="20"/>
      <c r="R303" s="262"/>
      <c r="S303" s="20"/>
    </row>
    <row r="304" spans="1:19" customFormat="1" ht="30" customHeight="1" x14ac:dyDescent="0.25">
      <c r="A304" s="120"/>
      <c r="B304" s="120"/>
      <c r="C304" s="120"/>
      <c r="D304" s="292"/>
      <c r="E304" s="292"/>
      <c r="F304" s="292"/>
      <c r="G304" s="120"/>
      <c r="H304" s="20"/>
      <c r="I304" s="20"/>
      <c r="J304" s="29"/>
      <c r="K304" s="29"/>
      <c r="L304" s="20"/>
      <c r="M304" s="793"/>
      <c r="N304" s="28"/>
      <c r="O304" s="364"/>
      <c r="P304" s="20"/>
      <c r="Q304" s="20"/>
      <c r="R304" s="262"/>
      <c r="S304" s="20"/>
    </row>
    <row r="305" spans="1:19" customFormat="1" ht="30" customHeight="1" x14ac:dyDescent="0.25">
      <c r="A305" s="120"/>
      <c r="B305" s="120"/>
      <c r="C305" s="120"/>
      <c r="D305" s="292"/>
      <c r="E305" s="292"/>
      <c r="F305" s="292"/>
      <c r="G305" s="120"/>
      <c r="H305" s="20"/>
      <c r="I305" s="20"/>
      <c r="J305" s="29"/>
      <c r="K305" s="29"/>
      <c r="L305" s="20"/>
      <c r="M305" s="793"/>
      <c r="N305" s="28"/>
      <c r="O305" s="364"/>
      <c r="P305" s="20"/>
      <c r="Q305" s="20"/>
      <c r="R305" s="262"/>
      <c r="S305" s="20"/>
    </row>
    <row r="306" spans="1:19" customFormat="1" ht="30" customHeight="1" x14ac:dyDescent="0.25">
      <c r="A306" s="120"/>
      <c r="B306" s="120"/>
      <c r="C306" s="120"/>
      <c r="D306" s="292"/>
      <c r="E306" s="292"/>
      <c r="F306" s="292"/>
      <c r="G306" s="120"/>
      <c r="H306" s="20"/>
      <c r="I306" s="20"/>
      <c r="J306" s="29"/>
      <c r="K306" s="29"/>
      <c r="L306" s="20"/>
      <c r="M306" s="793"/>
      <c r="N306" s="28"/>
      <c r="O306" s="364"/>
      <c r="P306" s="20"/>
      <c r="Q306" s="20"/>
      <c r="R306" s="262"/>
      <c r="S306" s="20"/>
    </row>
    <row r="307" spans="1:19" customFormat="1" ht="30" customHeight="1" x14ac:dyDescent="0.25">
      <c r="A307" s="120"/>
      <c r="B307" s="120"/>
      <c r="C307" s="120"/>
      <c r="D307" s="292"/>
      <c r="E307" s="292"/>
      <c r="F307" s="292"/>
      <c r="G307" s="120"/>
      <c r="H307" s="20"/>
      <c r="I307" s="20"/>
      <c r="J307" s="29"/>
      <c r="K307" s="29"/>
      <c r="L307" s="20"/>
      <c r="M307" s="793"/>
      <c r="N307" s="28"/>
      <c r="O307" s="364"/>
      <c r="P307" s="20"/>
      <c r="Q307" s="20"/>
      <c r="R307" s="262"/>
      <c r="S307" s="20"/>
    </row>
    <row r="308" spans="1:19" customFormat="1" ht="30" customHeight="1" x14ac:dyDescent="0.25">
      <c r="A308" s="120"/>
      <c r="B308" s="120"/>
      <c r="C308" s="120"/>
      <c r="D308" s="292"/>
      <c r="E308" s="292"/>
      <c r="F308" s="292"/>
      <c r="G308" s="120"/>
      <c r="H308" s="20"/>
      <c r="I308" s="20"/>
      <c r="J308" s="29"/>
      <c r="K308" s="29"/>
      <c r="L308" s="20"/>
      <c r="M308" s="793"/>
      <c r="N308" s="28"/>
      <c r="O308" s="364"/>
      <c r="P308" s="20"/>
      <c r="Q308" s="20"/>
      <c r="R308" s="262"/>
      <c r="S308" s="20"/>
    </row>
    <row r="309" spans="1:19" customFormat="1" ht="30" customHeight="1" x14ac:dyDescent="0.25">
      <c r="A309" s="120"/>
      <c r="B309" s="120"/>
      <c r="C309" s="120"/>
      <c r="D309" s="292"/>
      <c r="E309" s="292"/>
      <c r="F309" s="292"/>
      <c r="G309" s="120"/>
      <c r="H309" s="20"/>
      <c r="I309" s="20"/>
      <c r="J309" s="29"/>
      <c r="K309" s="29"/>
      <c r="L309" s="20"/>
      <c r="M309" s="793"/>
      <c r="N309" s="28"/>
      <c r="O309" s="364"/>
      <c r="P309" s="20"/>
      <c r="Q309" s="20"/>
      <c r="R309" s="262"/>
      <c r="S309" s="20"/>
    </row>
    <row r="310" spans="1:19" customFormat="1" ht="30" customHeight="1" x14ac:dyDescent="0.25">
      <c r="A310" s="120"/>
      <c r="B310" s="120"/>
      <c r="C310" s="120"/>
      <c r="D310" s="292"/>
      <c r="E310" s="292"/>
      <c r="F310" s="292"/>
      <c r="G310" s="120"/>
      <c r="H310" s="20"/>
      <c r="I310" s="20"/>
      <c r="J310" s="29"/>
      <c r="K310" s="29"/>
      <c r="L310" s="20"/>
      <c r="M310" s="793"/>
      <c r="N310" s="28"/>
      <c r="O310" s="364"/>
      <c r="P310" s="20"/>
      <c r="Q310" s="20"/>
      <c r="R310" s="262"/>
      <c r="S310" s="20"/>
    </row>
    <row r="311" spans="1:19" customFormat="1" ht="30" customHeight="1" x14ac:dyDescent="0.25">
      <c r="A311" s="120"/>
      <c r="B311" s="120"/>
      <c r="C311" s="120"/>
      <c r="D311" s="292"/>
      <c r="E311" s="292"/>
      <c r="F311" s="292"/>
      <c r="G311" s="120"/>
      <c r="H311" s="20"/>
      <c r="I311" s="20"/>
      <c r="J311" s="29"/>
      <c r="K311" s="29"/>
      <c r="L311" s="20"/>
      <c r="M311" s="793"/>
      <c r="N311" s="28"/>
      <c r="O311" s="364"/>
      <c r="P311" s="20"/>
      <c r="Q311" s="20"/>
      <c r="R311" s="262"/>
      <c r="S311" s="20"/>
    </row>
    <row r="312" spans="1:19" customFormat="1" ht="30" customHeight="1" x14ac:dyDescent="0.25">
      <c r="A312" s="120"/>
      <c r="B312" s="120"/>
      <c r="C312" s="120"/>
      <c r="D312" s="292"/>
      <c r="E312" s="292"/>
      <c r="F312" s="292"/>
      <c r="G312" s="120"/>
      <c r="H312" s="20"/>
      <c r="I312" s="20"/>
      <c r="J312" s="29"/>
      <c r="K312" s="29"/>
      <c r="L312" s="20"/>
      <c r="M312" s="793"/>
      <c r="N312" s="28"/>
      <c r="O312" s="364"/>
      <c r="P312" s="20"/>
      <c r="Q312" s="20"/>
      <c r="R312" s="262"/>
      <c r="S312" s="20"/>
    </row>
    <row r="313" spans="1:19" customFormat="1" ht="30" customHeight="1" x14ac:dyDescent="0.25">
      <c r="A313" s="120"/>
      <c r="B313" s="120"/>
      <c r="C313" s="120"/>
      <c r="D313" s="292"/>
      <c r="E313" s="292"/>
      <c r="F313" s="292"/>
      <c r="G313" s="120"/>
      <c r="H313" s="20"/>
      <c r="I313" s="20"/>
      <c r="J313" s="29"/>
      <c r="K313" s="29"/>
      <c r="L313" s="20"/>
      <c r="M313" s="793"/>
      <c r="N313" s="28"/>
      <c r="O313" s="364"/>
      <c r="P313" s="20"/>
      <c r="Q313" s="20"/>
      <c r="R313" s="262"/>
      <c r="S313" s="20"/>
    </row>
    <row r="314" spans="1:19" customFormat="1" ht="30" customHeight="1" x14ac:dyDescent="0.25">
      <c r="A314" s="120"/>
      <c r="B314" s="120"/>
      <c r="C314" s="120"/>
      <c r="D314" s="292"/>
      <c r="E314" s="292"/>
      <c r="F314" s="292"/>
      <c r="G314" s="120"/>
      <c r="H314" s="20"/>
      <c r="I314" s="20"/>
      <c r="J314" s="29"/>
      <c r="K314" s="29"/>
      <c r="L314" s="20"/>
      <c r="M314" s="793"/>
      <c r="N314" s="28"/>
      <c r="O314" s="364"/>
      <c r="P314" s="20"/>
      <c r="Q314" s="20"/>
      <c r="R314" s="262"/>
      <c r="S314" s="20"/>
    </row>
    <row r="315" spans="1:19" customFormat="1" ht="30" customHeight="1" x14ac:dyDescent="0.25">
      <c r="A315" s="120"/>
      <c r="B315" s="120"/>
      <c r="C315" s="120"/>
      <c r="D315" s="292"/>
      <c r="E315" s="292"/>
      <c r="F315" s="292"/>
      <c r="G315" s="120"/>
      <c r="H315" s="20"/>
      <c r="I315" s="20"/>
      <c r="J315" s="29"/>
      <c r="K315" s="29"/>
      <c r="L315" s="20"/>
      <c r="M315" s="793"/>
      <c r="N315" s="28"/>
      <c r="O315" s="364"/>
      <c r="P315" s="20"/>
      <c r="Q315" s="20"/>
      <c r="R315" s="262"/>
      <c r="S315" s="20"/>
    </row>
    <row r="316" spans="1:19" customFormat="1" ht="30" customHeight="1" x14ac:dyDescent="0.25">
      <c r="A316" s="120"/>
      <c r="B316" s="120"/>
      <c r="C316" s="120"/>
      <c r="D316" s="292"/>
      <c r="E316" s="292"/>
      <c r="F316" s="292"/>
      <c r="G316" s="120"/>
      <c r="H316" s="20"/>
      <c r="I316" s="20"/>
      <c r="J316" s="29"/>
      <c r="K316" s="29"/>
      <c r="L316" s="20"/>
      <c r="M316" s="793"/>
      <c r="N316" s="28"/>
      <c r="O316" s="364"/>
      <c r="P316" s="20"/>
      <c r="Q316" s="20"/>
      <c r="R316" s="262"/>
      <c r="S316" s="20"/>
    </row>
    <row r="317" spans="1:19" customFormat="1" ht="30" customHeight="1" x14ac:dyDescent="0.25">
      <c r="A317" s="120"/>
      <c r="B317" s="120"/>
      <c r="C317" s="120"/>
      <c r="D317" s="292"/>
      <c r="E317" s="292"/>
      <c r="F317" s="292"/>
      <c r="G317" s="120"/>
      <c r="H317" s="20"/>
      <c r="I317" s="20"/>
      <c r="J317" s="29"/>
      <c r="K317" s="29"/>
      <c r="L317" s="20"/>
      <c r="M317" s="793"/>
      <c r="N317" s="28"/>
      <c r="O317" s="364"/>
      <c r="P317" s="20"/>
      <c r="Q317" s="20"/>
      <c r="R317" s="262"/>
      <c r="S317" s="20"/>
    </row>
    <row r="318" spans="1:19" customFormat="1" ht="30" customHeight="1" x14ac:dyDescent="0.25">
      <c r="A318" s="120"/>
      <c r="B318" s="120"/>
      <c r="C318" s="120"/>
      <c r="D318" s="292"/>
      <c r="E318" s="292"/>
      <c r="F318" s="292"/>
      <c r="G318" s="120"/>
      <c r="H318" s="20"/>
      <c r="I318" s="20"/>
      <c r="J318" s="29"/>
      <c r="K318" s="29"/>
      <c r="L318" s="20"/>
      <c r="M318" s="793"/>
      <c r="N318" s="28"/>
      <c r="O318" s="364"/>
      <c r="P318" s="20"/>
      <c r="Q318" s="20"/>
      <c r="R318" s="262"/>
      <c r="S318" s="20"/>
    </row>
    <row r="319" spans="1:19" customFormat="1" ht="30" customHeight="1" x14ac:dyDescent="0.25">
      <c r="A319" s="120"/>
      <c r="B319" s="120"/>
      <c r="C319" s="120"/>
      <c r="D319" s="292"/>
      <c r="E319" s="292"/>
      <c r="F319" s="292"/>
      <c r="G319" s="120"/>
      <c r="H319" s="20"/>
      <c r="I319" s="20"/>
      <c r="J319" s="29"/>
      <c r="K319" s="29"/>
      <c r="L319" s="20"/>
      <c r="M319" s="793"/>
      <c r="N319" s="28"/>
      <c r="O319" s="364"/>
      <c r="P319" s="20"/>
      <c r="Q319" s="20"/>
      <c r="R319" s="262"/>
      <c r="S319" s="20"/>
    </row>
    <row r="320" spans="1:19" customFormat="1" ht="30" customHeight="1" x14ac:dyDescent="0.25">
      <c r="A320" s="120"/>
      <c r="B320" s="120"/>
      <c r="C320" s="120"/>
      <c r="D320" s="292"/>
      <c r="E320" s="292"/>
      <c r="F320" s="292"/>
      <c r="G320" s="120"/>
      <c r="H320" s="20"/>
      <c r="I320" s="20"/>
      <c r="J320" s="29"/>
      <c r="K320" s="29"/>
      <c r="L320" s="20"/>
      <c r="M320" s="793"/>
      <c r="N320" s="28"/>
      <c r="O320" s="364"/>
      <c r="P320" s="20"/>
      <c r="Q320" s="20"/>
      <c r="R320" s="262"/>
      <c r="S320" s="20"/>
    </row>
    <row r="321" spans="1:19" customFormat="1" ht="30" customHeight="1" x14ac:dyDescent="0.25">
      <c r="A321" s="120"/>
      <c r="B321" s="120"/>
      <c r="C321" s="120"/>
      <c r="D321" s="292"/>
      <c r="E321" s="292"/>
      <c r="F321" s="292"/>
      <c r="G321" s="120"/>
      <c r="H321" s="20"/>
      <c r="I321" s="20"/>
      <c r="J321" s="29"/>
      <c r="K321" s="29"/>
      <c r="L321" s="20"/>
      <c r="M321" s="793"/>
      <c r="N321" s="28"/>
      <c r="O321" s="364"/>
      <c r="P321" s="20"/>
      <c r="Q321" s="20"/>
      <c r="R321" s="262"/>
      <c r="S321" s="20"/>
    </row>
    <row r="322" spans="1:19" customFormat="1" ht="30" customHeight="1" x14ac:dyDescent="0.25">
      <c r="A322" s="120"/>
      <c r="B322" s="120"/>
      <c r="C322" s="120"/>
      <c r="D322" s="292"/>
      <c r="E322" s="292"/>
      <c r="F322" s="292"/>
      <c r="G322" s="120"/>
      <c r="H322" s="20"/>
      <c r="I322" s="20"/>
      <c r="J322" s="29"/>
      <c r="K322" s="29"/>
      <c r="L322" s="20"/>
      <c r="M322" s="793"/>
      <c r="N322" s="28"/>
      <c r="O322" s="364"/>
      <c r="P322" s="20"/>
      <c r="Q322" s="20"/>
      <c r="R322" s="262"/>
      <c r="S322" s="20"/>
    </row>
    <row r="323" spans="1:19" customFormat="1" ht="30" customHeight="1" x14ac:dyDescent="0.25">
      <c r="A323" s="120"/>
      <c r="B323" s="120"/>
      <c r="C323" s="120"/>
      <c r="D323" s="292"/>
      <c r="E323" s="292"/>
      <c r="F323" s="292"/>
      <c r="G323" s="120"/>
      <c r="H323" s="20"/>
      <c r="I323" s="20"/>
      <c r="J323" s="29"/>
      <c r="K323" s="29"/>
      <c r="L323" s="20"/>
      <c r="M323" s="793"/>
      <c r="N323" s="28"/>
      <c r="O323" s="364"/>
      <c r="P323" s="20"/>
      <c r="Q323" s="20"/>
      <c r="R323" s="262"/>
      <c r="S323" s="20"/>
    </row>
    <row r="324" spans="1:19" customFormat="1" ht="30" customHeight="1" x14ac:dyDescent="0.25">
      <c r="A324" s="120"/>
      <c r="B324" s="120"/>
      <c r="C324" s="120"/>
      <c r="D324" s="292"/>
      <c r="E324" s="292"/>
      <c r="F324" s="292"/>
      <c r="G324" s="120"/>
      <c r="H324" s="20"/>
      <c r="I324" s="20"/>
      <c r="J324" s="29"/>
      <c r="K324" s="29"/>
      <c r="L324" s="20"/>
      <c r="M324" s="793"/>
      <c r="N324" s="28"/>
      <c r="O324" s="364"/>
      <c r="P324" s="20"/>
      <c r="Q324" s="20"/>
      <c r="R324" s="262"/>
      <c r="S324" s="20"/>
    </row>
    <row r="325" spans="1:19" customFormat="1" ht="30" customHeight="1" x14ac:dyDescent="0.25">
      <c r="A325" s="120"/>
      <c r="B325" s="120"/>
      <c r="C325" s="120"/>
      <c r="D325" s="292"/>
      <c r="E325" s="292"/>
      <c r="F325" s="292"/>
      <c r="G325" s="120"/>
      <c r="H325" s="20"/>
      <c r="I325" s="20"/>
      <c r="J325" s="29"/>
      <c r="K325" s="29"/>
      <c r="L325" s="20"/>
      <c r="M325" s="793"/>
      <c r="N325" s="28"/>
      <c r="O325" s="364"/>
      <c r="P325" s="20"/>
      <c r="Q325" s="20"/>
      <c r="R325" s="262"/>
      <c r="S325" s="20"/>
    </row>
    <row r="326" spans="1:19" customFormat="1" ht="30" customHeight="1" x14ac:dyDescent="0.25">
      <c r="A326" s="120"/>
      <c r="B326" s="120"/>
      <c r="C326" s="120"/>
      <c r="D326" s="292"/>
      <c r="E326" s="292"/>
      <c r="F326" s="292"/>
      <c r="G326" s="120"/>
      <c r="H326" s="20"/>
      <c r="I326" s="20"/>
      <c r="J326" s="29"/>
      <c r="K326" s="29"/>
      <c r="L326" s="20"/>
      <c r="M326" s="793"/>
      <c r="N326" s="28"/>
      <c r="O326" s="364"/>
      <c r="P326" s="20"/>
      <c r="Q326" s="20"/>
      <c r="R326" s="262"/>
      <c r="S326" s="20"/>
    </row>
    <row r="327" spans="1:19" customFormat="1" ht="30" customHeight="1" x14ac:dyDescent="0.25">
      <c r="A327" s="120"/>
      <c r="B327" s="120"/>
      <c r="C327" s="120"/>
      <c r="D327" s="292"/>
      <c r="E327" s="292"/>
      <c r="F327" s="292"/>
      <c r="G327" s="120"/>
      <c r="H327" s="20"/>
      <c r="I327" s="20"/>
      <c r="J327" s="29"/>
      <c r="K327" s="29"/>
      <c r="L327" s="20"/>
      <c r="M327" s="793"/>
      <c r="N327" s="28"/>
      <c r="O327" s="364"/>
      <c r="P327" s="20"/>
      <c r="Q327" s="20"/>
      <c r="R327" s="262"/>
      <c r="S327" s="20"/>
    </row>
    <row r="328" spans="1:19" customFormat="1" ht="30" customHeight="1" x14ac:dyDescent="0.25">
      <c r="A328" s="120"/>
      <c r="B328" s="120"/>
      <c r="C328" s="120"/>
      <c r="D328" s="292"/>
      <c r="E328" s="292"/>
      <c r="F328" s="292"/>
      <c r="G328" s="120"/>
      <c r="H328" s="20"/>
      <c r="I328" s="20"/>
      <c r="J328" s="29"/>
      <c r="K328" s="29"/>
      <c r="L328" s="20"/>
      <c r="M328" s="793"/>
      <c r="N328" s="28"/>
      <c r="O328" s="364"/>
      <c r="P328" s="20"/>
      <c r="Q328" s="20"/>
      <c r="R328" s="262"/>
      <c r="S328" s="20"/>
    </row>
    <row r="329" spans="1:19" customFormat="1" ht="30" customHeight="1" x14ac:dyDescent="0.25">
      <c r="A329" s="120"/>
      <c r="B329" s="120"/>
      <c r="C329" s="120"/>
      <c r="D329" s="292"/>
      <c r="E329" s="292"/>
      <c r="F329" s="292"/>
      <c r="G329" s="120"/>
      <c r="H329" s="20"/>
      <c r="I329" s="20"/>
      <c r="J329" s="29"/>
      <c r="K329" s="29"/>
      <c r="L329" s="20"/>
      <c r="M329" s="793"/>
      <c r="N329" s="28"/>
      <c r="O329" s="364"/>
      <c r="P329" s="20"/>
      <c r="Q329" s="20"/>
      <c r="R329" s="262"/>
      <c r="S329" s="20"/>
    </row>
    <row r="330" spans="1:19" customFormat="1" ht="30" customHeight="1" x14ac:dyDescent="0.25">
      <c r="A330" s="120"/>
      <c r="B330" s="120"/>
      <c r="C330" s="120"/>
      <c r="D330" s="292"/>
      <c r="E330" s="292"/>
      <c r="F330" s="292"/>
      <c r="G330" s="120"/>
      <c r="H330" s="20"/>
      <c r="I330" s="20"/>
      <c r="J330" s="29"/>
      <c r="K330" s="29"/>
      <c r="L330" s="20"/>
      <c r="M330" s="793"/>
      <c r="N330" s="28"/>
      <c r="O330" s="364"/>
      <c r="P330" s="20"/>
      <c r="Q330" s="20"/>
      <c r="R330" s="262"/>
      <c r="S330" s="20"/>
    </row>
    <row r="331" spans="1:19" customFormat="1" ht="30" customHeight="1" x14ac:dyDescent="0.25">
      <c r="A331" s="120"/>
      <c r="B331" s="120"/>
      <c r="C331" s="120"/>
      <c r="D331" s="292"/>
      <c r="E331" s="292"/>
      <c r="F331" s="292"/>
      <c r="G331" s="120"/>
      <c r="H331" s="20"/>
      <c r="I331" s="20"/>
      <c r="J331" s="29"/>
      <c r="K331" s="29"/>
      <c r="L331" s="20"/>
      <c r="M331" s="793"/>
      <c r="N331" s="28"/>
      <c r="O331" s="364"/>
      <c r="P331" s="20"/>
      <c r="Q331" s="20"/>
      <c r="R331" s="262"/>
      <c r="S331" s="20"/>
    </row>
    <row r="332" spans="1:19" customFormat="1" ht="30" customHeight="1" x14ac:dyDescent="0.25">
      <c r="A332" s="120"/>
      <c r="B332" s="120"/>
      <c r="C332" s="120"/>
      <c r="D332" s="292"/>
      <c r="E332" s="292"/>
      <c r="F332" s="292"/>
      <c r="G332" s="120"/>
      <c r="H332" s="20"/>
      <c r="I332" s="20"/>
      <c r="J332" s="29"/>
      <c r="K332" s="29"/>
      <c r="L332" s="20"/>
      <c r="M332" s="793"/>
      <c r="N332" s="28"/>
      <c r="O332" s="364"/>
      <c r="P332" s="20"/>
      <c r="Q332" s="20"/>
      <c r="R332" s="262"/>
      <c r="S332" s="20"/>
    </row>
    <row r="333" spans="1:19" customFormat="1" ht="30" customHeight="1" x14ac:dyDescent="0.25">
      <c r="A333" s="120"/>
      <c r="B333" s="120"/>
      <c r="C333" s="120"/>
      <c r="D333" s="292"/>
      <c r="E333" s="292"/>
      <c r="F333" s="292"/>
      <c r="G333" s="120"/>
      <c r="H333" s="20"/>
      <c r="I333" s="20"/>
      <c r="J333" s="29"/>
      <c r="K333" s="29"/>
      <c r="L333" s="20"/>
      <c r="M333" s="793"/>
      <c r="N333" s="28"/>
      <c r="O333" s="364"/>
      <c r="P333" s="20"/>
      <c r="Q333" s="20"/>
      <c r="R333" s="262"/>
      <c r="S333" s="20"/>
    </row>
    <row r="334" spans="1:19" customFormat="1" ht="30" customHeight="1" x14ac:dyDescent="0.25">
      <c r="A334" s="120"/>
      <c r="B334" s="120"/>
      <c r="C334" s="120"/>
      <c r="D334" s="292"/>
      <c r="E334" s="292"/>
      <c r="F334" s="292"/>
      <c r="G334" s="120"/>
      <c r="H334" s="20"/>
      <c r="I334" s="20"/>
      <c r="J334" s="29"/>
      <c r="K334" s="29"/>
      <c r="L334" s="20"/>
      <c r="M334" s="793"/>
      <c r="N334" s="28"/>
      <c r="O334" s="364"/>
      <c r="P334" s="20"/>
      <c r="Q334" s="20"/>
      <c r="R334" s="262"/>
      <c r="S334" s="20"/>
    </row>
    <row r="335" spans="1:19" customFormat="1" ht="30" customHeight="1" x14ac:dyDescent="0.25">
      <c r="A335" s="120"/>
      <c r="B335" s="120"/>
      <c r="C335" s="120"/>
      <c r="D335" s="292"/>
      <c r="E335" s="292"/>
      <c r="F335" s="292"/>
      <c r="G335" s="120"/>
      <c r="H335" s="20"/>
      <c r="I335" s="20"/>
      <c r="J335" s="29"/>
      <c r="K335" s="29"/>
      <c r="L335" s="20"/>
      <c r="M335" s="793"/>
      <c r="N335" s="28"/>
      <c r="O335" s="364"/>
      <c r="P335" s="20"/>
      <c r="Q335" s="20"/>
      <c r="R335" s="262"/>
      <c r="S335" s="20"/>
    </row>
    <row r="336" spans="1:19" customFormat="1" ht="30" customHeight="1" x14ac:dyDescent="0.25">
      <c r="A336" s="120"/>
      <c r="B336" s="120"/>
      <c r="C336" s="120"/>
      <c r="D336" s="292"/>
      <c r="E336" s="292"/>
      <c r="F336" s="292"/>
      <c r="G336" s="120"/>
      <c r="H336" s="20"/>
      <c r="I336" s="20"/>
      <c r="J336" s="29"/>
      <c r="K336" s="29"/>
      <c r="L336" s="20"/>
      <c r="M336" s="793"/>
      <c r="N336" s="28"/>
      <c r="O336" s="364"/>
      <c r="P336" s="20"/>
      <c r="Q336" s="20"/>
      <c r="R336" s="262"/>
      <c r="S336" s="20"/>
    </row>
    <row r="337" spans="1:19" customFormat="1" ht="30" customHeight="1" x14ac:dyDescent="0.25">
      <c r="A337" s="120"/>
      <c r="B337" s="120"/>
      <c r="C337" s="120"/>
      <c r="D337" s="292"/>
      <c r="E337" s="292"/>
      <c r="F337" s="292"/>
      <c r="G337" s="120"/>
      <c r="H337" s="20"/>
      <c r="I337" s="20"/>
      <c r="J337" s="29"/>
      <c r="K337" s="29"/>
      <c r="L337" s="20"/>
      <c r="M337" s="793"/>
      <c r="N337" s="28"/>
      <c r="O337" s="364"/>
      <c r="P337" s="20"/>
      <c r="Q337" s="20"/>
      <c r="R337" s="262"/>
      <c r="S337" s="20"/>
    </row>
    <row r="338" spans="1:19" customFormat="1" ht="30" customHeight="1" x14ac:dyDescent="0.25">
      <c r="A338" s="120"/>
      <c r="B338" s="120"/>
      <c r="C338" s="120"/>
      <c r="D338" s="292"/>
      <c r="E338" s="292"/>
      <c r="F338" s="292"/>
      <c r="G338" s="120"/>
      <c r="H338" s="20"/>
      <c r="I338" s="20"/>
      <c r="J338" s="29"/>
      <c r="K338" s="29"/>
      <c r="L338" s="20"/>
      <c r="M338" s="793"/>
      <c r="N338" s="28"/>
      <c r="O338" s="364"/>
      <c r="P338" s="20"/>
      <c r="Q338" s="20"/>
      <c r="R338" s="262"/>
      <c r="S338" s="20"/>
    </row>
    <row r="339" spans="1:19" customFormat="1" ht="30" customHeight="1" x14ac:dyDescent="0.25">
      <c r="A339" s="120"/>
      <c r="B339" s="120"/>
      <c r="C339" s="120"/>
      <c r="D339" s="292"/>
      <c r="E339" s="292"/>
      <c r="F339" s="292"/>
      <c r="G339" s="120"/>
      <c r="H339" s="20"/>
      <c r="I339" s="20"/>
      <c r="J339" s="29"/>
      <c r="K339" s="29"/>
      <c r="L339" s="20"/>
      <c r="M339" s="793"/>
      <c r="N339" s="28"/>
      <c r="O339" s="364"/>
      <c r="P339" s="20"/>
      <c r="Q339" s="20"/>
      <c r="R339" s="262"/>
      <c r="S339" s="20"/>
    </row>
    <row r="340" spans="1:19" customFormat="1" ht="30" customHeight="1" x14ac:dyDescent="0.25">
      <c r="A340" s="120"/>
      <c r="B340" s="120"/>
      <c r="C340" s="120"/>
      <c r="D340" s="292"/>
      <c r="E340" s="292"/>
      <c r="F340" s="292"/>
      <c r="G340" s="120"/>
      <c r="H340" s="20"/>
      <c r="I340" s="20"/>
      <c r="J340" s="29"/>
      <c r="K340" s="29"/>
      <c r="L340" s="20"/>
      <c r="M340" s="793"/>
      <c r="N340" s="28"/>
      <c r="O340" s="364"/>
      <c r="P340" s="20"/>
      <c r="Q340" s="20"/>
      <c r="R340" s="262"/>
      <c r="S340" s="20"/>
    </row>
    <row r="341" spans="1:19" customFormat="1" ht="30" customHeight="1" x14ac:dyDescent="0.25">
      <c r="A341" s="120"/>
      <c r="B341" s="120"/>
      <c r="C341" s="120"/>
      <c r="D341" s="292"/>
      <c r="E341" s="292"/>
      <c r="F341" s="292"/>
      <c r="G341" s="120"/>
      <c r="H341" s="20"/>
      <c r="I341" s="20"/>
      <c r="J341" s="29"/>
      <c r="K341" s="29"/>
      <c r="L341" s="20"/>
      <c r="M341" s="793"/>
      <c r="N341" s="28"/>
      <c r="O341" s="364"/>
      <c r="P341" s="20"/>
      <c r="Q341" s="20"/>
      <c r="R341" s="262"/>
      <c r="S341" s="20"/>
    </row>
    <row r="342" spans="1:19" customFormat="1" ht="30" customHeight="1" x14ac:dyDescent="0.25">
      <c r="A342" s="120"/>
      <c r="B342" s="120"/>
      <c r="C342" s="120"/>
      <c r="D342" s="292"/>
      <c r="E342" s="292"/>
      <c r="F342" s="292"/>
      <c r="G342" s="120"/>
      <c r="H342" s="20"/>
      <c r="I342" s="20"/>
      <c r="J342" s="29"/>
      <c r="K342" s="29"/>
      <c r="L342" s="20"/>
      <c r="M342" s="793"/>
      <c r="N342" s="28"/>
      <c r="O342" s="364"/>
      <c r="P342" s="20"/>
      <c r="Q342" s="20"/>
      <c r="R342" s="262"/>
      <c r="S342" s="20"/>
    </row>
    <row r="343" spans="1:19" ht="24.95" customHeight="1" x14ac:dyDescent="0.25">
      <c r="D343" s="292"/>
      <c r="E343" s="292"/>
      <c r="F343" s="292"/>
    </row>
    <row r="344" spans="1:19" ht="24.95" customHeight="1" x14ac:dyDescent="0.25">
      <c r="D344" s="292"/>
      <c r="E344" s="292"/>
      <c r="F344" s="292"/>
    </row>
  </sheetData>
  <autoFilter ref="A8:S224"/>
  <sortState ref="A9:S224">
    <sortCondition ref="A9:A224"/>
    <sortCondition ref="C9:C224"/>
    <sortCondition ref="B9:B224"/>
  </sortState>
  <mergeCells count="7">
    <mergeCell ref="A7:S7"/>
    <mergeCell ref="A5:R5"/>
    <mergeCell ref="A6:R6"/>
    <mergeCell ref="A1:Q1"/>
    <mergeCell ref="A2:Q2"/>
    <mergeCell ref="A3:Q3"/>
    <mergeCell ref="A4:Q4"/>
  </mergeCells>
  <printOptions gridLines="1"/>
  <pageMargins left="0.7" right="0.7" top="0.25" bottom="0.25" header="0.3" footer="0.3"/>
  <pageSetup scale="4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249977111117893"/>
    <pageSetUpPr fitToPage="1"/>
  </sheetPr>
  <dimension ref="A1:X262"/>
  <sheetViews>
    <sheetView showGridLines="0" zoomScale="90" zoomScaleNormal="90" workbookViewId="0">
      <pane xSplit="2" ySplit="7" topLeftCell="M8" activePane="bottomRight" state="frozen"/>
      <selection activeCell="I19" sqref="I19"/>
      <selection pane="topRight" activeCell="I19" sqref="I19"/>
      <selection pane="bottomLeft" activeCell="I19" sqref="I19"/>
      <selection pane="bottomRight" activeCell="U20" sqref="U20:X20"/>
    </sheetView>
  </sheetViews>
  <sheetFormatPr defaultRowHeight="15" x14ac:dyDescent="0.2"/>
  <cols>
    <col min="1" max="1" width="22.85546875" style="108" bestFit="1" customWidth="1"/>
    <col min="2" max="2" width="33.5703125" style="108" bestFit="1" customWidth="1"/>
    <col min="3" max="3" width="10.7109375" style="25" customWidth="1"/>
    <col min="4" max="4" width="10.7109375" style="75" customWidth="1"/>
    <col min="5" max="7" width="10.7109375" style="25" customWidth="1"/>
    <col min="8" max="8" width="11.85546875" style="75" customWidth="1"/>
    <col min="9" max="11" width="10.7109375" style="25" customWidth="1"/>
    <col min="12" max="12" width="11.5703125" style="75" customWidth="1"/>
    <col min="13" max="17" width="10.7109375" style="25" customWidth="1"/>
    <col min="18" max="18" width="10.7109375" style="289" customWidth="1"/>
    <col min="19" max="19" width="10.7109375" style="109" customWidth="1"/>
    <col min="20" max="20" width="25.28515625" style="283" customWidth="1"/>
    <col min="21" max="21" width="28.28515625" style="2" bestFit="1" customWidth="1"/>
    <col min="22" max="22" width="25.5703125" style="2" bestFit="1" customWidth="1"/>
    <col min="23" max="23" width="18.140625" style="2" bestFit="1" customWidth="1"/>
    <col min="24" max="24" width="8.140625" style="2" customWidth="1"/>
    <col min="25" max="16384" width="9.140625" style="2"/>
  </cols>
  <sheetData>
    <row r="1" spans="1:24" s="268" customFormat="1" x14ac:dyDescent="0.2">
      <c r="A1" s="886" t="s">
        <v>636</v>
      </c>
      <c r="B1" s="886"/>
      <c r="C1" s="886"/>
      <c r="D1" s="886"/>
      <c r="E1" s="886"/>
      <c r="F1" s="886"/>
      <c r="G1" s="886"/>
      <c r="H1" s="886"/>
      <c r="I1" s="886"/>
      <c r="J1" s="886"/>
      <c r="K1" s="886"/>
      <c r="L1" s="886"/>
      <c r="M1" s="886"/>
      <c r="N1" s="886"/>
      <c r="O1" s="886"/>
      <c r="P1" s="886"/>
      <c r="Q1" s="886"/>
      <c r="R1" s="886"/>
      <c r="S1" s="886"/>
      <c r="T1" s="886"/>
      <c r="U1" s="886"/>
      <c r="V1" s="886"/>
      <c r="W1" s="886"/>
      <c r="X1" s="886"/>
    </row>
    <row r="2" spans="1:24" s="268" customFormat="1" x14ac:dyDescent="0.25">
      <c r="A2" s="858" t="s">
        <v>985</v>
      </c>
      <c r="B2" s="858"/>
      <c r="C2" s="858"/>
      <c r="D2" s="858"/>
      <c r="E2" s="858"/>
      <c r="F2" s="858"/>
      <c r="G2" s="858"/>
      <c r="H2" s="858"/>
      <c r="I2" s="858"/>
      <c r="J2" s="858"/>
      <c r="K2" s="858"/>
      <c r="L2" s="858"/>
      <c r="M2" s="858"/>
      <c r="N2" s="858"/>
      <c r="O2" s="858"/>
      <c r="P2" s="858"/>
      <c r="Q2" s="858"/>
      <c r="R2" s="858"/>
      <c r="S2" s="858"/>
      <c r="T2" s="858"/>
      <c r="U2" s="858"/>
      <c r="V2" s="858"/>
      <c r="W2" s="858"/>
      <c r="X2" s="858"/>
    </row>
    <row r="3" spans="1:24" s="268" customFormat="1" ht="29.25" customHeight="1" x14ac:dyDescent="0.2">
      <c r="A3" s="886" t="s">
        <v>1043</v>
      </c>
      <c r="B3" s="886"/>
      <c r="C3" s="886"/>
      <c r="D3" s="886"/>
      <c r="E3" s="886"/>
      <c r="F3" s="886"/>
      <c r="G3" s="886"/>
      <c r="H3" s="886"/>
      <c r="I3" s="886"/>
      <c r="J3" s="886"/>
      <c r="K3" s="886"/>
      <c r="L3" s="886"/>
      <c r="M3" s="886"/>
      <c r="N3" s="886"/>
      <c r="O3" s="886"/>
      <c r="P3" s="886"/>
      <c r="Q3" s="886"/>
      <c r="R3" s="886"/>
      <c r="S3" s="886"/>
      <c r="T3" s="886"/>
      <c r="U3" s="886"/>
      <c r="V3" s="886"/>
      <c r="W3" s="886"/>
      <c r="X3" s="886"/>
    </row>
    <row r="4" spans="1:24" s="268" customFormat="1" x14ac:dyDescent="0.2">
      <c r="A4" s="886" t="s">
        <v>629</v>
      </c>
      <c r="B4" s="886"/>
      <c r="C4" s="886"/>
      <c r="D4" s="886"/>
      <c r="E4" s="886"/>
      <c r="F4" s="886"/>
      <c r="G4" s="886"/>
      <c r="H4" s="886"/>
      <c r="I4" s="886"/>
      <c r="J4" s="886"/>
      <c r="K4" s="886"/>
      <c r="L4" s="886"/>
      <c r="M4" s="886"/>
      <c r="N4" s="886"/>
      <c r="O4" s="886"/>
      <c r="P4" s="886"/>
      <c r="Q4" s="886"/>
      <c r="R4" s="886"/>
      <c r="S4" s="886"/>
      <c r="T4" s="886"/>
      <c r="U4" s="886"/>
      <c r="V4" s="886"/>
      <c r="W4" s="886"/>
      <c r="X4" s="886"/>
    </row>
    <row r="5" spans="1:24" s="188" customFormat="1" ht="15.75" customHeight="1" thickBot="1" x14ac:dyDescent="0.3">
      <c r="A5" s="899" t="s">
        <v>1145</v>
      </c>
      <c r="B5" s="899"/>
      <c r="C5" s="899"/>
      <c r="D5" s="899"/>
      <c r="E5" s="899"/>
      <c r="F5" s="899"/>
      <c r="G5" s="899"/>
      <c r="H5" s="899"/>
      <c r="I5" s="899"/>
      <c r="J5" s="899"/>
      <c r="K5" s="899"/>
      <c r="L5" s="899"/>
      <c r="M5" s="899"/>
      <c r="N5" s="899"/>
      <c r="O5" s="899"/>
      <c r="P5" s="899"/>
      <c r="Q5" s="899"/>
      <c r="R5" s="899"/>
      <c r="S5" s="899"/>
      <c r="T5" s="899"/>
      <c r="U5" s="899"/>
      <c r="V5" s="899"/>
      <c r="W5" s="899"/>
      <c r="X5" s="899"/>
    </row>
    <row r="6" spans="1:24" s="5" customFormat="1" ht="30" customHeight="1" thickBot="1" x14ac:dyDescent="0.3">
      <c r="A6" s="295"/>
      <c r="B6" s="295"/>
      <c r="C6" s="896" t="s">
        <v>11</v>
      </c>
      <c r="D6" s="897"/>
      <c r="E6" s="897"/>
      <c r="F6" s="898"/>
      <c r="G6" s="896" t="s">
        <v>12</v>
      </c>
      <c r="H6" s="897"/>
      <c r="I6" s="897"/>
      <c r="J6" s="898"/>
      <c r="K6" s="197" t="s">
        <v>13</v>
      </c>
      <c r="L6" s="198"/>
      <c r="M6" s="198"/>
      <c r="N6" s="199"/>
      <c r="O6" s="896" t="s">
        <v>14</v>
      </c>
      <c r="P6" s="897"/>
      <c r="Q6" s="897"/>
      <c r="R6" s="898"/>
      <c r="S6" s="296"/>
      <c r="T6" s="247"/>
      <c r="U6" s="297"/>
      <c r="V6" s="297"/>
      <c r="W6" s="297"/>
      <c r="X6" s="297"/>
    </row>
    <row r="7" spans="1:24" s="5" customFormat="1" ht="39.950000000000003" customHeight="1" thickBot="1" x14ac:dyDescent="0.3">
      <c r="A7" s="161" t="s">
        <v>542</v>
      </c>
      <c r="B7" s="77" t="s">
        <v>543</v>
      </c>
      <c r="C7" s="78" t="s">
        <v>15</v>
      </c>
      <c r="D7" s="78" t="s">
        <v>16</v>
      </c>
      <c r="E7" s="78" t="s">
        <v>17</v>
      </c>
      <c r="F7" s="79" t="s">
        <v>544</v>
      </c>
      <c r="G7" s="79" t="s">
        <v>15</v>
      </c>
      <c r="H7" s="79" t="s">
        <v>628</v>
      </c>
      <c r="I7" s="79" t="s">
        <v>17</v>
      </c>
      <c r="J7" s="79" t="s">
        <v>544</v>
      </c>
      <c r="K7" s="78" t="s">
        <v>15</v>
      </c>
      <c r="L7" s="78" t="s">
        <v>16</v>
      </c>
      <c r="M7" s="78" t="s">
        <v>17</v>
      </c>
      <c r="N7" s="80" t="s">
        <v>544</v>
      </c>
      <c r="O7" s="80" t="s">
        <v>15</v>
      </c>
      <c r="P7" s="80" t="s">
        <v>16</v>
      </c>
      <c r="Q7" s="80" t="s">
        <v>17</v>
      </c>
      <c r="R7" s="80" t="s">
        <v>544</v>
      </c>
      <c r="S7" s="96" t="s">
        <v>4</v>
      </c>
      <c r="T7" s="96" t="s">
        <v>20</v>
      </c>
      <c r="U7" s="255" t="s">
        <v>5</v>
      </c>
      <c r="V7" s="255" t="s">
        <v>6</v>
      </c>
      <c r="W7" s="255" t="s">
        <v>552</v>
      </c>
      <c r="X7" s="137" t="s">
        <v>553</v>
      </c>
    </row>
    <row r="8" spans="1:24" s="169" customFormat="1" ht="30" x14ac:dyDescent="0.25">
      <c r="A8" s="345" t="s">
        <v>29</v>
      </c>
      <c r="B8" s="140" t="s">
        <v>30</v>
      </c>
      <c r="C8" s="258">
        <v>361.09303999999997</v>
      </c>
      <c r="D8" s="258">
        <v>596.84799999999996</v>
      </c>
      <c r="E8" s="258">
        <v>159.66667000000001</v>
      </c>
      <c r="F8" s="368">
        <v>0.60499999999999998</v>
      </c>
      <c r="G8" s="258">
        <v>111.199</v>
      </c>
      <c r="H8" s="258">
        <v>183.8</v>
      </c>
      <c r="I8" s="258">
        <v>22.25</v>
      </c>
      <c r="J8" s="368">
        <v>0.60499999999999998</v>
      </c>
      <c r="K8" s="258">
        <v>433.02027999999996</v>
      </c>
      <c r="L8" s="258">
        <v>715.73599999999999</v>
      </c>
      <c r="M8" s="258">
        <v>26.833333</v>
      </c>
      <c r="N8" s="368">
        <v>0.60499999999999998</v>
      </c>
      <c r="O8" s="258">
        <v>905.31232</v>
      </c>
      <c r="P8" s="258">
        <f>SUM(D8,H8,L8)</f>
        <v>1496.384</v>
      </c>
      <c r="Q8" s="258">
        <v>208.75000300000002</v>
      </c>
      <c r="R8" s="368">
        <v>0.60499999999999998</v>
      </c>
      <c r="S8" s="173" t="s">
        <v>356</v>
      </c>
      <c r="T8" s="390">
        <f t="array" ref="T8">INDEX(UtilityList!Q$4:Q$251,MATCH('Table 2.5a'!$A8&amp;'Table 2.5a'!$B8,UtilityList!$A$4:$A$251&amp;UtilityList!$C$4:$C$251,0))</f>
        <v>0</v>
      </c>
      <c r="U8" s="202" t="str">
        <f t="array" ref="U8">INDEX(UtilityList!J$4:J$251,MATCH('Table 2.5a'!$A8&amp;'Table 2.5a'!$B8,UtilityList!$A$4:$A$251&amp;UtilityList!$C$4:$C$251,0))</f>
        <v>Lower Yukon-Kuskokwim</v>
      </c>
      <c r="V8" s="202" t="str">
        <f t="array" ref="V8">INDEX(UtilityList!K$4:K$251,MATCH('Table 2.5a'!$A8&amp;'Table 2.5a'!$B8,UtilityList!$A$4:$A$251&amp;UtilityList!$C$4:$C$251,0))</f>
        <v>Bethel (CA)</v>
      </c>
      <c r="W8" s="202" t="str">
        <f t="array" ref="W8">INDEX(UtilityList!L$4:L$251,MATCH('Table 2.5a'!$A8&amp;'Table 2.5a'!$B8,UtilityList!$A$4:$A$251&amp;UtilityList!$C$4:$C$251,0))</f>
        <v>Calista</v>
      </c>
      <c r="X8" s="202" t="str">
        <f t="array" ref="X8">INDEX(UtilityList!M$4:M$251,MATCH('Table 2.5a'!$A8&amp;'Table 2.5a'!$B8,UtilityList!$A$4:$A$251&amp;UtilityList!$C$4:$C$251,0))</f>
        <v>SW</v>
      </c>
    </row>
    <row r="9" spans="1:24" s="169" customFormat="1" x14ac:dyDescent="0.25">
      <c r="A9" s="361" t="s">
        <v>31</v>
      </c>
      <c r="B9" s="654" t="s">
        <v>32</v>
      </c>
      <c r="C9" s="701">
        <v>180.58887000000001</v>
      </c>
      <c r="D9" s="701">
        <v>286.649</v>
      </c>
      <c r="E9" s="701">
        <v>92</v>
      </c>
      <c r="F9" s="702">
        <v>0.63</v>
      </c>
      <c r="G9" s="701">
        <v>259.59087</v>
      </c>
      <c r="H9" s="701">
        <v>412.04899999999998</v>
      </c>
      <c r="I9" s="701">
        <v>14.833333</v>
      </c>
      <c r="J9" s="702">
        <v>0.63</v>
      </c>
      <c r="K9" s="701">
        <v>88.946550000000002</v>
      </c>
      <c r="L9" s="701">
        <v>141.185</v>
      </c>
      <c r="M9" s="701">
        <v>12.9166667</v>
      </c>
      <c r="N9" s="702">
        <v>0.63</v>
      </c>
      <c r="O9" s="701">
        <v>529.12629000000004</v>
      </c>
      <c r="P9" s="701">
        <f t="shared" ref="P9:P73" si="0">SUM(D9,H9,L9)</f>
        <v>839.88300000000004</v>
      </c>
      <c r="Q9" s="701">
        <v>119.74999969999999</v>
      </c>
      <c r="R9" s="702">
        <v>0.63</v>
      </c>
      <c r="S9" s="658" t="s">
        <v>356</v>
      </c>
      <c r="T9" s="703">
        <f t="array" ref="T9">INDEX(UtilityList!Q$4:Q$251,MATCH('Table 2.5a'!$A9&amp;'Table 2.5a'!$B9,UtilityList!$A$4:$A$251&amp;UtilityList!$C$4:$C$251,0))</f>
        <v>0</v>
      </c>
      <c r="U9" s="704" t="str">
        <f t="array" ref="U9">INDEX(UtilityList!J$4:J$251,MATCH('Table 2.5a'!$A9&amp;'Table 2.5a'!$B9,UtilityList!$A$4:$A$251&amp;UtilityList!$C$4:$C$251,0))</f>
        <v>Lower Yukon-Kuskokwim</v>
      </c>
      <c r="V9" s="704" t="str">
        <f t="array" ref="V9">INDEX(UtilityList!K$4:K$251,MATCH('Table 2.5a'!$A9&amp;'Table 2.5a'!$B9,UtilityList!$A$4:$A$251&amp;UtilityList!$C$4:$C$251,0))</f>
        <v>Bethel (CA)</v>
      </c>
      <c r="W9" s="704" t="str">
        <f t="array" ref="W9">INDEX(UtilityList!L$4:L$251,MATCH('Table 2.5a'!$A9&amp;'Table 2.5a'!$B9,UtilityList!$A$4:$A$251&amp;UtilityList!$C$4:$C$251,0))</f>
        <v>Calista</v>
      </c>
      <c r="X9" s="704" t="str">
        <f t="array" ref="X9">INDEX(UtilityList!M$4:M$251,MATCH('Table 2.5a'!$A9&amp;'Table 2.5a'!$B9,UtilityList!$A$4:$A$251&amp;UtilityList!$C$4:$C$251,0))</f>
        <v>SW</v>
      </c>
    </row>
    <row r="10" spans="1:24" s="154" customFormat="1" x14ac:dyDescent="0.25">
      <c r="A10" s="361" t="s">
        <v>33</v>
      </c>
      <c r="B10" s="654" t="s">
        <v>34</v>
      </c>
      <c r="C10" s="701">
        <v>66.596785999999994</v>
      </c>
      <c r="D10" s="701">
        <v>206.18199999999999</v>
      </c>
      <c r="E10" s="701">
        <v>41</v>
      </c>
      <c r="F10" s="702">
        <v>0.32300000000000001</v>
      </c>
      <c r="G10" s="701">
        <v>63.038294999999998</v>
      </c>
      <c r="H10" s="701">
        <v>195.16499999999999</v>
      </c>
      <c r="I10" s="701">
        <v>17</v>
      </c>
      <c r="J10" s="702">
        <v>0.32300000000000001</v>
      </c>
      <c r="K10" s="701">
        <v>30.813554</v>
      </c>
      <c r="L10" s="701">
        <v>95.397999999999996</v>
      </c>
      <c r="M10" s="701">
        <v>11</v>
      </c>
      <c r="N10" s="702">
        <v>0.32300000000000001</v>
      </c>
      <c r="O10" s="701">
        <v>160.448635</v>
      </c>
      <c r="P10" s="701">
        <f t="shared" si="0"/>
        <v>496.745</v>
      </c>
      <c r="Q10" s="701">
        <v>69</v>
      </c>
      <c r="R10" s="702">
        <v>0.32300000000000001</v>
      </c>
      <c r="S10" s="658" t="s">
        <v>356</v>
      </c>
      <c r="T10" s="703">
        <f t="array" ref="T10">INDEX(UtilityList!Q$4:Q$251,MATCH('Table 2.5a'!$A10&amp;'Table 2.5a'!$B10,UtilityList!$A$4:$A$251&amp;UtilityList!$C$4:$C$251,0))</f>
        <v>0</v>
      </c>
      <c r="U10" s="704" t="str">
        <f t="array" ref="U10">INDEX(UtilityList!J$4:J$251,MATCH('Table 2.5a'!$A10&amp;'Table 2.5a'!$B10,UtilityList!$A$4:$A$251&amp;UtilityList!$C$4:$C$251,0))</f>
        <v>Aleutians</v>
      </c>
      <c r="V10" s="704" t="str">
        <f t="array" ref="V10">INDEX(UtilityList!K$4:K$251,MATCH('Table 2.5a'!$A10&amp;'Table 2.5a'!$B10,UtilityList!$A$4:$A$251&amp;UtilityList!$C$4:$C$251,0))</f>
        <v>Aleutians East</v>
      </c>
      <c r="W10" s="704" t="str">
        <f t="array" ref="W10">INDEX(UtilityList!L$4:L$251,MATCH('Table 2.5a'!$A10&amp;'Table 2.5a'!$B10,UtilityList!$A$4:$A$251&amp;UtilityList!$C$4:$C$251,0))</f>
        <v>Aleut</v>
      </c>
      <c r="X10" s="704" t="str">
        <f t="array" ref="X10">INDEX(UtilityList!M$4:M$251,MATCH('Table 2.5a'!$A10&amp;'Table 2.5a'!$B10,UtilityList!$A$4:$A$251&amp;UtilityList!$C$4:$C$251,0))</f>
        <v>SW</v>
      </c>
    </row>
    <row r="11" spans="1:24" s="201" customFormat="1" ht="30" x14ac:dyDescent="0.25">
      <c r="A11" s="352" t="s">
        <v>523</v>
      </c>
      <c r="B11" s="352" t="s">
        <v>36</v>
      </c>
      <c r="C11" s="641">
        <v>16931</v>
      </c>
      <c r="D11" s="641">
        <v>139936</v>
      </c>
      <c r="E11" s="641">
        <v>13842</v>
      </c>
      <c r="F11" s="686">
        <v>0.12099</v>
      </c>
      <c r="G11" s="641">
        <v>12721</v>
      </c>
      <c r="H11" s="641">
        <v>126493</v>
      </c>
      <c r="I11" s="641">
        <v>2166</v>
      </c>
      <c r="J11" s="686">
        <v>0.10057000000000001</v>
      </c>
      <c r="K11" s="641">
        <v>9273</v>
      </c>
      <c r="L11" s="641">
        <v>98281</v>
      </c>
      <c r="M11" s="641">
        <v>94</v>
      </c>
      <c r="N11" s="686">
        <v>9.4350000000000003E-2</v>
      </c>
      <c r="O11" s="641">
        <v>38925</v>
      </c>
      <c r="P11" s="641">
        <f t="shared" si="0"/>
        <v>364710</v>
      </c>
      <c r="Q11" s="641">
        <v>16102</v>
      </c>
      <c r="R11" s="705">
        <v>0.10672863370897426</v>
      </c>
      <c r="S11" s="706" t="s">
        <v>558</v>
      </c>
      <c r="T11" s="703">
        <f t="array" ref="T11">INDEX(UtilityList!Q$4:Q$251,MATCH('Table 2.5a'!$A11&amp;'Table 2.5a'!$B11,UtilityList!$A$4:$A$251&amp;UtilityList!$C$4:$C$251,0))</f>
        <v>0</v>
      </c>
      <c r="U11" s="704" t="str">
        <f t="array" ref="U11">INDEX(UtilityList!J$4:J$251,MATCH('Table 2.5a'!$A11&amp;'Table 2.5a'!$B11,UtilityList!$A$4:$A$251&amp;UtilityList!$C$4:$C$251,0))</f>
        <v>Southeast</v>
      </c>
      <c r="V11" s="704" t="str">
        <f t="array" ref="V11">INDEX(UtilityList!K$4:K$251,MATCH('Table 2.5a'!$A11&amp;'Table 2.5a'!$B11,UtilityList!$A$4:$A$251&amp;UtilityList!$C$4:$C$251,0))</f>
        <v>Juneau</v>
      </c>
      <c r="W11" s="704" t="str">
        <f t="array" ref="W11">INDEX(UtilityList!L$4:L$251,MATCH('Table 2.5a'!$A11&amp;'Table 2.5a'!$B11,UtilityList!$A$4:$A$251&amp;UtilityList!$C$4:$C$251,0))</f>
        <v>Sealaska</v>
      </c>
      <c r="X11" s="704" t="str">
        <f t="array" ref="X11">INDEX(UtilityList!M$4:M$251,MATCH('Table 2.5a'!$A11&amp;'Table 2.5a'!$B11,UtilityList!$A$4:$A$251&amp;UtilityList!$C$4:$C$251,0))</f>
        <v>SE</v>
      </c>
    </row>
    <row r="12" spans="1:24" s="154" customFormat="1" ht="45" x14ac:dyDescent="0.25">
      <c r="A12" s="352" t="s">
        <v>43</v>
      </c>
      <c r="B12" s="664" t="s">
        <v>678</v>
      </c>
      <c r="C12" s="701">
        <v>186.02821575000002</v>
      </c>
      <c r="D12" s="701">
        <v>216.57</v>
      </c>
      <c r="E12" s="701">
        <v>75.416663999999997</v>
      </c>
      <c r="F12" s="702">
        <v>0.85897500000000004</v>
      </c>
      <c r="G12" s="701">
        <v>138.23828265</v>
      </c>
      <c r="H12" s="701">
        <v>160.934</v>
      </c>
      <c r="I12" s="701">
        <v>18.583334000000001</v>
      </c>
      <c r="J12" s="702">
        <v>0.85897500000000004</v>
      </c>
      <c r="K12" s="701">
        <v>192.38033587500001</v>
      </c>
      <c r="L12" s="701">
        <v>223.965</v>
      </c>
      <c r="M12" s="701">
        <v>16.833333</v>
      </c>
      <c r="N12" s="702">
        <v>0.85897500000000004</v>
      </c>
      <c r="O12" s="701">
        <v>516.64683427500006</v>
      </c>
      <c r="P12" s="701">
        <f t="shared" si="0"/>
        <v>601.46900000000005</v>
      </c>
      <c r="Q12" s="701">
        <v>110.833331</v>
      </c>
      <c r="R12" s="702">
        <v>0.85897500000000004</v>
      </c>
      <c r="S12" s="662" t="s">
        <v>356</v>
      </c>
      <c r="T12" s="703" t="str">
        <f t="array" ref="T12">INDEX(UtilityList!Q$4:Q$251,MATCH('Table 2.5a'!$A12&amp;'Table 2.5a'!$B12,UtilityList!$A$4:$A$251&amp;UtilityList!$C$4:$C$251,0))</f>
        <v>Provides power to Alatna via intertie. Data includes Alatna's information.</v>
      </c>
      <c r="U12" s="704" t="str">
        <f t="array" ref="U12">INDEX(UtilityList!J$4:J$251,MATCH('Table 2.5a'!$A12&amp;'Table 2.5a'!$B12,UtilityList!$A$4:$A$251&amp;UtilityList!$C$4:$C$251,0))</f>
        <v>Yukon-Koyukuk/Upper Tanana</v>
      </c>
      <c r="V12" s="704" t="str">
        <f t="array" ref="V12">INDEX(UtilityList!K$4:K$251,MATCH('Table 2.5a'!$A12&amp;'Table 2.5a'!$B12,UtilityList!$A$4:$A$251&amp;UtilityList!$C$4:$C$251,0))</f>
        <v>Yukon-Koyukuk (CA)</v>
      </c>
      <c r="W12" s="704" t="str">
        <f t="array" ref="W12">INDEX(UtilityList!L$4:L$251,MATCH('Table 2.5a'!$A12&amp;'Table 2.5a'!$B12,UtilityList!$A$4:$A$251&amp;UtilityList!$C$4:$C$251,0))</f>
        <v>Doyon</v>
      </c>
      <c r="X12" s="704" t="str">
        <f t="array" ref="X12">INDEX(UtilityList!M$4:M$251,MATCH('Table 2.5a'!$A12&amp;'Table 2.5a'!$B12,UtilityList!$A$4:$A$251&amp;UtilityList!$C$4:$C$251,0))</f>
        <v>YU</v>
      </c>
    </row>
    <row r="13" spans="1:24" s="153" customFormat="1" ht="60" x14ac:dyDescent="0.25">
      <c r="A13" s="352" t="s">
        <v>43</v>
      </c>
      <c r="B13" s="664" t="s">
        <v>680</v>
      </c>
      <c r="C13" s="701">
        <v>81.19126399999999</v>
      </c>
      <c r="D13" s="701">
        <v>127.82</v>
      </c>
      <c r="E13" s="701">
        <v>33</v>
      </c>
      <c r="F13" s="702">
        <v>0.63519999999999999</v>
      </c>
      <c r="G13" s="701">
        <v>39.6631584</v>
      </c>
      <c r="H13" s="701">
        <v>62.442</v>
      </c>
      <c r="I13" s="701">
        <v>10.083333</v>
      </c>
      <c r="J13" s="702">
        <v>0.63519999999999999</v>
      </c>
      <c r="K13" s="701">
        <v>215.26165759999998</v>
      </c>
      <c r="L13" s="701">
        <v>338.88799999999998</v>
      </c>
      <c r="M13" s="701">
        <v>21.333334000000001</v>
      </c>
      <c r="N13" s="702">
        <v>0.63519999999999999</v>
      </c>
      <c r="O13" s="701">
        <v>336.11607999999995</v>
      </c>
      <c r="P13" s="701">
        <f t="shared" si="0"/>
        <v>529.15</v>
      </c>
      <c r="Q13" s="701">
        <v>64.41666699999999</v>
      </c>
      <c r="R13" s="702">
        <v>0.63519999999999999</v>
      </c>
      <c r="S13" s="662" t="s">
        <v>356</v>
      </c>
      <c r="T13" s="703" t="str">
        <f t="array" ref="T13">INDEX(UtilityList!Q$4:Q$251,MATCH('Table 2.5a'!$A13&amp;'Table 2.5a'!$B13,UtilityList!$A$4:$A$251&amp;UtilityList!$C$4:$C$251,0))</f>
        <v>Provides power to Evansville via intertie. Data includes Evansville's information.</v>
      </c>
      <c r="U13" s="704" t="str">
        <f t="array" ref="U13">INDEX(UtilityList!J$4:J$251,MATCH('Table 2.5a'!$A13&amp;'Table 2.5a'!$B13,UtilityList!$A$4:$A$251&amp;UtilityList!$C$4:$C$251,0))</f>
        <v>Yukon-Koyukuk/Upper Tanana</v>
      </c>
      <c r="V13" s="704" t="str">
        <f t="array" ref="V13">INDEX(UtilityList!K$4:K$251,MATCH('Table 2.5a'!$A13&amp;'Table 2.5a'!$B13,UtilityList!$A$4:$A$251&amp;UtilityList!$C$4:$C$251,0))</f>
        <v>Yukon-Koyukuk (CA)</v>
      </c>
      <c r="W13" s="704" t="str">
        <f t="array" ref="W13">INDEX(UtilityList!L$4:L$251,MATCH('Table 2.5a'!$A13&amp;'Table 2.5a'!$B13,UtilityList!$A$4:$A$251&amp;UtilityList!$C$4:$C$251,0))</f>
        <v>Doyon</v>
      </c>
      <c r="X13" s="704" t="str">
        <f t="array" ref="X13">INDEX(UtilityList!M$4:M$251,MATCH('Table 2.5a'!$A13&amp;'Table 2.5a'!$B13,UtilityList!$A$4:$A$251&amp;UtilityList!$C$4:$C$251,0))</f>
        <v>YU</v>
      </c>
    </row>
    <row r="14" spans="1:24" s="153" customFormat="1" ht="30" x14ac:dyDescent="0.25">
      <c r="A14" s="352" t="s">
        <v>43</v>
      </c>
      <c r="B14" s="664" t="s">
        <v>46</v>
      </c>
      <c r="C14" s="701">
        <v>107.71860821535002</v>
      </c>
      <c r="D14" s="701">
        <v>160.39500000000001</v>
      </c>
      <c r="E14" s="701">
        <v>48.166668000000001</v>
      </c>
      <c r="F14" s="702">
        <v>0.67158333000000003</v>
      </c>
      <c r="G14" s="701">
        <v>86.766551486010002</v>
      </c>
      <c r="H14" s="701">
        <v>129.197</v>
      </c>
      <c r="I14" s="701">
        <v>13.333333</v>
      </c>
      <c r="J14" s="702">
        <v>0.67158333000000003</v>
      </c>
      <c r="K14" s="701">
        <v>39.335978804760003</v>
      </c>
      <c r="L14" s="701">
        <v>58.572000000000003</v>
      </c>
      <c r="M14" s="701">
        <v>3</v>
      </c>
      <c r="N14" s="702">
        <v>0.67158333000000003</v>
      </c>
      <c r="O14" s="701">
        <v>233.82113850612004</v>
      </c>
      <c r="P14" s="701">
        <f t="shared" si="0"/>
        <v>348.16399999999999</v>
      </c>
      <c r="Q14" s="701">
        <v>64.500000999999997</v>
      </c>
      <c r="R14" s="702">
        <v>0.67158333000000003</v>
      </c>
      <c r="S14" s="662" t="s">
        <v>356</v>
      </c>
      <c r="T14" s="703" t="str">
        <f t="array" ref="T14">INDEX(UtilityList!Q$4:Q$251,MATCH('Table 2.5a'!$A14&amp;'Table 2.5a'!$B14,UtilityList!$A$4:$A$251&amp;UtilityList!$C$4:$C$251,0))</f>
        <v>Receives power from Slana via intertie.</v>
      </c>
      <c r="U14" s="704" t="str">
        <f t="array" ref="U14">INDEX(UtilityList!J$4:J$251,MATCH('Table 2.5a'!$A14&amp;'Table 2.5a'!$B14,UtilityList!$A$4:$A$251&amp;UtilityList!$C$4:$C$251,0))</f>
        <v>Copper River/Chugach</v>
      </c>
      <c r="V14" s="704" t="str">
        <f t="array" ref="V14">INDEX(UtilityList!K$4:K$251,MATCH('Table 2.5a'!$A14&amp;'Table 2.5a'!$B14,UtilityList!$A$4:$A$251&amp;UtilityList!$C$4:$C$251,0))</f>
        <v>Valdez-Cordova (CA)</v>
      </c>
      <c r="W14" s="704" t="str">
        <f t="array" ref="W14">INDEX(UtilityList!L$4:L$251,MATCH('Table 2.5a'!$A14&amp;'Table 2.5a'!$B14,UtilityList!$A$4:$A$251&amp;UtilityList!$C$4:$C$251,0))</f>
        <v>Ahtna</v>
      </c>
      <c r="X14" s="704" t="str">
        <f t="array" ref="X14">INDEX(UtilityList!M$4:M$251,MATCH('Table 2.5a'!$A14&amp;'Table 2.5a'!$B14,UtilityList!$A$4:$A$251&amp;UtilityList!$C$4:$C$251,0))</f>
        <v>YU</v>
      </c>
    </row>
    <row r="15" spans="1:24" s="153" customFormat="1" ht="45" x14ac:dyDescent="0.25">
      <c r="A15" s="352" t="s">
        <v>43</v>
      </c>
      <c r="B15" s="664" t="s">
        <v>47</v>
      </c>
      <c r="C15" s="701">
        <v>250.14526430360999</v>
      </c>
      <c r="D15" s="701">
        <v>536.08299999999997</v>
      </c>
      <c r="E15" s="701">
        <v>148.08332999999999</v>
      </c>
      <c r="F15" s="702">
        <v>0.46661667000000001</v>
      </c>
      <c r="G15" s="701">
        <v>51.710925986070002</v>
      </c>
      <c r="H15" s="701">
        <v>110.821</v>
      </c>
      <c r="I15" s="701">
        <v>29.166665999999999</v>
      </c>
      <c r="J15" s="702">
        <v>0.46661667000000001</v>
      </c>
      <c r="K15" s="701">
        <v>65.335666133400011</v>
      </c>
      <c r="L15" s="701">
        <v>140.02000000000001</v>
      </c>
      <c r="M15" s="701">
        <v>13</v>
      </c>
      <c r="N15" s="702">
        <v>0.46661667000000001</v>
      </c>
      <c r="O15" s="701">
        <v>367.19185642308003</v>
      </c>
      <c r="P15" s="701">
        <f t="shared" si="0"/>
        <v>786.92399999999998</v>
      </c>
      <c r="Q15" s="701">
        <v>190.24999599999998</v>
      </c>
      <c r="R15" s="702">
        <v>0.46661667000000001</v>
      </c>
      <c r="S15" s="662" t="s">
        <v>356</v>
      </c>
      <c r="T15" s="703" t="str">
        <f t="array" ref="T15">INDEX(UtilityList!Q$4:Q$251,MATCH('Table 2.5a'!$A15&amp;'Table 2.5a'!$B15,UtilityList!$A$4:$A$251&amp;UtilityList!$C$4:$C$251,0))</f>
        <v>Part of the Alaska Power Company's grid on Prince of Wales Island.</v>
      </c>
      <c r="U15" s="704" t="str">
        <f t="array" ref="U15">INDEX(UtilityList!J$4:J$251,MATCH('Table 2.5a'!$A15&amp;'Table 2.5a'!$B15,UtilityList!$A$4:$A$251&amp;UtilityList!$C$4:$C$251,0))</f>
        <v>Southeast</v>
      </c>
      <c r="V15" s="704" t="str">
        <f t="array" ref="V15">INDEX(UtilityList!K$4:K$251,MATCH('Table 2.5a'!$A15&amp;'Table 2.5a'!$B15,UtilityList!$A$4:$A$251&amp;UtilityList!$C$4:$C$251,0))</f>
        <v>Prince of Wales-Hyder (CA)</v>
      </c>
      <c r="W15" s="704" t="str">
        <f t="array" ref="W15">INDEX(UtilityList!L$4:L$251,MATCH('Table 2.5a'!$A15&amp;'Table 2.5a'!$B15,UtilityList!$A$4:$A$251&amp;UtilityList!$C$4:$C$251,0))</f>
        <v>Sealaska</v>
      </c>
      <c r="X15" s="704" t="str">
        <f t="array" ref="X15">INDEX(UtilityList!M$4:M$251,MATCH('Table 2.5a'!$A15&amp;'Table 2.5a'!$B15,UtilityList!$A$4:$A$251&amp;UtilityList!$C$4:$C$251,0))</f>
        <v>SE</v>
      </c>
    </row>
    <row r="16" spans="1:24" s="153" customFormat="1" ht="60" x14ac:dyDescent="0.25">
      <c r="A16" s="352" t="s">
        <v>43</v>
      </c>
      <c r="B16" s="664" t="s">
        <v>48</v>
      </c>
      <c r="C16" s="701">
        <v>917.8634805352799</v>
      </c>
      <c r="D16" s="701">
        <v>3820.5839999999998</v>
      </c>
      <c r="E16" s="701">
        <v>655.25</v>
      </c>
      <c r="F16" s="702">
        <v>0.24024166999999999</v>
      </c>
      <c r="G16" s="701">
        <v>1353.2142996840698</v>
      </c>
      <c r="H16" s="701">
        <v>5632.7209999999995</v>
      </c>
      <c r="I16" s="701">
        <v>293.16665999999998</v>
      </c>
      <c r="J16" s="702">
        <v>0.24024166999999999</v>
      </c>
      <c r="K16" s="701">
        <v>529.03113643193001</v>
      </c>
      <c r="L16" s="701">
        <v>2202.0790000000002</v>
      </c>
      <c r="M16" s="701">
        <v>73.333334000000008</v>
      </c>
      <c r="N16" s="702">
        <v>0.24024166999999999</v>
      </c>
      <c r="O16" s="701">
        <v>2800.1089166512797</v>
      </c>
      <c r="P16" s="701">
        <f t="shared" si="0"/>
        <v>11655.384</v>
      </c>
      <c r="Q16" s="701">
        <v>1021.749994</v>
      </c>
      <c r="R16" s="702">
        <v>0.24024166999999999</v>
      </c>
      <c r="S16" s="662" t="s">
        <v>356</v>
      </c>
      <c r="T16" s="703" t="str">
        <f t="array" ref="T16">INDEX(UtilityList!Q$4:Q$251,MATCH('Table 2.5a'!$A16&amp;'Table 2.5a'!$B16,UtilityList!$A$4:$A$251&amp;UtilityList!$C$4:$C$251,0))</f>
        <v>Provides power to Hollis, Klawock, Thorne Bay/Kasaan and Hydaburg via intertie.</v>
      </c>
      <c r="U16" s="704" t="str">
        <f t="array" ref="U16">INDEX(UtilityList!J$4:J$251,MATCH('Table 2.5a'!$A16&amp;'Table 2.5a'!$B16,UtilityList!$A$4:$A$251&amp;UtilityList!$C$4:$C$251,0))</f>
        <v>Southeast</v>
      </c>
      <c r="V16" s="704" t="str">
        <f t="array" ref="V16">INDEX(UtilityList!K$4:K$251,MATCH('Table 2.5a'!$A16&amp;'Table 2.5a'!$B16,UtilityList!$A$4:$A$251&amp;UtilityList!$C$4:$C$251,0))</f>
        <v>Prince of Wales-Hyder (CA)</v>
      </c>
      <c r="W16" s="704" t="str">
        <f t="array" ref="W16">INDEX(UtilityList!L$4:L$251,MATCH('Table 2.5a'!$A16&amp;'Table 2.5a'!$B16,UtilityList!$A$4:$A$251&amp;UtilityList!$C$4:$C$251,0))</f>
        <v>Sealaska</v>
      </c>
      <c r="X16" s="704" t="str">
        <f t="array" ref="X16">INDEX(UtilityList!M$4:M$251,MATCH('Table 2.5a'!$A16&amp;'Table 2.5a'!$B16,UtilityList!$A$4:$A$251&amp;UtilityList!$C$4:$C$251,0))</f>
        <v>SE</v>
      </c>
    </row>
    <row r="17" spans="1:24" s="153" customFormat="1" ht="90" x14ac:dyDescent="0.25">
      <c r="A17" s="352" t="s">
        <v>43</v>
      </c>
      <c r="B17" s="664" t="s">
        <v>684</v>
      </c>
      <c r="C17" s="701">
        <v>49.259412001480001</v>
      </c>
      <c r="D17" s="701">
        <v>100.444</v>
      </c>
      <c r="E17" s="701">
        <v>24.5</v>
      </c>
      <c r="F17" s="702">
        <v>0.49041667</v>
      </c>
      <c r="G17" s="701">
        <v>49.398199919090004</v>
      </c>
      <c r="H17" s="701">
        <v>100.727</v>
      </c>
      <c r="I17" s="701">
        <v>14.166667</v>
      </c>
      <c r="J17" s="702">
        <v>0.49041667</v>
      </c>
      <c r="K17" s="701">
        <v>72.098606740049988</v>
      </c>
      <c r="L17" s="701">
        <v>147.01499999999999</v>
      </c>
      <c r="M17" s="701">
        <v>5.25</v>
      </c>
      <c r="N17" s="702">
        <v>0.49041667</v>
      </c>
      <c r="O17" s="701">
        <v>170.75621866061999</v>
      </c>
      <c r="P17" s="701">
        <f t="shared" si="0"/>
        <v>348.18599999999998</v>
      </c>
      <c r="Q17" s="701">
        <v>43.916667000000004</v>
      </c>
      <c r="R17" s="702">
        <v>0.49041667</v>
      </c>
      <c r="S17" s="662" t="s">
        <v>356</v>
      </c>
      <c r="T17" s="703" t="str">
        <f t="array" ref="T17">INDEX(UtilityList!Q$4:Q$251,MATCH('Table 2.5a'!$A17&amp;'Table 2.5a'!$B17,UtilityList!$A$4:$A$251&amp;UtilityList!$C$4:$C$251,0))</f>
        <v>Receives power form Tok via intertie. Dot Lake's data includes Dot Lake Village's information. For fuel use and cost information, please refer to Tok.</v>
      </c>
      <c r="U17" s="704" t="str">
        <f t="array" ref="U17">INDEX(UtilityList!J$4:J$251,MATCH('Table 2.5a'!$A17&amp;'Table 2.5a'!$B17,UtilityList!$A$4:$A$251&amp;UtilityList!$C$4:$C$251,0))</f>
        <v>Yukon-Koyukuk/Upper Tanana</v>
      </c>
      <c r="V17" s="704" t="str">
        <f t="array" ref="V17">INDEX(UtilityList!K$4:K$251,MATCH('Table 2.5a'!$A17&amp;'Table 2.5a'!$B17,UtilityList!$A$4:$A$251&amp;UtilityList!$C$4:$C$251,0))</f>
        <v>Southeast Fairbanks (CA)</v>
      </c>
      <c r="W17" s="704" t="str">
        <f t="array" ref="W17">INDEX(UtilityList!L$4:L$251,MATCH('Table 2.5a'!$A17&amp;'Table 2.5a'!$B17,UtilityList!$A$4:$A$251&amp;UtilityList!$C$4:$C$251,0))</f>
        <v>Doyon</v>
      </c>
      <c r="X17" s="704" t="str">
        <f t="array" ref="X17">INDEX(UtilityList!M$4:M$251,MATCH('Table 2.5a'!$A17&amp;'Table 2.5a'!$B17,UtilityList!$A$4:$A$251&amp;UtilityList!$C$4:$C$251,0))</f>
        <v>YU</v>
      </c>
    </row>
    <row r="18" spans="1:24" s="153" customFormat="1" ht="60" x14ac:dyDescent="0.25">
      <c r="A18" s="352" t="s">
        <v>43</v>
      </c>
      <c r="B18" s="664" t="s">
        <v>686</v>
      </c>
      <c r="C18" s="701">
        <v>201.86788920000001</v>
      </c>
      <c r="D18" s="701">
        <v>339.50200000000001</v>
      </c>
      <c r="E18" s="701">
        <v>132.5</v>
      </c>
      <c r="F18" s="702">
        <v>0.59460000000000002</v>
      </c>
      <c r="G18" s="701">
        <v>69.449874600000001</v>
      </c>
      <c r="H18" s="701">
        <v>116.801</v>
      </c>
      <c r="I18" s="701">
        <v>19.5</v>
      </c>
      <c r="J18" s="702">
        <v>0.59460000000000002</v>
      </c>
      <c r="K18" s="701">
        <v>126.80855820000001</v>
      </c>
      <c r="L18" s="701">
        <v>213.267</v>
      </c>
      <c r="M18" s="701">
        <v>24.416665999999999</v>
      </c>
      <c r="N18" s="702">
        <v>0.59460000000000002</v>
      </c>
      <c r="O18" s="701">
        <v>398.12632200000002</v>
      </c>
      <c r="P18" s="701">
        <f t="shared" si="0"/>
        <v>669.56999999999994</v>
      </c>
      <c r="Q18" s="701">
        <v>176.41666599999999</v>
      </c>
      <c r="R18" s="702">
        <v>0.59460000000000002</v>
      </c>
      <c r="S18" s="662" t="s">
        <v>356</v>
      </c>
      <c r="T18" s="703" t="str">
        <f t="array" ref="T18">INDEX(UtilityList!Q$4:Q$251,MATCH('Table 2.5a'!$A18&amp;'Table 2.5a'!$B18,UtilityList!$A$4:$A$251&amp;UtilityList!$C$4:$C$251,0))</f>
        <v>Provides power to Eagle Village via intertie. Data includes Eagle Village's information.</v>
      </c>
      <c r="U18" s="704" t="str">
        <f t="array" ref="U18">INDEX(UtilityList!J$4:J$251,MATCH('Table 2.5a'!$A18&amp;'Table 2.5a'!$B18,UtilityList!$A$4:$A$251&amp;UtilityList!$C$4:$C$251,0))</f>
        <v>Yukon-Koyukuk/Upper Tanana</v>
      </c>
      <c r="V18" s="704" t="str">
        <f t="array" ref="V18">INDEX(UtilityList!K$4:K$251,MATCH('Table 2.5a'!$A18&amp;'Table 2.5a'!$B18,UtilityList!$A$4:$A$251&amp;UtilityList!$C$4:$C$251,0))</f>
        <v>Southeast Fairbanks (CA)</v>
      </c>
      <c r="W18" s="704" t="str">
        <f t="array" ref="W18">INDEX(UtilityList!L$4:L$251,MATCH('Table 2.5a'!$A18&amp;'Table 2.5a'!$B18,UtilityList!$A$4:$A$251&amp;UtilityList!$C$4:$C$251,0))</f>
        <v>Doyon</v>
      </c>
      <c r="X18" s="704" t="str">
        <f t="array" ref="X18">INDEX(UtilityList!M$4:M$251,MATCH('Table 2.5a'!$A18&amp;'Table 2.5a'!$B18,UtilityList!$A$4:$A$251&amp;UtilityList!$C$4:$C$251,0))</f>
        <v>YU</v>
      </c>
    </row>
    <row r="19" spans="1:24" s="153" customFormat="1" ht="75" x14ac:dyDescent="0.25">
      <c r="A19" s="352" t="s">
        <v>43</v>
      </c>
      <c r="B19" s="664" t="s">
        <v>50</v>
      </c>
      <c r="C19" s="701">
        <v>1218.4475607035902</v>
      </c>
      <c r="D19" s="701">
        <v>5533.5770000000002</v>
      </c>
      <c r="E19" s="701">
        <v>1053.8334</v>
      </c>
      <c r="F19" s="702">
        <v>0.22019167000000001</v>
      </c>
      <c r="G19" s="701">
        <v>1076.9904867205</v>
      </c>
      <c r="H19" s="701">
        <v>4891.1499999999996</v>
      </c>
      <c r="I19" s="701">
        <v>328.58334000000002</v>
      </c>
      <c r="J19" s="702">
        <v>0.22019167000000001</v>
      </c>
      <c r="K19" s="701">
        <v>516.21118578124003</v>
      </c>
      <c r="L19" s="701">
        <v>2344.3719999999998</v>
      </c>
      <c r="M19" s="701">
        <v>49.25</v>
      </c>
      <c r="N19" s="702">
        <v>0.22019167000000001</v>
      </c>
      <c r="O19" s="701">
        <v>2811.6492332053303</v>
      </c>
      <c r="P19" s="701">
        <f t="shared" si="0"/>
        <v>12769.098999999998</v>
      </c>
      <c r="Q19" s="701">
        <v>1431.6667400000001</v>
      </c>
      <c r="R19" s="702">
        <v>0.22019167000000001</v>
      </c>
      <c r="S19" s="662" t="s">
        <v>356</v>
      </c>
      <c r="T19" s="703" t="str">
        <f t="array" ref="T19">INDEX(UtilityList!Q$4:Q$251,MATCH('Table 2.5a'!$A19&amp;'Table 2.5a'!$B19,UtilityList!$A$4:$A$251&amp;UtilityList!$C$4:$C$251,0))</f>
        <v>Plant is also referred to as Lutak. Part of the Alaska Power Company's grid in the Upper Lynn Canal service area.</v>
      </c>
      <c r="U19" s="704" t="str">
        <f t="array" ref="U19">INDEX(UtilityList!J$4:J$251,MATCH('Table 2.5a'!$A19&amp;'Table 2.5a'!$B19,UtilityList!$A$4:$A$251&amp;UtilityList!$C$4:$C$251,0))</f>
        <v>Southeast</v>
      </c>
      <c r="V19" s="704" t="str">
        <f t="array" ref="V19">INDEX(UtilityList!K$4:K$251,MATCH('Table 2.5a'!$A19&amp;'Table 2.5a'!$B19,UtilityList!$A$4:$A$251&amp;UtilityList!$C$4:$C$251,0))</f>
        <v>Haines</v>
      </c>
      <c r="W19" s="704" t="str">
        <f t="array" ref="W19">INDEX(UtilityList!L$4:L$251,MATCH('Table 2.5a'!$A19&amp;'Table 2.5a'!$B19,UtilityList!$A$4:$A$251&amp;UtilityList!$C$4:$C$251,0))</f>
        <v>Sealaska</v>
      </c>
      <c r="X19" s="704" t="str">
        <f t="array" ref="X19">INDEX(UtilityList!M$4:M$251,MATCH('Table 2.5a'!$A19&amp;'Table 2.5a'!$B19,UtilityList!$A$4:$A$251&amp;UtilityList!$C$4:$C$251,0))</f>
        <v>SE</v>
      </c>
    </row>
    <row r="20" spans="1:24" s="153" customFormat="1" ht="75" x14ac:dyDescent="0.25">
      <c r="A20" s="352" t="s">
        <v>43</v>
      </c>
      <c r="B20" s="664" t="s">
        <v>60</v>
      </c>
      <c r="C20" s="701">
        <v>670.31467771400003</v>
      </c>
      <c r="D20" s="701">
        <v>3047.3420000000001</v>
      </c>
      <c r="E20" s="701">
        <v>579.16666666666663</v>
      </c>
      <c r="F20" s="702">
        <v>0.219967</v>
      </c>
      <c r="G20" s="701">
        <v>1543.8993203590001</v>
      </c>
      <c r="H20" s="701">
        <v>7018.777</v>
      </c>
      <c r="I20" s="701">
        <v>435</v>
      </c>
      <c r="J20" s="702">
        <v>0.219967</v>
      </c>
      <c r="K20" s="701">
        <v>462.21687706699981</v>
      </c>
      <c r="L20" s="701">
        <v>2101.3009999999999</v>
      </c>
      <c r="M20" s="701">
        <v>88.083333333333371</v>
      </c>
      <c r="N20" s="702">
        <v>0.219967</v>
      </c>
      <c r="O20" s="701">
        <v>2676.4308751399999</v>
      </c>
      <c r="P20" s="701">
        <v>12167.42</v>
      </c>
      <c r="Q20" s="701">
        <v>1102.25</v>
      </c>
      <c r="R20" s="702">
        <v>0.219967</v>
      </c>
      <c r="S20" s="662" t="s">
        <v>356</v>
      </c>
      <c r="T20" s="703" t="s">
        <v>707</v>
      </c>
      <c r="U20" s="704" t="str">
        <f t="array" ref="U20">INDEX(UtilityList!J$4:J$251,MATCH('Table 2.5a'!$A20&amp;'Table 2.5a'!$B20,UtilityList!$A$4:$A$251&amp;UtilityList!$C$4:$C$251,0))</f>
        <v>Southeast</v>
      </c>
      <c r="V20" s="704" t="str">
        <f t="array" ref="V20">INDEX(UtilityList!K$4:K$251,MATCH('Table 2.5a'!$A20&amp;'Table 2.5a'!$B20,UtilityList!$A$4:$A$251&amp;UtilityList!$C$4:$C$251,0))</f>
        <v>Skagway</v>
      </c>
      <c r="W20" s="704" t="str">
        <f t="array" ref="W20">INDEX(UtilityList!L$4:L$251,MATCH('Table 2.5a'!$A20&amp;'Table 2.5a'!$B20,UtilityList!$A$4:$A$251&amp;UtilityList!$C$4:$C$251,0))</f>
        <v>Sealaska</v>
      </c>
      <c r="X20" s="704" t="str">
        <f t="array" ref="X20">INDEX(UtilityList!M$4:M$251,MATCH('Table 2.5a'!$A20&amp;'Table 2.5a'!$B20,UtilityList!$A$4:$A$251&amp;UtilityList!$C$4:$C$251,0))</f>
        <v>SE</v>
      </c>
    </row>
    <row r="21" spans="1:24" s="153" customFormat="1" ht="30" x14ac:dyDescent="0.25">
      <c r="A21" s="352" t="s">
        <v>43</v>
      </c>
      <c r="B21" s="664" t="s">
        <v>51</v>
      </c>
      <c r="C21" s="701">
        <v>22.290545123220003</v>
      </c>
      <c r="D21" s="701">
        <v>26.966000000000001</v>
      </c>
      <c r="E21" s="701">
        <v>8</v>
      </c>
      <c r="F21" s="702">
        <v>0.82661667000000005</v>
      </c>
      <c r="G21" s="701">
        <v>26.731129874460002</v>
      </c>
      <c r="H21" s="701">
        <v>32.338000000000001</v>
      </c>
      <c r="I21" s="701">
        <v>7.0833335000000002</v>
      </c>
      <c r="J21" s="702">
        <v>0.82661667000000005</v>
      </c>
      <c r="K21" s="701">
        <v>10.12688082417</v>
      </c>
      <c r="L21" s="701">
        <v>12.250999999999999</v>
      </c>
      <c r="M21" s="701">
        <v>3.66666669</v>
      </c>
      <c r="N21" s="702">
        <v>0.82661667000000005</v>
      </c>
      <c r="O21" s="701">
        <v>59.14855582185001</v>
      </c>
      <c r="P21" s="701">
        <f t="shared" si="0"/>
        <v>71.555000000000007</v>
      </c>
      <c r="Q21" s="701">
        <v>18.750000190000002</v>
      </c>
      <c r="R21" s="702">
        <v>0.82661667000000005</v>
      </c>
      <c r="S21" s="662" t="s">
        <v>356</v>
      </c>
      <c r="T21" s="703">
        <f t="array" ref="T21">INDEX(UtilityList!Q$4:Q$251,MATCH('Table 2.5a'!$A21&amp;'Table 2.5a'!$B21,UtilityList!$A$4:$A$251&amp;UtilityList!$C$4:$C$251,0))</f>
        <v>0</v>
      </c>
      <c r="U21" s="704" t="str">
        <f t="array" ref="U21">INDEX(UtilityList!J$4:J$251,MATCH('Table 2.5a'!$A21&amp;'Table 2.5a'!$B21,UtilityList!$A$4:$A$251&amp;UtilityList!$C$4:$C$251,0))</f>
        <v>Yukon-Koyukuk/Upper Tanana</v>
      </c>
      <c r="V21" s="704" t="str">
        <f t="array" ref="V21">INDEX(UtilityList!K$4:K$251,MATCH('Table 2.5a'!$A21&amp;'Table 2.5a'!$B21,UtilityList!$A$4:$A$251&amp;UtilityList!$C$4:$C$251,0))</f>
        <v>Southeast Fairbanks (CA)</v>
      </c>
      <c r="W21" s="704" t="str">
        <f t="array" ref="W21">INDEX(UtilityList!L$4:L$251,MATCH('Table 2.5a'!$A21&amp;'Table 2.5a'!$B21,UtilityList!$A$4:$A$251&amp;UtilityList!$C$4:$C$251,0))</f>
        <v>Doyon</v>
      </c>
      <c r="X21" s="704" t="str">
        <f t="array" ref="X21">INDEX(UtilityList!M$4:M$251,MATCH('Table 2.5a'!$A21&amp;'Table 2.5a'!$B21,UtilityList!$A$4:$A$251&amp;UtilityList!$C$4:$C$251,0))</f>
        <v>YU</v>
      </c>
    </row>
    <row r="22" spans="1:24" s="153" customFormat="1" ht="75" x14ac:dyDescent="0.25">
      <c r="A22" s="352" t="s">
        <v>43</v>
      </c>
      <c r="B22" s="664" t="s">
        <v>52</v>
      </c>
      <c r="C22" s="701">
        <v>137.80122764999999</v>
      </c>
      <c r="D22" s="701">
        <v>573.63400000000001</v>
      </c>
      <c r="E22" s="701">
        <v>114.08334000000001</v>
      </c>
      <c r="F22" s="702">
        <v>0.24022499999999999</v>
      </c>
      <c r="G22" s="701">
        <v>66.525028800000001</v>
      </c>
      <c r="H22" s="701">
        <v>276.928</v>
      </c>
      <c r="I22" s="701">
        <v>13.833333</v>
      </c>
      <c r="J22" s="702">
        <v>0.24022499999999999</v>
      </c>
      <c r="K22" s="701">
        <v>11.6384208</v>
      </c>
      <c r="L22" s="701">
        <v>48.448</v>
      </c>
      <c r="M22" s="701">
        <v>8</v>
      </c>
      <c r="N22" s="702">
        <v>0.24022499999999999</v>
      </c>
      <c r="O22" s="701">
        <v>215.96467724999999</v>
      </c>
      <c r="P22" s="701">
        <f t="shared" si="0"/>
        <v>899.01</v>
      </c>
      <c r="Q22" s="701">
        <v>135.916673</v>
      </c>
      <c r="R22" s="702">
        <v>0.24022499999999999</v>
      </c>
      <c r="S22" s="662" t="s">
        <v>356</v>
      </c>
      <c r="T22" s="703" t="str">
        <f t="array" ref="T22">INDEX(UtilityList!Q$4:Q$251,MATCH('Table 2.5a'!$A22&amp;'Table 2.5a'!$B22,UtilityList!$A$4:$A$251&amp;UtilityList!$C$4:$C$251,0))</f>
        <v>Part of the Alaska Power Company's grid on Prince of Wales Island. Receives power from Craig. Refer to Craig for fuel use and cost.</v>
      </c>
      <c r="U22" s="704" t="str">
        <f t="array" ref="U22">INDEX(UtilityList!J$4:J$251,MATCH('Table 2.5a'!$A22&amp;'Table 2.5a'!$B22,UtilityList!$A$4:$A$251&amp;UtilityList!$C$4:$C$251,0))</f>
        <v>Southeast</v>
      </c>
      <c r="V22" s="704" t="str">
        <f t="array" ref="V22">INDEX(UtilityList!K$4:K$251,MATCH('Table 2.5a'!$A22&amp;'Table 2.5a'!$B22,UtilityList!$A$4:$A$251&amp;UtilityList!$C$4:$C$251,0))</f>
        <v>Prince of Wales-Hyder (CA)</v>
      </c>
      <c r="W22" s="704" t="str">
        <f t="array" ref="W22">INDEX(UtilityList!L$4:L$251,MATCH('Table 2.5a'!$A22&amp;'Table 2.5a'!$B22,UtilityList!$A$4:$A$251&amp;UtilityList!$C$4:$C$251,0))</f>
        <v>Sealaska</v>
      </c>
      <c r="X22" s="704" t="str">
        <f t="array" ref="X22">INDEX(UtilityList!M$4:M$251,MATCH('Table 2.5a'!$A22&amp;'Table 2.5a'!$B22,UtilityList!$A$4:$A$251&amp;UtilityList!$C$4:$C$251,0))</f>
        <v>SE</v>
      </c>
    </row>
    <row r="23" spans="1:24" s="153" customFormat="1" ht="75" x14ac:dyDescent="0.25">
      <c r="A23" s="352" t="s">
        <v>43</v>
      </c>
      <c r="B23" s="664" t="s">
        <v>53</v>
      </c>
      <c r="C23" s="701">
        <v>163.68153799552002</v>
      </c>
      <c r="D23" s="701">
        <v>681.34400000000005</v>
      </c>
      <c r="E23" s="701">
        <v>122.58334000000001</v>
      </c>
      <c r="F23" s="702">
        <v>0.24023332999999999</v>
      </c>
      <c r="G23" s="701">
        <v>67.885374624730005</v>
      </c>
      <c r="H23" s="701">
        <v>282.58100000000002</v>
      </c>
      <c r="I23" s="701">
        <v>35.416668000000001</v>
      </c>
      <c r="J23" s="702">
        <v>0.24023332999999999</v>
      </c>
      <c r="K23" s="701">
        <v>98.551399432560004</v>
      </c>
      <c r="L23" s="701">
        <v>410.23200000000003</v>
      </c>
      <c r="M23" s="701">
        <v>19.75</v>
      </c>
      <c r="N23" s="702">
        <v>0.24023332999999999</v>
      </c>
      <c r="O23" s="701">
        <v>330.11831205281004</v>
      </c>
      <c r="P23" s="701">
        <f t="shared" si="0"/>
        <v>1374.1570000000002</v>
      </c>
      <c r="Q23" s="701">
        <v>177.75000800000001</v>
      </c>
      <c r="R23" s="702">
        <v>0.24023332999999999</v>
      </c>
      <c r="S23" s="662" t="s">
        <v>356</v>
      </c>
      <c r="T23" s="703" t="str">
        <f t="array" ref="T23">INDEX(UtilityList!Q$4:Q$251,MATCH('Table 2.5a'!$A23&amp;'Table 2.5a'!$B23,UtilityList!$A$4:$A$251&amp;UtilityList!$C$4:$C$251,0))</f>
        <v>Part of the Alaska Power Company's grid on Prince of Wales Island. Receives power from Craig. Refer to Craig for fuel use and cost.</v>
      </c>
      <c r="U23" s="704" t="str">
        <f t="array" ref="U23">INDEX(UtilityList!J$4:J$251,MATCH('Table 2.5a'!$A23&amp;'Table 2.5a'!$B23,UtilityList!$A$4:$A$251&amp;UtilityList!$C$4:$C$251,0))</f>
        <v>Southeast</v>
      </c>
      <c r="V23" s="704" t="str">
        <f t="array" ref="V23">INDEX(UtilityList!K$4:K$251,MATCH('Table 2.5a'!$A23&amp;'Table 2.5a'!$B23,UtilityList!$A$4:$A$251&amp;UtilityList!$C$4:$C$251,0))</f>
        <v>Prince of Wales-Hyder (CA)</v>
      </c>
      <c r="W23" s="704" t="str">
        <f t="array" ref="W23">INDEX(UtilityList!L$4:L$251,MATCH('Table 2.5a'!$A23&amp;'Table 2.5a'!$B23,UtilityList!$A$4:$A$251&amp;UtilityList!$C$4:$C$251,0))</f>
        <v>Sealaska</v>
      </c>
      <c r="X23" s="704" t="str">
        <f t="array" ref="X23">INDEX(UtilityList!M$4:M$251,MATCH('Table 2.5a'!$A23&amp;'Table 2.5a'!$B23,UtilityList!$A$4:$A$251&amp;UtilityList!$C$4:$C$251,0))</f>
        <v>SE</v>
      </c>
    </row>
    <row r="24" spans="1:24" s="153" customFormat="1" ht="75" x14ac:dyDescent="0.25">
      <c r="A24" s="352" t="s">
        <v>43</v>
      </c>
      <c r="B24" s="664" t="s">
        <v>54</v>
      </c>
      <c r="C24" s="701">
        <v>551.87049197591</v>
      </c>
      <c r="D24" s="701">
        <v>2297.2269999999999</v>
      </c>
      <c r="E24" s="701">
        <v>368</v>
      </c>
      <c r="F24" s="702">
        <v>0.24023332999999999</v>
      </c>
      <c r="G24" s="701">
        <v>1196.44918809879</v>
      </c>
      <c r="H24" s="701">
        <v>4980.3630000000003</v>
      </c>
      <c r="I24" s="701">
        <v>113.83334000000001</v>
      </c>
      <c r="J24" s="702">
        <v>0.24023332999999999</v>
      </c>
      <c r="K24" s="701">
        <v>251.94014040422999</v>
      </c>
      <c r="L24" s="701">
        <v>1048.731</v>
      </c>
      <c r="M24" s="701">
        <v>35.083334000000001</v>
      </c>
      <c r="N24" s="702">
        <v>0.24023332999999999</v>
      </c>
      <c r="O24" s="701">
        <v>2000.2598204789301</v>
      </c>
      <c r="P24" s="701">
        <f t="shared" si="0"/>
        <v>8326.3209999999999</v>
      </c>
      <c r="Q24" s="701">
        <v>516.91667400000006</v>
      </c>
      <c r="R24" s="702">
        <v>0.24023332999999999</v>
      </c>
      <c r="S24" s="662" t="s">
        <v>356</v>
      </c>
      <c r="T24" s="703" t="str">
        <f t="array" ref="T24">INDEX(UtilityList!Q$4:Q$251,MATCH('Table 2.5a'!$A24&amp;'Table 2.5a'!$B24,UtilityList!$A$4:$A$251&amp;UtilityList!$C$4:$C$251,0))</f>
        <v>Part of the Alaska Power Company's grid on Prince of Wales Island. Receives power from Craig. Refer to Craig for fuel use and cost.</v>
      </c>
      <c r="U24" s="704" t="str">
        <f t="array" ref="U24">INDEX(UtilityList!J$4:J$251,MATCH('Table 2.5a'!$A24&amp;'Table 2.5a'!$B24,UtilityList!$A$4:$A$251&amp;UtilityList!$C$4:$C$251,0))</f>
        <v>Southeast</v>
      </c>
      <c r="V24" s="704" t="str">
        <f t="array" ref="V24">INDEX(UtilityList!K$4:K$251,MATCH('Table 2.5a'!$A24&amp;'Table 2.5a'!$B24,UtilityList!$A$4:$A$251&amp;UtilityList!$C$4:$C$251,0))</f>
        <v>Prince of Wales-Hyder (CA)</v>
      </c>
      <c r="W24" s="704" t="str">
        <f t="array" ref="W24">INDEX(UtilityList!L$4:L$251,MATCH('Table 2.5a'!$A24&amp;'Table 2.5a'!$B24,UtilityList!$A$4:$A$251&amp;UtilityList!$C$4:$C$251,0))</f>
        <v>Sealaska</v>
      </c>
      <c r="X24" s="704" t="str">
        <f t="array" ref="X24">INDEX(UtilityList!M$4:M$251,MATCH('Table 2.5a'!$A24&amp;'Table 2.5a'!$B24,UtilityList!$A$4:$A$251&amp;UtilityList!$C$4:$C$251,0))</f>
        <v>SE</v>
      </c>
    </row>
    <row r="25" spans="1:24" s="153" customFormat="1" ht="30" x14ac:dyDescent="0.25">
      <c r="A25" s="352" t="s">
        <v>43</v>
      </c>
      <c r="B25" s="664" t="s">
        <v>55</v>
      </c>
      <c r="C25" s="701">
        <v>98.399969421379993</v>
      </c>
      <c r="D25" s="701">
        <v>146.41399999999999</v>
      </c>
      <c r="E25" s="701">
        <v>47.25</v>
      </c>
      <c r="F25" s="702">
        <v>0.67206666999999998</v>
      </c>
      <c r="G25" s="701">
        <v>74.246565368249989</v>
      </c>
      <c r="H25" s="701">
        <v>110.47499999999999</v>
      </c>
      <c r="I25" s="701">
        <v>10.666667</v>
      </c>
      <c r="J25" s="702">
        <v>0.67206666999999998</v>
      </c>
      <c r="K25" s="701">
        <v>66.447903729570001</v>
      </c>
      <c r="L25" s="701">
        <v>98.870999999999995</v>
      </c>
      <c r="M25" s="701">
        <v>8</v>
      </c>
      <c r="N25" s="702">
        <v>0.67206666999999998</v>
      </c>
      <c r="O25" s="701">
        <v>239.09443851919997</v>
      </c>
      <c r="P25" s="701">
        <f t="shared" si="0"/>
        <v>355.76</v>
      </c>
      <c r="Q25" s="701">
        <v>65.916667000000004</v>
      </c>
      <c r="R25" s="702">
        <v>0.67206666999999998</v>
      </c>
      <c r="S25" s="662" t="s">
        <v>356</v>
      </c>
      <c r="T25" s="703">
        <f t="array" ref="T25">INDEX(UtilityList!Q$4:Q$251,MATCH('Table 2.5a'!$A25&amp;'Table 2.5a'!$B25,UtilityList!$A$4:$A$251&amp;UtilityList!$C$4:$C$251,0))</f>
        <v>0</v>
      </c>
      <c r="U25" s="704" t="str">
        <f t="array" ref="U25">INDEX(UtilityList!J$4:J$251,MATCH('Table 2.5a'!$A25&amp;'Table 2.5a'!$B25,UtilityList!$A$4:$A$251&amp;UtilityList!$C$4:$C$251,0))</f>
        <v>Copper River/Chugach</v>
      </c>
      <c r="V25" s="704" t="str">
        <f t="array" ref="V25">INDEX(UtilityList!K$4:K$251,MATCH('Table 2.5a'!$A25&amp;'Table 2.5a'!$B25,UtilityList!$A$4:$A$251&amp;UtilityList!$C$4:$C$251,0))</f>
        <v>Valdez-Cordova (CA)</v>
      </c>
      <c r="W25" s="704" t="str">
        <f t="array" ref="W25">INDEX(UtilityList!L$4:L$251,MATCH('Table 2.5a'!$A25&amp;'Table 2.5a'!$B25,UtilityList!$A$4:$A$251&amp;UtilityList!$C$4:$C$251,0))</f>
        <v>Ahtna</v>
      </c>
      <c r="X25" s="704" t="str">
        <f t="array" ref="X25">INDEX(UtilityList!M$4:M$251,MATCH('Table 2.5a'!$A25&amp;'Table 2.5a'!$B25,UtilityList!$A$4:$A$251&amp;UtilityList!$C$4:$C$251,0))</f>
        <v>YU</v>
      </c>
    </row>
    <row r="26" spans="1:24" s="200" customFormat="1" ht="30" x14ac:dyDescent="0.25">
      <c r="A26" s="352" t="s">
        <v>43</v>
      </c>
      <c r="B26" s="664" t="s">
        <v>56</v>
      </c>
      <c r="C26" s="701">
        <v>163.54030830277</v>
      </c>
      <c r="D26" s="701">
        <v>295.83100000000002</v>
      </c>
      <c r="E26" s="701">
        <v>60.25</v>
      </c>
      <c r="F26" s="702">
        <v>0.55281667000000001</v>
      </c>
      <c r="G26" s="701">
        <v>31.704036024500002</v>
      </c>
      <c r="H26" s="701">
        <v>57.35</v>
      </c>
      <c r="I26" s="701">
        <v>7.3333335000000002</v>
      </c>
      <c r="J26" s="702">
        <v>0.55281667000000001</v>
      </c>
      <c r="K26" s="701">
        <v>39.736462239600002</v>
      </c>
      <c r="L26" s="701">
        <v>71.88</v>
      </c>
      <c r="M26" s="701">
        <v>1.00000003</v>
      </c>
      <c r="N26" s="702">
        <v>0.55281667000000001</v>
      </c>
      <c r="O26" s="701">
        <v>234.98080656687</v>
      </c>
      <c r="P26" s="701">
        <f t="shared" si="0"/>
        <v>425.06100000000004</v>
      </c>
      <c r="Q26" s="701">
        <v>68.58333352999999</v>
      </c>
      <c r="R26" s="702">
        <v>0.55281667000000001</v>
      </c>
      <c r="S26" s="662" t="s">
        <v>356</v>
      </c>
      <c r="T26" s="703">
        <f t="array" ref="T26">INDEX(UtilityList!Q$4:Q$251,MATCH('Table 2.5a'!$A26&amp;'Table 2.5a'!$B26,UtilityList!$A$4:$A$251&amp;UtilityList!$C$4:$C$251,0))</f>
        <v>0</v>
      </c>
      <c r="U26" s="704" t="str">
        <f t="array" ref="U26">INDEX(UtilityList!J$4:J$251,MATCH('Table 2.5a'!$A26&amp;'Table 2.5a'!$B26,UtilityList!$A$4:$A$251&amp;UtilityList!$C$4:$C$251,0))</f>
        <v>Southeast</v>
      </c>
      <c r="V26" s="704" t="str">
        <f t="array" ref="V26">INDEX(UtilityList!K$4:K$251,MATCH('Table 2.5a'!$A26&amp;'Table 2.5a'!$B26,UtilityList!$A$4:$A$251&amp;UtilityList!$C$4:$C$251,0))</f>
        <v>Prince of Wales-Hyder (CA)</v>
      </c>
      <c r="W26" s="704" t="str">
        <f t="array" ref="W26">INDEX(UtilityList!L$4:L$251,MATCH('Table 2.5a'!$A26&amp;'Table 2.5a'!$B26,UtilityList!$A$4:$A$251&amp;UtilityList!$C$4:$C$251,0))</f>
        <v>Sealaska</v>
      </c>
      <c r="X26" s="704" t="str">
        <f t="array" ref="X26">INDEX(UtilityList!M$4:M$251,MATCH('Table 2.5a'!$A26&amp;'Table 2.5a'!$B26,UtilityList!$A$4:$A$251&amp;UtilityList!$C$4:$C$251,0))</f>
        <v>SE</v>
      </c>
    </row>
    <row r="27" spans="1:24" s="126" customFormat="1" ht="75" x14ac:dyDescent="0.25">
      <c r="A27" s="352" t="s">
        <v>43</v>
      </c>
      <c r="B27" s="664" t="s">
        <v>683</v>
      </c>
      <c r="C27" s="701">
        <v>237.94695462601999</v>
      </c>
      <c r="D27" s="701">
        <v>357.80599999999998</v>
      </c>
      <c r="E27" s="701">
        <v>87.416663999999997</v>
      </c>
      <c r="F27" s="702">
        <v>0.66501666999999998</v>
      </c>
      <c r="G27" s="701">
        <v>323.76935093953</v>
      </c>
      <c r="H27" s="701">
        <v>486.85899999999998</v>
      </c>
      <c r="I27" s="701">
        <v>20.416665999999999</v>
      </c>
      <c r="J27" s="702">
        <v>0.66501666999999998</v>
      </c>
      <c r="K27" s="701">
        <v>226.77467457001998</v>
      </c>
      <c r="L27" s="701">
        <v>341.00599999999997</v>
      </c>
      <c r="M27" s="701">
        <v>16.833333</v>
      </c>
      <c r="N27" s="702">
        <v>0.66501666999999998</v>
      </c>
      <c r="O27" s="701">
        <v>788.49098013557</v>
      </c>
      <c r="P27" s="701">
        <f t="shared" si="0"/>
        <v>1185.6709999999998</v>
      </c>
      <c r="Q27" s="701">
        <v>124.66666299999999</v>
      </c>
      <c r="R27" s="702">
        <v>0.66501666999999998</v>
      </c>
      <c r="S27" s="662" t="s">
        <v>356</v>
      </c>
      <c r="T27" s="703" t="str">
        <f t="array" ref="T27">INDEX(UtilityList!Q$4:Q$251,MATCH('Table 2.5a'!$A27&amp;'Table 2.5a'!$B27,UtilityList!$A$4:$A$251&amp;UtilityList!$C$4:$C$251,0))</f>
        <v>Provides power to Northway Village via intertie. Data includes Northway Village's information.</v>
      </c>
      <c r="U27" s="704" t="str">
        <f t="array" ref="U27">INDEX(UtilityList!J$4:J$251,MATCH('Table 2.5a'!$A27&amp;'Table 2.5a'!$B27,UtilityList!$A$4:$A$251&amp;UtilityList!$C$4:$C$251,0))</f>
        <v>Yukon-Koyukuk/Upper Tanana</v>
      </c>
      <c r="V27" s="704" t="str">
        <f t="array" ref="V27">INDEX(UtilityList!K$4:K$251,MATCH('Table 2.5a'!$A27&amp;'Table 2.5a'!$B27,UtilityList!$A$4:$A$251&amp;UtilityList!$C$4:$C$251,0))</f>
        <v>Southeast Fairbanks (CA)</v>
      </c>
      <c r="W27" s="704" t="str">
        <f t="array" ref="W27">INDEX(UtilityList!L$4:L$251,MATCH('Table 2.5a'!$A27&amp;'Table 2.5a'!$B27,UtilityList!$A$4:$A$251&amp;UtilityList!$C$4:$C$251,0))</f>
        <v>Doyon</v>
      </c>
      <c r="X27" s="704" t="str">
        <f t="array" ref="X27">INDEX(UtilityList!M$4:M$251,MATCH('Table 2.5a'!$A27&amp;'Table 2.5a'!$B27,UtilityList!$A$4:$A$251&amp;UtilityList!$C$4:$C$251,0))</f>
        <v>YU</v>
      </c>
    </row>
    <row r="28" spans="1:24" s="200" customFormat="1" ht="60" x14ac:dyDescent="0.25">
      <c r="A28" s="352" t="s">
        <v>43</v>
      </c>
      <c r="B28" s="664" t="s">
        <v>995</v>
      </c>
      <c r="C28" s="701">
        <v>192.06655021340001</v>
      </c>
      <c r="D28" s="701">
        <v>285.98</v>
      </c>
      <c r="E28" s="701">
        <v>79.833336000000003</v>
      </c>
      <c r="F28" s="702">
        <v>0.67160832999999998</v>
      </c>
      <c r="G28" s="701">
        <v>57.478255706389994</v>
      </c>
      <c r="H28" s="701">
        <v>85.582999999999998</v>
      </c>
      <c r="I28" s="701">
        <v>11</v>
      </c>
      <c r="J28" s="702">
        <v>0.67160832999999998</v>
      </c>
      <c r="K28" s="701">
        <v>106.5372293879</v>
      </c>
      <c r="L28" s="701">
        <v>158.63</v>
      </c>
      <c r="M28" s="701">
        <v>5.9166664999999998</v>
      </c>
      <c r="N28" s="702">
        <v>0.67160832999999998</v>
      </c>
      <c r="O28" s="701">
        <v>356.08203530769003</v>
      </c>
      <c r="P28" s="701">
        <f t="shared" si="0"/>
        <v>530.19299999999998</v>
      </c>
      <c r="Q28" s="701">
        <v>96.750002500000008</v>
      </c>
      <c r="R28" s="702">
        <v>0.67160832999999998</v>
      </c>
      <c r="S28" s="662" t="s">
        <v>356</v>
      </c>
      <c r="T28" s="703" t="str">
        <f t="array" ref="T28">INDEX(UtilityList!Q$4:Q$251,MATCH('Table 2.5a'!$A28&amp;'Table 2.5a'!$B28,UtilityList!$A$4:$A$251&amp;UtilityList!$C$4:$C$251,0))</f>
        <v>Provides power to Chistochina via intertie. Includes Chistochina's fuel use and fuel cost.</v>
      </c>
      <c r="U28" s="704" t="str">
        <f t="array" ref="U28">INDEX(UtilityList!J$4:J$251,MATCH('Table 2.5a'!$A28&amp;'Table 2.5a'!$B28,UtilityList!$A$4:$A$251&amp;UtilityList!$C$4:$C$251,0))</f>
        <v>Copper River/Chugach</v>
      </c>
      <c r="V28" s="704" t="str">
        <f t="array" ref="V28">INDEX(UtilityList!K$4:K$251,MATCH('Table 2.5a'!$A28&amp;'Table 2.5a'!$B28,UtilityList!$A$4:$A$251&amp;UtilityList!$C$4:$C$251,0))</f>
        <v>Valdez-Cordova (CA)</v>
      </c>
      <c r="W28" s="704" t="str">
        <f t="array" ref="W28">INDEX(UtilityList!L$4:L$251,MATCH('Table 2.5a'!$A28&amp;'Table 2.5a'!$B28,UtilityList!$A$4:$A$251&amp;UtilityList!$C$4:$C$251,0))</f>
        <v>Ahtna</v>
      </c>
      <c r="X28" s="704" t="str">
        <f t="array" ref="X28">INDEX(UtilityList!M$4:M$251,MATCH('Table 2.5a'!$A28&amp;'Table 2.5a'!$B28,UtilityList!$A$4:$A$251&amp;UtilityList!$C$4:$C$251,0))</f>
        <v>YU</v>
      </c>
    </row>
    <row r="29" spans="1:24" s="200" customFormat="1" ht="60" x14ac:dyDescent="0.25">
      <c r="A29" s="352" t="s">
        <v>43</v>
      </c>
      <c r="B29" s="664" t="s">
        <v>62</v>
      </c>
      <c r="C29" s="701">
        <v>80.017630822810005</v>
      </c>
      <c r="D29" s="701">
        <v>163.15700000000001</v>
      </c>
      <c r="E29" s="701">
        <v>43.833331999999999</v>
      </c>
      <c r="F29" s="702">
        <v>0.49043333</v>
      </c>
      <c r="G29" s="701">
        <v>8.4099507428399995</v>
      </c>
      <c r="H29" s="701">
        <v>17.148</v>
      </c>
      <c r="I29" s="701">
        <v>4.75</v>
      </c>
      <c r="J29" s="702">
        <v>0.49043333</v>
      </c>
      <c r="K29" s="701">
        <v>74.720460425479999</v>
      </c>
      <c r="L29" s="701">
        <v>152.35599999999999</v>
      </c>
      <c r="M29" s="701">
        <v>6</v>
      </c>
      <c r="N29" s="702">
        <v>0.49043333</v>
      </c>
      <c r="O29" s="701">
        <v>163.14804199113001</v>
      </c>
      <c r="P29" s="701">
        <f t="shared" si="0"/>
        <v>332.661</v>
      </c>
      <c r="Q29" s="701">
        <v>54.583331999999999</v>
      </c>
      <c r="R29" s="702">
        <v>0.49043333</v>
      </c>
      <c r="S29" s="662" t="s">
        <v>356</v>
      </c>
      <c r="T29" s="703" t="str">
        <f t="array" ref="T29">INDEX(UtilityList!Q$4:Q$251,MATCH('Table 2.5a'!$A29&amp;'Table 2.5a'!$B29,UtilityList!$A$4:$A$251&amp;UtilityList!$C$4:$C$251,0))</f>
        <v>Receives power from Tok via intertie. For fuel use and cost information please refer to Tok.</v>
      </c>
      <c r="U29" s="704" t="str">
        <f t="array" ref="U29">INDEX(UtilityList!J$4:J$251,MATCH('Table 2.5a'!$A29&amp;'Table 2.5a'!$B29,UtilityList!$A$4:$A$251&amp;UtilityList!$C$4:$C$251,0))</f>
        <v>Yukon-Koyukuk/Upper Tanana</v>
      </c>
      <c r="V29" s="704" t="str">
        <f t="array" ref="V29">INDEX(UtilityList!K$4:K$251,MATCH('Table 2.5a'!$A29&amp;'Table 2.5a'!$B29,UtilityList!$A$4:$A$251&amp;UtilityList!$C$4:$C$251,0))</f>
        <v>Southeast Fairbanks (CA)</v>
      </c>
      <c r="W29" s="704" t="str">
        <f t="array" ref="W29">INDEX(UtilityList!L$4:L$251,MATCH('Table 2.5a'!$A29&amp;'Table 2.5a'!$B29,UtilityList!$A$4:$A$251&amp;UtilityList!$C$4:$C$251,0))</f>
        <v>Dyon</v>
      </c>
      <c r="X29" s="704" t="str">
        <f t="array" ref="X29">INDEX(UtilityList!M$4:M$251,MATCH('Table 2.5a'!$A29&amp;'Table 2.5a'!$B29,UtilityList!$A$4:$A$251&amp;UtilityList!$C$4:$C$251,0))</f>
        <v>YU</v>
      </c>
    </row>
    <row r="30" spans="1:24" s="200" customFormat="1" ht="90" x14ac:dyDescent="0.25">
      <c r="A30" s="352" t="s">
        <v>43</v>
      </c>
      <c r="B30" s="664" t="s">
        <v>681</v>
      </c>
      <c r="C30" s="701">
        <v>320.47604099999995</v>
      </c>
      <c r="D30" s="701">
        <v>1334.2049999999999</v>
      </c>
      <c r="E30" s="701">
        <v>284.75</v>
      </c>
      <c r="F30" s="702">
        <v>0.2402</v>
      </c>
      <c r="G30" s="701">
        <v>233.263024</v>
      </c>
      <c r="H30" s="701">
        <v>971.12</v>
      </c>
      <c r="I30" s="701">
        <v>103.83334000000001</v>
      </c>
      <c r="J30" s="702">
        <v>0.2402</v>
      </c>
      <c r="K30" s="701">
        <v>208.57670920000001</v>
      </c>
      <c r="L30" s="701">
        <v>868.346</v>
      </c>
      <c r="M30" s="701">
        <v>54.333331999999999</v>
      </c>
      <c r="N30" s="702">
        <v>0.2402</v>
      </c>
      <c r="O30" s="701">
        <v>762.31577419999996</v>
      </c>
      <c r="P30" s="701">
        <f t="shared" si="0"/>
        <v>3173.6709999999998</v>
      </c>
      <c r="Q30" s="701">
        <v>442.91667200000001</v>
      </c>
      <c r="R30" s="702">
        <v>0.2402</v>
      </c>
      <c r="S30" s="662" t="s">
        <v>356</v>
      </c>
      <c r="T30" s="703" t="str">
        <f t="array" ref="T30">INDEX(UtilityList!Q$4:Q$251,MATCH('Table 2.5a'!$A30&amp;'Table 2.5a'!$B30,UtilityList!$A$4:$A$251&amp;UtilityList!$C$4:$C$251,0))</f>
        <v>Part of the Alaska Power Company's grid on Prince of Wales Island. Receives power from Craig. Refer to Craig for fuel use and cost. Includes data for Kaasan.</v>
      </c>
      <c r="U30" s="704" t="str">
        <f t="array" ref="U30">INDEX(UtilityList!J$4:J$251,MATCH('Table 2.5a'!$A30&amp;'Table 2.5a'!$B30,UtilityList!$A$4:$A$251&amp;UtilityList!$C$4:$C$251,0))</f>
        <v>Southeast</v>
      </c>
      <c r="V30" s="704" t="str">
        <f t="array" ref="V30">INDEX(UtilityList!K$4:K$251,MATCH('Table 2.5a'!$A30&amp;'Table 2.5a'!$B30,UtilityList!$A$4:$A$251&amp;UtilityList!$C$4:$C$251,0))</f>
        <v>Prince of Wales-Hyder (CA)</v>
      </c>
      <c r="W30" s="704" t="str">
        <f t="array" ref="W30">INDEX(UtilityList!L$4:L$251,MATCH('Table 2.5a'!$A30&amp;'Table 2.5a'!$B30,UtilityList!$A$4:$A$251&amp;UtilityList!$C$4:$C$251,0))</f>
        <v>Sealaska</v>
      </c>
      <c r="X30" s="704" t="str">
        <f t="array" ref="X30">INDEX(UtilityList!M$4:M$251,MATCH('Table 2.5a'!$A30&amp;'Table 2.5a'!$B30,UtilityList!$A$4:$A$251&amp;UtilityList!$C$4:$C$251,0))</f>
        <v>SE</v>
      </c>
    </row>
    <row r="31" spans="1:24" s="200" customFormat="1" ht="105" x14ac:dyDescent="0.25">
      <c r="A31" s="352" t="s">
        <v>43</v>
      </c>
      <c r="B31" s="664" t="s">
        <v>685</v>
      </c>
      <c r="C31" s="701">
        <v>1980.1717356906602</v>
      </c>
      <c r="D31" s="701">
        <v>4037.8020000000001</v>
      </c>
      <c r="E31" s="701">
        <v>749</v>
      </c>
      <c r="F31" s="702">
        <v>0.49040833</v>
      </c>
      <c r="G31" s="701">
        <v>1401.26529927552</v>
      </c>
      <c r="H31" s="701">
        <v>2857.3440000000001</v>
      </c>
      <c r="I31" s="701">
        <v>172.25</v>
      </c>
      <c r="J31" s="702">
        <v>0.49040833</v>
      </c>
      <c r="K31" s="701">
        <v>796.96502912464996</v>
      </c>
      <c r="L31" s="701">
        <v>1625.105</v>
      </c>
      <c r="M31" s="701">
        <v>48</v>
      </c>
      <c r="N31" s="702">
        <v>0.49040833</v>
      </c>
      <c r="O31" s="701">
        <v>4178.4020640908302</v>
      </c>
      <c r="P31" s="701">
        <f t="shared" si="0"/>
        <v>8520.2510000000002</v>
      </c>
      <c r="Q31" s="701">
        <v>969.25</v>
      </c>
      <c r="R31" s="702">
        <v>0.49040833</v>
      </c>
      <c r="S31" s="662" t="s">
        <v>356</v>
      </c>
      <c r="T31" s="703" t="str">
        <f t="array" ref="T31">INDEX(UtilityList!Q$4:Q$251,MATCH('Table 2.5a'!$A31&amp;'Table 2.5a'!$B31,UtilityList!$A$4:$A$251&amp;UtilityList!$C$4:$C$251,0))</f>
        <v>Provides power to Tanacross, Tetlin and Dot Lake via intertie. Includes Tanacross' information. Fuel use and cost also includes Tetlin's and Dot Lake's information.</v>
      </c>
      <c r="U31" s="704" t="str">
        <f t="array" ref="U31">INDEX(UtilityList!J$4:J$251,MATCH('Table 2.5a'!$A31&amp;'Table 2.5a'!$B31,UtilityList!$A$4:$A$251&amp;UtilityList!$C$4:$C$251,0))</f>
        <v>Yukon-Koyukuk/Upper Tanana</v>
      </c>
      <c r="V31" s="704" t="str">
        <f t="array" ref="V31">INDEX(UtilityList!K$4:K$251,MATCH('Table 2.5a'!$A31&amp;'Table 2.5a'!$B31,UtilityList!$A$4:$A$251&amp;UtilityList!$C$4:$C$251,0))</f>
        <v>Southeast Fairbanks (CA)</v>
      </c>
      <c r="W31" s="704" t="str">
        <f t="array" ref="W31">INDEX(UtilityList!L$4:L$251,MATCH('Table 2.5a'!$A31&amp;'Table 2.5a'!$B31,UtilityList!$A$4:$A$251&amp;UtilityList!$C$4:$C$251,0))</f>
        <v>Doyon</v>
      </c>
      <c r="X31" s="704" t="str">
        <f t="array" ref="X31">INDEX(UtilityList!M$4:M$251,MATCH('Table 2.5a'!$A31&amp;'Table 2.5a'!$B31,UtilityList!$A$4:$A$251&amp;UtilityList!$C$4:$C$251,0))</f>
        <v>YU</v>
      </c>
    </row>
    <row r="32" spans="1:24" s="200" customFormat="1" ht="30" x14ac:dyDescent="0.25">
      <c r="A32" s="352" t="s">
        <v>43</v>
      </c>
      <c r="B32" s="664" t="s">
        <v>65</v>
      </c>
      <c r="C32" s="701">
        <v>95.66500520000001</v>
      </c>
      <c r="D32" s="701">
        <v>159.56800000000001</v>
      </c>
      <c r="E32" s="701">
        <v>59.5</v>
      </c>
      <c r="F32" s="702">
        <v>0.59952499999999997</v>
      </c>
      <c r="G32" s="701">
        <v>33.669323999999996</v>
      </c>
      <c r="H32" s="701">
        <v>56.16</v>
      </c>
      <c r="I32" s="701">
        <v>8.5</v>
      </c>
      <c r="J32" s="702">
        <v>0.59952499999999997</v>
      </c>
      <c r="K32" s="701">
        <v>8.0694430095325007</v>
      </c>
      <c r="L32" s="701">
        <v>13.459727300000001</v>
      </c>
      <c r="M32" s="701">
        <v>4.6666667000000004</v>
      </c>
      <c r="N32" s="702">
        <v>0.59952499999999997</v>
      </c>
      <c r="O32" s="701">
        <v>137.40377220953252</v>
      </c>
      <c r="P32" s="701">
        <f t="shared" si="0"/>
        <v>229.18772730000001</v>
      </c>
      <c r="Q32" s="701">
        <v>72.666666700000007</v>
      </c>
      <c r="R32" s="702">
        <v>0.59952499999999997</v>
      </c>
      <c r="S32" s="662" t="s">
        <v>356</v>
      </c>
      <c r="T32" s="703">
        <f t="array" ref="T32">INDEX(UtilityList!Q$4:Q$251,MATCH('Table 2.5a'!$A32&amp;'Table 2.5a'!$B32,UtilityList!$A$4:$A$251&amp;UtilityList!$C$4:$C$251,0))</f>
        <v>0</v>
      </c>
      <c r="U32" s="704" t="str">
        <f t="array" ref="U32">INDEX(UtilityList!J$4:J$251,MATCH('Table 2.5a'!$A32&amp;'Table 2.5a'!$B32,UtilityList!$A$4:$A$251&amp;UtilityList!$C$4:$C$251,0))</f>
        <v>Southeast</v>
      </c>
      <c r="V32" s="704" t="str">
        <f t="array" ref="V32">INDEX(UtilityList!K$4:K$251,MATCH('Table 2.5a'!$A32&amp;'Table 2.5a'!$B32,UtilityList!$A$4:$A$251&amp;UtilityList!$C$4:$C$251,0))</f>
        <v>Prince of Wales-Hyder (CA)</v>
      </c>
      <c r="W32" s="704" t="str">
        <f t="array" ref="W32">INDEX(UtilityList!L$4:L$251,MATCH('Table 2.5a'!$A32&amp;'Table 2.5a'!$B32,UtilityList!$A$4:$A$251&amp;UtilityList!$C$4:$C$251,0))</f>
        <v>Sealaska</v>
      </c>
      <c r="X32" s="704" t="str">
        <f t="array" ref="X32">INDEX(UtilityList!M$4:M$251,MATCH('Table 2.5a'!$A32&amp;'Table 2.5a'!$B32,UtilityList!$A$4:$A$251&amp;UtilityList!$C$4:$C$251,0))</f>
        <v>SE</v>
      </c>
    </row>
    <row r="33" spans="1:24" s="200" customFormat="1" ht="30" x14ac:dyDescent="0.25">
      <c r="A33" s="361" t="s">
        <v>524</v>
      </c>
      <c r="B33" s="654" t="s">
        <v>66</v>
      </c>
      <c r="C33" s="701">
        <v>459.27950264999998</v>
      </c>
      <c r="D33" s="701">
        <v>774.56700000000001</v>
      </c>
      <c r="E33" s="701">
        <v>145</v>
      </c>
      <c r="F33" s="702">
        <v>0.59294999999999998</v>
      </c>
      <c r="G33" s="701">
        <v>135.73123577999999</v>
      </c>
      <c r="H33" s="701">
        <v>228.9084</v>
      </c>
      <c r="I33" s="701">
        <v>17.75</v>
      </c>
      <c r="J33" s="702">
        <v>0.59294999999999998</v>
      </c>
      <c r="K33" s="701">
        <v>549.51522660000001</v>
      </c>
      <c r="L33" s="701">
        <v>926.74800000000005</v>
      </c>
      <c r="M33" s="701">
        <v>18.750000499999999</v>
      </c>
      <c r="N33" s="702">
        <v>0.59294999999999998</v>
      </c>
      <c r="O33" s="701">
        <v>1144.52596503</v>
      </c>
      <c r="P33" s="701">
        <f t="shared" si="0"/>
        <v>1930.2234000000001</v>
      </c>
      <c r="Q33" s="701">
        <v>181.5000005</v>
      </c>
      <c r="R33" s="702">
        <v>0.59294999999999998</v>
      </c>
      <c r="S33" s="658" t="s">
        <v>356</v>
      </c>
      <c r="T33" s="703">
        <f t="array" ref="T33">INDEX(UtilityList!Q$4:Q$251,MATCH('Table 2.5a'!$A33&amp;'Table 2.5a'!$B33,UtilityList!$A$4:$A$251&amp;UtilityList!$C$4:$C$251,0))</f>
        <v>0</v>
      </c>
      <c r="U33" s="704" t="str">
        <f t="array" ref="U33">INDEX(UtilityList!J$4:J$251,MATCH('Table 2.5a'!$A33&amp;'Table 2.5a'!$B33,UtilityList!$A$4:$A$251&amp;UtilityList!$C$4:$C$251,0))</f>
        <v>Lower Yukon-Kuskokwim</v>
      </c>
      <c r="V33" s="704" t="str">
        <f t="array" ref="V33">INDEX(UtilityList!K$4:K$251,MATCH('Table 2.5a'!$A33&amp;'Table 2.5a'!$B33,UtilityList!$A$4:$A$251&amp;UtilityList!$C$4:$C$251,0))</f>
        <v>Wade Hampton (CA)</v>
      </c>
      <c r="W33" s="704" t="str">
        <f t="array" ref="W33">INDEX(UtilityList!L$4:L$251,MATCH('Table 2.5a'!$A33&amp;'Table 2.5a'!$B33,UtilityList!$A$4:$A$251&amp;UtilityList!$C$4:$C$251,0))</f>
        <v>Calista</v>
      </c>
      <c r="X33" s="704" t="str">
        <f t="array" ref="X33">INDEX(UtilityList!M$4:M$251,MATCH('Table 2.5a'!$A33&amp;'Table 2.5a'!$B33,UtilityList!$A$4:$A$251&amp;UtilityList!$C$4:$C$251,0))</f>
        <v>YU</v>
      </c>
    </row>
    <row r="34" spans="1:24" s="200" customFormat="1" ht="30" x14ac:dyDescent="0.25">
      <c r="A34" s="361" t="s">
        <v>524</v>
      </c>
      <c r="B34" s="654" t="s">
        <v>67</v>
      </c>
      <c r="C34" s="701">
        <v>264.89135096885997</v>
      </c>
      <c r="D34" s="701">
        <v>419.34199999999998</v>
      </c>
      <c r="E34" s="701">
        <v>87.833336000000003</v>
      </c>
      <c r="F34" s="702">
        <v>0.63168332999999999</v>
      </c>
      <c r="G34" s="701">
        <v>75.140627153490001</v>
      </c>
      <c r="H34" s="701">
        <v>118.953</v>
      </c>
      <c r="I34" s="701">
        <v>11.25</v>
      </c>
      <c r="J34" s="702">
        <v>0.63168332999999999</v>
      </c>
      <c r="K34" s="701">
        <v>445.19588226741001</v>
      </c>
      <c r="L34" s="701">
        <v>704.77700000000004</v>
      </c>
      <c r="M34" s="701">
        <v>19.416666499999998</v>
      </c>
      <c r="N34" s="702">
        <v>0.63168332999999999</v>
      </c>
      <c r="O34" s="701">
        <v>785.22786038976005</v>
      </c>
      <c r="P34" s="701">
        <f t="shared" si="0"/>
        <v>1243.0720000000001</v>
      </c>
      <c r="Q34" s="701">
        <v>118.50000249999999</v>
      </c>
      <c r="R34" s="702">
        <v>0.63168332999999999</v>
      </c>
      <c r="S34" s="658" t="s">
        <v>356</v>
      </c>
      <c r="T34" s="703">
        <f t="array" ref="T34">INDEX(UtilityList!Q$4:Q$251,MATCH('Table 2.5a'!$A34&amp;'Table 2.5a'!$B34,UtilityList!$A$4:$A$251&amp;UtilityList!$C$4:$C$251,0))</f>
        <v>0</v>
      </c>
      <c r="U34" s="704" t="str">
        <f t="array" ref="U34">INDEX(UtilityList!J$4:J$251,MATCH('Table 2.5a'!$A34&amp;'Table 2.5a'!$B34,UtilityList!$A$4:$A$251&amp;UtilityList!$C$4:$C$251,0))</f>
        <v>Northwest Arctic</v>
      </c>
      <c r="V34" s="704" t="str">
        <f t="array" ref="V34">INDEX(UtilityList!K$4:K$251,MATCH('Table 2.5a'!$A34&amp;'Table 2.5a'!$B34,UtilityList!$A$4:$A$251&amp;UtilityList!$C$4:$C$251,0))</f>
        <v>Northwest Arctic</v>
      </c>
      <c r="W34" s="704" t="str">
        <f t="array" ref="W34">INDEX(UtilityList!L$4:L$251,MATCH('Table 2.5a'!$A34&amp;'Table 2.5a'!$B34,UtilityList!$A$4:$A$251&amp;UtilityList!$C$4:$C$251,0))</f>
        <v>NANA</v>
      </c>
      <c r="X34" s="704" t="str">
        <f t="array" ref="X34">INDEX(UtilityList!M$4:M$251,MATCH('Table 2.5a'!$A34&amp;'Table 2.5a'!$B34,UtilityList!$A$4:$A$251&amp;UtilityList!$C$4:$C$251,0))</f>
        <v>AN</v>
      </c>
    </row>
    <row r="35" spans="1:24" s="200" customFormat="1" ht="30" x14ac:dyDescent="0.25">
      <c r="A35" s="361" t="s">
        <v>524</v>
      </c>
      <c r="B35" s="654" t="s">
        <v>68</v>
      </c>
      <c r="C35" s="701">
        <v>94.528664666520001</v>
      </c>
      <c r="D35" s="701">
        <v>159.95599999999999</v>
      </c>
      <c r="E35" s="701">
        <v>56.666668000000001</v>
      </c>
      <c r="F35" s="702">
        <v>0.59096667000000003</v>
      </c>
      <c r="G35" s="701">
        <v>33.050401986420006</v>
      </c>
      <c r="H35" s="701">
        <v>55.926000000000002</v>
      </c>
      <c r="I35" s="701">
        <v>8.5</v>
      </c>
      <c r="J35" s="702">
        <v>0.59096667000000003</v>
      </c>
      <c r="K35" s="701">
        <v>102.05698907564999</v>
      </c>
      <c r="L35" s="701">
        <v>172.69499999999999</v>
      </c>
      <c r="M35" s="701">
        <v>21.25</v>
      </c>
      <c r="N35" s="702">
        <v>0.59096667000000003</v>
      </c>
      <c r="O35" s="701">
        <v>229.63605572859001</v>
      </c>
      <c r="P35" s="701">
        <f t="shared" si="0"/>
        <v>388.577</v>
      </c>
      <c r="Q35" s="701">
        <v>86.416668000000001</v>
      </c>
      <c r="R35" s="702">
        <v>0.59096667000000003</v>
      </c>
      <c r="S35" s="658" t="s">
        <v>356</v>
      </c>
      <c r="T35" s="703">
        <f t="array" ref="T35">INDEX(UtilityList!Q$4:Q$251,MATCH('Table 2.5a'!$A35&amp;'Table 2.5a'!$B35,UtilityList!$A$4:$A$251&amp;UtilityList!$C$4:$C$251,0))</f>
        <v>0</v>
      </c>
      <c r="U35" s="704" t="str">
        <f t="array" ref="U35">INDEX(UtilityList!J$4:J$251,MATCH('Table 2.5a'!$A35&amp;'Table 2.5a'!$B35,UtilityList!$A$4:$A$251&amp;UtilityList!$C$4:$C$251,0))</f>
        <v>Yukon-Koyukuk/Upper Tanana</v>
      </c>
      <c r="V35" s="704" t="str">
        <f t="array" ref="V35">INDEX(UtilityList!K$4:K$251,MATCH('Table 2.5a'!$A35&amp;'Table 2.5a'!$B35,UtilityList!$A$4:$A$251&amp;UtilityList!$C$4:$C$251,0))</f>
        <v>Yukon-Koyukuk (CA)</v>
      </c>
      <c r="W35" s="704" t="str">
        <f t="array" ref="W35">INDEX(UtilityList!L$4:L$251,MATCH('Table 2.5a'!$A35&amp;'Table 2.5a'!$B35,UtilityList!$A$4:$A$251&amp;UtilityList!$C$4:$C$251,0))</f>
        <v>Doyon</v>
      </c>
      <c r="X35" s="704" t="str">
        <f t="array" ref="X35">INDEX(UtilityList!M$4:M$251,MATCH('Table 2.5a'!$A35&amp;'Table 2.5a'!$B35,UtilityList!$A$4:$A$251&amp;UtilityList!$C$4:$C$251,0))</f>
        <v>YU</v>
      </c>
    </row>
    <row r="36" spans="1:24" s="200" customFormat="1" ht="30" x14ac:dyDescent="0.25">
      <c r="A36" s="361" t="s">
        <v>524</v>
      </c>
      <c r="B36" s="654" t="s">
        <v>69</v>
      </c>
      <c r="C36" s="701">
        <v>270.09819441377999</v>
      </c>
      <c r="D36" s="701">
        <v>504.13400000000001</v>
      </c>
      <c r="E36" s="701">
        <v>103.41665999999999</v>
      </c>
      <c r="F36" s="702">
        <v>0.53576667</v>
      </c>
      <c r="G36" s="701">
        <v>73.181440988640006</v>
      </c>
      <c r="H36" s="701">
        <v>136.59200000000001</v>
      </c>
      <c r="I36" s="701">
        <v>7.4166664999999998</v>
      </c>
      <c r="J36" s="702">
        <v>0.53576667</v>
      </c>
      <c r="K36" s="701">
        <v>270.51716394971999</v>
      </c>
      <c r="L36" s="701">
        <v>504.916</v>
      </c>
      <c r="M36" s="701">
        <v>19.499999500000001</v>
      </c>
      <c r="N36" s="702">
        <v>0.53576667</v>
      </c>
      <c r="O36" s="701">
        <v>613.79679935213994</v>
      </c>
      <c r="P36" s="701">
        <f t="shared" si="0"/>
        <v>1145.6420000000001</v>
      </c>
      <c r="Q36" s="701">
        <v>130.333326</v>
      </c>
      <c r="R36" s="702">
        <v>0.53576667</v>
      </c>
      <c r="S36" s="658" t="s">
        <v>356</v>
      </c>
      <c r="T36" s="703">
        <f t="array" ref="T36">INDEX(UtilityList!Q$4:Q$251,MATCH('Table 2.5a'!$A36&amp;'Table 2.5a'!$B36,UtilityList!$A$4:$A$251&amp;UtilityList!$C$4:$C$251,0))</f>
        <v>0</v>
      </c>
      <c r="U36" s="704" t="str">
        <f t="array" ref="U36">INDEX(UtilityList!J$4:J$251,MATCH('Table 2.5a'!$A36&amp;'Table 2.5a'!$B36,UtilityList!$A$4:$A$251&amp;UtilityList!$C$4:$C$251,0))</f>
        <v>Bering Straits</v>
      </c>
      <c r="V36" s="704" t="str">
        <f t="array" ref="V36">INDEX(UtilityList!K$4:K$251,MATCH('Table 2.5a'!$A36&amp;'Table 2.5a'!$B36,UtilityList!$A$4:$A$251&amp;UtilityList!$C$4:$C$251,0))</f>
        <v>Nome (CA)</v>
      </c>
      <c r="W36" s="704" t="str">
        <f t="array" ref="W36">INDEX(UtilityList!L$4:L$251,MATCH('Table 2.5a'!$A36&amp;'Table 2.5a'!$B36,UtilityList!$A$4:$A$251&amp;UtilityList!$C$4:$C$251,0))</f>
        <v>Bering Straits</v>
      </c>
      <c r="X36" s="704" t="str">
        <f t="array" ref="X36">INDEX(UtilityList!M$4:M$251,MATCH('Table 2.5a'!$A36&amp;'Table 2.5a'!$B36,UtilityList!$A$4:$A$251&amp;UtilityList!$C$4:$C$251,0))</f>
        <v>AN</v>
      </c>
    </row>
    <row r="37" spans="1:24" s="200" customFormat="1" ht="30" x14ac:dyDescent="0.25">
      <c r="A37" s="361" t="s">
        <v>524</v>
      </c>
      <c r="B37" s="654" t="s">
        <v>70</v>
      </c>
      <c r="C37" s="701">
        <v>494.60851620481003</v>
      </c>
      <c r="D37" s="701">
        <v>1021.057</v>
      </c>
      <c r="E37" s="701">
        <v>182.41667000000001</v>
      </c>
      <c r="F37" s="702">
        <v>0.48440833</v>
      </c>
      <c r="G37" s="701">
        <v>183.7167032358</v>
      </c>
      <c r="H37" s="701">
        <v>379.26</v>
      </c>
      <c r="I37" s="701">
        <v>17</v>
      </c>
      <c r="J37" s="702">
        <v>0.48440833</v>
      </c>
      <c r="K37" s="701">
        <v>449.87050047933002</v>
      </c>
      <c r="L37" s="701">
        <v>928.70100000000002</v>
      </c>
      <c r="M37" s="701">
        <v>22</v>
      </c>
      <c r="N37" s="702">
        <v>0.48440833</v>
      </c>
      <c r="O37" s="701">
        <v>1128.1957199199401</v>
      </c>
      <c r="P37" s="701">
        <f t="shared" si="0"/>
        <v>2329.018</v>
      </c>
      <c r="Q37" s="701">
        <v>221.41667000000001</v>
      </c>
      <c r="R37" s="702">
        <v>0.48440833</v>
      </c>
      <c r="S37" s="658" t="s">
        <v>356</v>
      </c>
      <c r="T37" s="703">
        <f t="array" ref="T37">INDEX(UtilityList!Q$4:Q$251,MATCH('Table 2.5a'!$A37&amp;'Table 2.5a'!$B37,UtilityList!$A$4:$A$251&amp;UtilityList!$C$4:$C$251,0))</f>
        <v>0</v>
      </c>
      <c r="U37" s="704" t="str">
        <f t="array" ref="U37">INDEX(UtilityList!J$4:J$251,MATCH('Table 2.5a'!$A37&amp;'Table 2.5a'!$B37,UtilityList!$A$4:$A$251&amp;UtilityList!$C$4:$C$251,0))</f>
        <v>Lower Yukon-Kuskokwim</v>
      </c>
      <c r="V37" s="704" t="str">
        <f t="array" ref="V37">INDEX(UtilityList!K$4:K$251,MATCH('Table 2.5a'!$A37&amp;'Table 2.5a'!$B37,UtilityList!$A$4:$A$251&amp;UtilityList!$C$4:$C$251,0))</f>
        <v>Wade Hampton (CA)</v>
      </c>
      <c r="W37" s="704" t="str">
        <f t="array" ref="W37">INDEX(UtilityList!L$4:L$251,MATCH('Table 2.5a'!$A37&amp;'Table 2.5a'!$B37,UtilityList!$A$4:$A$251&amp;UtilityList!$C$4:$C$251,0))</f>
        <v>Calista</v>
      </c>
      <c r="X37" s="704" t="str">
        <f t="array" ref="X37">INDEX(UtilityList!M$4:M$251,MATCH('Table 2.5a'!$A37&amp;'Table 2.5a'!$B37,UtilityList!$A$4:$A$251&amp;UtilityList!$C$4:$C$251,0))</f>
        <v>YU</v>
      </c>
    </row>
    <row r="38" spans="1:24" s="200" customFormat="1" ht="30" x14ac:dyDescent="0.25">
      <c r="A38" s="361" t="s">
        <v>524</v>
      </c>
      <c r="B38" s="654" t="s">
        <v>71</v>
      </c>
      <c r="C38" s="701">
        <v>209.92036712500001</v>
      </c>
      <c r="D38" s="701">
        <v>347.79500000000002</v>
      </c>
      <c r="E38" s="701">
        <v>97.583336000000003</v>
      </c>
      <c r="F38" s="702">
        <v>0.60357499999999997</v>
      </c>
      <c r="G38" s="701">
        <v>85.637635299999985</v>
      </c>
      <c r="H38" s="701">
        <v>141.88399999999999</v>
      </c>
      <c r="I38" s="701">
        <v>12.333333</v>
      </c>
      <c r="J38" s="702">
        <v>0.60357499999999997</v>
      </c>
      <c r="K38" s="701">
        <v>171.21189522500001</v>
      </c>
      <c r="L38" s="701">
        <v>283.66300000000001</v>
      </c>
      <c r="M38" s="701">
        <v>17.416667</v>
      </c>
      <c r="N38" s="702">
        <v>0.60357499999999997</v>
      </c>
      <c r="O38" s="701">
        <v>466.76989764999996</v>
      </c>
      <c r="P38" s="701">
        <f t="shared" si="0"/>
        <v>773.34199999999998</v>
      </c>
      <c r="Q38" s="701">
        <v>127.333336</v>
      </c>
      <c r="R38" s="702">
        <v>0.60357499999999997</v>
      </c>
      <c r="S38" s="658" t="s">
        <v>356</v>
      </c>
      <c r="T38" s="703">
        <f t="array" ref="T38">INDEX(UtilityList!Q$4:Q$251,MATCH('Table 2.5a'!$A38&amp;'Table 2.5a'!$B38,UtilityList!$A$4:$A$251&amp;UtilityList!$C$4:$C$251,0))</f>
        <v>0</v>
      </c>
      <c r="U38" s="704" t="str">
        <f t="array" ref="U38">INDEX(UtilityList!J$4:J$251,MATCH('Table 2.5a'!$A38&amp;'Table 2.5a'!$B38,UtilityList!$A$4:$A$251&amp;UtilityList!$C$4:$C$251,0))</f>
        <v>Lower Yukon-Kuskokwim</v>
      </c>
      <c r="V38" s="704" t="str">
        <f t="array" ref="V38">INDEX(UtilityList!K$4:K$251,MATCH('Table 2.5a'!$A38&amp;'Table 2.5a'!$B38,UtilityList!$A$4:$A$251&amp;UtilityList!$C$4:$C$251,0))</f>
        <v>Bethel (CA)</v>
      </c>
      <c r="W38" s="704" t="str">
        <f t="array" ref="W38">INDEX(UtilityList!L$4:L$251,MATCH('Table 2.5a'!$A38&amp;'Table 2.5a'!$B38,UtilityList!$A$4:$A$251&amp;UtilityList!$C$4:$C$251,0))</f>
        <v>Calista</v>
      </c>
      <c r="X38" s="704" t="str">
        <f t="array" ref="X38">INDEX(UtilityList!M$4:M$251,MATCH('Table 2.5a'!$A38&amp;'Table 2.5a'!$B38,UtilityList!$A$4:$A$251&amp;UtilityList!$C$4:$C$251,0))</f>
        <v>SW</v>
      </c>
    </row>
    <row r="39" spans="1:24" s="200" customFormat="1" ht="30" x14ac:dyDescent="0.25">
      <c r="A39" s="361" t="s">
        <v>524</v>
      </c>
      <c r="B39" s="654" t="s">
        <v>173</v>
      </c>
      <c r="C39" s="701">
        <v>75.986324225999994</v>
      </c>
      <c r="D39" s="701">
        <v>102.58717999999999</v>
      </c>
      <c r="E39" s="701">
        <v>43.015152</v>
      </c>
      <c r="F39" s="702">
        <v>0.74070000000000003</v>
      </c>
      <c r="G39" s="701">
        <v>86.077961748000007</v>
      </c>
      <c r="H39" s="701">
        <v>116.21164</v>
      </c>
      <c r="I39" s="701">
        <v>23.469695999999999</v>
      </c>
      <c r="J39" s="702">
        <v>0.74070000000000003</v>
      </c>
      <c r="K39" s="701">
        <v>24.840182307419997</v>
      </c>
      <c r="L39" s="701">
        <v>33.536090599999994</v>
      </c>
      <c r="M39" s="701">
        <v>5.7575757000000003</v>
      </c>
      <c r="N39" s="702">
        <v>0.74070000000000003</v>
      </c>
      <c r="O39" s="701">
        <v>186.90446828142001</v>
      </c>
      <c r="P39" s="701">
        <f t="shared" si="0"/>
        <v>252.33491059999997</v>
      </c>
      <c r="Q39" s="701">
        <v>72.242423700000003</v>
      </c>
      <c r="R39" s="702">
        <v>0.74070000000000003</v>
      </c>
      <c r="S39" s="658" t="s">
        <v>356</v>
      </c>
      <c r="T39" s="703">
        <f t="array" ref="T39">INDEX(UtilityList!Q$4:Q$251,MATCH('Table 2.5a'!$A39&amp;'Table 2.5a'!$B39,UtilityList!$A$4:$A$251&amp;UtilityList!$C$4:$C$251,0))</f>
        <v>0</v>
      </c>
      <c r="U39" s="704" t="str">
        <f t="array" ref="U39">INDEX(UtilityList!J$4:J$251,MATCH('Table 2.5a'!$A39&amp;'Table 2.5a'!$B39,UtilityList!$A$4:$A$251&amp;UtilityList!$C$4:$C$251,0))</f>
        <v>Bristol Bay</v>
      </c>
      <c r="V39" s="704" t="str">
        <f t="array" ref="V39">INDEX(UtilityList!K$4:K$251,MATCH('Table 2.5a'!$A39&amp;'Table 2.5a'!$B39,UtilityList!$A$4:$A$251&amp;UtilityList!$C$4:$C$251,0))</f>
        <v>Dillingham (CA)</v>
      </c>
      <c r="W39" s="704" t="str">
        <f t="array" ref="W39">INDEX(UtilityList!L$4:L$251,MATCH('Table 2.5a'!$A39&amp;'Table 2.5a'!$B39,UtilityList!$A$4:$A$251&amp;UtilityList!$C$4:$C$251,0))</f>
        <v>Bristol Bay</v>
      </c>
      <c r="X39" s="704" t="str">
        <f t="array" ref="X39">INDEX(UtilityList!M$4:M$251,MATCH('Table 2.5a'!$A39&amp;'Table 2.5a'!$B39,UtilityList!$A$4:$A$251&amp;UtilityList!$C$4:$C$251,0))</f>
        <v>SW</v>
      </c>
    </row>
    <row r="40" spans="1:24" s="200" customFormat="1" ht="30" x14ac:dyDescent="0.25">
      <c r="A40" s="361" t="s">
        <v>524</v>
      </c>
      <c r="B40" s="654" t="s">
        <v>72</v>
      </c>
      <c r="C40" s="701">
        <v>271.50000415</v>
      </c>
      <c r="D40" s="701">
        <v>462.16699999999997</v>
      </c>
      <c r="E40" s="701">
        <v>103.08334000000001</v>
      </c>
      <c r="F40" s="702">
        <v>0.58745000000000003</v>
      </c>
      <c r="G40" s="701">
        <v>136.47873380000001</v>
      </c>
      <c r="H40" s="701">
        <v>232.32400000000001</v>
      </c>
      <c r="I40" s="701">
        <v>12.5</v>
      </c>
      <c r="J40" s="702">
        <v>0.58745000000000003</v>
      </c>
      <c r="K40" s="701">
        <v>244.66587560000002</v>
      </c>
      <c r="L40" s="701">
        <v>416.488</v>
      </c>
      <c r="M40" s="701">
        <v>22</v>
      </c>
      <c r="N40" s="702">
        <v>0.58745000000000003</v>
      </c>
      <c r="O40" s="701">
        <v>652.64461355000003</v>
      </c>
      <c r="P40" s="701">
        <f t="shared" si="0"/>
        <v>1110.979</v>
      </c>
      <c r="Q40" s="701">
        <v>137.58334000000002</v>
      </c>
      <c r="R40" s="702">
        <v>0.58745000000000003</v>
      </c>
      <c r="S40" s="658" t="s">
        <v>356</v>
      </c>
      <c r="T40" s="703">
        <f t="array" ref="T40">INDEX(UtilityList!Q$4:Q$251,MATCH('Table 2.5a'!$A40&amp;'Table 2.5a'!$B40,UtilityList!$A$4:$A$251&amp;UtilityList!$C$4:$C$251,0))</f>
        <v>0</v>
      </c>
      <c r="U40" s="704" t="str">
        <f t="array" ref="U40">INDEX(UtilityList!J$4:J$251,MATCH('Table 2.5a'!$A40&amp;'Table 2.5a'!$B40,UtilityList!$A$4:$A$251&amp;UtilityList!$C$4:$C$251,0))</f>
        <v>Bering Straits</v>
      </c>
      <c r="V40" s="704" t="str">
        <f t="array" ref="V40">INDEX(UtilityList!K$4:K$251,MATCH('Table 2.5a'!$A40&amp;'Table 2.5a'!$B40,UtilityList!$A$4:$A$251&amp;UtilityList!$C$4:$C$251,0))</f>
        <v>Nome (CA)</v>
      </c>
      <c r="W40" s="704" t="str">
        <f t="array" ref="W40">INDEX(UtilityList!L$4:L$251,MATCH('Table 2.5a'!$A40&amp;'Table 2.5a'!$B40,UtilityList!$A$4:$A$251&amp;UtilityList!$C$4:$C$251,0))</f>
        <v>Bering Straits</v>
      </c>
      <c r="X40" s="704" t="str">
        <f t="array" ref="X40">INDEX(UtilityList!M$4:M$251,MATCH('Table 2.5a'!$A40&amp;'Table 2.5a'!$B40,UtilityList!$A$4:$A$251&amp;UtilityList!$C$4:$C$251,0))</f>
        <v>AN</v>
      </c>
    </row>
    <row r="41" spans="1:24" s="200" customFormat="1" ht="30" x14ac:dyDescent="0.25">
      <c r="A41" s="361" t="s">
        <v>524</v>
      </c>
      <c r="B41" s="654" t="s">
        <v>73</v>
      </c>
      <c r="C41" s="701">
        <v>596.33566980000001</v>
      </c>
      <c r="D41" s="701">
        <v>1082.328</v>
      </c>
      <c r="E41" s="701">
        <v>198.16667000000001</v>
      </c>
      <c r="F41" s="702">
        <v>0.55097499999999999</v>
      </c>
      <c r="G41" s="701">
        <v>453.87667575</v>
      </c>
      <c r="H41" s="701">
        <v>823.77</v>
      </c>
      <c r="I41" s="701">
        <v>32.916668000000001</v>
      </c>
      <c r="J41" s="702">
        <v>0.55097499999999999</v>
      </c>
      <c r="K41" s="701">
        <v>634.48958660000005</v>
      </c>
      <c r="L41" s="701">
        <v>1151.576</v>
      </c>
      <c r="M41" s="701">
        <v>29.666667</v>
      </c>
      <c r="N41" s="702">
        <v>0.55097499999999999</v>
      </c>
      <c r="O41" s="701">
        <v>1684.7019321500002</v>
      </c>
      <c r="P41" s="701">
        <f t="shared" si="0"/>
        <v>3057.674</v>
      </c>
      <c r="Q41" s="701">
        <v>260.75000500000004</v>
      </c>
      <c r="R41" s="702">
        <v>0.55097499999999999</v>
      </c>
      <c r="S41" s="658" t="s">
        <v>356</v>
      </c>
      <c r="T41" s="703">
        <f t="array" ref="T41">INDEX(UtilityList!Q$4:Q$251,MATCH('Table 2.5a'!$A41&amp;'Table 2.5a'!$B41,UtilityList!$A$4:$A$251&amp;UtilityList!$C$4:$C$251,0))</f>
        <v>0</v>
      </c>
      <c r="U41" s="704" t="str">
        <f t="array" ref="U41">INDEX(UtilityList!J$4:J$251,MATCH('Table 2.5a'!$A41&amp;'Table 2.5a'!$B41,UtilityList!$A$4:$A$251&amp;UtilityList!$C$4:$C$251,0))</f>
        <v>Lower Yukon-Kuskokwim</v>
      </c>
      <c r="V41" s="704" t="str">
        <f t="array" ref="V41">INDEX(UtilityList!K$4:K$251,MATCH('Table 2.5a'!$A41&amp;'Table 2.5a'!$B41,UtilityList!$A$4:$A$251&amp;UtilityList!$C$4:$C$251,0))</f>
        <v>Wade Hampton (CA)</v>
      </c>
      <c r="W41" s="704" t="str">
        <f t="array" ref="W41">INDEX(UtilityList!L$4:L$251,MATCH('Table 2.5a'!$A41&amp;'Table 2.5a'!$B41,UtilityList!$A$4:$A$251&amp;UtilityList!$C$4:$C$251,0))</f>
        <v>Calista</v>
      </c>
      <c r="X41" s="704" t="str">
        <f t="array" ref="X41">INDEX(UtilityList!M$4:M$251,MATCH('Table 2.5a'!$A41&amp;'Table 2.5a'!$B41,UtilityList!$A$4:$A$251&amp;UtilityList!$C$4:$C$251,0))</f>
        <v>YU</v>
      </c>
    </row>
    <row r="42" spans="1:24" s="200" customFormat="1" ht="30" x14ac:dyDescent="0.25">
      <c r="A42" s="361" t="s">
        <v>524</v>
      </c>
      <c r="B42" s="654" t="s">
        <v>74</v>
      </c>
      <c r="C42" s="701">
        <v>374.16600267728001</v>
      </c>
      <c r="D42" s="701">
        <v>716.81600000000003</v>
      </c>
      <c r="E42" s="701">
        <v>154.83332999999999</v>
      </c>
      <c r="F42" s="702">
        <v>0.52198332999999997</v>
      </c>
      <c r="G42" s="701">
        <v>173.78025617359</v>
      </c>
      <c r="H42" s="701">
        <v>332.923</v>
      </c>
      <c r="I42" s="701">
        <v>13.666667</v>
      </c>
      <c r="J42" s="702">
        <v>0.52198332999999997</v>
      </c>
      <c r="K42" s="701">
        <v>379.23289486159001</v>
      </c>
      <c r="L42" s="701">
        <v>726.52300000000002</v>
      </c>
      <c r="M42" s="701">
        <v>20.166665999999999</v>
      </c>
      <c r="N42" s="702">
        <v>0.52198332999999997</v>
      </c>
      <c r="O42" s="701">
        <v>927.17915371245999</v>
      </c>
      <c r="P42" s="701">
        <f t="shared" si="0"/>
        <v>1776.2620000000002</v>
      </c>
      <c r="Q42" s="701">
        <v>188.66666299999997</v>
      </c>
      <c r="R42" s="702">
        <v>0.52198332999999997</v>
      </c>
      <c r="S42" s="658" t="s">
        <v>356</v>
      </c>
      <c r="T42" s="703">
        <f t="array" ref="T42">INDEX(UtilityList!Q$4:Q$251,MATCH('Table 2.5a'!$A42&amp;'Table 2.5a'!$B42,UtilityList!$A$4:$A$251&amp;UtilityList!$C$4:$C$251,0))</f>
        <v>0</v>
      </c>
      <c r="U42" s="704" t="str">
        <f t="array" ref="U42">INDEX(UtilityList!J$4:J$251,MATCH('Table 2.5a'!$A42&amp;'Table 2.5a'!$B42,UtilityList!$A$4:$A$251&amp;UtilityList!$C$4:$C$251,0))</f>
        <v>Bering Straits</v>
      </c>
      <c r="V42" s="704" t="str">
        <f t="array" ref="V42">INDEX(UtilityList!K$4:K$251,MATCH('Table 2.5a'!$A42&amp;'Table 2.5a'!$B42,UtilityList!$A$4:$A$251&amp;UtilityList!$C$4:$C$251,0))</f>
        <v>Nome (CA)</v>
      </c>
      <c r="W42" s="704" t="str">
        <f t="array" ref="W42">INDEX(UtilityList!L$4:L$251,MATCH('Table 2.5a'!$A42&amp;'Table 2.5a'!$B42,UtilityList!$A$4:$A$251&amp;UtilityList!$C$4:$C$251,0))</f>
        <v>Bering Straits</v>
      </c>
      <c r="X42" s="704" t="str">
        <f t="array" ref="X42">INDEX(UtilityList!M$4:M$251,MATCH('Table 2.5a'!$A42&amp;'Table 2.5a'!$B42,UtilityList!$A$4:$A$251&amp;UtilityList!$C$4:$C$251,0))</f>
        <v>AN</v>
      </c>
    </row>
    <row r="43" spans="1:24" s="200" customFormat="1" ht="30" x14ac:dyDescent="0.25">
      <c r="A43" s="361" t="s">
        <v>524</v>
      </c>
      <c r="B43" s="654" t="s">
        <v>75</v>
      </c>
      <c r="C43" s="701">
        <v>217.59727320000002</v>
      </c>
      <c r="D43" s="701">
        <v>368.93400000000003</v>
      </c>
      <c r="E43" s="701">
        <v>80.083336000000003</v>
      </c>
      <c r="F43" s="702">
        <v>0.58979999999999999</v>
      </c>
      <c r="G43" s="701">
        <v>80.132103564000005</v>
      </c>
      <c r="H43" s="701">
        <v>135.86318</v>
      </c>
      <c r="I43" s="701">
        <v>8.3863640000000004</v>
      </c>
      <c r="J43" s="702">
        <v>0.58979999999999999</v>
      </c>
      <c r="K43" s="701">
        <v>152.69096280000002</v>
      </c>
      <c r="L43" s="701">
        <v>258.88600000000002</v>
      </c>
      <c r="M43" s="701">
        <v>17.666667</v>
      </c>
      <c r="N43" s="702">
        <v>0.58979999999999999</v>
      </c>
      <c r="O43" s="701">
        <v>450.42033956400002</v>
      </c>
      <c r="P43" s="701">
        <f t="shared" si="0"/>
        <v>763.68317999999999</v>
      </c>
      <c r="Q43" s="701">
        <v>106.13636700000001</v>
      </c>
      <c r="R43" s="702">
        <v>0.58979999999999999</v>
      </c>
      <c r="S43" s="658" t="s">
        <v>356</v>
      </c>
      <c r="T43" s="703">
        <f t="array" ref="T43">INDEX(UtilityList!Q$4:Q$251,MATCH('Table 2.5a'!$A43&amp;'Table 2.5a'!$B43,UtilityList!$A$4:$A$251&amp;UtilityList!$C$4:$C$251,0))</f>
        <v>0</v>
      </c>
      <c r="U43" s="704" t="str">
        <f t="array" ref="U43">INDEX(UtilityList!J$4:J$251,MATCH('Table 2.5a'!$A43&amp;'Table 2.5a'!$B43,UtilityList!$A$4:$A$251&amp;UtilityList!$C$4:$C$251,0))</f>
        <v>Lower Yukon-Kuskokwim</v>
      </c>
      <c r="V43" s="704" t="str">
        <f t="array" ref="V43">INDEX(UtilityList!K$4:K$251,MATCH('Table 2.5a'!$A43&amp;'Table 2.5a'!$B43,UtilityList!$A$4:$A$251&amp;UtilityList!$C$4:$C$251,0))</f>
        <v>Bethel (CA)</v>
      </c>
      <c r="W43" s="704" t="str">
        <f t="array" ref="W43">INDEX(UtilityList!L$4:L$251,MATCH('Table 2.5a'!$A43&amp;'Table 2.5a'!$B43,UtilityList!$A$4:$A$251&amp;UtilityList!$C$4:$C$251,0))</f>
        <v>Calista</v>
      </c>
      <c r="X43" s="704" t="str">
        <f t="array" ref="X43">INDEX(UtilityList!M$4:M$251,MATCH('Table 2.5a'!$A43&amp;'Table 2.5a'!$B43,UtilityList!$A$4:$A$251&amp;UtilityList!$C$4:$C$251,0))</f>
        <v>SW</v>
      </c>
    </row>
    <row r="44" spans="1:24" s="200" customFormat="1" ht="30" x14ac:dyDescent="0.25">
      <c r="A44" s="361" t="s">
        <v>524</v>
      </c>
      <c r="B44" s="654" t="s">
        <v>76</v>
      </c>
      <c r="C44" s="701">
        <v>116.95493483106999</v>
      </c>
      <c r="D44" s="701">
        <v>210.679</v>
      </c>
      <c r="E44" s="701">
        <v>81.666663999999997</v>
      </c>
      <c r="F44" s="702">
        <v>0.55513332999999998</v>
      </c>
      <c r="G44" s="701">
        <v>59.35652104359</v>
      </c>
      <c r="H44" s="701">
        <v>106.923</v>
      </c>
      <c r="I44" s="701">
        <v>11</v>
      </c>
      <c r="J44" s="702">
        <v>0.55513332999999998</v>
      </c>
      <c r="K44" s="701">
        <v>127.60960883376001</v>
      </c>
      <c r="L44" s="701">
        <v>229.87200000000001</v>
      </c>
      <c r="M44" s="701">
        <v>15.5</v>
      </c>
      <c r="N44" s="702">
        <v>0.55513332999999998</v>
      </c>
      <c r="O44" s="701">
        <v>303.92106470841998</v>
      </c>
      <c r="P44" s="701">
        <f t="shared" si="0"/>
        <v>547.47399999999993</v>
      </c>
      <c r="Q44" s="701">
        <v>108.166664</v>
      </c>
      <c r="R44" s="702">
        <v>0.55513332999999998</v>
      </c>
      <c r="S44" s="658" t="s">
        <v>356</v>
      </c>
      <c r="T44" s="703">
        <f t="array" ref="T44">INDEX(UtilityList!Q$4:Q$251,MATCH('Table 2.5a'!$A44&amp;'Table 2.5a'!$B44,UtilityList!$A$4:$A$251&amp;UtilityList!$C$4:$C$251,0))</f>
        <v>0</v>
      </c>
      <c r="U44" s="704" t="str">
        <f t="array" ref="U44">INDEX(UtilityList!J$4:J$251,MATCH('Table 2.5a'!$A44&amp;'Table 2.5a'!$B44,UtilityList!$A$4:$A$251&amp;UtilityList!$C$4:$C$251,0))</f>
        <v>Yukon-Koyukuk/Upper Tanana</v>
      </c>
      <c r="V44" s="704" t="str">
        <f t="array" ref="V44">INDEX(UtilityList!K$4:K$251,MATCH('Table 2.5a'!$A44&amp;'Table 2.5a'!$B44,UtilityList!$A$4:$A$251&amp;UtilityList!$C$4:$C$251,0))</f>
        <v>Yukon-Koyukuk (CA)</v>
      </c>
      <c r="W44" s="704" t="str">
        <f t="array" ref="W44">INDEX(UtilityList!L$4:L$251,MATCH('Table 2.5a'!$A44&amp;'Table 2.5a'!$B44,UtilityList!$A$4:$A$251&amp;UtilityList!$C$4:$C$251,0))</f>
        <v>Doyon</v>
      </c>
      <c r="X44" s="704" t="str">
        <f t="array" ref="X44">INDEX(UtilityList!M$4:M$251,MATCH('Table 2.5a'!$A44&amp;'Table 2.5a'!$B44,UtilityList!$A$4:$A$251&amp;UtilityList!$C$4:$C$251,0))</f>
        <v>YU</v>
      </c>
    </row>
    <row r="45" spans="1:24" s="200" customFormat="1" ht="30" x14ac:dyDescent="0.25">
      <c r="A45" s="361" t="s">
        <v>524</v>
      </c>
      <c r="B45" s="654" t="s">
        <v>77</v>
      </c>
      <c r="C45" s="701">
        <v>169.73344839430004</v>
      </c>
      <c r="D45" s="701">
        <v>318.29000000000002</v>
      </c>
      <c r="E45" s="701">
        <v>79.916663999999997</v>
      </c>
      <c r="F45" s="702">
        <v>0.53326667000000005</v>
      </c>
      <c r="G45" s="701">
        <v>25.625596560180004</v>
      </c>
      <c r="H45" s="701">
        <v>48.054000000000002</v>
      </c>
      <c r="I45" s="701">
        <v>7.1666664999999998</v>
      </c>
      <c r="J45" s="702">
        <v>0.53326667000000005</v>
      </c>
      <c r="K45" s="701">
        <v>126.20395665554001</v>
      </c>
      <c r="L45" s="701">
        <v>236.66200000000001</v>
      </c>
      <c r="M45" s="701">
        <v>16.749999500000001</v>
      </c>
      <c r="N45" s="702">
        <v>0.53326667000000005</v>
      </c>
      <c r="O45" s="701">
        <v>321.56300161002008</v>
      </c>
      <c r="P45" s="701">
        <f t="shared" si="0"/>
        <v>603.00600000000009</v>
      </c>
      <c r="Q45" s="701">
        <v>103.83333</v>
      </c>
      <c r="R45" s="702">
        <v>0.53326667000000005</v>
      </c>
      <c r="S45" s="658" t="s">
        <v>356</v>
      </c>
      <c r="T45" s="703">
        <f t="array" ref="T45">INDEX(UtilityList!Q$4:Q$251,MATCH('Table 2.5a'!$A45&amp;'Table 2.5a'!$B45,UtilityList!$A$4:$A$251&amp;UtilityList!$C$4:$C$251,0))</f>
        <v>0</v>
      </c>
      <c r="U45" s="704" t="str">
        <f t="array" ref="U45">INDEX(UtilityList!J$4:J$251,MATCH('Table 2.5a'!$A45&amp;'Table 2.5a'!$B45,UtilityList!$A$4:$A$251&amp;UtilityList!$C$4:$C$251,0))</f>
        <v>Yukon-Koyukuk/Upper Tanana</v>
      </c>
      <c r="V45" s="704" t="str">
        <f t="array" ref="V45">INDEX(UtilityList!K$4:K$251,MATCH('Table 2.5a'!$A45&amp;'Table 2.5a'!$B45,UtilityList!$A$4:$A$251&amp;UtilityList!$C$4:$C$251,0))</f>
        <v>Yukon-Koyukuk (CA)</v>
      </c>
      <c r="W45" s="704" t="str">
        <f t="array" ref="W45">INDEX(UtilityList!L$4:L$251,MATCH('Table 2.5a'!$A45&amp;'Table 2.5a'!$B45,UtilityList!$A$4:$A$251&amp;UtilityList!$C$4:$C$251,0))</f>
        <v>Doyon</v>
      </c>
      <c r="X45" s="704" t="str">
        <f t="array" ref="X45">INDEX(UtilityList!M$4:M$251,MATCH('Table 2.5a'!$A45&amp;'Table 2.5a'!$B45,UtilityList!$A$4:$A$251&amp;UtilityList!$C$4:$C$251,0))</f>
        <v>YU</v>
      </c>
    </row>
    <row r="46" spans="1:24" s="200" customFormat="1" ht="30" x14ac:dyDescent="0.25">
      <c r="A46" s="361" t="s">
        <v>524</v>
      </c>
      <c r="B46" s="654" t="s">
        <v>78</v>
      </c>
      <c r="C46" s="701">
        <v>611.11761810000007</v>
      </c>
      <c r="D46" s="701">
        <v>1181.2460000000001</v>
      </c>
      <c r="E46" s="701">
        <v>244.33332999999999</v>
      </c>
      <c r="F46" s="702">
        <v>0.51734999999999998</v>
      </c>
      <c r="G46" s="701">
        <v>297.03546779999999</v>
      </c>
      <c r="H46" s="701">
        <v>574.14800000000002</v>
      </c>
      <c r="I46" s="701">
        <v>18.75</v>
      </c>
      <c r="J46" s="702">
        <v>0.51734999999999998</v>
      </c>
      <c r="K46" s="701">
        <v>633.40764284999989</v>
      </c>
      <c r="L46" s="701">
        <v>1224.3309999999999</v>
      </c>
      <c r="M46" s="701">
        <v>27.416667</v>
      </c>
      <c r="N46" s="702">
        <v>0.51734999999999998</v>
      </c>
      <c r="O46" s="701">
        <v>1541.56072875</v>
      </c>
      <c r="P46" s="701">
        <f t="shared" si="0"/>
        <v>2979.7250000000004</v>
      </c>
      <c r="Q46" s="701">
        <v>290.49999700000001</v>
      </c>
      <c r="R46" s="702">
        <v>0.51734999999999998</v>
      </c>
      <c r="S46" s="658" t="s">
        <v>356</v>
      </c>
      <c r="T46" s="703">
        <f t="array" ref="T46">INDEX(UtilityList!Q$4:Q$251,MATCH('Table 2.5a'!$A46&amp;'Table 2.5a'!$B46,UtilityList!$A$4:$A$251&amp;UtilityList!$C$4:$C$251,0))</f>
        <v>0</v>
      </c>
      <c r="U46" s="704" t="str">
        <f t="array" ref="U46">INDEX(UtilityList!J$4:J$251,MATCH('Table 2.5a'!$A46&amp;'Table 2.5a'!$B46,UtilityList!$A$4:$A$251&amp;UtilityList!$C$4:$C$251,0))</f>
        <v>Lower Yukon-Kuskokwim</v>
      </c>
      <c r="V46" s="704" t="str">
        <f t="array" ref="V46">INDEX(UtilityList!K$4:K$251,MATCH('Table 2.5a'!$A46&amp;'Table 2.5a'!$B46,UtilityList!$A$4:$A$251&amp;UtilityList!$C$4:$C$251,0))</f>
        <v>Wade Hampton (CA)</v>
      </c>
      <c r="W46" s="704" t="str">
        <f t="array" ref="W46">INDEX(UtilityList!L$4:L$251,MATCH('Table 2.5a'!$A46&amp;'Table 2.5a'!$B46,UtilityList!$A$4:$A$251&amp;UtilityList!$C$4:$C$251,0))</f>
        <v>Calista</v>
      </c>
      <c r="X46" s="704" t="str">
        <f t="array" ref="X46">INDEX(UtilityList!M$4:M$251,MATCH('Table 2.5a'!$A46&amp;'Table 2.5a'!$B46,UtilityList!$A$4:$A$251&amp;UtilityList!$C$4:$C$251,0))</f>
        <v>YU</v>
      </c>
    </row>
    <row r="47" spans="1:24" customFormat="1" ht="30" x14ac:dyDescent="0.25">
      <c r="A47" s="361" t="s">
        <v>524</v>
      </c>
      <c r="B47" s="654" t="s">
        <v>79</v>
      </c>
      <c r="C47" s="701">
        <v>293.21707396344999</v>
      </c>
      <c r="D47" s="701">
        <v>539.03499999999997</v>
      </c>
      <c r="E47" s="701">
        <v>90.25</v>
      </c>
      <c r="F47" s="702">
        <v>0.54396666999999999</v>
      </c>
      <c r="G47" s="701">
        <v>30.54808025386</v>
      </c>
      <c r="H47" s="701">
        <v>56.158000000000001</v>
      </c>
      <c r="I47" s="701">
        <v>9</v>
      </c>
      <c r="J47" s="702">
        <v>0.54396666999999999</v>
      </c>
      <c r="K47" s="701">
        <v>215.89057992293999</v>
      </c>
      <c r="L47" s="701">
        <v>396.88200000000001</v>
      </c>
      <c r="M47" s="701">
        <v>21.749999500000001</v>
      </c>
      <c r="N47" s="702">
        <v>0.54396666999999999</v>
      </c>
      <c r="O47" s="701">
        <v>539.65573414024993</v>
      </c>
      <c r="P47" s="701">
        <f t="shared" si="0"/>
        <v>992.07500000000005</v>
      </c>
      <c r="Q47" s="701">
        <v>120.9999995</v>
      </c>
      <c r="R47" s="702">
        <v>0.54396666999999999</v>
      </c>
      <c r="S47" s="658" t="s">
        <v>356</v>
      </c>
      <c r="T47" s="703">
        <f t="array" ref="T47">INDEX(UtilityList!Q$4:Q$251,MATCH('Table 2.5a'!$A47&amp;'Table 2.5a'!$B47,UtilityList!$A$4:$A$251&amp;UtilityList!$C$4:$C$251,0))</f>
        <v>0</v>
      </c>
      <c r="U47" s="704" t="str">
        <f t="array" ref="U47">INDEX(UtilityList!J$4:J$251,MATCH('Table 2.5a'!$A47&amp;'Table 2.5a'!$B47,UtilityList!$A$4:$A$251&amp;UtilityList!$C$4:$C$251,0))</f>
        <v>Yukon-Koyukuk/Upper Tanana</v>
      </c>
      <c r="V47" s="704" t="str">
        <f t="array" ref="V47">INDEX(UtilityList!K$4:K$251,MATCH('Table 2.5a'!$A47&amp;'Table 2.5a'!$B47,UtilityList!$A$4:$A$251&amp;UtilityList!$C$4:$C$251,0))</f>
        <v>Yukon-Koyukuk (CA)</v>
      </c>
      <c r="W47" s="704" t="str">
        <f t="array" ref="W47">INDEX(UtilityList!L$4:L$251,MATCH('Table 2.5a'!$A47&amp;'Table 2.5a'!$B47,UtilityList!$A$4:$A$251&amp;UtilityList!$C$4:$C$251,0))</f>
        <v>Doyon</v>
      </c>
      <c r="X47" s="704" t="str">
        <f t="array" ref="X47">INDEX(UtilityList!M$4:M$251,MATCH('Table 2.5a'!$A47&amp;'Table 2.5a'!$B47,UtilityList!$A$4:$A$251&amp;UtilityList!$C$4:$C$251,0))</f>
        <v>YU</v>
      </c>
    </row>
    <row r="48" spans="1:24" customFormat="1" ht="75" x14ac:dyDescent="0.25">
      <c r="A48" s="361" t="s">
        <v>524</v>
      </c>
      <c r="B48" s="654" t="s">
        <v>997</v>
      </c>
      <c r="C48" s="701">
        <v>200.29327185</v>
      </c>
      <c r="D48" s="701">
        <v>345.363</v>
      </c>
      <c r="E48" s="701">
        <v>74.833336000000003</v>
      </c>
      <c r="F48" s="702">
        <v>0.57994999999999997</v>
      </c>
      <c r="G48" s="701">
        <v>96.563994799999989</v>
      </c>
      <c r="H48" s="701">
        <v>166.50399999999999</v>
      </c>
      <c r="I48" s="701">
        <v>11.681818</v>
      </c>
      <c r="J48" s="702">
        <v>0.57994999999999997</v>
      </c>
      <c r="K48" s="701">
        <v>247.43645623199998</v>
      </c>
      <c r="L48" s="701">
        <v>426.65136000000001</v>
      </c>
      <c r="M48" s="701">
        <v>21.416667</v>
      </c>
      <c r="N48" s="702">
        <v>0.57994999999999997</v>
      </c>
      <c r="O48" s="701">
        <v>544.293722882</v>
      </c>
      <c r="P48" s="701">
        <f t="shared" si="0"/>
        <v>938.51836000000003</v>
      </c>
      <c r="Q48" s="701">
        <v>107.931821</v>
      </c>
      <c r="R48" s="702">
        <v>0.57994999999999997</v>
      </c>
      <c r="S48" s="658" t="s">
        <v>356</v>
      </c>
      <c r="T48" s="703" t="str">
        <f t="array" ref="T48">INDEX(UtilityList!Q$4:Q$251,MATCH('Table 2.5a'!$A48&amp;'Table 2.5a'!$B48,UtilityList!$A$4:$A$251&amp;UtilityList!$C$4:$C$251,0))</f>
        <v>Provides power to Lower Kalskag via intertie. Fuel use and cost data includes information for Lower Kalskag.</v>
      </c>
      <c r="U48" s="704" t="str">
        <f t="array" ref="U48">INDEX(UtilityList!J$4:J$251,MATCH('Table 2.5a'!$A48&amp;'Table 2.5a'!$B48,UtilityList!$A$4:$A$251&amp;UtilityList!$C$4:$C$251,0))</f>
        <v>Lower Yukon-Kuskokwim</v>
      </c>
      <c r="V48" s="704" t="str">
        <f t="array" ref="V48">INDEX(UtilityList!K$4:K$251,MATCH('Table 2.5a'!$A48&amp;'Table 2.5a'!$B48,UtilityList!$A$4:$A$251&amp;UtilityList!$C$4:$C$251,0))</f>
        <v>Bethel (CA)</v>
      </c>
      <c r="W48" s="704" t="str">
        <f t="array" ref="W48">INDEX(UtilityList!L$4:L$251,MATCH('Table 2.5a'!$A48&amp;'Table 2.5a'!$B48,UtilityList!$A$4:$A$251&amp;UtilityList!$C$4:$C$251,0))</f>
        <v>Calista</v>
      </c>
      <c r="X48" s="704" t="str">
        <f t="array" ref="X48">INDEX(UtilityList!M$4:M$251,MATCH('Table 2.5a'!$A48&amp;'Table 2.5a'!$B48,UtilityList!$A$4:$A$251&amp;UtilityList!$C$4:$C$251,0))</f>
        <v>SW</v>
      </c>
    </row>
    <row r="49" spans="1:24" customFormat="1" ht="30" x14ac:dyDescent="0.25">
      <c r="A49" s="361" t="s">
        <v>524</v>
      </c>
      <c r="B49" s="654" t="s">
        <v>80</v>
      </c>
      <c r="C49" s="701">
        <v>154.09342257126997</v>
      </c>
      <c r="D49" s="701">
        <v>296.38099999999997</v>
      </c>
      <c r="E49" s="701">
        <v>76.25</v>
      </c>
      <c r="F49" s="702">
        <v>0.51991666999999997</v>
      </c>
      <c r="G49" s="701">
        <v>32.483353708259997</v>
      </c>
      <c r="H49" s="701">
        <v>62.478000000000002</v>
      </c>
      <c r="I49" s="701">
        <v>14.666667</v>
      </c>
      <c r="J49" s="702">
        <v>0.51991666999999997</v>
      </c>
      <c r="K49" s="701">
        <v>169.82454125545999</v>
      </c>
      <c r="L49" s="701">
        <v>326.63799999999998</v>
      </c>
      <c r="M49" s="701">
        <v>19.083333</v>
      </c>
      <c r="N49" s="702">
        <v>0.51991666999999997</v>
      </c>
      <c r="O49" s="701">
        <v>356.40131753498997</v>
      </c>
      <c r="P49" s="701">
        <f t="shared" si="0"/>
        <v>685.49699999999996</v>
      </c>
      <c r="Q49" s="701">
        <v>110</v>
      </c>
      <c r="R49" s="702">
        <v>0.51991666999999997</v>
      </c>
      <c r="S49" s="658" t="s">
        <v>356</v>
      </c>
      <c r="T49" s="703">
        <f t="array" ref="T49">INDEX(UtilityList!Q$4:Q$251,MATCH('Table 2.5a'!$A49&amp;'Table 2.5a'!$B49,UtilityList!$A$4:$A$251&amp;UtilityList!$C$4:$C$251,0))</f>
        <v>0</v>
      </c>
      <c r="U49" s="704" t="str">
        <f t="array" ref="U49">INDEX(UtilityList!J$4:J$251,MATCH('Table 2.5a'!$A49&amp;'Table 2.5a'!$B49,UtilityList!$A$4:$A$251&amp;UtilityList!$C$4:$C$251,0))</f>
        <v>Yukon-Koyukuk/Upper Tanana</v>
      </c>
      <c r="V49" s="704" t="str">
        <f t="array" ref="V49">INDEX(UtilityList!K$4:K$251,MATCH('Table 2.5a'!$A49&amp;'Table 2.5a'!$B49,UtilityList!$A$4:$A$251&amp;UtilityList!$C$4:$C$251,0))</f>
        <v>Yukon-Koyukuk (CA)</v>
      </c>
      <c r="W49" s="704" t="str">
        <f t="array" ref="W49">INDEX(UtilityList!L$4:L$251,MATCH('Table 2.5a'!$A49&amp;'Table 2.5a'!$B49,UtilityList!$A$4:$A$251&amp;UtilityList!$C$4:$C$251,0))</f>
        <v>Doyon</v>
      </c>
      <c r="X49" s="704" t="str">
        <f t="array" ref="X49">INDEX(UtilityList!M$4:M$251,MATCH('Table 2.5a'!$A49&amp;'Table 2.5a'!$B49,UtilityList!$A$4:$A$251&amp;UtilityList!$C$4:$C$251,0))</f>
        <v>YU</v>
      </c>
    </row>
    <row r="50" spans="1:24" customFormat="1" ht="75" x14ac:dyDescent="0.25">
      <c r="A50" s="361" t="s">
        <v>524</v>
      </c>
      <c r="B50" s="654" t="s">
        <v>992</v>
      </c>
      <c r="C50" s="701">
        <v>324.03442525834998</v>
      </c>
      <c r="D50" s="701">
        <v>609.995</v>
      </c>
      <c r="E50" s="701">
        <v>124.75</v>
      </c>
      <c r="F50" s="702">
        <v>0.53120833000000001</v>
      </c>
      <c r="G50" s="701">
        <v>198.51255292100001</v>
      </c>
      <c r="H50" s="701">
        <v>373.7</v>
      </c>
      <c r="I50" s="701">
        <v>18.916665999999999</v>
      </c>
      <c r="J50" s="702">
        <v>0.53120833000000001</v>
      </c>
      <c r="K50" s="701">
        <v>303.89100538475003</v>
      </c>
      <c r="L50" s="701">
        <v>572.07500000000005</v>
      </c>
      <c r="M50" s="701">
        <v>19.833333</v>
      </c>
      <c r="N50" s="702">
        <v>0.53120833000000001</v>
      </c>
      <c r="O50" s="701">
        <v>826.43798356410002</v>
      </c>
      <c r="P50" s="701">
        <f t="shared" si="0"/>
        <v>1555.77</v>
      </c>
      <c r="Q50" s="701">
        <v>163.499999</v>
      </c>
      <c r="R50" s="702">
        <v>0.53120833000000001</v>
      </c>
      <c r="S50" s="658" t="s">
        <v>356</v>
      </c>
      <c r="T50" s="703" t="str">
        <f t="array" ref="T50">INDEX(UtilityList!Q$4:Q$251,MATCH('Table 2.5a'!$A50&amp;'Table 2.5a'!$B50,UtilityList!$A$4:$A$251&amp;UtilityList!$C$4:$C$251,0))</f>
        <v>Provides power to Nunapitchuk via intertie.  Fuel use and cost includes Nunapitchuk's information.</v>
      </c>
      <c r="U50" s="704" t="str">
        <f t="array" ref="U50">INDEX(UtilityList!J$4:J$251,MATCH('Table 2.5a'!$A50&amp;'Table 2.5a'!$B50,UtilityList!$A$4:$A$251&amp;UtilityList!$C$4:$C$251,0))</f>
        <v>Lower Yukon-Kuskokwim</v>
      </c>
      <c r="V50" s="704" t="str">
        <f t="array" ref="V50">INDEX(UtilityList!K$4:K$251,MATCH('Table 2.5a'!$A50&amp;'Table 2.5a'!$B50,UtilityList!$A$4:$A$251&amp;UtilityList!$C$4:$C$251,0))</f>
        <v>Bethel (CA)</v>
      </c>
      <c r="W50" s="704" t="str">
        <f t="array" ref="W50">INDEX(UtilityList!L$4:L$251,MATCH('Table 2.5a'!$A50&amp;'Table 2.5a'!$B50,UtilityList!$A$4:$A$251&amp;UtilityList!$C$4:$C$251,0))</f>
        <v>Calista</v>
      </c>
      <c r="X50" s="704" t="str">
        <f t="array" ref="X50">INDEX(UtilityList!M$4:M$251,MATCH('Table 2.5a'!$A50&amp;'Table 2.5a'!$B50,UtilityList!$A$4:$A$251&amp;UtilityList!$C$4:$C$251,0))</f>
        <v>SW</v>
      </c>
    </row>
    <row r="51" spans="1:24" customFormat="1" ht="30" x14ac:dyDescent="0.25">
      <c r="A51" s="361" t="s">
        <v>524</v>
      </c>
      <c r="B51" s="654" t="s">
        <v>82</v>
      </c>
      <c r="C51" s="701">
        <v>390.93329600000004</v>
      </c>
      <c r="D51" s="701">
        <v>599.93600000000004</v>
      </c>
      <c r="E51" s="701">
        <v>123.75</v>
      </c>
      <c r="F51" s="702">
        <v>0.65162500000000001</v>
      </c>
      <c r="G51" s="701">
        <v>126.72151375</v>
      </c>
      <c r="H51" s="701">
        <v>194.47</v>
      </c>
      <c r="I51" s="701">
        <v>12.416667</v>
      </c>
      <c r="J51" s="702">
        <v>0.65162500000000001</v>
      </c>
      <c r="K51" s="701">
        <v>418.92189300000001</v>
      </c>
      <c r="L51" s="701">
        <v>642.88800000000003</v>
      </c>
      <c r="M51" s="701">
        <v>18.666666499999998</v>
      </c>
      <c r="N51" s="702">
        <v>0.65162500000000001</v>
      </c>
      <c r="O51" s="701">
        <v>936.57670275000009</v>
      </c>
      <c r="P51" s="701">
        <f t="shared" si="0"/>
        <v>1437.2940000000001</v>
      </c>
      <c r="Q51" s="701">
        <v>154.83333349999998</v>
      </c>
      <c r="R51" s="702">
        <v>0.65162500000000001</v>
      </c>
      <c r="S51" s="658" t="s">
        <v>356</v>
      </c>
      <c r="T51" s="703">
        <f t="array" ref="T51">INDEX(UtilityList!Q$4:Q$251,MATCH('Table 2.5a'!$A51&amp;'Table 2.5a'!$B51,UtilityList!$A$4:$A$251&amp;UtilityList!$C$4:$C$251,0))</f>
        <v>0</v>
      </c>
      <c r="U51" s="704" t="str">
        <f t="array" ref="U51">INDEX(UtilityList!J$4:J$251,MATCH('Table 2.5a'!$A51&amp;'Table 2.5a'!$B51,UtilityList!$A$4:$A$251&amp;UtilityList!$C$4:$C$251,0))</f>
        <v>Northwest Arctic</v>
      </c>
      <c r="V51" s="704" t="str">
        <f t="array" ref="V51">INDEX(UtilityList!K$4:K$251,MATCH('Table 2.5a'!$A51&amp;'Table 2.5a'!$B51,UtilityList!$A$4:$A$251&amp;UtilityList!$C$4:$C$251,0))</f>
        <v>Northwest Arctic</v>
      </c>
      <c r="W51" s="704" t="str">
        <f t="array" ref="W51">INDEX(UtilityList!L$4:L$251,MATCH('Table 2.5a'!$A51&amp;'Table 2.5a'!$B51,UtilityList!$A$4:$A$251&amp;UtilityList!$C$4:$C$251,0))</f>
        <v>NANA</v>
      </c>
      <c r="X51" s="704" t="str">
        <f t="array" ref="X51">INDEX(UtilityList!M$4:M$251,MATCH('Table 2.5a'!$A51&amp;'Table 2.5a'!$B51,UtilityList!$A$4:$A$251&amp;UtilityList!$C$4:$C$251,0))</f>
        <v>AN</v>
      </c>
    </row>
    <row r="52" spans="1:24" customFormat="1" ht="30" x14ac:dyDescent="0.25">
      <c r="A52" s="361" t="s">
        <v>524</v>
      </c>
      <c r="B52" s="654" t="s">
        <v>83</v>
      </c>
      <c r="C52" s="701">
        <v>310.91915888890998</v>
      </c>
      <c r="D52" s="701">
        <v>486.673</v>
      </c>
      <c r="E52" s="701">
        <v>84.5</v>
      </c>
      <c r="F52" s="702">
        <v>0.63886666999999997</v>
      </c>
      <c r="G52" s="701">
        <v>113.19056339058</v>
      </c>
      <c r="H52" s="701">
        <v>177.17400000000001</v>
      </c>
      <c r="I52" s="701">
        <v>10.166667</v>
      </c>
      <c r="J52" s="702">
        <v>0.63886666999999997</v>
      </c>
      <c r="K52" s="701">
        <v>314.02916183846997</v>
      </c>
      <c r="L52" s="701">
        <v>491.541</v>
      </c>
      <c r="M52" s="701">
        <v>17.5</v>
      </c>
      <c r="N52" s="702">
        <v>0.63886666999999997</v>
      </c>
      <c r="O52" s="701">
        <v>738.13888411795995</v>
      </c>
      <c r="P52" s="701">
        <f t="shared" si="0"/>
        <v>1155.3879999999999</v>
      </c>
      <c r="Q52" s="701">
        <v>112.166667</v>
      </c>
      <c r="R52" s="702">
        <v>0.63886666999999997</v>
      </c>
      <c r="S52" s="658" t="s">
        <v>356</v>
      </c>
      <c r="T52" s="703">
        <f t="array" ref="T52">INDEX(UtilityList!Q$4:Q$251,MATCH('Table 2.5a'!$A52&amp;'Table 2.5a'!$B52,UtilityList!$A$4:$A$251&amp;UtilityList!$C$4:$C$251,0))</f>
        <v>0</v>
      </c>
      <c r="U52" s="704" t="str">
        <f t="array" ref="U52">INDEX(UtilityList!J$4:J$251,MATCH('Table 2.5a'!$A52&amp;'Table 2.5a'!$B52,UtilityList!$A$4:$A$251&amp;UtilityList!$C$4:$C$251,0))</f>
        <v>Northwest Arctic</v>
      </c>
      <c r="V52" s="704" t="str">
        <f t="array" ref="V52">INDEX(UtilityList!K$4:K$251,MATCH('Table 2.5a'!$A52&amp;'Table 2.5a'!$B52,UtilityList!$A$4:$A$251&amp;UtilityList!$C$4:$C$251,0))</f>
        <v>Northwest Arctic</v>
      </c>
      <c r="W52" s="704" t="str">
        <f t="array" ref="W52">INDEX(UtilityList!L$4:L$251,MATCH('Table 2.5a'!$A52&amp;'Table 2.5a'!$B52,UtilityList!$A$4:$A$251&amp;UtilityList!$C$4:$C$251,0))</f>
        <v>NANA</v>
      </c>
      <c r="X52" s="704" t="str">
        <f t="array" ref="X52">INDEX(UtilityList!M$4:M$251,MATCH('Table 2.5a'!$A52&amp;'Table 2.5a'!$B52,UtilityList!$A$4:$A$251&amp;UtilityList!$C$4:$C$251,0))</f>
        <v>AN</v>
      </c>
    </row>
    <row r="53" spans="1:24" customFormat="1" ht="30" x14ac:dyDescent="0.25">
      <c r="A53" s="361" t="s">
        <v>524</v>
      </c>
      <c r="B53" s="654" t="s">
        <v>84</v>
      </c>
      <c r="C53" s="701">
        <v>436.40659425000001</v>
      </c>
      <c r="D53" s="701">
        <v>745.03899999999999</v>
      </c>
      <c r="E53" s="701">
        <v>131.66667000000001</v>
      </c>
      <c r="F53" s="702">
        <v>0.58574999999999999</v>
      </c>
      <c r="G53" s="701">
        <v>173.75980874999999</v>
      </c>
      <c r="H53" s="701">
        <v>296.64499999999998</v>
      </c>
      <c r="I53" s="701">
        <v>13.583333</v>
      </c>
      <c r="J53" s="702">
        <v>0.58574999999999999</v>
      </c>
      <c r="K53" s="701">
        <v>464.66141699999997</v>
      </c>
      <c r="L53" s="701">
        <v>793.27599999999995</v>
      </c>
      <c r="M53" s="701">
        <v>19.5</v>
      </c>
      <c r="N53" s="702">
        <v>0.58574999999999999</v>
      </c>
      <c r="O53" s="701">
        <v>1074.82782</v>
      </c>
      <c r="P53" s="701">
        <f t="shared" si="0"/>
        <v>1834.96</v>
      </c>
      <c r="Q53" s="701">
        <v>164.75000300000002</v>
      </c>
      <c r="R53" s="702">
        <v>0.58574999999999999</v>
      </c>
      <c r="S53" s="658" t="s">
        <v>356</v>
      </c>
      <c r="T53" s="703">
        <f t="array" ref="T53">INDEX(UtilityList!Q$4:Q$251,MATCH('Table 2.5a'!$A53&amp;'Table 2.5a'!$B53,UtilityList!$A$4:$A$251&amp;UtilityList!$C$4:$C$251,0))</f>
        <v>0</v>
      </c>
      <c r="U53" s="704" t="str">
        <f t="array" ref="U53">INDEX(UtilityList!J$4:J$251,MATCH('Table 2.5a'!$A53&amp;'Table 2.5a'!$B53,UtilityList!$A$4:$A$251&amp;UtilityList!$C$4:$C$251,0))</f>
        <v>Lower Yukon-Kuskokwim</v>
      </c>
      <c r="V53" s="704" t="str">
        <f t="array" ref="V53">INDEX(UtilityList!K$4:K$251,MATCH('Table 2.5a'!$A53&amp;'Table 2.5a'!$B53,UtilityList!$A$4:$A$251&amp;UtilityList!$C$4:$C$251,0))</f>
        <v>Wade Hampton (CA)</v>
      </c>
      <c r="W53" s="704" t="str">
        <f t="array" ref="W53">INDEX(UtilityList!L$4:L$251,MATCH('Table 2.5a'!$A53&amp;'Table 2.5a'!$B53,UtilityList!$A$4:$A$251&amp;UtilityList!$C$4:$C$251,0))</f>
        <v>Calista</v>
      </c>
      <c r="X53" s="704" t="str">
        <f t="array" ref="X53">INDEX(UtilityList!M$4:M$251,MATCH('Table 2.5a'!$A53&amp;'Table 2.5a'!$B53,UtilityList!$A$4:$A$251&amp;UtilityList!$C$4:$C$251,0))</f>
        <v>YU</v>
      </c>
    </row>
    <row r="54" spans="1:24" customFormat="1" ht="30" x14ac:dyDescent="0.25">
      <c r="A54" s="361" t="s">
        <v>524</v>
      </c>
      <c r="B54" s="654" t="s">
        <v>85</v>
      </c>
      <c r="C54" s="701">
        <v>276.19662012831003</v>
      </c>
      <c r="D54" s="701">
        <v>501.50700000000001</v>
      </c>
      <c r="E54" s="701">
        <v>90.75</v>
      </c>
      <c r="F54" s="702">
        <v>0.55073333000000002</v>
      </c>
      <c r="G54" s="701">
        <v>132.67110846367001</v>
      </c>
      <c r="H54" s="701">
        <v>240.899</v>
      </c>
      <c r="I54" s="701">
        <v>19.333334000000001</v>
      </c>
      <c r="J54" s="702">
        <v>0.55073333000000002</v>
      </c>
      <c r="K54" s="701">
        <v>293.64164908939</v>
      </c>
      <c r="L54" s="701">
        <v>533.18299999999999</v>
      </c>
      <c r="M54" s="701">
        <v>20.75</v>
      </c>
      <c r="N54" s="702">
        <v>0.55073333000000002</v>
      </c>
      <c r="O54" s="701">
        <v>702.5093776813701</v>
      </c>
      <c r="P54" s="701">
        <f t="shared" si="0"/>
        <v>1275.5889999999999</v>
      </c>
      <c r="Q54" s="701">
        <v>130.83333400000001</v>
      </c>
      <c r="R54" s="702">
        <v>0.55073333000000002</v>
      </c>
      <c r="S54" s="658" t="s">
        <v>356</v>
      </c>
      <c r="T54" s="703">
        <f t="array" ref="T54">INDEX(UtilityList!Q$4:Q$251,MATCH('Table 2.5a'!$A54&amp;'Table 2.5a'!$B54,UtilityList!$A$4:$A$251&amp;UtilityList!$C$4:$C$251,0))</f>
        <v>0</v>
      </c>
      <c r="U54" s="704" t="str">
        <f t="array" ref="U54">INDEX(UtilityList!J$4:J$251,MATCH('Table 2.5a'!$A54&amp;'Table 2.5a'!$B54,UtilityList!$A$4:$A$251&amp;UtilityList!$C$4:$C$251,0))</f>
        <v>Bering Straits</v>
      </c>
      <c r="V54" s="704" t="str">
        <f t="array" ref="V54">INDEX(UtilityList!K$4:K$251,MATCH('Table 2.5a'!$A54&amp;'Table 2.5a'!$B54,UtilityList!$A$4:$A$251&amp;UtilityList!$C$4:$C$251,0))</f>
        <v>Nome (CA)</v>
      </c>
      <c r="W54" s="704" t="str">
        <f t="array" ref="W54">INDEX(UtilityList!L$4:L$251,MATCH('Table 2.5a'!$A54&amp;'Table 2.5a'!$B54,UtilityList!$A$4:$A$251&amp;UtilityList!$C$4:$C$251,0))</f>
        <v>Bering Straits</v>
      </c>
      <c r="X54" s="704" t="str">
        <f t="array" ref="X54">INDEX(UtilityList!M$4:M$251,MATCH('Table 2.5a'!$A54&amp;'Table 2.5a'!$B54,UtilityList!$A$4:$A$251&amp;UtilityList!$C$4:$C$251,0))</f>
        <v>AN</v>
      </c>
    </row>
    <row r="55" spans="1:24" customFormat="1" ht="75" x14ac:dyDescent="0.25">
      <c r="A55" s="361" t="s">
        <v>524</v>
      </c>
      <c r="B55" s="654" t="s">
        <v>86</v>
      </c>
      <c r="C55" s="701">
        <v>178.62054035</v>
      </c>
      <c r="D55" s="701">
        <v>307.99299999999999</v>
      </c>
      <c r="E55" s="701">
        <v>83.666663999999997</v>
      </c>
      <c r="F55" s="702">
        <v>0.57994999999999997</v>
      </c>
      <c r="G55" s="701">
        <v>34.629500000899995</v>
      </c>
      <c r="H55" s="701">
        <v>59.711182000000001</v>
      </c>
      <c r="I55" s="701">
        <v>4.5</v>
      </c>
      <c r="J55" s="702">
        <v>0.57994999999999997</v>
      </c>
      <c r="K55" s="701">
        <v>96.702075675450004</v>
      </c>
      <c r="L55" s="701">
        <v>166.74209100000002</v>
      </c>
      <c r="M55" s="701">
        <v>8.8333332999999996</v>
      </c>
      <c r="N55" s="702">
        <v>0.57994999999999997</v>
      </c>
      <c r="O55" s="701">
        <v>309.95211602635004</v>
      </c>
      <c r="P55" s="701">
        <f t="shared" si="0"/>
        <v>534.44627300000002</v>
      </c>
      <c r="Q55" s="701">
        <v>96.99999729999999</v>
      </c>
      <c r="R55" s="702">
        <v>0.57994999999999997</v>
      </c>
      <c r="S55" s="658" t="s">
        <v>356</v>
      </c>
      <c r="T55" s="703" t="str">
        <f t="array" ref="T55">INDEX(UtilityList!Q$4:Q$251,MATCH('Table 2.5a'!$A55&amp;'Table 2.5a'!$B55,UtilityList!$A$4:$A$251&amp;UtilityList!$C$4:$C$251,0))</f>
        <v>Receives power from (Upper) Kalskag via intertie. For fuel use and cost, please refer to (Upper) Kalskag.</v>
      </c>
      <c r="U55" s="704" t="str">
        <f t="array" ref="U55">INDEX(UtilityList!J$4:J$251,MATCH('Table 2.5a'!$A55&amp;'Table 2.5a'!$B55,UtilityList!$A$4:$A$251&amp;UtilityList!$C$4:$C$251,0))</f>
        <v>Lower Yukon-Kuskokwim</v>
      </c>
      <c r="V55" s="704" t="str">
        <f t="array" ref="V55">INDEX(UtilityList!K$4:K$251,MATCH('Table 2.5a'!$A55&amp;'Table 2.5a'!$B55,UtilityList!$A$4:$A$251&amp;UtilityList!$C$4:$C$251,0))</f>
        <v>Bethel (CA)</v>
      </c>
      <c r="W55" s="704" t="str">
        <f t="array" ref="W55">INDEX(UtilityList!L$4:L$251,MATCH('Table 2.5a'!$A55&amp;'Table 2.5a'!$B55,UtilityList!$A$4:$A$251&amp;UtilityList!$C$4:$C$251,0))</f>
        <v>Calista</v>
      </c>
      <c r="X55" s="704" t="str">
        <f t="array" ref="X55">INDEX(UtilityList!M$4:M$251,MATCH('Table 2.5a'!$A55&amp;'Table 2.5a'!$B55,UtilityList!$A$4:$A$251&amp;UtilityList!$C$4:$C$251,0))</f>
        <v>SW</v>
      </c>
    </row>
    <row r="56" spans="1:24" customFormat="1" ht="30" x14ac:dyDescent="0.25">
      <c r="A56" s="361" t="s">
        <v>524</v>
      </c>
      <c r="B56" s="654" t="s">
        <v>87</v>
      </c>
      <c r="C56" s="701">
        <v>286.82248259999994</v>
      </c>
      <c r="D56" s="701">
        <v>569.06399999999996</v>
      </c>
      <c r="E56" s="701">
        <v>111.83334000000001</v>
      </c>
      <c r="F56" s="702">
        <v>0.50402499999999995</v>
      </c>
      <c r="G56" s="701">
        <v>104.34829574999999</v>
      </c>
      <c r="H56" s="701">
        <v>207.03</v>
      </c>
      <c r="I56" s="701">
        <v>13.916667</v>
      </c>
      <c r="J56" s="702">
        <v>0.50402499999999995</v>
      </c>
      <c r="K56" s="701">
        <v>412.36956582499994</v>
      </c>
      <c r="L56" s="701">
        <v>818.15300000000002</v>
      </c>
      <c r="M56" s="701">
        <v>24.666667</v>
      </c>
      <c r="N56" s="702">
        <v>0.50402499999999995</v>
      </c>
      <c r="O56" s="701">
        <v>803.54034417499986</v>
      </c>
      <c r="P56" s="701">
        <f t="shared" si="0"/>
        <v>1594.2469999999998</v>
      </c>
      <c r="Q56" s="701">
        <v>150.416674</v>
      </c>
      <c r="R56" s="702">
        <v>0.50402499999999995</v>
      </c>
      <c r="S56" s="658" t="s">
        <v>356</v>
      </c>
      <c r="T56" s="703">
        <f t="array" ref="T56">INDEX(UtilityList!Q$4:Q$251,MATCH('Table 2.5a'!$A56&amp;'Table 2.5a'!$B56,UtilityList!$A$4:$A$251&amp;UtilityList!$C$4:$C$251,0))</f>
        <v>0</v>
      </c>
      <c r="U56" s="704" t="str">
        <f t="array" ref="U56">INDEX(UtilityList!J$4:J$251,MATCH('Table 2.5a'!$A56&amp;'Table 2.5a'!$B56,UtilityList!$A$4:$A$251&amp;UtilityList!$C$4:$C$251,0))</f>
        <v>Lower Yukon-Kuskokwim</v>
      </c>
      <c r="V56" s="704" t="str">
        <f t="array" ref="V56">INDEX(UtilityList!K$4:K$251,MATCH('Table 2.5a'!$A56&amp;'Table 2.5a'!$B56,UtilityList!$A$4:$A$251&amp;UtilityList!$C$4:$C$251,0))</f>
        <v>Wade Hampton (CA)</v>
      </c>
      <c r="W56" s="704" t="str">
        <f t="array" ref="W56">INDEX(UtilityList!L$4:L$251,MATCH('Table 2.5a'!$A56&amp;'Table 2.5a'!$B56,UtilityList!$A$4:$A$251&amp;UtilityList!$C$4:$C$251,0))</f>
        <v>Calista</v>
      </c>
      <c r="X56" s="704" t="str">
        <f t="array" ref="X56">INDEX(UtilityList!M$4:M$251,MATCH('Table 2.5a'!$A56&amp;'Table 2.5a'!$B56,UtilityList!$A$4:$A$251&amp;UtilityList!$C$4:$C$251,0))</f>
        <v>YU</v>
      </c>
    </row>
    <row r="57" spans="1:24" customFormat="1" ht="30" x14ac:dyDescent="0.25">
      <c r="A57" s="361" t="s">
        <v>524</v>
      </c>
      <c r="B57" s="654" t="s">
        <v>88</v>
      </c>
      <c r="C57" s="701">
        <v>178.00875011510999</v>
      </c>
      <c r="D57" s="701">
        <v>325.46699999999998</v>
      </c>
      <c r="E57" s="701">
        <v>102</v>
      </c>
      <c r="F57" s="702">
        <v>0.54693333</v>
      </c>
      <c r="G57" s="701">
        <v>93.926802374221495</v>
      </c>
      <c r="H57" s="701">
        <v>171.73354999999998</v>
      </c>
      <c r="I57" s="701">
        <v>18.878788</v>
      </c>
      <c r="J57" s="702">
        <v>0.54693333</v>
      </c>
      <c r="K57" s="701">
        <v>211.47286591116</v>
      </c>
      <c r="L57" s="701">
        <v>386.65199999999999</v>
      </c>
      <c r="M57" s="701">
        <v>26.666667</v>
      </c>
      <c r="N57" s="702">
        <v>0.54693333</v>
      </c>
      <c r="O57" s="701">
        <v>483.40841840049148</v>
      </c>
      <c r="P57" s="701">
        <f t="shared" si="0"/>
        <v>883.85254999999995</v>
      </c>
      <c r="Q57" s="701">
        <v>147.545455</v>
      </c>
      <c r="R57" s="702">
        <v>0.54693333</v>
      </c>
      <c r="S57" s="658" t="s">
        <v>356</v>
      </c>
      <c r="T57" s="703">
        <f t="array" ref="T57">INDEX(UtilityList!Q$4:Q$251,MATCH('Table 2.5a'!$A57&amp;'Table 2.5a'!$B57,UtilityList!$A$4:$A$251&amp;UtilityList!$C$4:$C$251,0))</f>
        <v>0</v>
      </c>
      <c r="U57" s="704" t="str">
        <f t="array" ref="U57">INDEX(UtilityList!J$4:J$251,MATCH('Table 2.5a'!$A57&amp;'Table 2.5a'!$B57,UtilityList!$A$4:$A$251&amp;UtilityList!$C$4:$C$251,0))</f>
        <v>Lower Yukon-Kuskokwim</v>
      </c>
      <c r="V57" s="704" t="str">
        <f t="array" ref="V57">INDEX(UtilityList!K$4:K$251,MATCH('Table 2.5a'!$A57&amp;'Table 2.5a'!$B57,UtilityList!$A$4:$A$251&amp;UtilityList!$C$4:$C$251,0))</f>
        <v>Bethel (CA)</v>
      </c>
      <c r="W57" s="704" t="str">
        <f t="array" ref="W57">INDEX(UtilityList!L$4:L$251,MATCH('Table 2.5a'!$A57&amp;'Table 2.5a'!$B57,UtilityList!$A$4:$A$251&amp;UtilityList!$C$4:$C$251,0))</f>
        <v>Calista</v>
      </c>
      <c r="X57" s="704" t="str">
        <f t="array" ref="X57">INDEX(UtilityList!M$4:M$251,MATCH('Table 2.5a'!$A57&amp;'Table 2.5a'!$B57,UtilityList!$A$4:$A$251&amp;UtilityList!$C$4:$C$251,0))</f>
        <v>SW</v>
      </c>
    </row>
    <row r="58" spans="1:24" customFormat="1" ht="30" x14ac:dyDescent="0.25">
      <c r="A58" s="361" t="s">
        <v>524</v>
      </c>
      <c r="B58" s="654" t="s">
        <v>89</v>
      </c>
      <c r="C58" s="701">
        <v>179.94974312499997</v>
      </c>
      <c r="D58" s="701">
        <v>305.32299999999998</v>
      </c>
      <c r="E58" s="701">
        <v>86</v>
      </c>
      <c r="F58" s="702">
        <v>0.58937499999999998</v>
      </c>
      <c r="G58" s="701">
        <v>29.536528125</v>
      </c>
      <c r="H58" s="701">
        <v>50.115000000000002</v>
      </c>
      <c r="I58" s="701">
        <v>12.25</v>
      </c>
      <c r="J58" s="702">
        <v>0.58937499999999998</v>
      </c>
      <c r="K58" s="701">
        <v>155.514255625</v>
      </c>
      <c r="L58" s="701">
        <v>263.863</v>
      </c>
      <c r="M58" s="701">
        <v>12.333333</v>
      </c>
      <c r="N58" s="702">
        <v>0.58937499999999998</v>
      </c>
      <c r="O58" s="701">
        <v>365.00052687499999</v>
      </c>
      <c r="P58" s="701">
        <f t="shared" si="0"/>
        <v>619.30099999999993</v>
      </c>
      <c r="Q58" s="701">
        <v>110.583333</v>
      </c>
      <c r="R58" s="702">
        <v>0.58937499999999998</v>
      </c>
      <c r="S58" s="658" t="s">
        <v>356</v>
      </c>
      <c r="T58" s="703">
        <f t="array" ref="T58">INDEX(UtilityList!Q$4:Q$251,MATCH('Table 2.5a'!$A58&amp;'Table 2.5a'!$B58,UtilityList!$A$4:$A$251&amp;UtilityList!$C$4:$C$251,0))</f>
        <v>0</v>
      </c>
      <c r="U58" s="704" t="str">
        <f t="array" ref="U58">INDEX(UtilityList!J$4:J$251,MATCH('Table 2.5a'!$A58&amp;'Table 2.5a'!$B58,UtilityList!$A$4:$A$251&amp;UtilityList!$C$4:$C$251,0))</f>
        <v>Yukon-Koyukuk/Upper Tanana</v>
      </c>
      <c r="V58" s="704" t="str">
        <f t="array" ref="V58">INDEX(UtilityList!K$4:K$251,MATCH('Table 2.5a'!$A58&amp;'Table 2.5a'!$B58,UtilityList!$A$4:$A$251&amp;UtilityList!$C$4:$C$251,0))</f>
        <v>Yukon-Koyukuk (CA)</v>
      </c>
      <c r="W58" s="704" t="str">
        <f t="array" ref="W58">INDEX(UtilityList!L$4:L$251,MATCH('Table 2.5a'!$A58&amp;'Table 2.5a'!$B58,UtilityList!$A$4:$A$251&amp;UtilityList!$C$4:$C$251,0))</f>
        <v>Doyon</v>
      </c>
      <c r="X58" s="704" t="str">
        <f t="array" ref="X58">INDEX(UtilityList!M$4:M$251,MATCH('Table 2.5a'!$A58&amp;'Table 2.5a'!$B58,UtilityList!$A$4:$A$251&amp;UtilityList!$C$4:$C$251,0))</f>
        <v>YU</v>
      </c>
    </row>
    <row r="59" spans="1:24" customFormat="1" ht="30" x14ac:dyDescent="0.25">
      <c r="A59" s="361" t="s">
        <v>524</v>
      </c>
      <c r="B59" s="654" t="s">
        <v>90</v>
      </c>
      <c r="C59" s="701">
        <v>563.31099016837993</v>
      </c>
      <c r="D59" s="701">
        <v>1035.5139999999999</v>
      </c>
      <c r="E59" s="701">
        <v>180.66667000000001</v>
      </c>
      <c r="F59" s="702">
        <v>0.54399167000000004</v>
      </c>
      <c r="G59" s="701">
        <v>266.34865747373004</v>
      </c>
      <c r="H59" s="701">
        <v>489.61900000000003</v>
      </c>
      <c r="I59" s="701">
        <v>15.583333</v>
      </c>
      <c r="J59" s="702">
        <v>0.54399167000000004</v>
      </c>
      <c r="K59" s="701">
        <v>633.79218290859001</v>
      </c>
      <c r="L59" s="701">
        <v>1165.077</v>
      </c>
      <c r="M59" s="701">
        <v>27.916667</v>
      </c>
      <c r="N59" s="702">
        <v>0.54399167000000004</v>
      </c>
      <c r="O59" s="701">
        <v>1463.4518305506999</v>
      </c>
      <c r="P59" s="701">
        <f t="shared" si="0"/>
        <v>2690.21</v>
      </c>
      <c r="Q59" s="701">
        <v>224.16667000000001</v>
      </c>
      <c r="R59" s="702">
        <v>0.54399167000000004</v>
      </c>
      <c r="S59" s="658" t="s">
        <v>356</v>
      </c>
      <c r="T59" s="703">
        <f t="array" ref="T59">INDEX(UtilityList!Q$4:Q$251,MATCH('Table 2.5a'!$A59&amp;'Table 2.5a'!$B59,UtilityList!$A$4:$A$251&amp;UtilityList!$C$4:$C$251,0))</f>
        <v>0</v>
      </c>
      <c r="U59" s="704" t="str">
        <f t="array" ref="U59">INDEX(UtilityList!J$4:J$251,MATCH('Table 2.5a'!$A59&amp;'Table 2.5a'!$B59,UtilityList!$A$4:$A$251&amp;UtilityList!$C$4:$C$251,0))</f>
        <v>Lower Yukon-Kuskokwim</v>
      </c>
      <c r="V59" s="704" t="str">
        <f t="array" ref="V59">INDEX(UtilityList!K$4:K$251,MATCH('Table 2.5a'!$A59&amp;'Table 2.5a'!$B59,UtilityList!$A$4:$A$251&amp;UtilityList!$C$4:$C$251,0))</f>
        <v>Wade Hampton (CA)</v>
      </c>
      <c r="W59" s="704" t="str">
        <f t="array" ref="W59">INDEX(UtilityList!L$4:L$251,MATCH('Table 2.5a'!$A59&amp;'Table 2.5a'!$B59,UtilityList!$A$4:$A$251&amp;UtilityList!$C$4:$C$251,0))</f>
        <v>Calista</v>
      </c>
      <c r="X59" s="704" t="str">
        <f t="array" ref="X59">INDEX(UtilityList!M$4:M$251,MATCH('Table 2.5a'!$A59&amp;'Table 2.5a'!$B59,UtilityList!$A$4:$A$251&amp;UtilityList!$C$4:$C$251,0))</f>
        <v>YU</v>
      </c>
    </row>
    <row r="60" spans="1:24" customFormat="1" ht="30" x14ac:dyDescent="0.25">
      <c r="A60" s="361" t="s">
        <v>524</v>
      </c>
      <c r="B60" s="654" t="s">
        <v>91</v>
      </c>
      <c r="C60" s="701">
        <v>386.80405246495002</v>
      </c>
      <c r="D60" s="701">
        <v>623.01499999999999</v>
      </c>
      <c r="E60" s="701">
        <v>109.5</v>
      </c>
      <c r="F60" s="702">
        <v>0.62085833000000001</v>
      </c>
      <c r="G60" s="701">
        <v>185.36222128814001</v>
      </c>
      <c r="H60" s="701">
        <v>298.55799999999999</v>
      </c>
      <c r="I60" s="701">
        <v>27.833334000000001</v>
      </c>
      <c r="J60" s="702">
        <v>0.62085833000000001</v>
      </c>
      <c r="K60" s="701">
        <v>314.45418955338999</v>
      </c>
      <c r="L60" s="701">
        <v>506.483</v>
      </c>
      <c r="M60" s="701">
        <v>16.083333500000002</v>
      </c>
      <c r="N60" s="702">
        <v>0.62085833000000001</v>
      </c>
      <c r="O60" s="701">
        <v>886.62046330648013</v>
      </c>
      <c r="P60" s="701">
        <f t="shared" si="0"/>
        <v>1428.056</v>
      </c>
      <c r="Q60" s="701">
        <v>153.41666750000002</v>
      </c>
      <c r="R60" s="702">
        <v>0.62085833000000001</v>
      </c>
      <c r="S60" s="658" t="s">
        <v>356</v>
      </c>
      <c r="T60" s="703">
        <f t="array" ref="T60">INDEX(UtilityList!Q$4:Q$251,MATCH('Table 2.5a'!$A60&amp;'Table 2.5a'!$B60,UtilityList!$A$4:$A$251&amp;UtilityList!$C$4:$C$251,0))</f>
        <v>0</v>
      </c>
      <c r="U60" s="704" t="str">
        <f t="array" ref="U60">INDEX(UtilityList!J$4:J$251,MATCH('Table 2.5a'!$A60&amp;'Table 2.5a'!$B60,UtilityList!$A$4:$A$251&amp;UtilityList!$C$4:$C$251,0))</f>
        <v>Bristol Bay</v>
      </c>
      <c r="V60" s="704" t="str">
        <f t="array" ref="V60">INDEX(UtilityList!K$4:K$251,MATCH('Table 2.5a'!$A60&amp;'Table 2.5a'!$B60,UtilityList!$A$4:$A$251&amp;UtilityList!$C$4:$C$251,0))</f>
        <v>Dillingham (CA)</v>
      </c>
      <c r="W60" s="704" t="str">
        <f t="array" ref="W60">INDEX(UtilityList!L$4:L$251,MATCH('Table 2.5a'!$A60&amp;'Table 2.5a'!$B60,UtilityList!$A$4:$A$251&amp;UtilityList!$C$4:$C$251,0))</f>
        <v>Bristol Bay</v>
      </c>
      <c r="X60" s="704" t="str">
        <f t="array" ref="X60">INDEX(UtilityList!M$4:M$251,MATCH('Table 2.5a'!$A60&amp;'Table 2.5a'!$B60,UtilityList!$A$4:$A$251&amp;UtilityList!$C$4:$C$251,0))</f>
        <v>SW</v>
      </c>
    </row>
    <row r="61" spans="1:24" customFormat="1" ht="75" x14ac:dyDescent="0.25">
      <c r="A61" s="361" t="s">
        <v>524</v>
      </c>
      <c r="B61" s="654" t="s">
        <v>92</v>
      </c>
      <c r="C61" s="701">
        <v>148.85906363999999</v>
      </c>
      <c r="D61" s="701">
        <v>287.40600000000001</v>
      </c>
      <c r="E61" s="701">
        <v>78.416663999999997</v>
      </c>
      <c r="F61" s="702">
        <v>0.51793999999999996</v>
      </c>
      <c r="G61" s="701">
        <v>57.695926299999996</v>
      </c>
      <c r="H61" s="701">
        <v>111.395</v>
      </c>
      <c r="I61" s="701">
        <v>12.083333</v>
      </c>
      <c r="J61" s="702">
        <v>0.51793999999999996</v>
      </c>
      <c r="K61" s="701">
        <v>103.27878981999999</v>
      </c>
      <c r="L61" s="701">
        <v>199.40299999999999</v>
      </c>
      <c r="M61" s="701">
        <v>16.249999500000001</v>
      </c>
      <c r="N61" s="702">
        <v>0.51793999999999996</v>
      </c>
      <c r="O61" s="701">
        <v>309.83377975999997</v>
      </c>
      <c r="P61" s="701">
        <f t="shared" si="0"/>
        <v>598.20399999999995</v>
      </c>
      <c r="Q61" s="701">
        <v>106.74999649999999</v>
      </c>
      <c r="R61" s="702">
        <v>0.51793999999999996</v>
      </c>
      <c r="S61" s="658" t="s">
        <v>356</v>
      </c>
      <c r="T61" s="703" t="str">
        <f t="array" ref="T61">INDEX(UtilityList!Q$4:Q$251,MATCH('Table 2.5a'!$A61&amp;'Table 2.5a'!$B61,UtilityList!$A$4:$A$251&amp;UtilityList!$C$4:$C$251,0))</f>
        <v>Receives power from Toksook Bay via intertie. For fuel use and cost, please refer to Toksook Bay.</v>
      </c>
      <c r="U61" s="704" t="str">
        <f t="array" ref="U61">INDEX(UtilityList!J$4:J$251,MATCH('Table 2.5a'!$A61&amp;'Table 2.5a'!$B61,UtilityList!$A$4:$A$251&amp;UtilityList!$C$4:$C$251,0))</f>
        <v>Lower Yukon-Kuskokwim</v>
      </c>
      <c r="V61" s="704" t="str">
        <f t="array" ref="V61">INDEX(UtilityList!K$4:K$251,MATCH('Table 2.5a'!$A61&amp;'Table 2.5a'!$B61,UtilityList!$A$4:$A$251&amp;UtilityList!$C$4:$C$251,0))</f>
        <v>Bethel (CA)</v>
      </c>
      <c r="W61" s="704" t="str">
        <f t="array" ref="W61">INDEX(UtilityList!L$4:L$251,MATCH('Table 2.5a'!$A61&amp;'Table 2.5a'!$B61,UtilityList!$A$4:$A$251&amp;UtilityList!$C$4:$C$251,0))</f>
        <v>Calista</v>
      </c>
      <c r="X61" s="704" t="str">
        <f t="array" ref="X61">INDEX(UtilityList!M$4:M$251,MATCH('Table 2.5a'!$A61&amp;'Table 2.5a'!$B61,UtilityList!$A$4:$A$251&amp;UtilityList!$C$4:$C$251,0))</f>
        <v>SW</v>
      </c>
    </row>
    <row r="62" spans="1:24" customFormat="1" ht="30" x14ac:dyDescent="0.25">
      <c r="A62" s="361" t="s">
        <v>524</v>
      </c>
      <c r="B62" s="654" t="s">
        <v>93</v>
      </c>
      <c r="C62" s="701">
        <v>594.50408728866012</v>
      </c>
      <c r="D62" s="701">
        <v>803.40200000000004</v>
      </c>
      <c r="E62" s="701">
        <v>122.25</v>
      </c>
      <c r="F62" s="702">
        <v>0.73998333000000005</v>
      </c>
      <c r="G62" s="701">
        <v>164.47239484245</v>
      </c>
      <c r="H62" s="701">
        <v>222.26499999999999</v>
      </c>
      <c r="I62" s="701">
        <v>10.166667</v>
      </c>
      <c r="J62" s="702">
        <v>0.73998333000000005</v>
      </c>
      <c r="K62" s="701">
        <v>532.92563449938007</v>
      </c>
      <c r="L62" s="701">
        <v>720.18600000000004</v>
      </c>
      <c r="M62" s="701">
        <v>14.5</v>
      </c>
      <c r="N62" s="702">
        <v>0.73998333000000005</v>
      </c>
      <c r="O62" s="701">
        <v>1291.9021166304901</v>
      </c>
      <c r="P62" s="701">
        <f t="shared" si="0"/>
        <v>1745.8530000000001</v>
      </c>
      <c r="Q62" s="701">
        <v>146.91666699999999</v>
      </c>
      <c r="R62" s="702">
        <v>0.73998333000000005</v>
      </c>
      <c r="S62" s="658" t="s">
        <v>356</v>
      </c>
      <c r="T62" s="703">
        <f t="array" ref="T62">INDEX(UtilityList!Q$4:Q$251,MATCH('Table 2.5a'!$A62&amp;'Table 2.5a'!$B62,UtilityList!$A$4:$A$251&amp;UtilityList!$C$4:$C$251,0))</f>
        <v>0</v>
      </c>
      <c r="U62" s="704" t="str">
        <f t="array" ref="U62">INDEX(UtilityList!J$4:J$251,MATCH('Table 2.5a'!$A62&amp;'Table 2.5a'!$B62,UtilityList!$A$4:$A$251&amp;UtilityList!$C$4:$C$251,0))</f>
        <v>Northwest Arctic</v>
      </c>
      <c r="V62" s="704" t="str">
        <f t="array" ref="V62">INDEX(UtilityList!K$4:K$251,MATCH('Table 2.5a'!$A62&amp;'Table 2.5a'!$B62,UtilityList!$A$4:$A$251&amp;UtilityList!$C$4:$C$251,0))</f>
        <v>Northwest Arctic</v>
      </c>
      <c r="W62" s="704" t="str">
        <f t="array" ref="W62">INDEX(UtilityList!L$4:L$251,MATCH('Table 2.5a'!$A62&amp;'Table 2.5a'!$B62,UtilityList!$A$4:$A$251&amp;UtilityList!$C$4:$C$251,0))</f>
        <v>NANA</v>
      </c>
      <c r="X62" s="704" t="str">
        <f t="array" ref="X62">INDEX(UtilityList!M$4:M$251,MATCH('Table 2.5a'!$A62&amp;'Table 2.5a'!$B62,UtilityList!$A$4:$A$251&amp;UtilityList!$C$4:$C$251,0))</f>
        <v>AN</v>
      </c>
    </row>
    <row r="63" spans="1:24" customFormat="1" ht="30" x14ac:dyDescent="0.25">
      <c r="A63" s="361" t="s">
        <v>524</v>
      </c>
      <c r="B63" s="654" t="s">
        <v>94</v>
      </c>
      <c r="C63" s="701">
        <v>576.37231735359001</v>
      </c>
      <c r="D63" s="701">
        <v>938.577</v>
      </c>
      <c r="E63" s="701">
        <v>141.16667000000001</v>
      </c>
      <c r="F63" s="702">
        <v>0.61409166999999998</v>
      </c>
      <c r="G63" s="701">
        <v>120.86982113108999</v>
      </c>
      <c r="H63" s="701">
        <v>196.827</v>
      </c>
      <c r="I63" s="701">
        <v>9.8333329999999997</v>
      </c>
      <c r="J63" s="702">
        <v>0.61409166999999998</v>
      </c>
      <c r="K63" s="701">
        <v>495.89437581674997</v>
      </c>
      <c r="L63" s="701">
        <v>807.52499999999998</v>
      </c>
      <c r="M63" s="701">
        <v>19.416667</v>
      </c>
      <c r="N63" s="702">
        <v>0.61409166999999998</v>
      </c>
      <c r="O63" s="701">
        <v>1193.13651430143</v>
      </c>
      <c r="P63" s="701">
        <f t="shared" si="0"/>
        <v>1942.9290000000001</v>
      </c>
      <c r="Q63" s="701">
        <v>170.41667000000001</v>
      </c>
      <c r="R63" s="702">
        <v>0.61409166999999998</v>
      </c>
      <c r="S63" s="658" t="s">
        <v>356</v>
      </c>
      <c r="T63" s="703">
        <f t="array" ref="T63">INDEX(UtilityList!Q$4:Q$251,MATCH('Table 2.5a'!$A63&amp;'Table 2.5a'!$B63,UtilityList!$A$4:$A$251&amp;UtilityList!$C$4:$C$251,0))</f>
        <v>0</v>
      </c>
      <c r="U63" s="704" t="str">
        <f t="array" ref="U63">INDEX(UtilityList!J$4:J$251,MATCH('Table 2.5a'!$A63&amp;'Table 2.5a'!$B63,UtilityList!$A$4:$A$251&amp;UtilityList!$C$4:$C$251,0))</f>
        <v>Northwest Arctic</v>
      </c>
      <c r="V63" s="704" t="str">
        <f t="array" ref="V63">INDEX(UtilityList!K$4:K$251,MATCH('Table 2.5a'!$A63&amp;'Table 2.5a'!$B63,UtilityList!$A$4:$A$251&amp;UtilityList!$C$4:$C$251,0))</f>
        <v>Northwest Arctic</v>
      </c>
      <c r="W63" s="704" t="str">
        <f t="array" ref="W63">INDEX(UtilityList!L$4:L$251,MATCH('Table 2.5a'!$A63&amp;'Table 2.5a'!$B63,UtilityList!$A$4:$A$251&amp;UtilityList!$C$4:$C$251,0))</f>
        <v>NANA</v>
      </c>
      <c r="X63" s="704" t="str">
        <f t="array" ref="X63">INDEX(UtilityList!M$4:M$251,MATCH('Table 2.5a'!$A63&amp;'Table 2.5a'!$B63,UtilityList!$A$4:$A$251&amp;UtilityList!$C$4:$C$251,0))</f>
        <v>AN</v>
      </c>
    </row>
    <row r="64" spans="1:24" customFormat="1" ht="30" x14ac:dyDescent="0.25">
      <c r="A64" s="361" t="s">
        <v>524</v>
      </c>
      <c r="B64" s="654" t="s">
        <v>95</v>
      </c>
      <c r="C64" s="701">
        <v>274.91696999999994</v>
      </c>
      <c r="D64" s="701">
        <v>516.27599999999995</v>
      </c>
      <c r="E64" s="701">
        <v>111.5</v>
      </c>
      <c r="F64" s="702">
        <v>0.53249999999999997</v>
      </c>
      <c r="G64" s="701">
        <v>26.134035000000001</v>
      </c>
      <c r="H64" s="701">
        <v>49.078000000000003</v>
      </c>
      <c r="I64" s="701">
        <v>6.5833335000000002</v>
      </c>
      <c r="J64" s="702">
        <v>0.53249999999999997</v>
      </c>
      <c r="K64" s="701">
        <v>292.38544079999997</v>
      </c>
      <c r="L64" s="701">
        <v>549.08064000000002</v>
      </c>
      <c r="M64" s="701">
        <v>27.000000499999999</v>
      </c>
      <c r="N64" s="702">
        <v>0.53249999999999997</v>
      </c>
      <c r="O64" s="701">
        <v>593.43644579999989</v>
      </c>
      <c r="P64" s="701">
        <f t="shared" si="0"/>
        <v>1114.4346399999999</v>
      </c>
      <c r="Q64" s="701">
        <v>145.08333399999998</v>
      </c>
      <c r="R64" s="702">
        <v>0.53249999999999997</v>
      </c>
      <c r="S64" s="658" t="s">
        <v>356</v>
      </c>
      <c r="T64" s="703">
        <f t="array" ref="T64">INDEX(UtilityList!Q$4:Q$251,MATCH('Table 2.5a'!$A64&amp;'Table 2.5a'!$B64,UtilityList!$A$4:$A$251&amp;UtilityList!$C$4:$C$251,0))</f>
        <v>0</v>
      </c>
      <c r="U64" s="704" t="str">
        <f t="array" ref="U64">INDEX(UtilityList!J$4:J$251,MATCH('Table 2.5a'!$A64&amp;'Table 2.5a'!$B64,UtilityList!$A$4:$A$251&amp;UtilityList!$C$4:$C$251,0))</f>
        <v>Yukon-Koyukuk/Upper Tanana</v>
      </c>
      <c r="V64" s="704" t="str">
        <f t="array" ref="V64">INDEX(UtilityList!K$4:K$251,MATCH('Table 2.5a'!$A64&amp;'Table 2.5a'!$B64,UtilityList!$A$4:$A$251&amp;UtilityList!$C$4:$C$251,0))</f>
        <v>Yukon-Koyukuk (CA)</v>
      </c>
      <c r="W64" s="704" t="str">
        <f t="array" ref="W64">INDEX(UtilityList!L$4:L$251,MATCH('Table 2.5a'!$A64&amp;'Table 2.5a'!$B64,UtilityList!$A$4:$A$251&amp;UtilityList!$C$4:$C$251,0))</f>
        <v>Doyon</v>
      </c>
      <c r="X64" s="704" t="str">
        <f t="array" ref="X64">INDEX(UtilityList!M$4:M$251,MATCH('Table 2.5a'!$A64&amp;'Table 2.5a'!$B64,UtilityList!$A$4:$A$251&amp;UtilityList!$C$4:$C$251,0))</f>
        <v>YU</v>
      </c>
    </row>
    <row r="65" spans="1:24" customFormat="1" ht="60" x14ac:dyDescent="0.25">
      <c r="A65" s="361" t="s">
        <v>524</v>
      </c>
      <c r="B65" s="654" t="s">
        <v>96</v>
      </c>
      <c r="C65" s="701">
        <v>341.00519142000002</v>
      </c>
      <c r="D65" s="701">
        <v>637.83399999999995</v>
      </c>
      <c r="E65" s="701">
        <v>138.08332999999999</v>
      </c>
      <c r="F65" s="702">
        <v>0.53463000000000005</v>
      </c>
      <c r="G65" s="701">
        <v>101.2321905</v>
      </c>
      <c r="H65" s="701">
        <v>189.35</v>
      </c>
      <c r="I65" s="701">
        <v>21</v>
      </c>
      <c r="J65" s="702">
        <v>0.53463000000000005</v>
      </c>
      <c r="K65" s="701">
        <v>188.00424339000003</v>
      </c>
      <c r="L65" s="701">
        <v>351.65300000000002</v>
      </c>
      <c r="M65" s="701">
        <v>17.75</v>
      </c>
      <c r="N65" s="702">
        <v>0.53463000000000005</v>
      </c>
      <c r="O65" s="701">
        <v>630.24162531000002</v>
      </c>
      <c r="P65" s="701">
        <f t="shared" si="0"/>
        <v>1178.837</v>
      </c>
      <c r="Q65" s="701">
        <v>176.83332999999999</v>
      </c>
      <c r="R65" s="702">
        <v>0.53463000000000005</v>
      </c>
      <c r="S65" s="658" t="s">
        <v>356</v>
      </c>
      <c r="T65" s="703" t="str">
        <f t="array" ref="T65">INDEX(UtilityList!Q$4:Q$251,MATCH('Table 2.5a'!$A65&amp;'Table 2.5a'!$B65,UtilityList!$A$4:$A$251&amp;UtilityList!$C$4:$C$251,0))</f>
        <v>Receives power from Kasigluk. Please refer to Kasigluk for fuel use and cost.</v>
      </c>
      <c r="U65" s="704" t="str">
        <f t="array" ref="U65">INDEX(UtilityList!J$4:J$251,MATCH('Table 2.5a'!$A65&amp;'Table 2.5a'!$B65,UtilityList!$A$4:$A$251&amp;UtilityList!$C$4:$C$251,0))</f>
        <v>Lower Yukon-Kuskokwim</v>
      </c>
      <c r="V65" s="704" t="str">
        <f t="array" ref="V65">INDEX(UtilityList!K$4:K$251,MATCH('Table 2.5a'!$A65&amp;'Table 2.5a'!$B65,UtilityList!$A$4:$A$251&amp;UtilityList!$C$4:$C$251,0))</f>
        <v>Bethel (CA)</v>
      </c>
      <c r="W65" s="704" t="str">
        <f t="array" ref="W65">INDEX(UtilityList!L$4:L$251,MATCH('Table 2.5a'!$A65&amp;'Table 2.5a'!$B65,UtilityList!$A$4:$A$251&amp;UtilityList!$C$4:$C$251,0))</f>
        <v>Calista</v>
      </c>
      <c r="X65" s="704" t="str">
        <f t="array" ref="X65">INDEX(UtilityList!M$4:M$251,MATCH('Table 2.5a'!$A65&amp;'Table 2.5a'!$B65,UtilityList!$A$4:$A$251&amp;UtilityList!$C$4:$C$251,0))</f>
        <v>SW</v>
      </c>
    </row>
    <row r="66" spans="1:24" customFormat="1" ht="30" x14ac:dyDescent="0.25">
      <c r="A66" s="361" t="s">
        <v>524</v>
      </c>
      <c r="B66" s="654" t="s">
        <v>97</v>
      </c>
      <c r="C66" s="701">
        <v>215.16299122500001</v>
      </c>
      <c r="D66" s="701">
        <v>373.40100000000001</v>
      </c>
      <c r="E66" s="701">
        <v>101.41665999999999</v>
      </c>
      <c r="F66" s="702">
        <v>0.57622499999999999</v>
      </c>
      <c r="G66" s="701">
        <v>51.322055849999998</v>
      </c>
      <c r="H66" s="701">
        <v>89.066000000000003</v>
      </c>
      <c r="I66" s="701">
        <v>13.25</v>
      </c>
      <c r="J66" s="702">
        <v>0.57622499999999999</v>
      </c>
      <c r="K66" s="701">
        <v>168.93822172499998</v>
      </c>
      <c r="L66" s="701">
        <v>293.18099999999998</v>
      </c>
      <c r="M66" s="701">
        <v>16.333333500000002</v>
      </c>
      <c r="N66" s="702">
        <v>0.57622499999999999</v>
      </c>
      <c r="O66" s="701">
        <v>435.42326879999996</v>
      </c>
      <c r="P66" s="701">
        <f t="shared" si="0"/>
        <v>755.64799999999991</v>
      </c>
      <c r="Q66" s="701">
        <v>130.99999349999999</v>
      </c>
      <c r="R66" s="702">
        <v>0.57622499999999999</v>
      </c>
      <c r="S66" s="658" t="s">
        <v>356</v>
      </c>
      <c r="T66" s="703">
        <f t="array" ref="T66">INDEX(UtilityList!Q$4:Q$251,MATCH('Table 2.5a'!$A66&amp;'Table 2.5a'!$B66,UtilityList!$A$4:$A$251&amp;UtilityList!$C$4:$C$251,0))</f>
        <v>0</v>
      </c>
      <c r="U66" s="704" t="str">
        <f t="array" ref="U66">INDEX(UtilityList!J$4:J$251,MATCH('Table 2.5a'!$A66&amp;'Table 2.5a'!$B66,UtilityList!$A$4:$A$251&amp;UtilityList!$C$4:$C$251,0))</f>
        <v>Kodiak</v>
      </c>
      <c r="V66" s="704" t="str">
        <f t="array" ref="V66">INDEX(UtilityList!K$4:K$251,MATCH('Table 2.5a'!$A66&amp;'Table 2.5a'!$B66,UtilityList!$A$4:$A$251&amp;UtilityList!$C$4:$C$251,0))</f>
        <v>Kodiak Island</v>
      </c>
      <c r="W66" s="704" t="str">
        <f t="array" ref="W66">INDEX(UtilityList!L$4:L$251,MATCH('Table 2.5a'!$A66&amp;'Table 2.5a'!$B66,UtilityList!$A$4:$A$251&amp;UtilityList!$C$4:$C$251,0))</f>
        <v>Koniag</v>
      </c>
      <c r="X66" s="704" t="str">
        <f t="array" ref="X66">INDEX(UtilityList!M$4:M$251,MATCH('Table 2.5a'!$A66&amp;'Table 2.5a'!$B66,UtilityList!$A$4:$A$251&amp;UtilityList!$C$4:$C$251,0))</f>
        <v>SC</v>
      </c>
    </row>
    <row r="67" spans="1:24" customFormat="1" ht="30" x14ac:dyDescent="0.25">
      <c r="A67" s="361" t="s">
        <v>524</v>
      </c>
      <c r="B67" s="654" t="s">
        <v>98</v>
      </c>
      <c r="C67" s="701">
        <v>387.19458934065</v>
      </c>
      <c r="D67" s="701">
        <v>722.80499999999995</v>
      </c>
      <c r="E67" s="701">
        <v>133.41667000000001</v>
      </c>
      <c r="F67" s="702">
        <v>0.53568333000000001</v>
      </c>
      <c r="G67" s="701">
        <v>126.94784259339001</v>
      </c>
      <c r="H67" s="701">
        <v>236.983</v>
      </c>
      <c r="I67" s="701">
        <v>13.25</v>
      </c>
      <c r="J67" s="702">
        <v>0.53568333000000001</v>
      </c>
      <c r="K67" s="701">
        <v>388.73414323106999</v>
      </c>
      <c r="L67" s="701">
        <v>725.67899999999997</v>
      </c>
      <c r="M67" s="701">
        <v>19.583333500000002</v>
      </c>
      <c r="N67" s="702">
        <v>0.53568333000000001</v>
      </c>
      <c r="O67" s="701">
        <v>902.87657516511001</v>
      </c>
      <c r="P67" s="701">
        <f t="shared" si="0"/>
        <v>1685.4670000000001</v>
      </c>
      <c r="Q67" s="701">
        <v>166.25000350000002</v>
      </c>
      <c r="R67" s="702">
        <v>0.53568333000000001</v>
      </c>
      <c r="S67" s="658" t="s">
        <v>356</v>
      </c>
      <c r="T67" s="703">
        <f t="array" ref="T67">INDEX(UtilityList!Q$4:Q$251,MATCH('Table 2.5a'!$A67&amp;'Table 2.5a'!$B67,UtilityList!$A$4:$A$251&amp;UtilityList!$C$4:$C$251,0))</f>
        <v>0</v>
      </c>
      <c r="U67" s="704" t="str">
        <f t="array" ref="U67">INDEX(UtilityList!J$4:J$251,MATCH('Table 2.5a'!$A67&amp;'Table 2.5a'!$B67,UtilityList!$A$4:$A$251&amp;UtilityList!$C$4:$C$251,0))</f>
        <v>Lower Yukon-Kuskokwim</v>
      </c>
      <c r="V67" s="704" t="str">
        <f t="array" ref="V67">INDEX(UtilityList!K$4:K$251,MATCH('Table 2.5a'!$A67&amp;'Table 2.5a'!$B67,UtilityList!$A$4:$A$251&amp;UtilityList!$C$4:$C$251,0))</f>
        <v>Wade Hampton (CA)</v>
      </c>
      <c r="W67" s="704" t="str">
        <f t="array" ref="W67">INDEX(UtilityList!L$4:L$251,MATCH('Table 2.5a'!$A67&amp;'Table 2.5a'!$B67,UtilityList!$A$4:$A$251&amp;UtilityList!$C$4:$C$251,0))</f>
        <v>Calista</v>
      </c>
      <c r="X67" s="704" t="str">
        <f t="array" ref="X67">INDEX(UtilityList!M$4:M$251,MATCH('Table 2.5a'!$A67&amp;'Table 2.5a'!$B67,UtilityList!$A$4:$A$251&amp;UtilityList!$C$4:$C$251,0))</f>
        <v>YU</v>
      </c>
    </row>
    <row r="68" spans="1:24" customFormat="1" ht="60" x14ac:dyDescent="0.25">
      <c r="A68" s="361" t="s">
        <v>524</v>
      </c>
      <c r="B68" s="654" t="s">
        <v>99</v>
      </c>
      <c r="C68" s="701">
        <v>68.191079860000002</v>
      </c>
      <c r="D68" s="701">
        <v>137.374</v>
      </c>
      <c r="E68" s="701">
        <v>43.75</v>
      </c>
      <c r="F68" s="702">
        <v>0.49639</v>
      </c>
      <c r="G68" s="701">
        <v>33.390169740000005</v>
      </c>
      <c r="H68" s="701">
        <v>67.266000000000005</v>
      </c>
      <c r="I68" s="701">
        <v>7.4166664999999998</v>
      </c>
      <c r="J68" s="702">
        <v>0.49639</v>
      </c>
      <c r="K68" s="701">
        <v>87.189414329999991</v>
      </c>
      <c r="L68" s="701">
        <v>175.64699999999999</v>
      </c>
      <c r="M68" s="701">
        <v>7.5833335000000002</v>
      </c>
      <c r="N68" s="702">
        <v>0.49639</v>
      </c>
      <c r="O68" s="701">
        <v>188.77066393000001</v>
      </c>
      <c r="P68" s="701">
        <f t="shared" si="0"/>
        <v>380.28699999999998</v>
      </c>
      <c r="Q68" s="701">
        <v>58.75</v>
      </c>
      <c r="R68" s="702">
        <v>0.49639</v>
      </c>
      <c r="S68" s="658" t="s">
        <v>356</v>
      </c>
      <c r="T68" s="703" t="str">
        <f t="array" ref="T68">INDEX(UtilityList!Q$4:Q$251,MATCH('Table 2.5a'!$A68&amp;'Table 2.5a'!$B68,UtilityList!$A$4:$A$251&amp;UtilityList!$C$4:$C$251,0))</f>
        <v>Receives power from Saint Mary's via intertie. For fuel use and cost, please refer to Saint Mary's.</v>
      </c>
      <c r="U68" s="704" t="str">
        <f t="array" ref="U68">INDEX(UtilityList!J$4:J$251,MATCH('Table 2.5a'!$A68&amp;'Table 2.5a'!$B68,UtilityList!$A$4:$A$251&amp;UtilityList!$C$4:$C$251,0))</f>
        <v>Lower Yukon-Kuskokwim</v>
      </c>
      <c r="V68" s="704" t="str">
        <f t="array" ref="V68">INDEX(UtilityList!K$4:K$251,MATCH('Table 2.5a'!$A68&amp;'Table 2.5a'!$B68,UtilityList!$A$4:$A$251&amp;UtilityList!$C$4:$C$251,0))</f>
        <v>Wade Hampton (CA)</v>
      </c>
      <c r="W68" s="704" t="str">
        <f t="array" ref="W68">INDEX(UtilityList!L$4:L$251,MATCH('Table 2.5a'!$A68&amp;'Table 2.5a'!$B68,UtilityList!$A$4:$A$251&amp;UtilityList!$C$4:$C$251,0))</f>
        <v>Calista</v>
      </c>
      <c r="X68" s="704" t="str">
        <f t="array" ref="X68">INDEX(UtilityList!M$4:M$251,MATCH('Table 2.5a'!$A68&amp;'Table 2.5a'!$B68,UtilityList!$A$4:$A$251&amp;UtilityList!$C$4:$C$251,0))</f>
        <v>YU</v>
      </c>
    </row>
    <row r="69" spans="1:24" customFormat="1" ht="30" x14ac:dyDescent="0.25">
      <c r="A69" s="361" t="s">
        <v>524</v>
      </c>
      <c r="B69" s="654" t="s">
        <v>100</v>
      </c>
      <c r="C69" s="701">
        <v>430.87088600955002</v>
      </c>
      <c r="D69" s="701">
        <v>802.86500000000001</v>
      </c>
      <c r="E69" s="701">
        <v>164.25</v>
      </c>
      <c r="F69" s="702">
        <v>0.53666667000000001</v>
      </c>
      <c r="G69" s="701">
        <v>215.90797800771</v>
      </c>
      <c r="H69" s="701">
        <v>402.31299999999999</v>
      </c>
      <c r="I69" s="701">
        <v>17.25</v>
      </c>
      <c r="J69" s="702">
        <v>0.53666667000000001</v>
      </c>
      <c r="K69" s="701">
        <v>284.00936843070002</v>
      </c>
      <c r="L69" s="701">
        <v>529.21</v>
      </c>
      <c r="M69" s="701">
        <v>18.249999500000001</v>
      </c>
      <c r="N69" s="702">
        <v>0.53666667000000001</v>
      </c>
      <c r="O69" s="701">
        <v>930.78823244796013</v>
      </c>
      <c r="P69" s="701">
        <f t="shared" si="0"/>
        <v>1734.3879999999999</v>
      </c>
      <c r="Q69" s="701">
        <v>199.7499995</v>
      </c>
      <c r="R69" s="702">
        <v>0.53666667000000001</v>
      </c>
      <c r="S69" s="658" t="s">
        <v>356</v>
      </c>
      <c r="T69" s="703">
        <f t="array" ref="T69">INDEX(UtilityList!Q$4:Q$251,MATCH('Table 2.5a'!$A69&amp;'Table 2.5a'!$B69,UtilityList!$A$4:$A$251&amp;UtilityList!$C$4:$C$251,0))</f>
        <v>0</v>
      </c>
      <c r="U69" s="704" t="str">
        <f t="array" ref="U69">INDEX(UtilityList!J$4:J$251,MATCH('Table 2.5a'!$A69&amp;'Table 2.5a'!$B69,UtilityList!$A$4:$A$251&amp;UtilityList!$C$4:$C$251,0))</f>
        <v>Lower Yukon-Kuskokwim</v>
      </c>
      <c r="V69" s="704" t="str">
        <f t="array" ref="V69">INDEX(UtilityList!K$4:K$251,MATCH('Table 2.5a'!$A69&amp;'Table 2.5a'!$B69,UtilityList!$A$4:$A$251&amp;UtilityList!$C$4:$C$251,0))</f>
        <v>Bethel (CA)</v>
      </c>
      <c r="W69" s="704" t="str">
        <f t="array" ref="W69">INDEX(UtilityList!L$4:L$251,MATCH('Table 2.5a'!$A69&amp;'Table 2.5a'!$B69,UtilityList!$A$4:$A$251&amp;UtilityList!$C$4:$C$251,0))</f>
        <v>Calista</v>
      </c>
      <c r="X69" s="704" t="str">
        <f t="array" ref="X69">INDEX(UtilityList!M$4:M$251,MATCH('Table 2.5a'!$A69&amp;'Table 2.5a'!$B69,UtilityList!$A$4:$A$251&amp;UtilityList!$C$4:$C$251,0))</f>
        <v>SW</v>
      </c>
    </row>
    <row r="70" spans="1:24" customFormat="1" ht="30" x14ac:dyDescent="0.25">
      <c r="A70" s="361" t="s">
        <v>524</v>
      </c>
      <c r="B70" s="654" t="s">
        <v>101</v>
      </c>
      <c r="C70" s="701">
        <v>208.83417462401999</v>
      </c>
      <c r="D70" s="701">
        <v>382.20600000000002</v>
      </c>
      <c r="E70" s="701">
        <v>83.416663999999997</v>
      </c>
      <c r="F70" s="702">
        <v>0.54639167</v>
      </c>
      <c r="G70" s="701">
        <v>49.442435826630003</v>
      </c>
      <c r="H70" s="701">
        <v>90.489000000000004</v>
      </c>
      <c r="I70" s="701">
        <v>13.25</v>
      </c>
      <c r="J70" s="702">
        <v>0.54639167</v>
      </c>
      <c r="K70" s="701">
        <v>333.15467129911997</v>
      </c>
      <c r="L70" s="701">
        <v>609.73599999999999</v>
      </c>
      <c r="M70" s="701">
        <v>14.916667</v>
      </c>
      <c r="N70" s="702">
        <v>0.54639167</v>
      </c>
      <c r="O70" s="701">
        <v>591.43128174976994</v>
      </c>
      <c r="P70" s="701">
        <f t="shared" si="0"/>
        <v>1082.431</v>
      </c>
      <c r="Q70" s="701">
        <v>111.583331</v>
      </c>
      <c r="R70" s="702">
        <v>0.54639167</v>
      </c>
      <c r="S70" s="658" t="s">
        <v>356</v>
      </c>
      <c r="T70" s="703">
        <f t="array" ref="T70">INDEX(UtilityList!Q$4:Q$251,MATCH('Table 2.5a'!$A70&amp;'Table 2.5a'!$B70,UtilityList!$A$4:$A$251&amp;UtilityList!$C$4:$C$251,0))</f>
        <v>0</v>
      </c>
      <c r="U70" s="704" t="str">
        <f t="array" ref="U70">INDEX(UtilityList!J$4:J$251,MATCH('Table 2.5a'!$A70&amp;'Table 2.5a'!$B70,UtilityList!$A$4:$A$251&amp;UtilityList!$C$4:$C$251,0))</f>
        <v>Lower Yukon-Kuskokwim</v>
      </c>
      <c r="V70" s="704" t="str">
        <f t="array" ref="V70">INDEX(UtilityList!K$4:K$251,MATCH('Table 2.5a'!$A70&amp;'Table 2.5a'!$B70,UtilityList!$A$4:$A$251&amp;UtilityList!$C$4:$C$251,0))</f>
        <v>Wade Hampton (CA)</v>
      </c>
      <c r="W70" s="704" t="str">
        <f t="array" ref="W70">INDEX(UtilityList!L$4:L$251,MATCH('Table 2.5a'!$A70&amp;'Table 2.5a'!$B70,UtilityList!$A$4:$A$251&amp;UtilityList!$C$4:$C$251,0))</f>
        <v>Calista</v>
      </c>
      <c r="X70" s="704" t="str">
        <f t="array" ref="X70">INDEX(UtilityList!M$4:M$251,MATCH('Table 2.5a'!$A70&amp;'Table 2.5a'!$B70,UtilityList!$A$4:$A$251&amp;UtilityList!$C$4:$C$251,0))</f>
        <v>YU</v>
      </c>
    </row>
    <row r="71" spans="1:24" customFormat="1" ht="90" x14ac:dyDescent="0.25">
      <c r="A71" s="361" t="s">
        <v>524</v>
      </c>
      <c r="B71" s="654" t="s">
        <v>993</v>
      </c>
      <c r="C71" s="701">
        <v>408.54525071705001</v>
      </c>
      <c r="D71" s="701">
        <v>827.61500000000001</v>
      </c>
      <c r="E71" s="701">
        <v>186.41667000000001</v>
      </c>
      <c r="F71" s="702">
        <v>0.49364166999999998</v>
      </c>
      <c r="G71" s="701">
        <v>402.59193217684998</v>
      </c>
      <c r="H71" s="701">
        <v>815.55499999999995</v>
      </c>
      <c r="I71" s="701">
        <v>34.166668000000001</v>
      </c>
      <c r="J71" s="702">
        <v>0.49364166999999998</v>
      </c>
      <c r="K71" s="701">
        <v>523.19500949956</v>
      </c>
      <c r="L71" s="701">
        <v>1059.8679999999999</v>
      </c>
      <c r="M71" s="701">
        <v>28.75</v>
      </c>
      <c r="N71" s="702">
        <v>0.49364166999999998</v>
      </c>
      <c r="O71" s="701">
        <v>1334.33219239346</v>
      </c>
      <c r="P71" s="701">
        <f t="shared" si="0"/>
        <v>2703.038</v>
      </c>
      <c r="Q71" s="701">
        <v>249.33333800000003</v>
      </c>
      <c r="R71" s="702">
        <v>0.49364166999999998</v>
      </c>
      <c r="S71" s="658" t="s">
        <v>356</v>
      </c>
      <c r="T71" s="703" t="str">
        <f t="array" ref="T71">INDEX(UtilityList!Q$4:Q$251,MATCH('Table 2.5a'!$A71&amp;'Table 2.5a'!$B71,UtilityList!$A$4:$A$251&amp;UtilityList!$C$4:$C$251,0))</f>
        <v>Provides power to Andreafsky and Pitkas Point via intertie. Includes Andreafsky's information. Fuel use and cost also includes Pitkas Point.</v>
      </c>
      <c r="U71" s="704" t="str">
        <f t="array" ref="U71">INDEX(UtilityList!J$4:J$251,MATCH('Table 2.5a'!$A71&amp;'Table 2.5a'!$B71,UtilityList!$A$4:$A$251&amp;UtilityList!$C$4:$C$251,0))</f>
        <v>Lower Yukon-Kuskokwim</v>
      </c>
      <c r="V71" s="704" t="str">
        <f t="array" ref="V71">INDEX(UtilityList!K$4:K$251,MATCH('Table 2.5a'!$A71&amp;'Table 2.5a'!$B71,UtilityList!$A$4:$A$251&amp;UtilityList!$C$4:$C$251,0))</f>
        <v>Wade Hampton (CA)</v>
      </c>
      <c r="W71" s="704" t="str">
        <f t="array" ref="W71">INDEX(UtilityList!L$4:L$251,MATCH('Table 2.5a'!$A71&amp;'Table 2.5a'!$B71,UtilityList!$A$4:$A$251&amp;UtilityList!$C$4:$C$251,0))</f>
        <v>Calista</v>
      </c>
      <c r="X71" s="704" t="str">
        <f t="array" ref="X71">INDEX(UtilityList!M$4:M$251,MATCH('Table 2.5a'!$A71&amp;'Table 2.5a'!$B71,UtilityList!$A$4:$A$251&amp;UtilityList!$C$4:$C$251,0))</f>
        <v>YU</v>
      </c>
    </row>
    <row r="72" spans="1:24" customFormat="1" ht="30" x14ac:dyDescent="0.25">
      <c r="A72" s="361" t="s">
        <v>524</v>
      </c>
      <c r="B72" s="654" t="s">
        <v>102</v>
      </c>
      <c r="C72" s="701">
        <v>347.93150722918</v>
      </c>
      <c r="D72" s="701">
        <v>628.75400000000002</v>
      </c>
      <c r="E72" s="701">
        <v>103.16665999999999</v>
      </c>
      <c r="F72" s="702">
        <v>0.55336666999999995</v>
      </c>
      <c r="G72" s="701">
        <v>205.35271113698997</v>
      </c>
      <c r="H72" s="701">
        <v>371.09699999999998</v>
      </c>
      <c r="I72" s="701">
        <v>12.166667</v>
      </c>
      <c r="J72" s="702">
        <v>0.55336666999999995</v>
      </c>
      <c r="K72" s="701">
        <v>378.13204661110001</v>
      </c>
      <c r="L72" s="701">
        <v>683.33</v>
      </c>
      <c r="M72" s="701">
        <v>18</v>
      </c>
      <c r="N72" s="702">
        <v>0.55336666999999995</v>
      </c>
      <c r="O72" s="701">
        <v>931.41626497726998</v>
      </c>
      <c r="P72" s="701">
        <f t="shared" si="0"/>
        <v>1683.181</v>
      </c>
      <c r="Q72" s="701">
        <v>133.333327</v>
      </c>
      <c r="R72" s="702">
        <v>0.55336666999999995</v>
      </c>
      <c r="S72" s="658" t="s">
        <v>356</v>
      </c>
      <c r="T72" s="703">
        <f t="array" ref="T72">INDEX(UtilityList!Q$4:Q$251,MATCH('Table 2.5a'!$A72&amp;'Table 2.5a'!$B72,UtilityList!$A$4:$A$251&amp;UtilityList!$C$4:$C$251,0))</f>
        <v>0</v>
      </c>
      <c r="U72" s="704" t="str">
        <f t="array" ref="U72">INDEX(UtilityList!J$4:J$251,MATCH('Table 2.5a'!$A72&amp;'Table 2.5a'!$B72,UtilityList!$A$4:$A$251&amp;UtilityList!$C$4:$C$251,0))</f>
        <v>Bering Straits</v>
      </c>
      <c r="V72" s="704" t="str">
        <f t="array" ref="V72">INDEX(UtilityList!K$4:K$251,MATCH('Table 2.5a'!$A72&amp;'Table 2.5a'!$B72,UtilityList!$A$4:$A$251&amp;UtilityList!$C$4:$C$251,0))</f>
        <v>Nome (CA)</v>
      </c>
      <c r="W72" s="704" t="str">
        <f t="array" ref="W72">INDEX(UtilityList!L$4:L$251,MATCH('Table 2.5a'!$A72&amp;'Table 2.5a'!$B72,UtilityList!$A$4:$A$251&amp;UtilityList!$C$4:$C$251,0))</f>
        <v>Bering Straits</v>
      </c>
      <c r="X72" s="704" t="str">
        <f t="array" ref="X72">INDEX(UtilityList!M$4:M$251,MATCH('Table 2.5a'!$A72&amp;'Table 2.5a'!$B72,UtilityList!$A$4:$A$251&amp;UtilityList!$C$4:$C$251,0))</f>
        <v>AN</v>
      </c>
    </row>
    <row r="73" spans="1:24" customFormat="1" ht="30" x14ac:dyDescent="0.25">
      <c r="A73" s="361" t="s">
        <v>524</v>
      </c>
      <c r="B73" s="654" t="s">
        <v>103</v>
      </c>
      <c r="C73" s="701">
        <v>429.20187605218001</v>
      </c>
      <c r="D73" s="701">
        <v>874.346</v>
      </c>
      <c r="E73" s="701">
        <v>156.66667000000001</v>
      </c>
      <c r="F73" s="702">
        <v>0.49088333000000001</v>
      </c>
      <c r="G73" s="701">
        <v>174.08490061788001</v>
      </c>
      <c r="H73" s="701">
        <v>354.63600000000002</v>
      </c>
      <c r="I73" s="701">
        <v>13.25</v>
      </c>
      <c r="J73" s="702">
        <v>0.49088333000000001</v>
      </c>
      <c r="K73" s="701">
        <v>427.61092317965</v>
      </c>
      <c r="L73" s="701">
        <v>871.10500000000002</v>
      </c>
      <c r="M73" s="701">
        <v>26.083333</v>
      </c>
      <c r="N73" s="702">
        <v>0.49088333000000001</v>
      </c>
      <c r="O73" s="701">
        <v>1030.8976998497101</v>
      </c>
      <c r="P73" s="701">
        <f t="shared" si="0"/>
        <v>2100.087</v>
      </c>
      <c r="Q73" s="701">
        <v>196.00000300000002</v>
      </c>
      <c r="R73" s="702">
        <v>0.49088333000000001</v>
      </c>
      <c r="S73" s="658" t="s">
        <v>356</v>
      </c>
      <c r="T73" s="703">
        <f t="array" ref="T73">INDEX(UtilityList!Q$4:Q$251,MATCH('Table 2.5a'!$A73&amp;'Table 2.5a'!$B73,UtilityList!$A$4:$A$251&amp;UtilityList!$C$4:$C$251,0))</f>
        <v>0</v>
      </c>
      <c r="U73" s="704" t="str">
        <f t="array" ref="U73">INDEX(UtilityList!J$4:J$251,MATCH('Table 2.5a'!$A73&amp;'Table 2.5a'!$B73,UtilityList!$A$4:$A$251&amp;UtilityList!$C$4:$C$251,0))</f>
        <v>Bering Straits</v>
      </c>
      <c r="V73" s="704" t="str">
        <f t="array" ref="V73">INDEX(UtilityList!K$4:K$251,MATCH('Table 2.5a'!$A73&amp;'Table 2.5a'!$B73,UtilityList!$A$4:$A$251&amp;UtilityList!$C$4:$C$251,0))</f>
        <v>Nome (CA)</v>
      </c>
      <c r="W73" s="704" t="str">
        <f t="array" ref="W73">INDEX(UtilityList!L$4:L$251,MATCH('Table 2.5a'!$A73&amp;'Table 2.5a'!$B73,UtilityList!$A$4:$A$251&amp;UtilityList!$C$4:$C$251,0))</f>
        <v>Bering Straits</v>
      </c>
      <c r="X73" s="704" t="str">
        <f t="array" ref="X73">INDEX(UtilityList!M$4:M$251,MATCH('Table 2.5a'!$A73&amp;'Table 2.5a'!$B73,UtilityList!$A$4:$A$251&amp;UtilityList!$C$4:$C$251,0))</f>
        <v>AN</v>
      </c>
    </row>
    <row r="74" spans="1:24" customFormat="1" ht="30" x14ac:dyDescent="0.25">
      <c r="A74" s="361" t="s">
        <v>524</v>
      </c>
      <c r="B74" s="654" t="s">
        <v>104</v>
      </c>
      <c r="C74" s="701">
        <v>340.44664610000001</v>
      </c>
      <c r="D74" s="701">
        <v>601.01800000000003</v>
      </c>
      <c r="E74" s="701">
        <v>110.33334000000001</v>
      </c>
      <c r="F74" s="702">
        <v>0.56645000000000001</v>
      </c>
      <c r="G74" s="701">
        <v>130.62960095</v>
      </c>
      <c r="H74" s="701">
        <v>230.61099999999999</v>
      </c>
      <c r="I74" s="701">
        <v>18.916665999999999</v>
      </c>
      <c r="J74" s="702">
        <v>0.56645000000000001</v>
      </c>
      <c r="K74" s="701">
        <v>479.6030189</v>
      </c>
      <c r="L74" s="701">
        <v>846.68200000000002</v>
      </c>
      <c r="M74" s="701">
        <v>19.583334000000001</v>
      </c>
      <c r="N74" s="702">
        <v>0.56645000000000001</v>
      </c>
      <c r="O74" s="701">
        <v>950.67926594999994</v>
      </c>
      <c r="P74" s="701">
        <f t="shared" ref="P74:P137" si="1">SUM(D74,H74,L74)</f>
        <v>1678.3110000000001</v>
      </c>
      <c r="Q74" s="701">
        <v>148.83334000000002</v>
      </c>
      <c r="R74" s="702">
        <v>0.56645000000000001</v>
      </c>
      <c r="S74" s="658" t="s">
        <v>356</v>
      </c>
      <c r="T74" s="703">
        <f t="array" ref="T74">INDEX(UtilityList!Q$4:Q$251,MATCH('Table 2.5a'!$A74&amp;'Table 2.5a'!$B74,UtilityList!$A$4:$A$251&amp;UtilityList!$C$4:$C$251,0))</f>
        <v>0</v>
      </c>
      <c r="U74" s="704" t="str">
        <f t="array" ref="U74">INDEX(UtilityList!J$4:J$251,MATCH('Table 2.5a'!$A74&amp;'Table 2.5a'!$B74,UtilityList!$A$4:$A$251&amp;UtilityList!$C$4:$C$251,0))</f>
        <v>Lower Yukon-Kuskokwim</v>
      </c>
      <c r="V74" s="704" t="str">
        <f t="array" ref="V74">INDEX(UtilityList!K$4:K$251,MATCH('Table 2.5a'!$A74&amp;'Table 2.5a'!$B74,UtilityList!$A$4:$A$251&amp;UtilityList!$C$4:$C$251,0))</f>
        <v>Wade Hampton (CA)</v>
      </c>
      <c r="W74" s="704" t="str">
        <f t="array" ref="W74">INDEX(UtilityList!L$4:L$251,MATCH('Table 2.5a'!$A74&amp;'Table 2.5a'!$B74,UtilityList!$A$4:$A$251&amp;UtilityList!$C$4:$C$251,0))</f>
        <v>Calista</v>
      </c>
      <c r="X74" s="704" t="str">
        <f t="array" ref="X74">INDEX(UtilityList!M$4:M$251,MATCH('Table 2.5a'!$A74&amp;'Table 2.5a'!$B74,UtilityList!$A$4:$A$251&amp;UtilityList!$C$4:$C$251,0))</f>
        <v>YU</v>
      </c>
    </row>
    <row r="75" spans="1:24" customFormat="1" ht="30" x14ac:dyDescent="0.25">
      <c r="A75" s="361" t="s">
        <v>524</v>
      </c>
      <c r="B75" s="654" t="s">
        <v>105</v>
      </c>
      <c r="C75" s="701">
        <v>624.05189208722993</v>
      </c>
      <c r="D75" s="701">
        <v>1086.3309999999999</v>
      </c>
      <c r="E75" s="701">
        <v>164.5</v>
      </c>
      <c r="F75" s="702">
        <v>0.57445833000000002</v>
      </c>
      <c r="G75" s="701">
        <v>222.27918283521001</v>
      </c>
      <c r="H75" s="701">
        <v>386.93700000000001</v>
      </c>
      <c r="I75" s="701">
        <v>22.722221000000001</v>
      </c>
      <c r="J75" s="702">
        <v>0.57445833000000002</v>
      </c>
      <c r="K75" s="701">
        <v>719.76641565684008</v>
      </c>
      <c r="L75" s="701">
        <v>1252.9480000000001</v>
      </c>
      <c r="M75" s="701">
        <v>29.166667</v>
      </c>
      <c r="N75" s="702">
        <v>0.57445833000000002</v>
      </c>
      <c r="O75" s="701">
        <v>1566.09749057928</v>
      </c>
      <c r="P75" s="701">
        <f t="shared" si="1"/>
        <v>2726.2160000000003</v>
      </c>
      <c r="Q75" s="701">
        <v>216.38888799999998</v>
      </c>
      <c r="R75" s="702">
        <v>0.57445833000000002</v>
      </c>
      <c r="S75" s="658" t="s">
        <v>356</v>
      </c>
      <c r="T75" s="703">
        <f t="array" ref="T75">INDEX(UtilityList!Q$4:Q$251,MATCH('Table 2.5a'!$A75&amp;'Table 2.5a'!$B75,UtilityList!$A$4:$A$251&amp;UtilityList!$C$4:$C$251,0))</f>
        <v>0</v>
      </c>
      <c r="U75" s="704" t="str">
        <f t="array" ref="U75">INDEX(UtilityList!J$4:J$251,MATCH('Table 2.5a'!$A75&amp;'Table 2.5a'!$B75,UtilityList!$A$4:$A$251&amp;UtilityList!$C$4:$C$251,0))</f>
        <v>Northwest Arctic</v>
      </c>
      <c r="V75" s="704" t="str">
        <f t="array" ref="V75">INDEX(UtilityList!K$4:K$251,MATCH('Table 2.5a'!$A75&amp;'Table 2.5a'!$B75,UtilityList!$A$4:$A$251&amp;UtilityList!$C$4:$C$251,0))</f>
        <v>Northwest Arctic</v>
      </c>
      <c r="W75" s="704" t="str">
        <f t="array" ref="W75">INDEX(UtilityList!L$4:L$251,MATCH('Table 2.5a'!$A75&amp;'Table 2.5a'!$B75,UtilityList!$A$4:$A$251&amp;UtilityList!$C$4:$C$251,0))</f>
        <v>NANA</v>
      </c>
      <c r="X75" s="704" t="str">
        <f t="array" ref="X75">INDEX(UtilityList!M$4:M$251,MATCH('Table 2.5a'!$A75&amp;'Table 2.5a'!$B75,UtilityList!$A$4:$A$251&amp;UtilityList!$C$4:$C$251,0))</f>
        <v>AN</v>
      </c>
    </row>
    <row r="76" spans="1:24" customFormat="1" ht="30" x14ac:dyDescent="0.25">
      <c r="A76" s="361" t="s">
        <v>524</v>
      </c>
      <c r="B76" s="654" t="s">
        <v>106</v>
      </c>
      <c r="C76" s="701">
        <v>68.981021549999994</v>
      </c>
      <c r="D76" s="701">
        <v>114.95399999999999</v>
      </c>
      <c r="E76" s="701">
        <v>50.75</v>
      </c>
      <c r="F76" s="702">
        <v>0.60007500000000003</v>
      </c>
      <c r="G76" s="701">
        <v>55.764969750000006</v>
      </c>
      <c r="H76" s="701">
        <v>92.93</v>
      </c>
      <c r="I76" s="701">
        <v>7.5833335000000002</v>
      </c>
      <c r="J76" s="702">
        <v>0.60007500000000003</v>
      </c>
      <c r="K76" s="701">
        <v>82.570920075000004</v>
      </c>
      <c r="L76" s="701">
        <v>137.601</v>
      </c>
      <c r="M76" s="701">
        <v>10.6666668</v>
      </c>
      <c r="N76" s="702">
        <v>0.60007500000000003</v>
      </c>
      <c r="O76" s="701">
        <v>207.31691137500002</v>
      </c>
      <c r="P76" s="701">
        <f t="shared" si="1"/>
        <v>345.48500000000001</v>
      </c>
      <c r="Q76" s="701">
        <v>69.000000299999996</v>
      </c>
      <c r="R76" s="702">
        <v>0.60007500000000003</v>
      </c>
      <c r="S76" s="658" t="s">
        <v>356</v>
      </c>
      <c r="T76" s="703">
        <f t="array" ref="T76">INDEX(UtilityList!Q$4:Q$251,MATCH('Table 2.5a'!$A76&amp;'Table 2.5a'!$B76,UtilityList!$A$4:$A$251&amp;UtilityList!$C$4:$C$251,0))</f>
        <v>0</v>
      </c>
      <c r="U76" s="704" t="str">
        <f t="array" ref="U76">INDEX(UtilityList!J$4:J$251,MATCH('Table 2.5a'!$A76&amp;'Table 2.5a'!$B76,UtilityList!$A$4:$A$251&amp;UtilityList!$C$4:$C$251,0))</f>
        <v>Yukon-Koyukuk/Upper Tanana</v>
      </c>
      <c r="V76" s="704" t="str">
        <f t="array" ref="V76">INDEX(UtilityList!K$4:K$251,MATCH('Table 2.5a'!$A76&amp;'Table 2.5a'!$B76,UtilityList!$A$4:$A$251&amp;UtilityList!$C$4:$C$251,0))</f>
        <v>Yukon-Koyukuk (CA)</v>
      </c>
      <c r="W76" s="704" t="str">
        <f t="array" ref="W76">INDEX(UtilityList!L$4:L$251,MATCH('Table 2.5a'!$A76&amp;'Table 2.5a'!$B76,UtilityList!$A$4:$A$251&amp;UtilityList!$C$4:$C$251,0))</f>
        <v>Doyon</v>
      </c>
      <c r="X76" s="704" t="str">
        <f t="array" ref="X76">INDEX(UtilityList!M$4:M$251,MATCH('Table 2.5a'!$A76&amp;'Table 2.5a'!$B76,UtilityList!$A$4:$A$251&amp;UtilityList!$C$4:$C$251,0))</f>
        <v>YU</v>
      </c>
    </row>
    <row r="77" spans="1:24" customFormat="1" ht="30" x14ac:dyDescent="0.25">
      <c r="A77" s="361" t="s">
        <v>524</v>
      </c>
      <c r="B77" s="654" t="s">
        <v>107</v>
      </c>
      <c r="C77" s="701">
        <v>226.33044465329004</v>
      </c>
      <c r="D77" s="701">
        <v>393.48700000000002</v>
      </c>
      <c r="E77" s="701">
        <v>75.083336000000003</v>
      </c>
      <c r="F77" s="702">
        <v>0.57519167000000004</v>
      </c>
      <c r="G77" s="701">
        <v>126.57725409187002</v>
      </c>
      <c r="H77" s="701">
        <v>220.06100000000001</v>
      </c>
      <c r="I77" s="701">
        <v>11.5</v>
      </c>
      <c r="J77" s="702">
        <v>0.57519167000000004</v>
      </c>
      <c r="K77" s="701">
        <v>156.72017355822001</v>
      </c>
      <c r="L77" s="701">
        <v>272.46600000000001</v>
      </c>
      <c r="M77" s="701">
        <v>14.5</v>
      </c>
      <c r="N77" s="702">
        <v>0.57519167000000004</v>
      </c>
      <c r="O77" s="701">
        <v>509.62787230338006</v>
      </c>
      <c r="P77" s="701">
        <f t="shared" si="1"/>
        <v>886.01400000000001</v>
      </c>
      <c r="Q77" s="701">
        <v>101.083336</v>
      </c>
      <c r="R77" s="702">
        <v>0.57519167000000004</v>
      </c>
      <c r="S77" s="658" t="s">
        <v>356</v>
      </c>
      <c r="T77" s="703">
        <f t="array" ref="T77">INDEX(UtilityList!Q$4:Q$251,MATCH('Table 2.5a'!$A77&amp;'Table 2.5a'!$B77,UtilityList!$A$4:$A$251&amp;UtilityList!$C$4:$C$251,0))</f>
        <v>0</v>
      </c>
      <c r="U77" s="704" t="str">
        <f t="array" ref="U77">INDEX(UtilityList!J$4:J$251,MATCH('Table 2.5a'!$A77&amp;'Table 2.5a'!$B77,UtilityList!$A$4:$A$251&amp;UtilityList!$C$4:$C$251,0))</f>
        <v>Bering Straits</v>
      </c>
      <c r="V77" s="704" t="str">
        <f t="array" ref="V77">INDEX(UtilityList!K$4:K$251,MATCH('Table 2.5a'!$A77&amp;'Table 2.5a'!$B77,UtilityList!$A$4:$A$251&amp;UtilityList!$C$4:$C$251,0))</f>
        <v>Nome (CA)</v>
      </c>
      <c r="W77" s="704" t="str">
        <f t="array" ref="W77">INDEX(UtilityList!L$4:L$251,MATCH('Table 2.5a'!$A77&amp;'Table 2.5a'!$B77,UtilityList!$A$4:$A$251&amp;UtilityList!$C$4:$C$251,0))</f>
        <v>Bering Straits</v>
      </c>
      <c r="X77" s="704" t="str">
        <f t="array" ref="X77">INDEX(UtilityList!M$4:M$251,MATCH('Table 2.5a'!$A77&amp;'Table 2.5a'!$B77,UtilityList!$A$4:$A$251&amp;UtilityList!$C$4:$C$251,0))</f>
        <v>AN</v>
      </c>
    </row>
    <row r="78" spans="1:24" s="126" customFormat="1" ht="30" x14ac:dyDescent="0.25">
      <c r="A78" s="361" t="s">
        <v>524</v>
      </c>
      <c r="B78" s="654" t="s">
        <v>108</v>
      </c>
      <c r="C78" s="701">
        <v>432.23503305000003</v>
      </c>
      <c r="D78" s="701">
        <v>731.02200000000005</v>
      </c>
      <c r="E78" s="701">
        <v>139</v>
      </c>
      <c r="F78" s="702">
        <v>0.591275</v>
      </c>
      <c r="G78" s="701">
        <v>222.75043947499998</v>
      </c>
      <c r="H78" s="701">
        <v>376.72899999999998</v>
      </c>
      <c r="I78" s="701">
        <v>18</v>
      </c>
      <c r="J78" s="702">
        <v>0.591275</v>
      </c>
      <c r="K78" s="701">
        <v>279.51224819999999</v>
      </c>
      <c r="L78" s="701">
        <v>472.72800000000001</v>
      </c>
      <c r="M78" s="701">
        <v>22.5</v>
      </c>
      <c r="N78" s="702">
        <v>0.591275</v>
      </c>
      <c r="O78" s="701">
        <v>934.49772072499991</v>
      </c>
      <c r="P78" s="701">
        <f t="shared" si="1"/>
        <v>1580.479</v>
      </c>
      <c r="Q78" s="701">
        <v>179.5</v>
      </c>
      <c r="R78" s="702">
        <v>0.591275</v>
      </c>
      <c r="S78" s="658" t="s">
        <v>356</v>
      </c>
      <c r="T78" s="703">
        <f t="array" ref="T78">INDEX(UtilityList!Q$4:Q$251,MATCH('Table 2.5a'!$A78&amp;'Table 2.5a'!$B78,UtilityList!$A$4:$A$251&amp;UtilityList!$C$4:$C$251,0))</f>
        <v>0</v>
      </c>
      <c r="U78" s="704" t="str">
        <f t="array" ref="U78">INDEX(UtilityList!J$4:J$251,MATCH('Table 2.5a'!$A78&amp;'Table 2.5a'!$B78,UtilityList!$A$4:$A$251&amp;UtilityList!$C$4:$C$251,0))</f>
        <v>Bering Straits</v>
      </c>
      <c r="V78" s="704" t="str">
        <f t="array" ref="V78">INDEX(UtilityList!K$4:K$251,MATCH('Table 2.5a'!$A78&amp;'Table 2.5a'!$B78,UtilityList!$A$4:$A$251&amp;UtilityList!$C$4:$C$251,0))</f>
        <v>Nome (CA)</v>
      </c>
      <c r="W78" s="704" t="str">
        <f t="array" ref="W78">INDEX(UtilityList!L$4:L$251,MATCH('Table 2.5a'!$A78&amp;'Table 2.5a'!$B78,UtilityList!$A$4:$A$251&amp;UtilityList!$C$4:$C$251,0))</f>
        <v>Bering Straits</v>
      </c>
      <c r="X78" s="704" t="str">
        <f t="array" ref="X78">INDEX(UtilityList!M$4:M$251,MATCH('Table 2.5a'!$A78&amp;'Table 2.5a'!$B78,UtilityList!$A$4:$A$251&amp;UtilityList!$C$4:$C$251,0))</f>
        <v>AN</v>
      </c>
    </row>
    <row r="79" spans="1:24" customFormat="1" ht="72" customHeight="1" x14ac:dyDescent="0.25">
      <c r="A79" s="361" t="s">
        <v>524</v>
      </c>
      <c r="B79" s="654" t="s">
        <v>994</v>
      </c>
      <c r="C79" s="701">
        <v>282.0813665</v>
      </c>
      <c r="D79" s="701">
        <v>387.87400000000002</v>
      </c>
      <c r="E79" s="701">
        <v>67.916663999999997</v>
      </c>
      <c r="F79" s="702">
        <v>0.72724999999999995</v>
      </c>
      <c r="G79" s="701">
        <v>525.28685699999994</v>
      </c>
      <c r="H79" s="701">
        <v>722.29200000000003</v>
      </c>
      <c r="I79" s="701">
        <v>14.166667</v>
      </c>
      <c r="J79" s="702">
        <v>0.72724999999999995</v>
      </c>
      <c r="K79" s="701">
        <v>286.79540099999997</v>
      </c>
      <c r="L79" s="701">
        <v>394.35599999999999</v>
      </c>
      <c r="M79" s="701">
        <v>14.5833335</v>
      </c>
      <c r="N79" s="702">
        <v>0.72724999999999995</v>
      </c>
      <c r="O79" s="701">
        <v>1094.1636245</v>
      </c>
      <c r="P79" s="701">
        <f t="shared" si="1"/>
        <v>1504.5220000000002</v>
      </c>
      <c r="Q79" s="701">
        <v>96.666664499999996</v>
      </c>
      <c r="R79" s="702">
        <v>0.72724999999999995</v>
      </c>
      <c r="S79" s="658" t="s">
        <v>356</v>
      </c>
      <c r="T79" s="703" t="str">
        <f t="array" ref="T79">INDEX(UtilityList!Q$4:Q$251,MATCH('Table 2.5a'!$A79&amp;'Table 2.5a'!$B79,UtilityList!$A$4:$A$251&amp;UtilityList!$C$4:$C$251,0))</f>
        <v>Provides power to Kobuk via intertie. Fuel use and cost includes Kobuk's information.</v>
      </c>
      <c r="U79" s="704" t="str">
        <f t="array" ref="U79">INDEX(UtilityList!J$4:J$251,MATCH('Table 2.5a'!$A79&amp;'Table 2.5a'!$B79,UtilityList!$A$4:$A$251&amp;UtilityList!$C$4:$C$251,0))</f>
        <v>Northwest Arctic</v>
      </c>
      <c r="V79" s="704" t="str">
        <f t="array" ref="V79">INDEX(UtilityList!K$4:K$251,MATCH('Table 2.5a'!$A79&amp;'Table 2.5a'!$B79,UtilityList!$A$4:$A$251&amp;UtilityList!$C$4:$C$251,0))</f>
        <v>Northwest Arctic</v>
      </c>
      <c r="W79" s="704" t="str">
        <f t="array" ref="W79">INDEX(UtilityList!L$4:L$251,MATCH('Table 2.5a'!$A79&amp;'Table 2.5a'!$B79,UtilityList!$A$4:$A$251&amp;UtilityList!$C$4:$C$251,0))</f>
        <v>NANA</v>
      </c>
      <c r="X79" s="704" t="str">
        <f t="array" ref="X79">INDEX(UtilityList!M$4:M$251,MATCH('Table 2.5a'!$A79&amp;'Table 2.5a'!$B79,UtilityList!$A$4:$A$251&amp;UtilityList!$C$4:$C$251,0))</f>
        <v>AN</v>
      </c>
    </row>
    <row r="80" spans="1:24" customFormat="1" ht="30" x14ac:dyDescent="0.25">
      <c r="A80" s="361" t="s">
        <v>524</v>
      </c>
      <c r="B80" s="654" t="s">
        <v>110</v>
      </c>
      <c r="C80" s="701">
        <v>317.70202044999996</v>
      </c>
      <c r="D80" s="701">
        <v>569.07799999999997</v>
      </c>
      <c r="E80" s="701">
        <v>149</v>
      </c>
      <c r="F80" s="702">
        <v>0.55827499999999997</v>
      </c>
      <c r="G80" s="701">
        <v>152.53133722499999</v>
      </c>
      <c r="H80" s="701">
        <v>273.21899999999999</v>
      </c>
      <c r="I80" s="701">
        <v>15.25</v>
      </c>
      <c r="J80" s="702">
        <v>0.55827499999999997</v>
      </c>
      <c r="K80" s="701">
        <v>282.25602414999997</v>
      </c>
      <c r="L80" s="701">
        <v>505.58600000000001</v>
      </c>
      <c r="M80" s="701">
        <v>19.750000499999999</v>
      </c>
      <c r="N80" s="702">
        <v>0.55827499999999997</v>
      </c>
      <c r="O80" s="701">
        <v>752.48938182500001</v>
      </c>
      <c r="P80" s="701">
        <f t="shared" si="1"/>
        <v>1347.883</v>
      </c>
      <c r="Q80" s="701">
        <v>184.0000005</v>
      </c>
      <c r="R80" s="702">
        <v>0.55827499999999997</v>
      </c>
      <c r="S80" s="658" t="s">
        <v>356</v>
      </c>
      <c r="T80" s="703">
        <f t="array" ref="T80">INDEX(UtilityList!Q$4:Q$251,MATCH('Table 2.5a'!$A80&amp;'Table 2.5a'!$B80,UtilityList!$A$4:$A$251&amp;UtilityList!$C$4:$C$251,0))</f>
        <v>0</v>
      </c>
      <c r="U80" s="704" t="str">
        <f t="array" ref="U80">INDEX(UtilityList!J$4:J$251,MATCH('Table 2.5a'!$A80&amp;'Table 2.5a'!$B80,UtilityList!$A$4:$A$251&amp;UtilityList!$C$4:$C$251,0))</f>
        <v>Bering Straits</v>
      </c>
      <c r="V80" s="704" t="str">
        <f t="array" ref="V80">INDEX(UtilityList!K$4:K$251,MATCH('Table 2.5a'!$A80&amp;'Table 2.5a'!$B80,UtilityList!$A$4:$A$251&amp;UtilityList!$C$4:$C$251,0))</f>
        <v>Nome (CA)</v>
      </c>
      <c r="W80" s="704" t="str">
        <f t="array" ref="W80">INDEX(UtilityList!L$4:L$251,MATCH('Table 2.5a'!$A80&amp;'Table 2.5a'!$B80,UtilityList!$A$4:$A$251&amp;UtilityList!$C$4:$C$251,0))</f>
        <v>Bering Straits</v>
      </c>
      <c r="X80" s="704" t="str">
        <f t="array" ref="X80">INDEX(UtilityList!M$4:M$251,MATCH('Table 2.5a'!$A80&amp;'Table 2.5a'!$B80,UtilityList!$A$4:$A$251&amp;UtilityList!$C$4:$C$251,0))</f>
        <v>AN</v>
      </c>
    </row>
    <row r="81" spans="1:24" customFormat="1" ht="30" x14ac:dyDescent="0.25">
      <c r="A81" s="361" t="s">
        <v>524</v>
      </c>
      <c r="B81" s="654" t="s">
        <v>111</v>
      </c>
      <c r="C81" s="701">
        <v>179.74539059467998</v>
      </c>
      <c r="D81" s="701">
        <v>288.404</v>
      </c>
      <c r="E81" s="701">
        <v>79.666663999999997</v>
      </c>
      <c r="F81" s="702">
        <v>0.62324166999999997</v>
      </c>
      <c r="G81" s="701">
        <v>100.73642084711</v>
      </c>
      <c r="H81" s="701">
        <v>161.63300000000001</v>
      </c>
      <c r="I81" s="701">
        <v>13.083333</v>
      </c>
      <c r="J81" s="702">
        <v>0.62324166999999997</v>
      </c>
      <c r="K81" s="701">
        <v>211.44844786423999</v>
      </c>
      <c r="L81" s="701">
        <v>339.27199999999999</v>
      </c>
      <c r="M81" s="701">
        <v>18.75</v>
      </c>
      <c r="N81" s="702">
        <v>0.62324166999999997</v>
      </c>
      <c r="O81" s="701">
        <v>491.93025930603</v>
      </c>
      <c r="P81" s="701">
        <f t="shared" si="1"/>
        <v>789.30899999999997</v>
      </c>
      <c r="Q81" s="701">
        <v>111.49999699999999</v>
      </c>
      <c r="R81" s="702">
        <v>0.62324166999999997</v>
      </c>
      <c r="S81" s="658" t="s">
        <v>356</v>
      </c>
      <c r="T81" s="703">
        <f t="array" ref="T81">INDEX(UtilityList!Q$4:Q$251,MATCH('Table 2.5a'!$A81&amp;'Table 2.5a'!$B81,UtilityList!$A$4:$A$251&amp;UtilityList!$C$4:$C$251,0))</f>
        <v>0</v>
      </c>
      <c r="U81" s="704" t="str">
        <f t="array" ref="U81">INDEX(UtilityList!J$4:J$251,MATCH('Table 2.5a'!$A81&amp;'Table 2.5a'!$B81,UtilityList!$A$4:$A$251&amp;UtilityList!$C$4:$C$251,0))</f>
        <v>Bering Straits</v>
      </c>
      <c r="V81" s="704" t="str">
        <f t="array" ref="V81">INDEX(UtilityList!K$4:K$251,MATCH('Table 2.5a'!$A81&amp;'Table 2.5a'!$B81,UtilityList!$A$4:$A$251&amp;UtilityList!$C$4:$C$251,0))</f>
        <v>Nome (CA)</v>
      </c>
      <c r="W81" s="704" t="str">
        <f t="array" ref="W81">INDEX(UtilityList!L$4:L$251,MATCH('Table 2.5a'!$A81&amp;'Table 2.5a'!$B81,UtilityList!$A$4:$A$251&amp;UtilityList!$C$4:$C$251,0))</f>
        <v>Bering Straits</v>
      </c>
      <c r="X81" s="704" t="str">
        <f t="array" ref="X81">INDEX(UtilityList!M$4:M$251,MATCH('Table 2.5a'!$A81&amp;'Table 2.5a'!$B81,UtilityList!$A$4:$A$251&amp;UtilityList!$C$4:$C$251,0))</f>
        <v>AN</v>
      </c>
    </row>
    <row r="82" spans="1:24" customFormat="1" ht="30" x14ac:dyDescent="0.25">
      <c r="A82" s="361" t="s">
        <v>524</v>
      </c>
      <c r="B82" s="654" t="s">
        <v>112</v>
      </c>
      <c r="C82" s="701">
        <v>737.81092584394003</v>
      </c>
      <c r="D82" s="701">
        <v>1298.182</v>
      </c>
      <c r="E82" s="701">
        <v>249.16667000000001</v>
      </c>
      <c r="F82" s="702">
        <v>0.56834167000000002</v>
      </c>
      <c r="G82" s="701">
        <v>445.16156981088</v>
      </c>
      <c r="H82" s="701">
        <v>783.26400000000001</v>
      </c>
      <c r="I82" s="701">
        <v>24.916665999999999</v>
      </c>
      <c r="J82" s="702">
        <v>0.56834167000000002</v>
      </c>
      <c r="K82" s="701">
        <v>485.68944595690999</v>
      </c>
      <c r="L82" s="701">
        <v>854.57299999999998</v>
      </c>
      <c r="M82" s="701">
        <v>31.666665999999999</v>
      </c>
      <c r="N82" s="702">
        <v>0.56834167000000002</v>
      </c>
      <c r="O82" s="701">
        <v>1668.6619416117301</v>
      </c>
      <c r="P82" s="701">
        <f t="shared" si="1"/>
        <v>2936.0189999999998</v>
      </c>
      <c r="Q82" s="701">
        <v>305.75000200000005</v>
      </c>
      <c r="R82" s="702">
        <v>0.56834167000000002</v>
      </c>
      <c r="S82" s="658" t="s">
        <v>356</v>
      </c>
      <c r="T82" s="703">
        <f t="array" ref="T82">INDEX(UtilityList!Q$4:Q$251,MATCH('Table 2.5a'!$A82&amp;'Table 2.5a'!$B82,UtilityList!$A$4:$A$251&amp;UtilityList!$C$4:$C$251,0))</f>
        <v>0</v>
      </c>
      <c r="U82" s="704" t="str">
        <f t="array" ref="U82">INDEX(UtilityList!J$4:J$251,MATCH('Table 2.5a'!$A82&amp;'Table 2.5a'!$B82,UtilityList!$A$4:$A$251&amp;UtilityList!$C$4:$C$251,0))</f>
        <v>Bristol Bay</v>
      </c>
      <c r="V82" s="704" t="str">
        <f t="array" ref="V82">INDEX(UtilityList!K$4:K$251,MATCH('Table 2.5a'!$A82&amp;'Table 2.5a'!$B82,UtilityList!$A$4:$A$251&amp;UtilityList!$C$4:$C$251,0))</f>
        <v>Dillingham (CA)</v>
      </c>
      <c r="W82" s="704" t="str">
        <f t="array" ref="W82">INDEX(UtilityList!L$4:L$251,MATCH('Table 2.5a'!$A82&amp;'Table 2.5a'!$B82,UtilityList!$A$4:$A$251&amp;UtilityList!$C$4:$C$251,0))</f>
        <v>Bristol Bay</v>
      </c>
      <c r="X82" s="704" t="str">
        <f t="array" ref="X82">INDEX(UtilityList!M$4:M$251,MATCH('Table 2.5a'!$A82&amp;'Table 2.5a'!$B82,UtilityList!$A$4:$A$251&amp;UtilityList!$C$4:$C$251,0))</f>
        <v>SW</v>
      </c>
    </row>
    <row r="83" spans="1:24" customFormat="1" ht="90" x14ac:dyDescent="0.25">
      <c r="A83" s="361" t="s">
        <v>524</v>
      </c>
      <c r="B83" s="654" t="s">
        <v>996</v>
      </c>
      <c r="C83" s="701">
        <v>363.18677805000004</v>
      </c>
      <c r="D83" s="701">
        <v>702.42100000000005</v>
      </c>
      <c r="E83" s="701">
        <v>132.75</v>
      </c>
      <c r="F83" s="702">
        <v>0.51705000000000001</v>
      </c>
      <c r="G83" s="701">
        <v>111.05923770000001</v>
      </c>
      <c r="H83" s="701">
        <v>214.79400000000001</v>
      </c>
      <c r="I83" s="701">
        <v>14.083333</v>
      </c>
      <c r="J83" s="702">
        <v>0.51705000000000001</v>
      </c>
      <c r="K83" s="701">
        <v>315.38912489999996</v>
      </c>
      <c r="L83" s="701">
        <v>609.97799999999995</v>
      </c>
      <c r="M83" s="701">
        <v>23.5</v>
      </c>
      <c r="N83" s="702">
        <v>0.51705000000000001</v>
      </c>
      <c r="O83" s="701">
        <v>789.63514065000004</v>
      </c>
      <c r="P83" s="701">
        <f t="shared" si="1"/>
        <v>1527.193</v>
      </c>
      <c r="Q83" s="701">
        <v>170.33333300000001</v>
      </c>
      <c r="R83" s="702">
        <v>0.51705000000000001</v>
      </c>
      <c r="S83" s="658" t="s">
        <v>356</v>
      </c>
      <c r="T83" s="703" t="str">
        <f t="array" ref="T83">INDEX(UtilityList!Q$4:Q$251,MATCH('Table 2.5a'!$A83&amp;'Table 2.5a'!$B83,UtilityList!$A$4:$A$251&amp;UtilityList!$C$4:$C$251,0))</f>
        <v>Provides power to Nightmute and Tununak via intertie. Fuel use and cost includes Nightmute's and Tununak's information.</v>
      </c>
      <c r="U83" s="704" t="str">
        <f t="array" ref="U83">INDEX(UtilityList!J$4:J$251,MATCH('Table 2.5a'!$A83&amp;'Table 2.5a'!$B83,UtilityList!$A$4:$A$251&amp;UtilityList!$C$4:$C$251,0))</f>
        <v>Lower Yukon-Kuskokwim</v>
      </c>
      <c r="V83" s="704" t="str">
        <f t="array" ref="V83">INDEX(UtilityList!K$4:K$251,MATCH('Table 2.5a'!$A83&amp;'Table 2.5a'!$B83,UtilityList!$A$4:$A$251&amp;UtilityList!$C$4:$C$251,0))</f>
        <v>Bethel (CA)</v>
      </c>
      <c r="W83" s="704" t="str">
        <f t="array" ref="W83">INDEX(UtilityList!L$4:L$251,MATCH('Table 2.5a'!$A83&amp;'Table 2.5a'!$B83,UtilityList!$A$4:$A$251&amp;UtilityList!$C$4:$C$251,0))</f>
        <v>Calista</v>
      </c>
      <c r="X83" s="704" t="str">
        <f t="array" ref="X83">INDEX(UtilityList!M$4:M$251,MATCH('Table 2.5a'!$A83&amp;'Table 2.5a'!$B83,UtilityList!$A$4:$A$251&amp;UtilityList!$C$4:$C$251,0))</f>
        <v>SW</v>
      </c>
    </row>
    <row r="84" spans="1:24" customFormat="1" ht="75" x14ac:dyDescent="0.25">
      <c r="A84" s="361" t="s">
        <v>524</v>
      </c>
      <c r="B84" s="654" t="s">
        <v>114</v>
      </c>
      <c r="C84" s="701">
        <v>234.73247975999999</v>
      </c>
      <c r="D84" s="701">
        <v>453.20400000000001</v>
      </c>
      <c r="E84" s="701">
        <v>106.66665999999999</v>
      </c>
      <c r="F84" s="702">
        <v>0.51793999999999996</v>
      </c>
      <c r="G84" s="701">
        <v>46.626512619999993</v>
      </c>
      <c r="H84" s="701">
        <v>90.022999999999996</v>
      </c>
      <c r="I84" s="701">
        <v>12.416667</v>
      </c>
      <c r="J84" s="702">
        <v>0.51793999999999996</v>
      </c>
      <c r="K84" s="701">
        <v>149.04966555999999</v>
      </c>
      <c r="L84" s="701">
        <v>287.774</v>
      </c>
      <c r="M84" s="701">
        <v>15.833333</v>
      </c>
      <c r="N84" s="702">
        <v>0.51793999999999996</v>
      </c>
      <c r="O84" s="701">
        <v>430.40865793999996</v>
      </c>
      <c r="P84" s="701">
        <f t="shared" si="1"/>
        <v>831.00099999999998</v>
      </c>
      <c r="Q84" s="701">
        <v>134.91666000000001</v>
      </c>
      <c r="R84" s="702">
        <v>0.51793999999999996</v>
      </c>
      <c r="S84" s="658" t="s">
        <v>356</v>
      </c>
      <c r="T84" s="703" t="str">
        <f t="array" ref="T84">INDEX(UtilityList!Q$4:Q$251,MATCH('Table 2.5a'!$A84&amp;'Table 2.5a'!$B84,UtilityList!$A$4:$A$251&amp;UtilityList!$C$4:$C$251,0))</f>
        <v>Receives power from Toksook Bay via intertie. For fuel use and cost, please refer to Toksook Bay.</v>
      </c>
      <c r="U84" s="704" t="str">
        <f t="array" ref="U84">INDEX(UtilityList!J$4:J$251,MATCH('Table 2.5a'!$A84&amp;'Table 2.5a'!$B84,UtilityList!$A$4:$A$251&amp;UtilityList!$C$4:$C$251,0))</f>
        <v>Lower Yukon-Kuskokwim</v>
      </c>
      <c r="V84" s="704" t="str">
        <f t="array" ref="V84">INDEX(UtilityList!K$4:K$251,MATCH('Table 2.5a'!$A84&amp;'Table 2.5a'!$B84,UtilityList!$A$4:$A$251&amp;UtilityList!$C$4:$C$251,0))</f>
        <v>Bethel (CA)</v>
      </c>
      <c r="W84" s="704" t="str">
        <f t="array" ref="W84">INDEX(UtilityList!L$4:L$251,MATCH('Table 2.5a'!$A84&amp;'Table 2.5a'!$B84,UtilityList!$A$4:$A$251&amp;UtilityList!$C$4:$C$251,0))</f>
        <v>Calista</v>
      </c>
      <c r="X84" s="704" t="str">
        <f t="array" ref="X84">INDEX(UtilityList!M$4:M$251,MATCH('Table 2.5a'!$A84&amp;'Table 2.5a'!$B84,UtilityList!$A$4:$A$251&amp;UtilityList!$C$4:$C$251,0))</f>
        <v>SW</v>
      </c>
    </row>
    <row r="85" spans="1:24" s="169" customFormat="1" ht="30" x14ac:dyDescent="0.25">
      <c r="A85" s="361" t="s">
        <v>524</v>
      </c>
      <c r="B85" s="654" t="s">
        <v>116</v>
      </c>
      <c r="C85" s="701">
        <v>151.00438841497001</v>
      </c>
      <c r="D85" s="701">
        <v>234.49100000000001</v>
      </c>
      <c r="E85" s="701">
        <v>50.583331999999999</v>
      </c>
      <c r="F85" s="702">
        <v>0.64396666999999996</v>
      </c>
      <c r="G85" s="701">
        <v>65.323335038129997</v>
      </c>
      <c r="H85" s="701">
        <v>101.43899999999999</v>
      </c>
      <c r="I85" s="701">
        <v>9.3333329999999997</v>
      </c>
      <c r="J85" s="702">
        <v>0.64396666999999996</v>
      </c>
      <c r="K85" s="701">
        <v>128.45653943158999</v>
      </c>
      <c r="L85" s="701">
        <v>199.477</v>
      </c>
      <c r="M85" s="701">
        <v>12.5</v>
      </c>
      <c r="N85" s="702">
        <v>0.64396666999999996</v>
      </c>
      <c r="O85" s="701">
        <v>344.78426288469001</v>
      </c>
      <c r="P85" s="701">
        <f t="shared" si="1"/>
        <v>535.40700000000004</v>
      </c>
      <c r="Q85" s="701">
        <v>72.416664999999995</v>
      </c>
      <c r="R85" s="702">
        <v>0.64396666999999996</v>
      </c>
      <c r="S85" s="658" t="s">
        <v>356</v>
      </c>
      <c r="T85" s="703">
        <f t="array" ref="T85">INDEX(UtilityList!Q$4:Q$251,MATCH('Table 2.5a'!$A85&amp;'Table 2.5a'!$B85,UtilityList!$A$4:$A$251&amp;UtilityList!$C$4:$C$251,0))</f>
        <v>0</v>
      </c>
      <c r="U85" s="704" t="str">
        <f t="array" ref="U85">INDEX(UtilityList!J$4:J$251,MATCH('Table 2.5a'!$A85&amp;'Table 2.5a'!$B85,UtilityList!$A$4:$A$251&amp;UtilityList!$C$4:$C$251,0))</f>
        <v>Bering Straits</v>
      </c>
      <c r="V85" s="704" t="str">
        <f t="array" ref="V85">INDEX(UtilityList!K$4:K$251,MATCH('Table 2.5a'!$A85&amp;'Table 2.5a'!$B85,UtilityList!$A$4:$A$251&amp;UtilityList!$C$4:$C$251,0))</f>
        <v>Nome (CA)</v>
      </c>
      <c r="W85" s="704" t="str">
        <f t="array" ref="W85">INDEX(UtilityList!L$4:L$251,MATCH('Table 2.5a'!$A85&amp;'Table 2.5a'!$B85,UtilityList!$A$4:$A$251&amp;UtilityList!$C$4:$C$251,0))</f>
        <v>Bering Straits</v>
      </c>
      <c r="X85" s="704" t="str">
        <f t="array" ref="X85">INDEX(UtilityList!M$4:M$251,MATCH('Table 2.5a'!$A85&amp;'Table 2.5a'!$B85,UtilityList!$A$4:$A$251&amp;UtilityList!$C$4:$C$251,0))</f>
        <v>AN</v>
      </c>
    </row>
    <row r="86" spans="1:24" customFormat="1" x14ac:dyDescent="0.25">
      <c r="A86" s="361" t="s">
        <v>117</v>
      </c>
      <c r="B86" s="654" t="s">
        <v>118</v>
      </c>
      <c r="C86" s="701">
        <v>51.505199999999995</v>
      </c>
      <c r="D86" s="701">
        <v>85.841999999999999</v>
      </c>
      <c r="E86" s="701">
        <v>13.166667</v>
      </c>
      <c r="F86" s="702">
        <v>0.6</v>
      </c>
      <c r="G86" s="701">
        <v>64.4298</v>
      </c>
      <c r="H86" s="701">
        <v>107.383</v>
      </c>
      <c r="I86" s="701">
        <v>10.833333</v>
      </c>
      <c r="J86" s="702">
        <v>0.6</v>
      </c>
      <c r="K86" s="701">
        <v>13.675799999999999</v>
      </c>
      <c r="L86" s="701">
        <v>22.792999999999999</v>
      </c>
      <c r="M86" s="701">
        <v>3</v>
      </c>
      <c r="N86" s="702">
        <v>0.6</v>
      </c>
      <c r="O86" s="701">
        <v>129.61080000000001</v>
      </c>
      <c r="P86" s="701">
        <f t="shared" si="1"/>
        <v>216.018</v>
      </c>
      <c r="Q86" s="701">
        <v>27</v>
      </c>
      <c r="R86" s="702">
        <v>0.6</v>
      </c>
      <c r="S86" s="658" t="s">
        <v>356</v>
      </c>
      <c r="T86" s="703">
        <f t="array" ref="T86">INDEX(UtilityList!Q$4:Q$251,MATCH('Table 2.5a'!$A86&amp;'Table 2.5a'!$B86,UtilityList!$A$4:$A$251&amp;UtilityList!$C$4:$C$251,0))</f>
        <v>0</v>
      </c>
      <c r="U86" s="704" t="str">
        <f t="array" ref="U86">INDEX(UtilityList!J$4:J$251,MATCH('Table 2.5a'!$A86&amp;'Table 2.5a'!$B86,UtilityList!$A$4:$A$251&amp;UtilityList!$C$4:$C$251,0))</f>
        <v>Kodiak</v>
      </c>
      <c r="V86" s="704" t="str">
        <f t="array" ref="V86">INDEX(UtilityList!K$4:K$251,MATCH('Table 2.5a'!$A86&amp;'Table 2.5a'!$B86,UtilityList!$A$4:$A$251&amp;UtilityList!$C$4:$C$251,0))</f>
        <v>Kodiak Island</v>
      </c>
      <c r="W86" s="704" t="str">
        <f t="array" ref="W86">INDEX(UtilityList!L$4:L$251,MATCH('Table 2.5a'!$A86&amp;'Table 2.5a'!$B86,UtilityList!$A$4:$A$251&amp;UtilityList!$C$4:$C$251,0))</f>
        <v>Koniag</v>
      </c>
      <c r="X86" s="704" t="str">
        <f t="array" ref="X86">INDEX(UtilityList!M$4:M$251,MATCH('Table 2.5a'!$A86&amp;'Table 2.5a'!$B86,UtilityList!$A$4:$A$251&amp;UtilityList!$C$4:$C$251,0))</f>
        <v>SC</v>
      </c>
    </row>
    <row r="87" spans="1:24" customFormat="1" ht="30" x14ac:dyDescent="0.25">
      <c r="A87" s="361" t="s">
        <v>119</v>
      </c>
      <c r="B87" s="361" t="s">
        <v>121</v>
      </c>
      <c r="C87" s="642">
        <v>18732.5</v>
      </c>
      <c r="D87" s="642">
        <v>143844</v>
      </c>
      <c r="E87" s="642">
        <v>24302</v>
      </c>
      <c r="F87" s="683">
        <v>0.13022999999999998</v>
      </c>
      <c r="G87" s="642">
        <v>97883.3</v>
      </c>
      <c r="H87" s="642">
        <v>967799</v>
      </c>
      <c r="I87" s="642">
        <v>6301</v>
      </c>
      <c r="J87" s="683">
        <v>0.10114000000000001</v>
      </c>
      <c r="K87" s="642">
        <v>0</v>
      </c>
      <c r="L87" s="642">
        <v>0</v>
      </c>
      <c r="M87" s="642">
        <v>0</v>
      </c>
      <c r="N87" s="683"/>
      <c r="O87" s="642">
        <v>116615.8</v>
      </c>
      <c r="P87" s="642">
        <f t="shared" si="1"/>
        <v>1111643</v>
      </c>
      <c r="Q87" s="642">
        <v>30603</v>
      </c>
      <c r="R87" s="705">
        <v>0.10490400245402526</v>
      </c>
      <c r="S87" s="707" t="s">
        <v>558</v>
      </c>
      <c r="T87" s="703">
        <f t="array" ref="T87">INDEX(UtilityList!Q$4:Q$251,MATCH('Table 2.5a'!$A87&amp;'Table 2.5a'!$B87,UtilityList!$A$4:$A$251&amp;UtilityList!$C$4:$C$251,0))</f>
        <v>0</v>
      </c>
      <c r="U87" s="704" t="str">
        <f t="array" ref="U87">INDEX(UtilityList!J$4:J$251,MATCH('Table 2.5a'!$A87&amp;'Table 2.5a'!$B87,UtilityList!$A$4:$A$251&amp;UtilityList!$C$4:$C$251,0))</f>
        <v>Railbelt</v>
      </c>
      <c r="V87" s="704" t="str">
        <f t="array" ref="V87">INDEX(UtilityList!K$4:K$251,MATCH('Table 2.5a'!$A87&amp;'Table 2.5a'!$B87,UtilityList!$A$4:$A$251&amp;UtilityList!$C$4:$C$251,0))</f>
        <v>Anchorage</v>
      </c>
      <c r="W87" s="704" t="str">
        <f t="array" ref="W87">INDEX(UtilityList!L$4:L$251,MATCH('Table 2.5a'!$A87&amp;'Table 2.5a'!$B87,UtilityList!$A$4:$A$251&amp;UtilityList!$C$4:$C$251,0))</f>
        <v>Cook Inlet</v>
      </c>
      <c r="X87" s="704" t="str">
        <f t="array" ref="X87">INDEX(UtilityList!M$4:M$251,MATCH('Table 2.5a'!$A87&amp;'Table 2.5a'!$B87,UtilityList!$A$4:$A$251&amp;UtilityList!$C$4:$C$251,0))</f>
        <v>SC</v>
      </c>
    </row>
    <row r="88" spans="1:24" customFormat="1" x14ac:dyDescent="0.25">
      <c r="A88" s="361" t="s">
        <v>123</v>
      </c>
      <c r="B88" s="654" t="s">
        <v>124</v>
      </c>
      <c r="C88" s="701">
        <v>696.84557354999993</v>
      </c>
      <c r="D88" s="701">
        <v>969.55799999999999</v>
      </c>
      <c r="E88" s="701">
        <v>180.83332999999999</v>
      </c>
      <c r="F88" s="702">
        <v>0.71872499999999995</v>
      </c>
      <c r="G88" s="701">
        <v>525.89467612500005</v>
      </c>
      <c r="H88" s="701">
        <v>731.70500000000004</v>
      </c>
      <c r="I88" s="701">
        <v>29</v>
      </c>
      <c r="J88" s="702">
        <v>0.71872499999999995</v>
      </c>
      <c r="K88" s="701">
        <v>317.930159925</v>
      </c>
      <c r="L88" s="701">
        <v>442.35300000000001</v>
      </c>
      <c r="M88" s="701">
        <v>10.916667</v>
      </c>
      <c r="N88" s="702">
        <v>0.71872499999999995</v>
      </c>
      <c r="O88" s="701">
        <v>1540.6704096000001</v>
      </c>
      <c r="P88" s="701">
        <f t="shared" si="1"/>
        <v>2143.616</v>
      </c>
      <c r="Q88" s="701">
        <v>220.74999699999998</v>
      </c>
      <c r="R88" s="702">
        <v>0.71872499999999995</v>
      </c>
      <c r="S88" s="658" t="s">
        <v>356</v>
      </c>
      <c r="T88" s="703">
        <f t="array" ref="T88">INDEX(UtilityList!Q$4:Q$251,MATCH('Table 2.5a'!$A88&amp;'Table 2.5a'!$B88,UtilityList!$A$4:$A$251&amp;UtilityList!$C$4:$C$251,0))</f>
        <v>0</v>
      </c>
      <c r="U88" s="704" t="str">
        <f t="array" ref="U88">INDEX(UtilityList!J$4:J$251,MATCH('Table 2.5a'!$A88&amp;'Table 2.5a'!$B88,UtilityList!$A$4:$A$251&amp;UtilityList!$C$4:$C$251,0))</f>
        <v>Lower Yukon-Kuskokwim</v>
      </c>
      <c r="V88" s="704" t="str">
        <f t="array" ref="V88">INDEX(UtilityList!K$4:K$251,MATCH('Table 2.5a'!$A88&amp;'Table 2.5a'!$B88,UtilityList!$A$4:$A$251&amp;UtilityList!$C$4:$C$251,0))</f>
        <v>Bethel (CA)</v>
      </c>
      <c r="W88" s="704" t="str">
        <f t="array" ref="W88">INDEX(UtilityList!L$4:L$251,MATCH('Table 2.5a'!$A88&amp;'Table 2.5a'!$B88,UtilityList!$A$4:$A$251&amp;UtilityList!$C$4:$C$251,0))</f>
        <v>Calista</v>
      </c>
      <c r="X88" s="704" t="str">
        <f t="array" ref="X88">INDEX(UtilityList!M$4:M$251,MATCH('Table 2.5a'!$A88&amp;'Table 2.5a'!$B88,UtilityList!$A$4:$A$251&amp;UtilityList!$C$4:$C$251,0))</f>
        <v>SW</v>
      </c>
    </row>
    <row r="89" spans="1:24" customFormat="1" x14ac:dyDescent="0.25">
      <c r="A89" s="361" t="s">
        <v>127</v>
      </c>
      <c r="B89" s="654" t="s">
        <v>128</v>
      </c>
      <c r="C89" s="701">
        <v>114.50779054397999</v>
      </c>
      <c r="D89" s="701">
        <v>163.19399999999999</v>
      </c>
      <c r="E89" s="701">
        <v>28</v>
      </c>
      <c r="F89" s="702">
        <v>0.70166667000000005</v>
      </c>
      <c r="G89" s="701">
        <v>87.869717084100003</v>
      </c>
      <c r="H89" s="701">
        <v>125.23</v>
      </c>
      <c r="I89" s="701">
        <v>10.166667</v>
      </c>
      <c r="J89" s="702">
        <v>0.70166667000000005</v>
      </c>
      <c r="K89" s="701">
        <v>70.793957002980008</v>
      </c>
      <c r="L89" s="701">
        <v>100.89400000000001</v>
      </c>
      <c r="M89" s="701">
        <v>21</v>
      </c>
      <c r="N89" s="702">
        <v>0.70166667000000005</v>
      </c>
      <c r="O89" s="701">
        <v>273.17146463106002</v>
      </c>
      <c r="P89" s="701">
        <f t="shared" si="1"/>
        <v>389.31799999999998</v>
      </c>
      <c r="Q89" s="701">
        <v>59.166667000000004</v>
      </c>
      <c r="R89" s="702">
        <v>0.70166667000000005</v>
      </c>
      <c r="S89" s="658" t="s">
        <v>356</v>
      </c>
      <c r="T89" s="703">
        <f t="array" ref="T89">INDEX(UtilityList!Q$4:Q$251,MATCH('Table 2.5a'!$A89&amp;'Table 2.5a'!$B89,UtilityList!$A$4:$A$251&amp;UtilityList!$C$4:$C$251,0))</f>
        <v>0</v>
      </c>
      <c r="U89" s="704" t="str">
        <f t="array" ref="U89">INDEX(UtilityList!J$4:J$251,MATCH('Table 2.5a'!$A89&amp;'Table 2.5a'!$B89,UtilityList!$A$4:$A$251&amp;UtilityList!$C$4:$C$251,0))</f>
        <v>Aleutians</v>
      </c>
      <c r="V89" s="704" t="str">
        <f t="array" ref="V89">INDEX(UtilityList!K$4:K$251,MATCH('Table 2.5a'!$A89&amp;'Table 2.5a'!$B89,UtilityList!$A$4:$A$251&amp;UtilityList!$C$4:$C$251,0))</f>
        <v>Aleutians West (CA)</v>
      </c>
      <c r="W89" s="704" t="str">
        <f t="array" ref="W89">INDEX(UtilityList!L$4:L$251,MATCH('Table 2.5a'!$A89&amp;'Table 2.5a'!$B89,UtilityList!$A$4:$A$251&amp;UtilityList!$C$4:$C$251,0))</f>
        <v>Aleut</v>
      </c>
      <c r="X89" s="704" t="str">
        <f t="array" ref="X89">INDEX(UtilityList!M$4:M$251,MATCH('Table 2.5a'!$A89&amp;'Table 2.5a'!$B89,UtilityList!$A$4:$A$251&amp;UtilityList!$C$4:$C$251,0))</f>
        <v>SW</v>
      </c>
    </row>
    <row r="90" spans="1:24" customFormat="1" ht="30" x14ac:dyDescent="0.25">
      <c r="A90" s="361" t="s">
        <v>129</v>
      </c>
      <c r="B90" s="654" t="s">
        <v>130</v>
      </c>
      <c r="C90" s="701">
        <v>202.9970922</v>
      </c>
      <c r="D90" s="701">
        <v>290.577</v>
      </c>
      <c r="E90" s="701">
        <v>71</v>
      </c>
      <c r="F90" s="702">
        <v>0.6986</v>
      </c>
      <c r="G90" s="701">
        <v>154.68960079999999</v>
      </c>
      <c r="H90" s="701">
        <v>221.428</v>
      </c>
      <c r="I90" s="701">
        <v>6</v>
      </c>
      <c r="J90" s="702">
        <v>0.6986</v>
      </c>
      <c r="K90" s="701">
        <v>39.184474000000002</v>
      </c>
      <c r="L90" s="701">
        <v>56.09</v>
      </c>
      <c r="M90" s="701">
        <v>10</v>
      </c>
      <c r="N90" s="702">
        <v>0.6986</v>
      </c>
      <c r="O90" s="701">
        <v>396.87116700000001</v>
      </c>
      <c r="P90" s="701">
        <f t="shared" si="1"/>
        <v>568.09500000000003</v>
      </c>
      <c r="Q90" s="701">
        <v>87</v>
      </c>
      <c r="R90" s="702">
        <v>0.6986</v>
      </c>
      <c r="S90" s="658" t="s">
        <v>356</v>
      </c>
      <c r="T90" s="703">
        <f t="array" ref="T90">INDEX(UtilityList!Q$4:Q$251,MATCH('Table 2.5a'!$A90&amp;'Table 2.5a'!$B90,UtilityList!$A$4:$A$251&amp;UtilityList!$C$4:$C$251,0))</f>
        <v>0</v>
      </c>
      <c r="U90" s="704" t="str">
        <f t="array" ref="U90">INDEX(UtilityList!J$4:J$251,MATCH('Table 2.5a'!$A90&amp;'Table 2.5a'!$B90,UtilityList!$A$4:$A$251&amp;UtilityList!$C$4:$C$251,0))</f>
        <v>Lower Yukon-Kuskokwim</v>
      </c>
      <c r="V90" s="704" t="str">
        <f t="array" ref="V90">INDEX(UtilityList!K$4:K$251,MATCH('Table 2.5a'!$A90&amp;'Table 2.5a'!$B90,UtilityList!$A$4:$A$251&amp;UtilityList!$C$4:$C$251,0))</f>
        <v>Bethel (CA)</v>
      </c>
      <c r="W90" s="704" t="str">
        <f t="array" ref="W90">INDEX(UtilityList!L$4:L$251,MATCH('Table 2.5a'!$A90&amp;'Table 2.5a'!$B90,UtilityList!$A$4:$A$251&amp;UtilityList!$C$4:$C$251,0))</f>
        <v>Calista</v>
      </c>
      <c r="X90" s="704" t="str">
        <f t="array" ref="X90">INDEX(UtilityList!M$4:M$251,MATCH('Table 2.5a'!$A90&amp;'Table 2.5a'!$B90,UtilityList!$A$4:$A$251&amp;UtilityList!$C$4:$C$251,0))</f>
        <v>SW</v>
      </c>
    </row>
    <row r="91" spans="1:24" customFormat="1" ht="30" x14ac:dyDescent="0.25">
      <c r="A91" s="361" t="s">
        <v>570</v>
      </c>
      <c r="B91" s="708" t="s">
        <v>133</v>
      </c>
      <c r="C91" s="642">
        <v>1304</v>
      </c>
      <c r="D91" s="642">
        <v>11253</v>
      </c>
      <c r="E91" s="642">
        <v>1456</v>
      </c>
      <c r="F91" s="683">
        <v>0.11588</v>
      </c>
      <c r="G91" s="642">
        <v>3917</v>
      </c>
      <c r="H91" s="642">
        <v>38799</v>
      </c>
      <c r="I91" s="642">
        <v>394</v>
      </c>
      <c r="J91" s="683">
        <v>0.10095999999999999</v>
      </c>
      <c r="K91" s="642">
        <v>0</v>
      </c>
      <c r="L91" s="642">
        <v>0</v>
      </c>
      <c r="M91" s="642">
        <v>0</v>
      </c>
      <c r="N91" s="683"/>
      <c r="O91" s="642">
        <v>5221</v>
      </c>
      <c r="P91" s="642">
        <f t="shared" si="1"/>
        <v>50052</v>
      </c>
      <c r="Q91" s="642">
        <v>1850</v>
      </c>
      <c r="R91" s="705">
        <v>0.10431151602333573</v>
      </c>
      <c r="S91" s="707" t="s">
        <v>558</v>
      </c>
      <c r="T91" s="703">
        <f t="array" ref="T91">INDEX(UtilityList!Q$4:Q$251,MATCH('Table 2.5a'!$A91&amp;'Table 2.5a'!$B91,UtilityList!$A$4:$A$251&amp;UtilityList!$C$4:$C$251,0))</f>
        <v>0</v>
      </c>
      <c r="U91" s="704" t="str">
        <f t="array" ref="U91">INDEX(UtilityList!J$4:J$251,MATCH('Table 2.5a'!$A91&amp;'Table 2.5a'!$B91,UtilityList!$A$4:$A$251&amp;UtilityList!$C$4:$C$251,0))</f>
        <v>North Slope</v>
      </c>
      <c r="V91" s="704" t="str">
        <f t="array" ref="V91">INDEX(UtilityList!K$4:K$251,MATCH('Table 2.5a'!$A91&amp;'Table 2.5a'!$B91,UtilityList!$A$4:$A$251&amp;UtilityList!$C$4:$C$251,0))</f>
        <v>North Slope</v>
      </c>
      <c r="W91" s="704" t="str">
        <f t="array" ref="W91">INDEX(UtilityList!L$4:L$251,MATCH('Table 2.5a'!$A91&amp;'Table 2.5a'!$B91,UtilityList!$A$4:$A$251&amp;UtilityList!$C$4:$C$251,0))</f>
        <v>Arctic Slope</v>
      </c>
      <c r="X91" s="704" t="str">
        <f t="array" ref="X91">INDEX(UtilityList!M$4:M$251,MATCH('Table 2.5a'!$A91&amp;'Table 2.5a'!$B91,UtilityList!$A$4:$A$251&amp;UtilityList!$C$4:$C$251,0))</f>
        <v>AN</v>
      </c>
    </row>
    <row r="92" spans="1:24" customFormat="1" x14ac:dyDescent="0.25">
      <c r="A92" s="361" t="s">
        <v>134</v>
      </c>
      <c r="B92" s="654" t="s">
        <v>135</v>
      </c>
      <c r="C92" s="701">
        <v>71.069050000000004</v>
      </c>
      <c r="D92" s="701">
        <v>109.337</v>
      </c>
      <c r="E92" s="701">
        <v>40.5</v>
      </c>
      <c r="F92" s="702">
        <v>0.65</v>
      </c>
      <c r="G92" s="701">
        <v>71.199700000000007</v>
      </c>
      <c r="H92" s="701">
        <v>109.538</v>
      </c>
      <c r="I92" s="701">
        <v>9.0833329999999997</v>
      </c>
      <c r="J92" s="702">
        <v>0.65</v>
      </c>
      <c r="K92" s="701">
        <v>50.505649999999996</v>
      </c>
      <c r="L92" s="701">
        <v>77.700999999999993</v>
      </c>
      <c r="M92" s="701">
        <v>6.6666664999999998</v>
      </c>
      <c r="N92" s="702">
        <v>0.65</v>
      </c>
      <c r="O92" s="701">
        <v>192.77440000000001</v>
      </c>
      <c r="P92" s="701">
        <f t="shared" si="1"/>
        <v>296.57600000000002</v>
      </c>
      <c r="Q92" s="701">
        <v>56.249999499999994</v>
      </c>
      <c r="R92" s="702">
        <v>0.65</v>
      </c>
      <c r="S92" s="658" t="s">
        <v>356</v>
      </c>
      <c r="T92" s="703">
        <f t="array" ref="T92">INDEX(UtilityList!Q$4:Q$251,MATCH('Table 2.5a'!$A92&amp;'Table 2.5a'!$B92,UtilityList!$A$4:$A$251&amp;UtilityList!$C$4:$C$251,0))</f>
        <v>0</v>
      </c>
      <c r="U92" s="704" t="str">
        <f t="array" ref="U92">INDEX(UtilityList!J$4:J$251,MATCH('Table 2.5a'!$A92&amp;'Table 2.5a'!$B92,UtilityList!$A$4:$A$251&amp;UtilityList!$C$4:$C$251,0))</f>
        <v>Yukon-Koyukuk/Upper Tanana</v>
      </c>
      <c r="V92" s="704" t="str">
        <f t="array" ref="V92">INDEX(UtilityList!K$4:K$251,MATCH('Table 2.5a'!$A92&amp;'Table 2.5a'!$B92,UtilityList!$A$4:$A$251&amp;UtilityList!$C$4:$C$251,0))</f>
        <v>Yukon-Koyukuk (CA)</v>
      </c>
      <c r="W92" s="704" t="str">
        <f t="array" ref="W92">INDEX(UtilityList!L$4:L$251,MATCH('Table 2.5a'!$A92&amp;'Table 2.5a'!$B92,UtilityList!$A$4:$A$251&amp;UtilityList!$C$4:$C$251,0))</f>
        <v>Doyon</v>
      </c>
      <c r="X92" s="704" t="str">
        <f t="array" ref="X92">INDEX(UtilityList!M$4:M$251,MATCH('Table 2.5a'!$A92&amp;'Table 2.5a'!$B92,UtilityList!$A$4:$A$251&amp;UtilityList!$C$4:$C$251,0))</f>
        <v>YU</v>
      </c>
    </row>
    <row r="93" spans="1:24" s="169" customFormat="1" ht="75" x14ac:dyDescent="0.25">
      <c r="A93" s="361" t="s">
        <v>502</v>
      </c>
      <c r="B93" s="654" t="s">
        <v>679</v>
      </c>
      <c r="C93" s="701">
        <v>5259.7626371656897</v>
      </c>
      <c r="D93" s="701">
        <v>10245.293</v>
      </c>
      <c r="E93" s="701">
        <v>1701.5834</v>
      </c>
      <c r="F93" s="702">
        <v>0.51338333000000003</v>
      </c>
      <c r="G93" s="701">
        <v>12904.153878581621</v>
      </c>
      <c r="H93" s="701">
        <v>25135.513999999999</v>
      </c>
      <c r="I93" s="701">
        <v>1020.0833</v>
      </c>
      <c r="J93" s="702">
        <v>0.51338333000000003</v>
      </c>
      <c r="K93" s="701">
        <v>2102.9418450625303</v>
      </c>
      <c r="L93" s="701">
        <v>4096.241</v>
      </c>
      <c r="M93" s="701">
        <v>51.583334000000001</v>
      </c>
      <c r="N93" s="702">
        <v>0.51338333000000003</v>
      </c>
      <c r="O93" s="701">
        <v>20266.858360809842</v>
      </c>
      <c r="P93" s="701">
        <f t="shared" si="1"/>
        <v>39477.048000000003</v>
      </c>
      <c r="Q93" s="701">
        <v>2773.2500339999997</v>
      </c>
      <c r="R93" s="702">
        <v>0.51338333000000003</v>
      </c>
      <c r="S93" s="658" t="s">
        <v>356</v>
      </c>
      <c r="T93" s="703" t="str">
        <f t="array" ref="T93">INDEX(UtilityList!Q$4:Q$251,MATCH('Table 2.5a'!$A93&amp;'Table 2.5a'!$B93,UtilityList!$A$4:$A$251&amp;UtilityList!$C$4:$C$251,0))</f>
        <v>Provides power to Oscarville and sells power to Napakiak Ircinraq via intertie. Data includes Oscarville's information.</v>
      </c>
      <c r="U93" s="704" t="str">
        <f t="array" ref="U93">INDEX(UtilityList!J$4:J$251,MATCH('Table 2.5a'!$A93&amp;'Table 2.5a'!$B93,UtilityList!$A$4:$A$251&amp;UtilityList!$C$4:$C$251,0))</f>
        <v>Lower Yukon-Kuskokwim</v>
      </c>
      <c r="V93" s="704" t="str">
        <f t="array" ref="V93">INDEX(UtilityList!K$4:K$251,MATCH('Table 2.5a'!$A93&amp;'Table 2.5a'!$B93,UtilityList!$A$4:$A$251&amp;UtilityList!$C$4:$C$251,0))</f>
        <v>Bethel (CA)</v>
      </c>
      <c r="W93" s="704" t="str">
        <f t="array" ref="W93">INDEX(UtilityList!L$4:L$251,MATCH('Table 2.5a'!$A93&amp;'Table 2.5a'!$B93,UtilityList!$A$4:$A$251&amp;UtilityList!$C$4:$C$251,0))</f>
        <v>Calista</v>
      </c>
      <c r="X93" s="704" t="str">
        <f t="array" ref="X93">INDEX(UtilityList!M$4:M$251,MATCH('Table 2.5a'!$A93&amp;'Table 2.5a'!$B93,UtilityList!$A$4:$A$251&amp;UtilityList!$C$4:$C$251,0))</f>
        <v>SW</v>
      </c>
    </row>
    <row r="94" spans="1:24" customFormat="1" x14ac:dyDescent="0.25">
      <c r="A94" s="361" t="s">
        <v>139</v>
      </c>
      <c r="B94" s="654" t="s">
        <v>140</v>
      </c>
      <c r="C94" s="701">
        <v>247.93960290000004</v>
      </c>
      <c r="D94" s="701">
        <v>522.96900000000005</v>
      </c>
      <c r="E94" s="701">
        <v>84</v>
      </c>
      <c r="F94" s="702">
        <v>0.47410000000000002</v>
      </c>
      <c r="G94" s="701">
        <v>340.21605640000001</v>
      </c>
      <c r="H94" s="701">
        <v>717.60400000000004</v>
      </c>
      <c r="I94" s="701">
        <v>16</v>
      </c>
      <c r="J94" s="702">
        <v>0.47410000000000002</v>
      </c>
      <c r="K94" s="701">
        <v>37.343434700000003</v>
      </c>
      <c r="L94" s="701">
        <v>78.766999999999996</v>
      </c>
      <c r="M94" s="701">
        <v>6</v>
      </c>
      <c r="N94" s="702">
        <v>0.47410000000000002</v>
      </c>
      <c r="O94" s="701">
        <v>625.49909400000001</v>
      </c>
      <c r="P94" s="701">
        <f t="shared" si="1"/>
        <v>1319.3400000000001</v>
      </c>
      <c r="Q94" s="701">
        <v>106</v>
      </c>
      <c r="R94" s="702">
        <v>0.47410000000000002</v>
      </c>
      <c r="S94" s="658" t="s">
        <v>356</v>
      </c>
      <c r="T94" s="703">
        <f t="array" ref="T94">INDEX(UtilityList!Q$4:Q$251,MATCH('Table 2.5a'!$A94&amp;'Table 2.5a'!$B94,UtilityList!$A$4:$A$251&amp;UtilityList!$C$4:$C$251,0))</f>
        <v>0</v>
      </c>
      <c r="U94" s="704" t="str">
        <f t="array" ref="U94">INDEX(UtilityList!J$4:J$251,MATCH('Table 2.5a'!$A94&amp;'Table 2.5a'!$B94,UtilityList!$A$4:$A$251&amp;UtilityList!$C$4:$C$251,0))</f>
        <v>Northwest Arctic</v>
      </c>
      <c r="V94" s="704" t="str">
        <f t="array" ref="V94">INDEX(UtilityList!K$4:K$251,MATCH('Table 2.5a'!$A94&amp;'Table 2.5a'!$B94,UtilityList!$A$4:$A$251&amp;UtilityList!$C$4:$C$251,0))</f>
        <v>Northwest Arctic</v>
      </c>
      <c r="W94" s="704" t="str">
        <f t="array" ref="W94">INDEX(UtilityList!L$4:L$251,MATCH('Table 2.5a'!$A94&amp;'Table 2.5a'!$B94,UtilityList!$A$4:$A$251&amp;UtilityList!$C$4:$C$251,0))</f>
        <v>NANA</v>
      </c>
      <c r="X94" s="704" t="str">
        <f t="array" ref="X94">INDEX(UtilityList!M$4:M$251,MATCH('Table 2.5a'!$A94&amp;'Table 2.5a'!$B94,UtilityList!$A$4:$A$251&amp;UtilityList!$C$4:$C$251,0))</f>
        <v>AN</v>
      </c>
    </row>
    <row r="95" spans="1:24" customFormat="1" ht="30" x14ac:dyDescent="0.25">
      <c r="A95" s="361" t="s">
        <v>141</v>
      </c>
      <c r="B95" s="654" t="s">
        <v>142</v>
      </c>
      <c r="C95" s="701">
        <v>56.821399999999997</v>
      </c>
      <c r="D95" s="701">
        <v>59.811999999999998</v>
      </c>
      <c r="E95" s="701">
        <v>39.75</v>
      </c>
      <c r="F95" s="702">
        <v>0.95</v>
      </c>
      <c r="G95" s="701">
        <v>44.566399999999994</v>
      </c>
      <c r="H95" s="701">
        <v>46.911999999999999</v>
      </c>
      <c r="I95" s="701">
        <v>6</v>
      </c>
      <c r="J95" s="702">
        <v>0.95</v>
      </c>
      <c r="K95" s="701">
        <v>101.53125</v>
      </c>
      <c r="L95" s="701">
        <v>106.875</v>
      </c>
      <c r="M95" s="701">
        <v>5</v>
      </c>
      <c r="N95" s="702">
        <v>0.95</v>
      </c>
      <c r="O95" s="701">
        <v>202.91905</v>
      </c>
      <c r="P95" s="701">
        <f t="shared" si="1"/>
        <v>213.59899999999999</v>
      </c>
      <c r="Q95" s="701">
        <v>50.75</v>
      </c>
      <c r="R95" s="702">
        <v>0.95</v>
      </c>
      <c r="S95" s="658" t="s">
        <v>356</v>
      </c>
      <c r="T95" s="703">
        <f t="array" ref="T95">INDEX(UtilityList!Q$4:Q$251,MATCH('Table 2.5a'!$A95&amp;'Table 2.5a'!$B95,UtilityList!$A$4:$A$251&amp;UtilityList!$C$4:$C$251,0))</f>
        <v>0</v>
      </c>
      <c r="U95" s="704" t="str">
        <f t="array" ref="U95">INDEX(UtilityList!J$4:J$251,MATCH('Table 2.5a'!$A95&amp;'Table 2.5a'!$B95,UtilityList!$A$4:$A$251&amp;UtilityList!$C$4:$C$251,0))</f>
        <v>Yukon-Koyukuk/Upper Tanana</v>
      </c>
      <c r="V95" s="704" t="str">
        <f t="array" ref="V95">INDEX(UtilityList!K$4:K$251,MATCH('Table 2.5a'!$A95&amp;'Table 2.5a'!$B95,UtilityList!$A$4:$A$251&amp;UtilityList!$C$4:$C$251,0))</f>
        <v>Yukon-Koyukuk (CA)</v>
      </c>
      <c r="W95" s="704" t="str">
        <f t="array" ref="W95">INDEX(UtilityList!L$4:L$251,MATCH('Table 2.5a'!$A95&amp;'Table 2.5a'!$B95,UtilityList!$A$4:$A$251&amp;UtilityList!$C$4:$C$251,0))</f>
        <v>Doyon</v>
      </c>
      <c r="X95" s="704" t="str">
        <f t="array" ref="X95">INDEX(UtilityList!M$4:M$251,MATCH('Table 2.5a'!$A95&amp;'Table 2.5a'!$B95,UtilityList!$A$4:$A$251&amp;UtilityList!$C$4:$C$251,0))</f>
        <v>YU</v>
      </c>
    </row>
    <row r="96" spans="1:24" customFormat="1" x14ac:dyDescent="0.25">
      <c r="A96" s="361" t="s">
        <v>143</v>
      </c>
      <c r="B96" s="654" t="s">
        <v>144</v>
      </c>
      <c r="C96" s="701">
        <v>47.309294999999999</v>
      </c>
      <c r="D96" s="701">
        <v>108.75700000000001</v>
      </c>
      <c r="E96" s="701">
        <v>25</v>
      </c>
      <c r="F96" s="702">
        <v>0.435</v>
      </c>
      <c r="G96" s="701">
        <v>56.143709999999999</v>
      </c>
      <c r="H96" s="701">
        <v>129.066</v>
      </c>
      <c r="I96" s="701">
        <v>11</v>
      </c>
      <c r="J96" s="702">
        <v>0.435</v>
      </c>
      <c r="K96" s="701">
        <v>23.183325</v>
      </c>
      <c r="L96" s="701">
        <v>53.295000000000002</v>
      </c>
      <c r="M96" s="701">
        <v>9</v>
      </c>
      <c r="N96" s="702">
        <v>0.435</v>
      </c>
      <c r="O96" s="701">
        <v>126.63632999999999</v>
      </c>
      <c r="P96" s="701">
        <f t="shared" si="1"/>
        <v>291.11799999999999</v>
      </c>
      <c r="Q96" s="701">
        <v>45</v>
      </c>
      <c r="R96" s="702">
        <v>0.435</v>
      </c>
      <c r="S96" s="658" t="s">
        <v>356</v>
      </c>
      <c r="T96" s="703">
        <f t="array" ref="T96">INDEX(UtilityList!Q$4:Q$251,MATCH('Table 2.5a'!$A96&amp;'Table 2.5a'!$B96,UtilityList!$A$4:$A$251&amp;UtilityList!$C$4:$C$251,0))</f>
        <v>0</v>
      </c>
      <c r="U96" s="704" t="str">
        <f t="array" ref="U96">INDEX(UtilityList!J$4:J$251,MATCH('Table 2.5a'!$A96&amp;'Table 2.5a'!$B96,UtilityList!$A$4:$A$251&amp;UtilityList!$C$4:$C$251,0))</f>
        <v>Copper River/Chugach</v>
      </c>
      <c r="V96" s="704" t="str">
        <f t="array" ref="V96">INDEX(UtilityList!K$4:K$251,MATCH('Table 2.5a'!$A96&amp;'Table 2.5a'!$B96,UtilityList!$A$4:$A$251&amp;UtilityList!$C$4:$C$251,0))</f>
        <v>Valdez-Cordova (CA)</v>
      </c>
      <c r="W96" s="704" t="str">
        <f t="array" ref="W96">INDEX(UtilityList!L$4:L$251,MATCH('Table 2.5a'!$A96&amp;'Table 2.5a'!$B96,UtilityList!$A$4:$A$251&amp;UtilityList!$C$4:$C$251,0))</f>
        <v>Chugach</v>
      </c>
      <c r="X96" s="704" t="str">
        <f t="array" ref="X96">INDEX(UtilityList!M$4:M$251,MATCH('Table 2.5a'!$A96&amp;'Table 2.5a'!$B96,UtilityList!$A$4:$A$251&amp;UtilityList!$C$4:$C$251,0))</f>
        <v>SC</v>
      </c>
    </row>
    <row r="97" spans="1:24" customFormat="1" ht="30" x14ac:dyDescent="0.25">
      <c r="A97" s="361" t="s">
        <v>145</v>
      </c>
      <c r="B97" s="654" t="s">
        <v>146</v>
      </c>
      <c r="C97" s="701">
        <v>162.82895725</v>
      </c>
      <c r="D97" s="701">
        <v>235.387</v>
      </c>
      <c r="E97" s="701">
        <v>53.333331999999999</v>
      </c>
      <c r="F97" s="702">
        <v>0.69174999999999998</v>
      </c>
      <c r="G97" s="701">
        <v>100.8142615</v>
      </c>
      <c r="H97" s="701">
        <v>145.738</v>
      </c>
      <c r="I97" s="701">
        <v>7.3333335000000002</v>
      </c>
      <c r="J97" s="702">
        <v>0.69174999999999998</v>
      </c>
      <c r="K97" s="701">
        <v>48.456395750000006</v>
      </c>
      <c r="L97" s="701">
        <v>70.049000000000007</v>
      </c>
      <c r="M97" s="701">
        <v>10.666667</v>
      </c>
      <c r="N97" s="702">
        <v>0.69174999999999998</v>
      </c>
      <c r="O97" s="701">
        <v>312.09961450000003</v>
      </c>
      <c r="P97" s="701">
        <f t="shared" si="1"/>
        <v>451.17399999999998</v>
      </c>
      <c r="Q97" s="701">
        <v>71.333332499999997</v>
      </c>
      <c r="R97" s="702">
        <v>0.69174999999999998</v>
      </c>
      <c r="S97" s="658" t="s">
        <v>356</v>
      </c>
      <c r="T97" s="703">
        <f t="array" ref="T97">INDEX(UtilityList!Q$4:Q$251,MATCH('Table 2.5a'!$A97&amp;'Table 2.5a'!$B97,UtilityList!$A$4:$A$251&amp;UtilityList!$C$4:$C$251,0))</f>
        <v>0</v>
      </c>
      <c r="U97" s="704" t="str">
        <f t="array" ref="U97">INDEX(UtilityList!J$4:J$251,MATCH('Table 2.5a'!$A97&amp;'Table 2.5a'!$B97,UtilityList!$A$4:$A$251&amp;UtilityList!$C$4:$C$251,0))</f>
        <v>Bristol Bay</v>
      </c>
      <c r="V97" s="704" t="str">
        <f t="array" ref="V97">INDEX(UtilityList!K$4:K$251,MATCH('Table 2.5a'!$A97&amp;'Table 2.5a'!$B97,UtilityList!$A$4:$A$251&amp;UtilityList!$C$4:$C$251,0))</f>
        <v>Lake and Peninsula</v>
      </c>
      <c r="W97" s="704" t="str">
        <f t="array" ref="W97">INDEX(UtilityList!L$4:L$251,MATCH('Table 2.5a'!$A97&amp;'Table 2.5a'!$B97,UtilityList!$A$4:$A$251&amp;UtilityList!$C$4:$C$251,0))</f>
        <v>Bristol Bay</v>
      </c>
      <c r="X97" s="704" t="str">
        <f t="array" ref="X97">INDEX(UtilityList!M$4:M$251,MATCH('Table 2.5a'!$A97&amp;'Table 2.5a'!$B97,UtilityList!$A$4:$A$251&amp;UtilityList!$C$4:$C$251,0))</f>
        <v>SW</v>
      </c>
    </row>
    <row r="98" spans="1:24" customFormat="1" ht="30" x14ac:dyDescent="0.25">
      <c r="A98" s="361" t="s">
        <v>147</v>
      </c>
      <c r="B98" s="654" t="s">
        <v>148</v>
      </c>
      <c r="C98" s="701">
        <v>53.992771000000005</v>
      </c>
      <c r="D98" s="701">
        <v>80.227000000000004</v>
      </c>
      <c r="E98" s="701">
        <v>35</v>
      </c>
      <c r="F98" s="702">
        <v>0.67300000000000004</v>
      </c>
      <c r="G98" s="701">
        <v>23.816797000000005</v>
      </c>
      <c r="H98" s="701">
        <v>35.389000000000003</v>
      </c>
      <c r="I98" s="701">
        <v>2</v>
      </c>
      <c r="J98" s="702">
        <v>0.67300000000000004</v>
      </c>
      <c r="K98" s="701">
        <v>43.386964000000006</v>
      </c>
      <c r="L98" s="701">
        <v>64.468000000000004</v>
      </c>
      <c r="M98" s="701">
        <v>11</v>
      </c>
      <c r="N98" s="702">
        <v>0.67300000000000004</v>
      </c>
      <c r="O98" s="701">
        <v>121.19653200000002</v>
      </c>
      <c r="P98" s="701">
        <f t="shared" si="1"/>
        <v>180.084</v>
      </c>
      <c r="Q98" s="701">
        <v>48</v>
      </c>
      <c r="R98" s="702">
        <v>0.67300000000000004</v>
      </c>
      <c r="S98" s="658" t="s">
        <v>356</v>
      </c>
      <c r="T98" s="703">
        <f t="array" ref="T98">INDEX(UtilityList!Q$4:Q$251,MATCH('Table 2.5a'!$A98&amp;'Table 2.5a'!$B98,UtilityList!$A$4:$A$251&amp;UtilityList!$C$4:$C$251,0))</f>
        <v>0</v>
      </c>
      <c r="U98" s="704" t="str">
        <f t="array" ref="U98">INDEX(UtilityList!J$4:J$251,MATCH('Table 2.5a'!$A98&amp;'Table 2.5a'!$B98,UtilityList!$A$4:$A$251&amp;UtilityList!$C$4:$C$251,0))</f>
        <v>Bristol Bay</v>
      </c>
      <c r="V98" s="704" t="str">
        <f t="array" ref="V98">INDEX(UtilityList!K$4:K$251,MATCH('Table 2.5a'!$A98&amp;'Table 2.5a'!$B98,UtilityList!$A$4:$A$251&amp;UtilityList!$C$4:$C$251,0))</f>
        <v>Lake and Peninsula</v>
      </c>
      <c r="W98" s="704" t="str">
        <f t="array" ref="W98">INDEX(UtilityList!L$4:L$251,MATCH('Table 2.5a'!$A98&amp;'Table 2.5a'!$B98,UtilityList!$A$4:$A$251&amp;UtilityList!$C$4:$C$251,0))</f>
        <v>Bristol Bay</v>
      </c>
      <c r="X98" s="704" t="str">
        <f t="array" ref="X98">INDEX(UtilityList!M$4:M$251,MATCH('Table 2.5a'!$A98&amp;'Table 2.5a'!$B98,UtilityList!$A$4:$A$251&amp;UtilityList!$C$4:$C$251,0))</f>
        <v>SW</v>
      </c>
    </row>
    <row r="99" spans="1:24" customFormat="1" x14ac:dyDescent="0.25">
      <c r="A99" s="361" t="s">
        <v>149</v>
      </c>
      <c r="B99" s="654" t="s">
        <v>150</v>
      </c>
      <c r="C99" s="701">
        <v>91.989812111440003</v>
      </c>
      <c r="D99" s="701">
        <v>193.43199999999999</v>
      </c>
      <c r="E99" s="701">
        <v>59.666668000000001</v>
      </c>
      <c r="F99" s="702">
        <v>0.47556667000000002</v>
      </c>
      <c r="G99" s="701">
        <v>234.83434607933</v>
      </c>
      <c r="H99" s="701">
        <v>493.79899999999998</v>
      </c>
      <c r="I99" s="701">
        <v>27.666665999999999</v>
      </c>
      <c r="J99" s="702">
        <v>0.47556667000000002</v>
      </c>
      <c r="K99" s="701">
        <v>46.801467128040002</v>
      </c>
      <c r="L99" s="701">
        <v>98.412000000000006</v>
      </c>
      <c r="M99" s="701">
        <v>11</v>
      </c>
      <c r="N99" s="702">
        <v>0.47556667000000002</v>
      </c>
      <c r="O99" s="701">
        <v>373.62562531880997</v>
      </c>
      <c r="P99" s="701">
        <f t="shared" si="1"/>
        <v>785.64300000000003</v>
      </c>
      <c r="Q99" s="701">
        <v>98.333334000000008</v>
      </c>
      <c r="R99" s="702">
        <v>0.47556667000000002</v>
      </c>
      <c r="S99" s="658" t="s">
        <v>356</v>
      </c>
      <c r="T99" s="703">
        <f t="array" ref="T99">INDEX(UtilityList!Q$4:Q$251,MATCH('Table 2.5a'!$A99&amp;'Table 2.5a'!$B99,UtilityList!$A$4:$A$251&amp;UtilityList!$C$4:$C$251,0))</f>
        <v>0</v>
      </c>
      <c r="U99" s="704" t="str">
        <f t="array" ref="U99">INDEX(UtilityList!J$4:J$251,MATCH('Table 2.5a'!$A99&amp;'Table 2.5a'!$B99,UtilityList!$A$4:$A$251&amp;UtilityList!$C$4:$C$251,0))</f>
        <v>Bristol Bay</v>
      </c>
      <c r="V99" s="704" t="str">
        <f t="array" ref="V99">INDEX(UtilityList!K$4:K$251,MATCH('Table 2.5a'!$A99&amp;'Table 2.5a'!$B99,UtilityList!$A$4:$A$251&amp;UtilityList!$C$4:$C$251,0))</f>
        <v>Lake and Peninsula</v>
      </c>
      <c r="W99" s="704" t="str">
        <f t="array" ref="W99">INDEX(UtilityList!L$4:L$251,MATCH('Table 2.5a'!$A99&amp;'Table 2.5a'!$B99,UtilityList!$A$4:$A$251&amp;UtilityList!$C$4:$C$251,0))</f>
        <v>Bristol Bay</v>
      </c>
      <c r="X99" s="704" t="str">
        <f t="array" ref="X99">INDEX(UtilityList!M$4:M$251,MATCH('Table 2.5a'!$A99&amp;'Table 2.5a'!$B99,UtilityList!$A$4:$A$251&amp;UtilityList!$C$4:$C$251,0))</f>
        <v>SW</v>
      </c>
    </row>
    <row r="100" spans="1:24" customFormat="1" x14ac:dyDescent="0.25">
      <c r="A100" s="361" t="s">
        <v>151</v>
      </c>
      <c r="B100" s="654" t="s">
        <v>152</v>
      </c>
      <c r="C100" s="701">
        <v>105.24762972427001</v>
      </c>
      <c r="D100" s="701">
        <v>167.28100000000001</v>
      </c>
      <c r="E100" s="701">
        <v>52.333331999999999</v>
      </c>
      <c r="F100" s="702">
        <v>0.62916667000000004</v>
      </c>
      <c r="G100" s="701">
        <v>152.49804664127001</v>
      </c>
      <c r="H100" s="701">
        <v>242.381</v>
      </c>
      <c r="I100" s="701">
        <v>23.833334000000001</v>
      </c>
      <c r="J100" s="702">
        <v>0.62916667000000004</v>
      </c>
      <c r="K100" s="701">
        <v>44.154916900600007</v>
      </c>
      <c r="L100" s="701">
        <v>70.180000000000007</v>
      </c>
      <c r="M100" s="701">
        <v>6.4166667000000004</v>
      </c>
      <c r="N100" s="702">
        <v>0.62916667000000004</v>
      </c>
      <c r="O100" s="701">
        <v>301.90059326614005</v>
      </c>
      <c r="P100" s="701">
        <f t="shared" si="1"/>
        <v>479.84200000000004</v>
      </c>
      <c r="Q100" s="701">
        <v>82.5833327</v>
      </c>
      <c r="R100" s="702">
        <v>0.62916667000000004</v>
      </c>
      <c r="S100" s="658" t="s">
        <v>356</v>
      </c>
      <c r="T100" s="703">
        <f t="array" ref="T100">INDEX(UtilityList!Q$4:Q$251,MATCH('Table 2.5a'!$A100&amp;'Table 2.5a'!$B100,UtilityList!$A$4:$A$251&amp;UtilityList!$C$4:$C$251,0))</f>
        <v>0</v>
      </c>
      <c r="U100" s="704" t="str">
        <f t="array" ref="U100">INDEX(UtilityList!J$4:J$251,MATCH('Table 2.5a'!$A100&amp;'Table 2.5a'!$B100,UtilityList!$A$4:$A$251&amp;UtilityList!$C$4:$C$251,0))</f>
        <v>Copper River/Chugach</v>
      </c>
      <c r="V100" s="704" t="str">
        <f t="array" ref="V100">INDEX(UtilityList!K$4:K$251,MATCH('Table 2.5a'!$A100&amp;'Table 2.5a'!$B100,UtilityList!$A$4:$A$251&amp;UtilityList!$C$4:$C$251,0))</f>
        <v>Valdez-Cordova (CA)</v>
      </c>
      <c r="W100" s="704" t="str">
        <f t="array" ref="W100">INDEX(UtilityList!L$4:L$251,MATCH('Table 2.5a'!$A100&amp;'Table 2.5a'!$B100,UtilityList!$A$4:$A$251&amp;UtilityList!$C$4:$C$251,0))</f>
        <v>Ahtna</v>
      </c>
      <c r="X100" s="704" t="str">
        <f t="array" ref="X100">INDEX(UtilityList!M$4:M$251,MATCH('Table 2.5a'!$A100&amp;'Table 2.5a'!$B100,UtilityList!$A$4:$A$251&amp;UtilityList!$C$4:$C$251,0))</f>
        <v>SC</v>
      </c>
    </row>
    <row r="101" spans="1:24" customFormat="1" ht="30" x14ac:dyDescent="0.25">
      <c r="A101" s="361" t="s">
        <v>153</v>
      </c>
      <c r="B101" s="708"/>
      <c r="C101" s="642">
        <v>77575</v>
      </c>
      <c r="D101" s="642">
        <v>545129</v>
      </c>
      <c r="E101" s="642">
        <v>69729</v>
      </c>
      <c r="F101" s="683">
        <v>0.14230999999999999</v>
      </c>
      <c r="G101" s="642">
        <v>68050</v>
      </c>
      <c r="H101" s="642">
        <v>567652</v>
      </c>
      <c r="I101" s="642">
        <v>9230</v>
      </c>
      <c r="J101" s="683">
        <v>0.11988</v>
      </c>
      <c r="K101" s="642">
        <v>5849</v>
      </c>
      <c r="L101" s="642">
        <v>53555</v>
      </c>
      <c r="M101" s="642">
        <v>7</v>
      </c>
      <c r="N101" s="683">
        <v>0.10920999999999999</v>
      </c>
      <c r="O101" s="642">
        <v>151474</v>
      </c>
      <c r="P101" s="642">
        <f t="shared" si="1"/>
        <v>1166336</v>
      </c>
      <c r="Q101" s="642">
        <v>78966</v>
      </c>
      <c r="R101" s="705">
        <v>0.12987166648375767</v>
      </c>
      <c r="S101" s="707" t="s">
        <v>558</v>
      </c>
      <c r="T101" s="703">
        <f t="array" ref="T101">INDEX(UtilityList!Q$4:Q$251,MATCH('Table 2.5a'!$A101&amp;'Table 2.5a'!$B101,UtilityList!$A$4:$A$251&amp;UtilityList!$C$4:$C$251,0))</f>
        <v>0</v>
      </c>
      <c r="U101" s="704" t="str">
        <f t="array" ref="U101">INDEX(UtilityList!J$4:J$251,MATCH('Table 2.5a'!$A101&amp;'Table 2.5a'!$B101,UtilityList!$A$4:$A$251&amp;UtilityList!$C$4:$C$251,0))</f>
        <v>Railbelt</v>
      </c>
      <c r="V101" s="704" t="str">
        <f t="array" ref="V101">INDEX(UtilityList!K$4:K$251,MATCH('Table 2.5a'!$A101&amp;'Table 2.5a'!$B101,UtilityList!$A$4:$A$251&amp;UtilityList!$C$4:$C$251,0))</f>
        <v>Anchorage</v>
      </c>
      <c r="W101" s="704" t="str">
        <f t="array" ref="W101">INDEX(UtilityList!L$4:L$251,MATCH('Table 2.5a'!$A101&amp;'Table 2.5a'!$B101,UtilityList!$A$4:$A$251&amp;UtilityList!$C$4:$C$251,0))</f>
        <v>Cook Inlet</v>
      </c>
      <c r="X101" s="704" t="str">
        <f t="array" ref="X101">INDEX(UtilityList!M$4:M$251,MATCH('Table 2.5a'!$A101&amp;'Table 2.5a'!$B101,UtilityList!$A$4:$A$251&amp;UtilityList!$C$4:$C$251,0))</f>
        <v>SC</v>
      </c>
    </row>
    <row r="102" spans="1:24" customFormat="1" x14ac:dyDescent="0.25">
      <c r="A102" s="361" t="s">
        <v>160</v>
      </c>
      <c r="B102" s="654" t="s">
        <v>161</v>
      </c>
      <c r="C102" s="701">
        <v>103.38844201163998</v>
      </c>
      <c r="D102" s="701">
        <v>133.49199999999999</v>
      </c>
      <c r="E102" s="701">
        <v>37.666668000000001</v>
      </c>
      <c r="F102" s="702">
        <v>0.77449166999999997</v>
      </c>
      <c r="G102" s="701">
        <v>69.904069150859996</v>
      </c>
      <c r="H102" s="701">
        <v>90.257999999999996</v>
      </c>
      <c r="I102" s="701">
        <v>8</v>
      </c>
      <c r="J102" s="702">
        <v>0.77449166999999997</v>
      </c>
      <c r="K102" s="701">
        <v>104.70507785064</v>
      </c>
      <c r="L102" s="701">
        <v>135.19200000000001</v>
      </c>
      <c r="M102" s="701">
        <v>5.6666666000000001</v>
      </c>
      <c r="N102" s="702">
        <v>0.77449166999999997</v>
      </c>
      <c r="O102" s="701">
        <v>277.99758901313999</v>
      </c>
      <c r="P102" s="701">
        <f t="shared" si="1"/>
        <v>358.94200000000001</v>
      </c>
      <c r="Q102" s="701">
        <v>51.333334600000001</v>
      </c>
      <c r="R102" s="702">
        <v>0.77449166999999997</v>
      </c>
      <c r="S102" s="658" t="s">
        <v>356</v>
      </c>
      <c r="T102" s="703">
        <f t="array" ref="T102">INDEX(UtilityList!Q$4:Q$251,MATCH('Table 2.5a'!$A102&amp;'Table 2.5a'!$B102,UtilityList!$A$4:$A$251&amp;UtilityList!$C$4:$C$251,0))</f>
        <v>0</v>
      </c>
      <c r="U102" s="704" t="str">
        <f t="array" ref="U102">INDEX(UtilityList!J$4:J$251,MATCH('Table 2.5a'!$A102&amp;'Table 2.5a'!$B102,UtilityList!$A$4:$A$251&amp;UtilityList!$C$4:$C$251,0))</f>
        <v>Yukon-Koyukuk/Upper Tanana</v>
      </c>
      <c r="V102" s="704" t="str">
        <f t="array" ref="V102">INDEX(UtilityList!K$4:K$251,MATCH('Table 2.5a'!$A102&amp;'Table 2.5a'!$B102,UtilityList!$A$4:$A$251&amp;UtilityList!$C$4:$C$251,0))</f>
        <v>Yukon-Koyukuk (CA)</v>
      </c>
      <c r="W102" s="704" t="str">
        <f t="array" ref="W102">INDEX(UtilityList!L$4:L$251,MATCH('Table 2.5a'!$A102&amp;'Table 2.5a'!$B102,UtilityList!$A$4:$A$251&amp;UtilityList!$C$4:$C$251,0))</f>
        <v>Doyon</v>
      </c>
      <c r="X102" s="704" t="str">
        <f t="array" ref="X102">INDEX(UtilityList!M$4:M$251,MATCH('Table 2.5a'!$A102&amp;'Table 2.5a'!$B102,UtilityList!$A$4:$A$251&amp;UtilityList!$C$4:$C$251,0))</f>
        <v>YU</v>
      </c>
    </row>
    <row r="103" spans="1:24" customFormat="1" ht="30" x14ac:dyDescent="0.25">
      <c r="A103" s="361" t="s">
        <v>164</v>
      </c>
      <c r="B103" s="708" t="s">
        <v>167</v>
      </c>
      <c r="C103" s="642">
        <v>5174</v>
      </c>
      <c r="D103" s="642">
        <v>18193</v>
      </c>
      <c r="E103" s="642">
        <v>2978</v>
      </c>
      <c r="F103" s="683">
        <v>0.28439999999999999</v>
      </c>
      <c r="G103" s="642">
        <v>15352</v>
      </c>
      <c r="H103" s="642">
        <v>62228</v>
      </c>
      <c r="I103" s="642">
        <v>787</v>
      </c>
      <c r="J103" s="683">
        <v>0.24670999999999998</v>
      </c>
      <c r="K103" s="642">
        <v>0</v>
      </c>
      <c r="L103" s="642">
        <v>0</v>
      </c>
      <c r="M103" s="642">
        <v>0</v>
      </c>
      <c r="N103" s="683"/>
      <c r="O103" s="642">
        <v>20526</v>
      </c>
      <c r="P103" s="642">
        <f t="shared" si="1"/>
        <v>80421</v>
      </c>
      <c r="Q103" s="642">
        <v>3765</v>
      </c>
      <c r="R103" s="705">
        <v>0.25523184242921626</v>
      </c>
      <c r="S103" s="707" t="s">
        <v>558</v>
      </c>
      <c r="T103" s="703">
        <f t="array" ref="T103">INDEX(UtilityList!Q$4:Q$251,MATCH('Table 2.5a'!$A103&amp;'Table 2.5a'!$B103,UtilityList!$A$4:$A$251&amp;UtilityList!$C$4:$C$251,0))</f>
        <v>0</v>
      </c>
      <c r="U103" s="704" t="str">
        <f t="array" ref="U103">INDEX(UtilityList!J$4:J$251,MATCH('Table 2.5a'!$A103&amp;'Table 2.5a'!$B103,UtilityList!$A$4:$A$251&amp;UtilityList!$C$4:$C$251,0))</f>
        <v>Copper River/Chugach</v>
      </c>
      <c r="V103" s="704" t="str">
        <f t="array" ref="V103">INDEX(UtilityList!K$4:K$251,MATCH('Table 2.5a'!$A103&amp;'Table 2.5a'!$B103,UtilityList!$A$4:$A$251&amp;UtilityList!$C$4:$C$251,0))</f>
        <v>Valdez-Cordova (CA)</v>
      </c>
      <c r="W103" s="704" t="str">
        <f t="array" ref="W103">INDEX(UtilityList!L$4:L$251,MATCH('Table 2.5a'!$A103&amp;'Table 2.5a'!$B103,UtilityList!$A$4:$A$251&amp;UtilityList!$C$4:$C$251,0))</f>
        <v>Chugach</v>
      </c>
      <c r="X103" s="704" t="str">
        <f t="array" ref="X103">INDEX(UtilityList!M$4:M$251,MATCH('Table 2.5a'!$A103&amp;'Table 2.5a'!$B103,UtilityList!$A$4:$A$251&amp;UtilityList!$C$4:$C$251,0))</f>
        <v>SC</v>
      </c>
    </row>
    <row r="104" spans="1:24" customFormat="1" ht="30" x14ac:dyDescent="0.25">
      <c r="A104" s="361" t="s">
        <v>533</v>
      </c>
      <c r="B104" s="654" t="s">
        <v>1092</v>
      </c>
      <c r="C104" s="701">
        <v>2135.05599939795</v>
      </c>
      <c r="D104" s="701">
        <v>5069.3850000000002</v>
      </c>
      <c r="E104" s="701">
        <v>836</v>
      </c>
      <c r="F104" s="702">
        <v>0.42116667000000002</v>
      </c>
      <c r="G104" s="701">
        <v>6704.0956750597197</v>
      </c>
      <c r="H104" s="701">
        <v>15917.915999999999</v>
      </c>
      <c r="I104" s="701">
        <v>635.25</v>
      </c>
      <c r="J104" s="702">
        <v>0.42116667000000002</v>
      </c>
      <c r="K104" s="701">
        <v>1972.65792194598</v>
      </c>
      <c r="L104" s="701">
        <v>4683.7939999999999</v>
      </c>
      <c r="M104" s="701">
        <v>109.166668</v>
      </c>
      <c r="N104" s="702">
        <v>0.42116667000000002</v>
      </c>
      <c r="O104" s="701">
        <v>10811.809596403649</v>
      </c>
      <c r="P104" s="701">
        <f t="shared" si="1"/>
        <v>25671.095000000001</v>
      </c>
      <c r="Q104" s="701">
        <v>1580.4166680000001</v>
      </c>
      <c r="R104" s="702">
        <v>0.42116667000000002</v>
      </c>
      <c r="S104" s="658" t="s">
        <v>356</v>
      </c>
      <c r="T104" s="703"/>
      <c r="U104" s="704" t="str">
        <f t="array" ref="U104">INDEX(UtilityList!J$4:J$251,MATCH('Table 2.5a'!$A104&amp;'Table 2.5a'!$B104,UtilityList!$A$4:$A$251&amp;UtilityList!$C$4:$C$251,0))</f>
        <v>Copper River/Chugach</v>
      </c>
      <c r="V104" s="704" t="str">
        <f t="array" ref="V104">INDEX(UtilityList!K$4:K$251,MATCH('Table 2.5a'!$A104&amp;'Table 2.5a'!$B104,UtilityList!$A$4:$A$251&amp;UtilityList!$C$4:$C$251,0))</f>
        <v>Valdez-Cordova (CA)</v>
      </c>
      <c r="W104" s="704" t="str">
        <f t="array" ref="W104">INDEX(UtilityList!L$4:L$251,MATCH('Table 2.5a'!$A104&amp;'Table 2.5a'!$B104,UtilityList!$A$4:$A$251&amp;UtilityList!$C$4:$C$251,0))</f>
        <v>Chugach</v>
      </c>
      <c r="X104" s="704" t="str">
        <f t="array" ref="X104">INDEX(UtilityList!M$4:M$251,MATCH('Table 2.5a'!$A104&amp;'Table 2.5a'!$B104,UtilityList!$A$4:$A$251&amp;UtilityList!$C$4:$C$251,0))</f>
        <v>SC</v>
      </c>
    </row>
    <row r="105" spans="1:24" customFormat="1" x14ac:dyDescent="0.25">
      <c r="A105" s="361" t="s">
        <v>640</v>
      </c>
      <c r="B105" s="654" t="s">
        <v>170</v>
      </c>
      <c r="C105" s="701">
        <v>82.910399999999996</v>
      </c>
      <c r="D105" s="701">
        <v>138.184</v>
      </c>
      <c r="E105" s="701">
        <v>49.416668000000001</v>
      </c>
      <c r="F105" s="702">
        <v>0.6</v>
      </c>
      <c r="G105" s="701">
        <v>148.17660000000001</v>
      </c>
      <c r="H105" s="701">
        <v>246.96100000000001</v>
      </c>
      <c r="I105" s="701">
        <v>13.333333</v>
      </c>
      <c r="J105" s="702">
        <v>0.6</v>
      </c>
      <c r="K105" s="701">
        <v>26.471999999999998</v>
      </c>
      <c r="L105" s="701">
        <v>44.12</v>
      </c>
      <c r="M105" s="701">
        <v>6</v>
      </c>
      <c r="N105" s="702">
        <v>0.6</v>
      </c>
      <c r="O105" s="701">
        <v>257.55899999999997</v>
      </c>
      <c r="P105" s="701">
        <f t="shared" si="1"/>
        <v>429.26499999999999</v>
      </c>
      <c r="Q105" s="701">
        <v>68.750000999999997</v>
      </c>
      <c r="R105" s="702">
        <v>0.6</v>
      </c>
      <c r="S105" s="658" t="s">
        <v>356</v>
      </c>
      <c r="T105" s="703">
        <f t="array" ref="T105">INDEX(UtilityList!Q$4:Q$251,MATCH('Table 2.5a'!$A105&amp;'Table 2.5a'!$B105,UtilityList!$A$4:$A$251&amp;UtilityList!$C$4:$C$251,0))</f>
        <v>0</v>
      </c>
      <c r="U105" s="704" t="str">
        <f t="array" ref="U105">INDEX(UtilityList!J$4:J$251,MATCH('Table 2.5a'!$A105&amp;'Table 2.5a'!$B105,UtilityList!$A$4:$A$251&amp;UtilityList!$C$4:$C$251,0))</f>
        <v>Bering Straits</v>
      </c>
      <c r="V105" s="704" t="str">
        <f t="array" ref="V105">INDEX(UtilityList!K$4:K$251,MATCH('Table 2.5a'!$A105&amp;'Table 2.5a'!$B105,UtilityList!$A$4:$A$251&amp;UtilityList!$C$4:$C$251,0))</f>
        <v>Nome (CA)</v>
      </c>
      <c r="W105" s="704" t="str">
        <f t="array" ref="W105">INDEX(UtilityList!L$4:L$251,MATCH('Table 2.5a'!$A105&amp;'Table 2.5a'!$B105,UtilityList!$A$4:$A$251&amp;UtilityList!$C$4:$C$251,0))</f>
        <v>Bering Straits</v>
      </c>
      <c r="X105" s="704" t="str">
        <f t="array" ref="X105">INDEX(UtilityList!M$4:M$251,MATCH('Table 2.5a'!$A105&amp;'Table 2.5a'!$B105,UtilityList!$A$4:$A$251&amp;UtilityList!$C$4:$C$251,0))</f>
        <v>AN</v>
      </c>
    </row>
    <row r="106" spans="1:24" customFormat="1" x14ac:dyDescent="0.25">
      <c r="A106" s="361" t="s">
        <v>171</v>
      </c>
      <c r="B106" s="654" t="s">
        <v>172</v>
      </c>
      <c r="C106" s="701">
        <v>64.738219999999998</v>
      </c>
      <c r="D106" s="701">
        <v>75.277000000000001</v>
      </c>
      <c r="E106" s="701">
        <v>42.5</v>
      </c>
      <c r="F106" s="702">
        <v>0.86</v>
      </c>
      <c r="G106" s="701">
        <v>94.506259999999997</v>
      </c>
      <c r="H106" s="701">
        <v>109.89100000000001</v>
      </c>
      <c r="I106" s="701">
        <v>16.666665999999999</v>
      </c>
      <c r="J106" s="702">
        <v>0.86</v>
      </c>
      <c r="K106" s="701">
        <v>59.216159999999995</v>
      </c>
      <c r="L106" s="701">
        <v>68.855999999999995</v>
      </c>
      <c r="M106" s="701">
        <v>18.5</v>
      </c>
      <c r="N106" s="702">
        <v>0.86</v>
      </c>
      <c r="O106" s="701">
        <v>218.46064000000001</v>
      </c>
      <c r="P106" s="701">
        <f t="shared" si="1"/>
        <v>254.024</v>
      </c>
      <c r="Q106" s="701">
        <v>77.666665999999992</v>
      </c>
      <c r="R106" s="702">
        <v>0.86</v>
      </c>
      <c r="S106" s="658" t="s">
        <v>356</v>
      </c>
      <c r="T106" s="703">
        <f t="array" ref="T106">INDEX(UtilityList!Q$4:Q$251,MATCH('Table 2.5a'!$A106&amp;'Table 2.5a'!$B106,UtilityList!$A$4:$A$251&amp;UtilityList!$C$4:$C$251,0))</f>
        <v>0</v>
      </c>
      <c r="U106" s="704" t="str">
        <f t="array" ref="U106">INDEX(UtilityList!J$4:J$251,MATCH('Table 2.5a'!$A106&amp;'Table 2.5a'!$B106,UtilityList!$A$4:$A$251&amp;UtilityList!$C$4:$C$251,0))</f>
        <v>Bristol Bay</v>
      </c>
      <c r="V106" s="704" t="str">
        <f t="array" ref="V106">INDEX(UtilityList!K$4:K$251,MATCH('Table 2.5a'!$A106&amp;'Table 2.5a'!$B106,UtilityList!$A$4:$A$251&amp;UtilityList!$C$4:$C$251,0))</f>
        <v>Lake and Peninsula</v>
      </c>
      <c r="W106" s="704" t="str">
        <f t="array" ref="W106">INDEX(UtilityList!L$4:L$251,MATCH('Table 2.5a'!$A106&amp;'Table 2.5a'!$B106,UtilityList!$A$4:$A$251&amp;UtilityList!$C$4:$C$251,0))</f>
        <v>Bristol Bay</v>
      </c>
      <c r="X106" s="704" t="str">
        <f t="array" ref="X106">INDEX(UtilityList!M$4:M$251,MATCH('Table 2.5a'!$A106&amp;'Table 2.5a'!$B106,UtilityList!$A$4:$A$251&amp;UtilityList!$C$4:$C$251,0))</f>
        <v>SW</v>
      </c>
    </row>
    <row r="107" spans="1:24" customFormat="1" ht="30" x14ac:dyDescent="0.25">
      <c r="A107" s="361" t="s">
        <v>174</v>
      </c>
      <c r="B107" s="654" t="s">
        <v>175</v>
      </c>
      <c r="C107" s="701">
        <v>54.18244472543001</v>
      </c>
      <c r="D107" s="701">
        <v>72.629000000000005</v>
      </c>
      <c r="E107" s="701">
        <v>40.833331999999999</v>
      </c>
      <c r="F107" s="702">
        <v>0.74601667000000005</v>
      </c>
      <c r="G107" s="701">
        <v>122.44371604710001</v>
      </c>
      <c r="H107" s="701">
        <v>164.13</v>
      </c>
      <c r="I107" s="701">
        <v>30.75</v>
      </c>
      <c r="J107" s="702">
        <v>0.74601667000000005</v>
      </c>
      <c r="K107" s="701">
        <v>8.5970961050800003</v>
      </c>
      <c r="L107" s="701">
        <v>11.523999999999999</v>
      </c>
      <c r="M107" s="701">
        <v>7</v>
      </c>
      <c r="N107" s="702">
        <v>0.74601667000000005</v>
      </c>
      <c r="O107" s="701">
        <v>185.22325687761003</v>
      </c>
      <c r="P107" s="701">
        <f t="shared" si="1"/>
        <v>248.28300000000002</v>
      </c>
      <c r="Q107" s="701">
        <v>78.583331999999999</v>
      </c>
      <c r="R107" s="702">
        <v>0.74601667000000005</v>
      </c>
      <c r="S107" s="658" t="s">
        <v>356</v>
      </c>
      <c r="T107" s="703">
        <f t="array" ref="T107">INDEX(UtilityList!Q$4:Q$251,MATCH('Table 2.5a'!$A107&amp;'Table 2.5a'!$B107,UtilityList!$A$4:$A$251&amp;UtilityList!$C$4:$C$251,0))</f>
        <v>0</v>
      </c>
      <c r="U107" s="704" t="str">
        <f t="array" ref="U107">INDEX(UtilityList!J$4:J$251,MATCH('Table 2.5a'!$A107&amp;'Table 2.5a'!$B107,UtilityList!$A$4:$A$251&amp;UtilityList!$C$4:$C$251,0))</f>
        <v>Southeast</v>
      </c>
      <c r="V107" s="704" t="str">
        <f t="array" ref="V107">INDEX(UtilityList!K$4:K$251,MATCH('Table 2.5a'!$A107&amp;'Table 2.5a'!$B107,UtilityList!$A$4:$A$251&amp;UtilityList!$C$4:$C$251,0))</f>
        <v>Hoonah-Angoon (CA)</v>
      </c>
      <c r="W107" s="704" t="str">
        <f t="array" ref="W107">INDEX(UtilityList!L$4:L$251,MATCH('Table 2.5a'!$A107&amp;'Table 2.5a'!$B107,UtilityList!$A$4:$A$251&amp;UtilityList!$C$4:$C$251,0))</f>
        <v>Sealaska</v>
      </c>
      <c r="X107" s="704" t="str">
        <f t="array" ref="X107">INDEX(UtilityList!M$4:M$251,MATCH('Table 2.5a'!$A107&amp;'Table 2.5a'!$B107,UtilityList!$A$4:$A$251&amp;UtilityList!$C$4:$C$251,0))</f>
        <v>SE</v>
      </c>
    </row>
    <row r="108" spans="1:24" customFormat="1" x14ac:dyDescent="0.25">
      <c r="A108" s="361" t="s">
        <v>176</v>
      </c>
      <c r="B108" s="654" t="s">
        <v>177</v>
      </c>
      <c r="C108" s="701">
        <v>44.081624877990002</v>
      </c>
      <c r="D108" s="701">
        <v>85.897000000000006</v>
      </c>
      <c r="E108" s="701">
        <v>26</v>
      </c>
      <c r="F108" s="702">
        <v>0.51319166999999999</v>
      </c>
      <c r="G108" s="701">
        <v>110.08474513169999</v>
      </c>
      <c r="H108" s="701">
        <v>214.51</v>
      </c>
      <c r="I108" s="701">
        <v>13</v>
      </c>
      <c r="J108" s="702">
        <v>0.51319166999999999</v>
      </c>
      <c r="K108" s="701">
        <v>45.370762353030003</v>
      </c>
      <c r="L108" s="701">
        <v>88.409000000000006</v>
      </c>
      <c r="M108" s="701">
        <v>11.75</v>
      </c>
      <c r="N108" s="702">
        <v>0.51319166999999999</v>
      </c>
      <c r="O108" s="701">
        <v>199.53713236272</v>
      </c>
      <c r="P108" s="701">
        <f t="shared" si="1"/>
        <v>388.81599999999997</v>
      </c>
      <c r="Q108" s="701">
        <v>50.75</v>
      </c>
      <c r="R108" s="702">
        <v>0.51319166999999999</v>
      </c>
      <c r="S108" s="658" t="s">
        <v>356</v>
      </c>
      <c r="T108" s="703">
        <f t="array" ref="T108">INDEX(UtilityList!Q$4:Q$251,MATCH('Table 2.5a'!$A108&amp;'Table 2.5a'!$B108,UtilityList!$A$4:$A$251&amp;UtilityList!$C$4:$C$251,0))</f>
        <v>0</v>
      </c>
      <c r="U108" s="704" t="str">
        <f t="array" ref="U108">INDEX(UtilityList!J$4:J$251,MATCH('Table 2.5a'!$A108&amp;'Table 2.5a'!$B108,UtilityList!$A$4:$A$251&amp;UtilityList!$C$4:$C$251,0))</f>
        <v>Aleutians</v>
      </c>
      <c r="V108" s="704" t="str">
        <f t="array" ref="V108">INDEX(UtilityList!K$4:K$251,MATCH('Table 2.5a'!$A108&amp;'Table 2.5a'!$B108,UtilityList!$A$4:$A$251&amp;UtilityList!$C$4:$C$251,0))</f>
        <v>Aleutians East</v>
      </c>
      <c r="W108" s="704" t="str">
        <f t="array" ref="W108">INDEX(UtilityList!L$4:L$251,MATCH('Table 2.5a'!$A108&amp;'Table 2.5a'!$B108,UtilityList!$A$4:$A$251&amp;UtilityList!$C$4:$C$251,0))</f>
        <v>Aleut</v>
      </c>
      <c r="X108" s="704" t="str">
        <f t="array" ref="X108">INDEX(UtilityList!M$4:M$251,MATCH('Table 2.5a'!$A108&amp;'Table 2.5a'!$B108,UtilityList!$A$4:$A$251&amp;UtilityList!$C$4:$C$251,0))</f>
        <v>SW</v>
      </c>
    </row>
    <row r="109" spans="1:24" customFormat="1" x14ac:dyDescent="0.25">
      <c r="A109" s="361" t="s">
        <v>178</v>
      </c>
      <c r="B109" s="654" t="s">
        <v>179</v>
      </c>
      <c r="C109" s="701">
        <v>134.92763496222</v>
      </c>
      <c r="D109" s="701">
        <v>188.666</v>
      </c>
      <c r="E109" s="701">
        <v>37.083331999999999</v>
      </c>
      <c r="F109" s="702">
        <v>0.71516667</v>
      </c>
      <c r="G109" s="701">
        <v>574.03067317551006</v>
      </c>
      <c r="H109" s="701">
        <v>802.65300000000002</v>
      </c>
      <c r="I109" s="701">
        <v>23.25</v>
      </c>
      <c r="J109" s="702">
        <v>0.71516667</v>
      </c>
      <c r="K109" s="701">
        <v>1003.79792567862</v>
      </c>
      <c r="L109" s="701">
        <v>1403.586</v>
      </c>
      <c r="M109" s="701">
        <v>56.916666499999998</v>
      </c>
      <c r="N109" s="702">
        <v>0.71516667</v>
      </c>
      <c r="O109" s="701">
        <v>1712.75623381635</v>
      </c>
      <c r="P109" s="701">
        <f t="shared" si="1"/>
        <v>2394.9049999999997</v>
      </c>
      <c r="Q109" s="701">
        <v>117.2499985</v>
      </c>
      <c r="R109" s="702">
        <v>0.71516667</v>
      </c>
      <c r="S109" s="658" t="s">
        <v>356</v>
      </c>
      <c r="T109" s="703">
        <f t="array" ref="T109">INDEX(UtilityList!Q$4:Q$251,MATCH('Table 2.5a'!$A109&amp;'Table 2.5a'!$B109,UtilityList!$A$4:$A$251&amp;UtilityList!$C$4:$C$251,0))</f>
        <v>0</v>
      </c>
      <c r="U109" s="704" t="str">
        <f t="array" ref="U109">INDEX(UtilityList!J$4:J$251,MATCH('Table 2.5a'!$A109&amp;'Table 2.5a'!$B109,UtilityList!$A$4:$A$251&amp;UtilityList!$C$4:$C$251,0))</f>
        <v>Aleutians</v>
      </c>
      <c r="V109" s="704" t="str">
        <f t="array" ref="V109">INDEX(UtilityList!K$4:K$251,MATCH('Table 2.5a'!$A109&amp;'Table 2.5a'!$B109,UtilityList!$A$4:$A$251&amp;UtilityList!$C$4:$C$251,0))</f>
        <v>Aleutians East</v>
      </c>
      <c r="W109" s="704" t="str">
        <f t="array" ref="W109">INDEX(UtilityList!L$4:L$251,MATCH('Table 2.5a'!$A109&amp;'Table 2.5a'!$B109,UtilityList!$A$4:$A$251&amp;UtilityList!$C$4:$C$251,0))</f>
        <v>Aleut</v>
      </c>
      <c r="X109" s="704" t="str">
        <f t="array" ref="X109">INDEX(UtilityList!M$4:M$251,MATCH('Table 2.5a'!$A109&amp;'Table 2.5a'!$B109,UtilityList!$A$4:$A$251&amp;UtilityList!$C$4:$C$251,0))</f>
        <v>SW</v>
      </c>
    </row>
    <row r="110" spans="1:24" customFormat="1" x14ac:dyDescent="0.25">
      <c r="A110" s="361" t="s">
        <v>182</v>
      </c>
      <c r="B110" s="654" t="s">
        <v>183</v>
      </c>
      <c r="C110" s="701">
        <v>206.18361812500001</v>
      </c>
      <c r="D110" s="701">
        <v>265.82900000000001</v>
      </c>
      <c r="E110" s="701">
        <v>137.5</v>
      </c>
      <c r="F110" s="702">
        <v>0.77562500000000001</v>
      </c>
      <c r="G110" s="701">
        <v>42.814500000000002</v>
      </c>
      <c r="H110" s="701">
        <v>55.2</v>
      </c>
      <c r="I110" s="701">
        <v>7.5</v>
      </c>
      <c r="J110" s="702">
        <v>0.77562500000000001</v>
      </c>
      <c r="K110" s="701">
        <v>91.877435000000006</v>
      </c>
      <c r="L110" s="701">
        <v>118.456</v>
      </c>
      <c r="M110" s="701">
        <v>8</v>
      </c>
      <c r="N110" s="702">
        <v>0.77562500000000001</v>
      </c>
      <c r="O110" s="701">
        <v>340.87555312500001</v>
      </c>
      <c r="P110" s="701">
        <f t="shared" si="1"/>
        <v>439.48500000000001</v>
      </c>
      <c r="Q110" s="701">
        <v>153</v>
      </c>
      <c r="R110" s="702">
        <v>0.77562500000000001</v>
      </c>
      <c r="S110" s="658" t="s">
        <v>356</v>
      </c>
      <c r="T110" s="703">
        <f t="array" ref="T110">INDEX(UtilityList!Q$4:Q$251,MATCH('Table 2.5a'!$A110&amp;'Table 2.5a'!$B110,UtilityList!$A$4:$A$251&amp;UtilityList!$C$4:$C$251,0))</f>
        <v>0</v>
      </c>
      <c r="U110" s="704" t="str">
        <f t="array" ref="U110">INDEX(UtilityList!J$4:J$251,MATCH('Table 2.5a'!$A110&amp;'Table 2.5a'!$B110,UtilityList!$A$4:$A$251&amp;UtilityList!$C$4:$C$251,0))</f>
        <v>Yukon-Koyukuk/Upper Tanana</v>
      </c>
      <c r="V110" s="704" t="str">
        <f t="array" ref="V110">INDEX(UtilityList!K$4:K$251,MATCH('Table 2.5a'!$A110&amp;'Table 2.5a'!$B110,UtilityList!$A$4:$A$251&amp;UtilityList!$C$4:$C$251,0))</f>
        <v>Yukon-Koyukuk (CA)</v>
      </c>
      <c r="W110" s="704" t="str">
        <f t="array" ref="W110">INDEX(UtilityList!L$4:L$251,MATCH('Table 2.5a'!$A110&amp;'Table 2.5a'!$B110,UtilityList!$A$4:$A$251&amp;UtilityList!$C$4:$C$251,0))</f>
        <v>Doyon</v>
      </c>
      <c r="X110" s="704" t="str">
        <f t="array" ref="X110">INDEX(UtilityList!M$4:M$251,MATCH('Table 2.5a'!$A110&amp;'Table 2.5a'!$B110,UtilityList!$A$4:$A$251&amp;UtilityList!$C$4:$C$251,0))</f>
        <v>YU</v>
      </c>
    </row>
    <row r="111" spans="1:24" customFormat="1" ht="30" x14ac:dyDescent="0.25">
      <c r="A111" s="361" t="s">
        <v>184</v>
      </c>
      <c r="B111" s="708"/>
      <c r="C111" s="642">
        <v>68389.2</v>
      </c>
      <c r="D111" s="642">
        <v>305090</v>
      </c>
      <c r="E111" s="642">
        <v>37835</v>
      </c>
      <c r="F111" s="683">
        <v>0.22416</v>
      </c>
      <c r="G111" s="642">
        <v>28777.3</v>
      </c>
      <c r="H111" s="642">
        <v>138534</v>
      </c>
      <c r="I111" s="642">
        <v>6417</v>
      </c>
      <c r="J111" s="683">
        <v>0.20773</v>
      </c>
      <c r="K111" s="642">
        <v>144490.70000000001</v>
      </c>
      <c r="L111" s="642">
        <v>846303</v>
      </c>
      <c r="M111" s="642">
        <v>483</v>
      </c>
      <c r="N111" s="683">
        <v>0.17072999999999999</v>
      </c>
      <c r="O111" s="642">
        <v>241657.2</v>
      </c>
      <c r="P111" s="642">
        <f t="shared" si="1"/>
        <v>1289927</v>
      </c>
      <c r="Q111" s="642">
        <v>44735</v>
      </c>
      <c r="R111" s="705">
        <v>0.18734176430139071</v>
      </c>
      <c r="S111" s="707" t="s">
        <v>558</v>
      </c>
      <c r="T111" s="703">
        <f t="array" ref="T111">INDEX(UtilityList!Q$4:Q$251,MATCH('Table 2.5a'!$A111&amp;'Table 2.5a'!$B111,UtilityList!$A$4:$A$251&amp;UtilityList!$C$4:$C$251,0))</f>
        <v>0</v>
      </c>
      <c r="U111" s="704" t="str">
        <f t="array" ref="U111">INDEX(UtilityList!J$4:J$251,MATCH('Table 2.5a'!$A111&amp;'Table 2.5a'!$B111,UtilityList!$A$4:$A$251&amp;UtilityList!$C$4:$C$251,0))</f>
        <v>Railbelt</v>
      </c>
      <c r="V111" s="704" t="str">
        <f t="array" ref="V111">INDEX(UtilityList!K$4:K$251,MATCH('Table 2.5a'!$A111&amp;'Table 2.5a'!$B111,UtilityList!$A$4:$A$251&amp;UtilityList!$C$4:$C$251,0))</f>
        <v>Fairbanks North Star</v>
      </c>
      <c r="W111" s="704" t="str">
        <f t="array" ref="W111">INDEX(UtilityList!L$4:L$251,MATCH('Table 2.5a'!$A111&amp;'Table 2.5a'!$B111,UtilityList!$A$4:$A$251&amp;UtilityList!$C$4:$C$251,0))</f>
        <v>Doyon</v>
      </c>
      <c r="X111" s="704" t="str">
        <f t="array" ref="X111">INDEX(UtilityList!M$4:M$251,MATCH('Table 2.5a'!$A111&amp;'Table 2.5a'!$B111,UtilityList!$A$4:$A$251&amp;UtilityList!$C$4:$C$251,0))</f>
        <v>YU</v>
      </c>
    </row>
    <row r="112" spans="1:24" s="169" customFormat="1" x14ac:dyDescent="0.25">
      <c r="A112" s="361" t="s">
        <v>188</v>
      </c>
      <c r="B112" s="654" t="s">
        <v>189</v>
      </c>
      <c r="C112" s="701">
        <v>130.51269000000002</v>
      </c>
      <c r="D112" s="701">
        <v>225.99600000000001</v>
      </c>
      <c r="E112" s="701">
        <v>55</v>
      </c>
      <c r="F112" s="702">
        <v>0.57750000000000001</v>
      </c>
      <c r="G112" s="701">
        <v>138.63927000000001</v>
      </c>
      <c r="H112" s="701">
        <v>240.06800000000001</v>
      </c>
      <c r="I112" s="701">
        <v>26</v>
      </c>
      <c r="J112" s="702">
        <v>0.57750000000000001</v>
      </c>
      <c r="K112" s="701">
        <v>58.231057499999999</v>
      </c>
      <c r="L112" s="701">
        <v>100.833</v>
      </c>
      <c r="M112" s="701">
        <v>12</v>
      </c>
      <c r="N112" s="702">
        <v>0.57750000000000001</v>
      </c>
      <c r="O112" s="701">
        <v>327.38301750000005</v>
      </c>
      <c r="P112" s="701">
        <f t="shared" si="1"/>
        <v>566.89700000000005</v>
      </c>
      <c r="Q112" s="701">
        <v>93</v>
      </c>
      <c r="R112" s="702">
        <v>0.57750000000000001</v>
      </c>
      <c r="S112" s="658" t="s">
        <v>356</v>
      </c>
      <c r="T112" s="703">
        <f t="array" ref="T112">INDEX(UtilityList!Q$4:Q$251,MATCH('Table 2.5a'!$A112&amp;'Table 2.5a'!$B112,UtilityList!$A$4:$A$251&amp;UtilityList!$C$4:$C$251,0))</f>
        <v>0</v>
      </c>
      <c r="U112" s="704" t="str">
        <f t="array" ref="U112">INDEX(UtilityList!J$4:J$251,MATCH('Table 2.5a'!$A112&amp;'Table 2.5a'!$B112,UtilityList!$A$4:$A$251&amp;UtilityList!$C$4:$C$251,0))</f>
        <v>Bering Straits</v>
      </c>
      <c r="V112" s="704" t="str">
        <f t="array" ref="V112">INDEX(UtilityList!K$4:K$251,MATCH('Table 2.5a'!$A112&amp;'Table 2.5a'!$B112,UtilityList!$A$4:$A$251&amp;UtilityList!$C$4:$C$251,0))</f>
        <v>Nome (CA)</v>
      </c>
      <c r="W112" s="704" t="str">
        <f t="array" ref="W112">INDEX(UtilityList!L$4:L$251,MATCH('Table 2.5a'!$A112&amp;'Table 2.5a'!$B112,UtilityList!$A$4:$A$251&amp;UtilityList!$C$4:$C$251,0))</f>
        <v>Bering Straits</v>
      </c>
      <c r="X112" s="704" t="str">
        <f t="array" ref="X112">INDEX(UtilityList!M$4:M$251,MATCH('Table 2.5a'!$A112&amp;'Table 2.5a'!$B112,UtilityList!$A$4:$A$251&amp;UtilityList!$C$4:$C$251,0))</f>
        <v>AN</v>
      </c>
    </row>
    <row r="113" spans="1:24" customFormat="1" x14ac:dyDescent="0.25">
      <c r="A113" s="361" t="s">
        <v>190</v>
      </c>
      <c r="B113" s="654" t="s">
        <v>191</v>
      </c>
      <c r="C113" s="701">
        <v>407.13580257572994</v>
      </c>
      <c r="D113" s="701">
        <v>912.28099999999995</v>
      </c>
      <c r="E113" s="701">
        <v>428.91665999999998</v>
      </c>
      <c r="F113" s="702">
        <v>0.44628332999999998</v>
      </c>
      <c r="G113" s="701">
        <v>259.55883101132997</v>
      </c>
      <c r="H113" s="701">
        <v>581.601</v>
      </c>
      <c r="I113" s="701">
        <v>119.58334000000001</v>
      </c>
      <c r="J113" s="702">
        <v>0.44628332999999998</v>
      </c>
      <c r="K113" s="701">
        <v>148.18793344316998</v>
      </c>
      <c r="L113" s="701">
        <v>332.04899999999998</v>
      </c>
      <c r="M113" s="701">
        <v>30</v>
      </c>
      <c r="N113" s="702">
        <v>0.44628332999999998</v>
      </c>
      <c r="O113" s="701">
        <v>814.88256703022989</v>
      </c>
      <c r="P113" s="701">
        <f t="shared" si="1"/>
        <v>1825.931</v>
      </c>
      <c r="Q113" s="701">
        <v>578.5</v>
      </c>
      <c r="R113" s="702">
        <v>0.44628332999999998</v>
      </c>
      <c r="S113" s="658" t="s">
        <v>356</v>
      </c>
      <c r="T113" s="703">
        <f t="array" ref="T113">INDEX(UtilityList!Q$4:Q$251,MATCH('Table 2.5a'!$A113&amp;'Table 2.5a'!$B113,UtilityList!$A$4:$A$251&amp;UtilityList!$C$4:$C$251,0))</f>
        <v>0</v>
      </c>
      <c r="U113" s="704" t="str">
        <f t="array" ref="U113">INDEX(UtilityList!J$4:J$251,MATCH('Table 2.5a'!$A113&amp;'Table 2.5a'!$B113,UtilityList!$A$4:$A$251&amp;UtilityList!$C$4:$C$251,0))</f>
        <v>Southeast</v>
      </c>
      <c r="V113" s="704" t="str">
        <f t="array" ref="V113">INDEX(UtilityList!K$4:K$251,MATCH('Table 2.5a'!$A113&amp;'Table 2.5a'!$B113,UtilityList!$A$4:$A$251&amp;UtilityList!$C$4:$C$251,0))</f>
        <v>Hoonah-Angoon (CA)</v>
      </c>
      <c r="W113" s="704" t="str">
        <f t="array" ref="W113">INDEX(UtilityList!L$4:L$251,MATCH('Table 2.5a'!$A113&amp;'Table 2.5a'!$B113,UtilityList!$A$4:$A$251&amp;UtilityList!$C$4:$C$251,0))</f>
        <v>Sealaska</v>
      </c>
      <c r="X113" s="704" t="str">
        <f t="array" ref="X113">INDEX(UtilityList!M$4:M$251,MATCH('Table 2.5a'!$A113&amp;'Table 2.5a'!$B113,UtilityList!$A$4:$A$251&amp;UtilityList!$C$4:$C$251,0))</f>
        <v>SE</v>
      </c>
    </row>
    <row r="114" spans="1:24" customFormat="1" ht="30" x14ac:dyDescent="0.25">
      <c r="A114" s="361" t="s">
        <v>535</v>
      </c>
      <c r="B114" s="654" t="s">
        <v>192</v>
      </c>
      <c r="C114" s="701">
        <v>659.81470745541003</v>
      </c>
      <c r="D114" s="701">
        <v>1104.123</v>
      </c>
      <c r="E114" s="701">
        <v>262.66665999999998</v>
      </c>
      <c r="F114" s="702">
        <v>0.59759167000000002</v>
      </c>
      <c r="G114" s="701">
        <v>605.01853927475997</v>
      </c>
      <c r="H114" s="701">
        <v>1012.428</v>
      </c>
      <c r="I114" s="701">
        <v>68</v>
      </c>
      <c r="J114" s="702">
        <v>0.59759167000000002</v>
      </c>
      <c r="K114" s="701">
        <v>380.84337851599003</v>
      </c>
      <c r="L114" s="701">
        <v>637.29700000000003</v>
      </c>
      <c r="M114" s="701">
        <v>30.166667</v>
      </c>
      <c r="N114" s="702">
        <v>0.59759167000000002</v>
      </c>
      <c r="O114" s="701">
        <v>1645.67662524616</v>
      </c>
      <c r="P114" s="701">
        <f t="shared" si="1"/>
        <v>2753.848</v>
      </c>
      <c r="Q114" s="701">
        <v>360.833327</v>
      </c>
      <c r="R114" s="702">
        <v>0.59759167000000002</v>
      </c>
      <c r="S114" s="658" t="s">
        <v>356</v>
      </c>
      <c r="T114" s="703">
        <f t="array" ref="T114">INDEX(UtilityList!Q$4:Q$251,MATCH('Table 2.5a'!$A114&amp;'Table 2.5a'!$B114,UtilityList!$A$4:$A$251&amp;UtilityList!$C$4:$C$251,0))</f>
        <v>0</v>
      </c>
      <c r="U114" s="704" t="str">
        <f t="array" ref="U114">INDEX(UtilityList!J$4:J$251,MATCH('Table 2.5a'!$A114&amp;'Table 2.5a'!$B114,UtilityList!$A$4:$A$251&amp;UtilityList!$C$4:$C$251,0))</f>
        <v>Yukon-Koyukuk/Upper Tanana</v>
      </c>
      <c r="V114" s="704" t="str">
        <f t="array" ref="V114">INDEX(UtilityList!K$4:K$251,MATCH('Table 2.5a'!$A114&amp;'Table 2.5a'!$B114,UtilityList!$A$4:$A$251&amp;UtilityList!$C$4:$C$251,0))</f>
        <v>Yukon-Koyukuk (CA)</v>
      </c>
      <c r="W114" s="704" t="str">
        <f t="array" ref="W114">INDEX(UtilityList!L$4:L$251,MATCH('Table 2.5a'!$A114&amp;'Table 2.5a'!$B114,UtilityList!$A$4:$A$251&amp;UtilityList!$C$4:$C$251,0))</f>
        <v>Doyon</v>
      </c>
      <c r="X114" s="704" t="str">
        <f t="array" ref="X114">INDEX(UtilityList!M$4:M$251,MATCH('Table 2.5a'!$A114&amp;'Table 2.5a'!$B114,UtilityList!$A$4:$A$251&amp;UtilityList!$C$4:$C$251,0))</f>
        <v>YU</v>
      </c>
    </row>
    <row r="115" spans="1:24" customFormat="1" ht="75" x14ac:dyDescent="0.25">
      <c r="A115" s="361" t="s">
        <v>193</v>
      </c>
      <c r="B115" s="708"/>
      <c r="C115" s="642">
        <v>35185</v>
      </c>
      <c r="D115" s="642">
        <v>178368</v>
      </c>
      <c r="E115" s="642">
        <v>25634</v>
      </c>
      <c r="F115" s="683">
        <v>0.19726071941155365</v>
      </c>
      <c r="G115" s="642">
        <v>31514</v>
      </c>
      <c r="H115" s="642">
        <v>177569</v>
      </c>
      <c r="I115" s="642">
        <v>3834</v>
      </c>
      <c r="J115" s="683">
        <v>0.17747467181771592</v>
      </c>
      <c r="K115" s="642">
        <v>9509</v>
      </c>
      <c r="L115" s="642">
        <v>118432</v>
      </c>
      <c r="M115" s="642">
        <v>25</v>
      </c>
      <c r="N115" s="683">
        <v>8.0290799783842209E-2</v>
      </c>
      <c r="O115" s="642">
        <v>76208</v>
      </c>
      <c r="P115" s="642">
        <f t="shared" si="1"/>
        <v>474369</v>
      </c>
      <c r="Q115" s="642">
        <v>29493</v>
      </c>
      <c r="R115" s="705">
        <v>0.16054977257836514</v>
      </c>
      <c r="S115" s="707" t="s">
        <v>558</v>
      </c>
      <c r="T115" s="703" t="str">
        <f t="array" ref="T115">INDEX(UtilityList!Q$4:Q$251,MATCH('Table 2.5a'!$A115&amp;'Table 2.5a'!$B115,UtilityList!$A$4:$A$251&amp;UtilityList!$C$4:$C$251,0))</f>
        <v>Generation from Bradley Lake is shared among Chugach, AML&amp;P, HEA, MEA, Seward Electric and GVEA</v>
      </c>
      <c r="U115" s="704" t="str">
        <f t="array" ref="U115">INDEX(UtilityList!J$4:J$251,MATCH('Table 2.5a'!$A115&amp;'Table 2.5a'!$B115,UtilityList!$A$4:$A$251&amp;UtilityList!$C$4:$C$251,0))</f>
        <v>Railbelt</v>
      </c>
      <c r="V115" s="704" t="str">
        <f t="array" ref="V115">INDEX(UtilityList!K$4:K$251,MATCH('Table 2.5a'!$A115&amp;'Table 2.5a'!$B115,UtilityList!$A$4:$A$251&amp;UtilityList!$C$4:$C$251,0))</f>
        <v>Anchorage</v>
      </c>
      <c r="W115" s="704" t="str">
        <f t="array" ref="W115">INDEX(UtilityList!L$4:L$251,MATCH('Table 2.5a'!$A115&amp;'Table 2.5a'!$B115,UtilityList!$A$4:$A$251&amp;UtilityList!$C$4:$C$251,0))</f>
        <v>Cook Inlet</v>
      </c>
      <c r="X115" s="704" t="str">
        <f t="array" ref="X115">INDEX(UtilityList!M$4:M$251,MATCH('Table 2.5a'!$A115&amp;'Table 2.5a'!$B115,UtilityList!$A$4:$A$251&amp;UtilityList!$C$4:$C$251,0))</f>
        <v>SC</v>
      </c>
    </row>
    <row r="116" spans="1:24" customFormat="1" x14ac:dyDescent="0.25">
      <c r="A116" s="361" t="s">
        <v>196</v>
      </c>
      <c r="B116" s="654" t="s">
        <v>197</v>
      </c>
      <c r="C116" s="701">
        <v>98.82987</v>
      </c>
      <c r="D116" s="701">
        <v>139.197</v>
      </c>
      <c r="E116" s="701">
        <v>37</v>
      </c>
      <c r="F116" s="702">
        <v>0.71</v>
      </c>
      <c r="G116" s="701">
        <v>53.921659999999996</v>
      </c>
      <c r="H116" s="701">
        <v>75.945999999999998</v>
      </c>
      <c r="I116" s="701">
        <v>8.6666670000000003</v>
      </c>
      <c r="J116" s="702">
        <v>0.71</v>
      </c>
      <c r="K116" s="701">
        <v>59.059930000000001</v>
      </c>
      <c r="L116" s="701">
        <v>83.183000000000007</v>
      </c>
      <c r="M116" s="701">
        <v>5</v>
      </c>
      <c r="N116" s="702">
        <v>0.71</v>
      </c>
      <c r="O116" s="701">
        <v>211.81146000000001</v>
      </c>
      <c r="P116" s="701">
        <f t="shared" si="1"/>
        <v>298.32600000000002</v>
      </c>
      <c r="Q116" s="701">
        <v>50.666667000000004</v>
      </c>
      <c r="R116" s="702">
        <v>0.71</v>
      </c>
      <c r="S116" s="658" t="s">
        <v>356</v>
      </c>
      <c r="T116" s="703">
        <f t="array" ref="T116">INDEX(UtilityList!Q$4:Q$251,MATCH('Table 2.5a'!$A116&amp;'Table 2.5a'!$B116,UtilityList!$A$4:$A$251&amp;UtilityList!$C$4:$C$251,0))</f>
        <v>0</v>
      </c>
      <c r="U116" s="704" t="str">
        <f t="array" ref="U116">INDEX(UtilityList!J$4:J$251,MATCH('Table 2.5a'!$A116&amp;'Table 2.5a'!$B116,UtilityList!$A$4:$A$251&amp;UtilityList!$C$4:$C$251,0))</f>
        <v>Yukon-Koyukuk/Upper Tanana</v>
      </c>
      <c r="V116" s="704" t="str">
        <f t="array" ref="V116">INDEX(UtilityList!K$4:K$251,MATCH('Table 2.5a'!$A116&amp;'Table 2.5a'!$B116,UtilityList!$A$4:$A$251&amp;UtilityList!$C$4:$C$251,0))</f>
        <v>Yukon-Koyukuk (CA)</v>
      </c>
      <c r="W116" s="704" t="str">
        <f t="array" ref="W116">INDEX(UtilityList!L$4:L$251,MATCH('Table 2.5a'!$A116&amp;'Table 2.5a'!$B116,UtilityList!$A$4:$A$251&amp;UtilityList!$C$4:$C$251,0))</f>
        <v>Doyon</v>
      </c>
      <c r="X116" s="704" t="str">
        <f t="array" ref="X116">INDEX(UtilityList!M$4:M$251,MATCH('Table 2.5a'!$A116&amp;'Table 2.5a'!$B116,UtilityList!$A$4:$A$251&amp;UtilityList!$C$4:$C$251,0))</f>
        <v>YU</v>
      </c>
    </row>
    <row r="117" spans="1:24" customFormat="1" x14ac:dyDescent="0.25">
      <c r="A117" s="361" t="s">
        <v>198</v>
      </c>
      <c r="B117" s="654" t="s">
        <v>199</v>
      </c>
      <c r="C117" s="701">
        <v>71.780023854000007</v>
      </c>
      <c r="D117" s="701">
        <v>89.389818000000005</v>
      </c>
      <c r="E117" s="701">
        <v>23.666665999999999</v>
      </c>
      <c r="F117" s="702">
        <v>0.80300000000000005</v>
      </c>
      <c r="G117" s="701">
        <v>74.767256927000005</v>
      </c>
      <c r="H117" s="701">
        <v>93.109909000000002</v>
      </c>
      <c r="I117" s="701">
        <v>9</v>
      </c>
      <c r="J117" s="702">
        <v>0.80300000000000005</v>
      </c>
      <c r="K117" s="701">
        <v>72.349205511000008</v>
      </c>
      <c r="L117" s="701">
        <v>90.098636999999997</v>
      </c>
      <c r="M117" s="701">
        <v>14.25</v>
      </c>
      <c r="N117" s="702">
        <v>0.80300000000000005</v>
      </c>
      <c r="O117" s="701">
        <v>218.89648629200002</v>
      </c>
      <c r="P117" s="701">
        <f t="shared" si="1"/>
        <v>272.598364</v>
      </c>
      <c r="Q117" s="701">
        <v>46.916665999999999</v>
      </c>
      <c r="R117" s="702">
        <v>0.80300000000000005</v>
      </c>
      <c r="S117" s="658" t="s">
        <v>356</v>
      </c>
      <c r="T117" s="703">
        <f t="array" ref="T117">INDEX(UtilityList!Q$4:Q$251,MATCH('Table 2.5a'!$A117&amp;'Table 2.5a'!$B117,UtilityList!$A$4:$A$251&amp;UtilityList!$C$4:$C$251,0))</f>
        <v>0</v>
      </c>
      <c r="U117" s="704" t="str">
        <f t="array" ref="U117">INDEX(UtilityList!J$4:J$251,MATCH('Table 2.5a'!$A117&amp;'Table 2.5a'!$B117,UtilityList!$A$4:$A$251&amp;UtilityList!$C$4:$C$251,0))</f>
        <v>Bristol Bay</v>
      </c>
      <c r="V117" s="704" t="str">
        <f t="array" ref="V117">INDEX(UtilityList!K$4:K$251,MATCH('Table 2.5a'!$A117&amp;'Table 2.5a'!$B117,UtilityList!$A$4:$A$251&amp;UtilityList!$C$4:$C$251,0))</f>
        <v>Lake and Peninsula</v>
      </c>
      <c r="W117" s="704" t="str">
        <f t="array" ref="W117">INDEX(UtilityList!L$4:L$251,MATCH('Table 2.5a'!$A117&amp;'Table 2.5a'!$B117,UtilityList!$A$4:$A$251&amp;UtilityList!$C$4:$C$251,0))</f>
        <v>Bristol Bay</v>
      </c>
      <c r="X117" s="704" t="str">
        <f t="array" ref="X117">INDEX(UtilityList!M$4:M$251,MATCH('Table 2.5a'!$A117&amp;'Table 2.5a'!$B117,UtilityList!$A$4:$A$251&amp;UtilityList!$C$4:$C$251,0))</f>
        <v>SW</v>
      </c>
    </row>
    <row r="118" spans="1:24" customFormat="1" ht="120" x14ac:dyDescent="0.25">
      <c r="A118" s="361" t="s">
        <v>200</v>
      </c>
      <c r="B118" s="654" t="s">
        <v>658</v>
      </c>
      <c r="C118" s="701">
        <v>577.30616637500009</v>
      </c>
      <c r="D118" s="701">
        <v>971.85500000000002</v>
      </c>
      <c r="E118" s="701">
        <v>195</v>
      </c>
      <c r="F118" s="702">
        <v>0.59402500000000003</v>
      </c>
      <c r="G118" s="701">
        <v>848.52075464999996</v>
      </c>
      <c r="H118" s="701">
        <v>1428.4259999999999</v>
      </c>
      <c r="I118" s="701">
        <v>91</v>
      </c>
      <c r="J118" s="702">
        <v>0.59402500000000003</v>
      </c>
      <c r="K118" s="701">
        <v>313.97785399999998</v>
      </c>
      <c r="L118" s="701">
        <v>528.55999999999995</v>
      </c>
      <c r="M118" s="701">
        <v>24</v>
      </c>
      <c r="N118" s="702">
        <v>0.59402500000000003</v>
      </c>
      <c r="O118" s="701">
        <v>1739.804775025</v>
      </c>
      <c r="P118" s="701">
        <f t="shared" si="1"/>
        <v>2928.8409999999999</v>
      </c>
      <c r="Q118" s="701">
        <v>310</v>
      </c>
      <c r="R118" s="702">
        <v>0.59402500000000003</v>
      </c>
      <c r="S118" s="658" t="s">
        <v>356</v>
      </c>
      <c r="T118" s="703" t="str">
        <f t="array" ref="T118">INDEX(UtilityList!Q$4:Q$251,MATCH('Table 2.5a'!$A118&amp;'Table 2.5a'!$B118,UtilityList!$A$4:$A$251&amp;UtilityList!$C$4:$C$251,0))</f>
        <v>Power produced at the Tazimina hydroelectric project and the Newhalen plant is shared by Iliamna, Newhalen and Nondalton. Newhalen's information is included in Nondalton's data.</v>
      </c>
      <c r="U118" s="704" t="str">
        <f t="array" ref="U118">INDEX(UtilityList!J$4:J$251,MATCH('Table 2.5a'!$A118&amp;'Table 2.5a'!$B118,UtilityList!$A$4:$A$251&amp;UtilityList!$C$4:$C$251,0))</f>
        <v>Bristol Bay</v>
      </c>
      <c r="V118" s="704" t="str">
        <f t="array" ref="V118">INDEX(UtilityList!K$4:K$251,MATCH('Table 2.5a'!$A118&amp;'Table 2.5a'!$B118,UtilityList!$A$4:$A$251&amp;UtilityList!$C$4:$C$251,0))</f>
        <v>Lake and Peninsula</v>
      </c>
      <c r="W118" s="704" t="str">
        <f t="array" ref="W118">INDEX(UtilityList!L$4:L$251,MATCH('Table 2.5a'!$A118&amp;'Table 2.5a'!$B118,UtilityList!$A$4:$A$251&amp;UtilityList!$C$4:$C$251,0))</f>
        <v>Bristol Bay</v>
      </c>
      <c r="X118" s="704" t="str">
        <f t="array" ref="X118">INDEX(UtilityList!M$4:M$251,MATCH('Table 2.5a'!$A118&amp;'Table 2.5a'!$B118,UtilityList!$A$4:$A$251&amp;UtilityList!$C$4:$C$251,0))</f>
        <v>SW</v>
      </c>
    </row>
    <row r="119" spans="1:24" customFormat="1" x14ac:dyDescent="0.25">
      <c r="A119" s="361" t="s">
        <v>201</v>
      </c>
      <c r="B119" s="654" t="s">
        <v>202</v>
      </c>
      <c r="C119" s="701">
        <v>605.45172739999998</v>
      </c>
      <c r="D119" s="701">
        <v>968.25800000000004</v>
      </c>
      <c r="E119" s="701">
        <v>197.25</v>
      </c>
      <c r="F119" s="702">
        <v>0.62529999999999997</v>
      </c>
      <c r="G119" s="701">
        <v>374.67663350000004</v>
      </c>
      <c r="H119" s="701">
        <v>599.19500000000005</v>
      </c>
      <c r="I119" s="701">
        <v>27.083334000000001</v>
      </c>
      <c r="J119" s="702">
        <v>0.62529999999999997</v>
      </c>
      <c r="K119" s="701">
        <v>183.3054444</v>
      </c>
      <c r="L119" s="701">
        <v>293.14800000000002</v>
      </c>
      <c r="M119" s="701">
        <v>14.1666665</v>
      </c>
      <c r="N119" s="702">
        <v>0.62529999999999997</v>
      </c>
      <c r="O119" s="701">
        <v>1163.4338052999999</v>
      </c>
      <c r="P119" s="701">
        <f t="shared" si="1"/>
        <v>1860.6010000000001</v>
      </c>
      <c r="Q119" s="701">
        <v>238.5000005</v>
      </c>
      <c r="R119" s="702">
        <v>0.62529999999999997</v>
      </c>
      <c r="S119" s="658" t="s">
        <v>356</v>
      </c>
      <c r="T119" s="703">
        <f t="array" ref="T119">INDEX(UtilityList!Q$4:Q$251,MATCH('Table 2.5a'!$A119&amp;'Table 2.5a'!$B119,UtilityList!$A$4:$A$251&amp;UtilityList!$C$4:$C$251,0))</f>
        <v>0</v>
      </c>
      <c r="U119" s="704" t="str">
        <f t="array" ref="U119">INDEX(UtilityList!J$4:J$251,MATCH('Table 2.5a'!$A119&amp;'Table 2.5a'!$B119,UtilityList!$A$4:$A$251&amp;UtilityList!$C$4:$C$251,0))</f>
        <v>Southeast</v>
      </c>
      <c r="V119" s="704" t="str">
        <f t="array" ref="V119">INDEX(UtilityList!K$4:K$251,MATCH('Table 2.5a'!$A119&amp;'Table 2.5a'!$B119,UtilityList!$A$4:$A$251&amp;UtilityList!$C$4:$C$251,0))</f>
        <v>Hoonah-Angoon (CA)</v>
      </c>
      <c r="W119" s="704" t="str">
        <f t="array" ref="W119">INDEX(UtilityList!L$4:L$251,MATCH('Table 2.5a'!$A119&amp;'Table 2.5a'!$B119,UtilityList!$A$4:$A$251&amp;UtilityList!$C$4:$C$251,0))</f>
        <v>Sealaska</v>
      </c>
      <c r="X119" s="704" t="str">
        <f t="array" ref="X119">INDEX(UtilityList!M$4:M$251,MATCH('Table 2.5a'!$A119&amp;'Table 2.5a'!$B119,UtilityList!$A$4:$A$251&amp;UtilityList!$C$4:$C$251,0))</f>
        <v>SE</v>
      </c>
    </row>
    <row r="120" spans="1:24" customFormat="1" ht="60" x14ac:dyDescent="0.25">
      <c r="A120" s="361" t="s">
        <v>201</v>
      </c>
      <c r="B120" s="654" t="s">
        <v>203</v>
      </c>
      <c r="C120" s="701">
        <v>437.18643513574006</v>
      </c>
      <c r="D120" s="701">
        <v>704.27800000000002</v>
      </c>
      <c r="E120" s="701">
        <v>201</v>
      </c>
      <c r="F120" s="702">
        <v>0.62075833000000002</v>
      </c>
      <c r="G120" s="701">
        <v>256.87538377897005</v>
      </c>
      <c r="H120" s="701">
        <v>413.80900000000003</v>
      </c>
      <c r="I120" s="701">
        <v>28.583334000000001</v>
      </c>
      <c r="J120" s="702">
        <v>0.62075833000000002</v>
      </c>
      <c r="K120" s="701">
        <v>12.861491839270002</v>
      </c>
      <c r="L120" s="701">
        <v>20.719000000000001</v>
      </c>
      <c r="M120" s="701">
        <v>8.6666664999999998</v>
      </c>
      <c r="N120" s="702">
        <v>0.62075833000000002</v>
      </c>
      <c r="O120" s="701">
        <v>706.9233107539801</v>
      </c>
      <c r="P120" s="701">
        <f t="shared" si="1"/>
        <v>1138.806</v>
      </c>
      <c r="Q120" s="701">
        <v>238.2500005</v>
      </c>
      <c r="R120" s="702">
        <v>0.62075833000000002</v>
      </c>
      <c r="S120" s="658" t="s">
        <v>356</v>
      </c>
      <c r="T120" s="703" t="str">
        <f t="array" ref="T120">INDEX(UtilityList!Q$4:Q$251,MATCH('Table 2.5a'!$A120&amp;'Table 2.5a'!$B120,UtilityList!$A$4:$A$251&amp;UtilityList!$C$4:$C$251,0))</f>
        <v>Provides power to Klukwan via intertie. Power is purchased from AP&amp;T.</v>
      </c>
      <c r="U120" s="704" t="str">
        <f t="array" ref="U120">INDEX(UtilityList!J$4:J$251,MATCH('Table 2.5a'!$A120&amp;'Table 2.5a'!$B120,UtilityList!$A$4:$A$251&amp;UtilityList!$C$4:$C$251,0))</f>
        <v>Southeast</v>
      </c>
      <c r="V120" s="704" t="str">
        <f t="array" ref="V120">INDEX(UtilityList!K$4:K$251,MATCH('Table 2.5a'!$A120&amp;'Table 2.5a'!$B120,UtilityList!$A$4:$A$251&amp;UtilityList!$C$4:$C$251,0))</f>
        <v>Haines</v>
      </c>
      <c r="W120" s="704" t="str">
        <f t="array" ref="W120">INDEX(UtilityList!L$4:L$251,MATCH('Table 2.5a'!$A120&amp;'Table 2.5a'!$B120,UtilityList!$A$4:$A$251&amp;UtilityList!$C$4:$C$251,0))</f>
        <v>Sealaska</v>
      </c>
      <c r="X120" s="704" t="str">
        <f t="array" ref="X120">INDEX(UtilityList!M$4:M$251,MATCH('Table 2.5a'!$A120&amp;'Table 2.5a'!$B120,UtilityList!$A$4:$A$251&amp;UtilityList!$C$4:$C$251,0))</f>
        <v>SE</v>
      </c>
    </row>
    <row r="121" spans="1:24" customFormat="1" x14ac:dyDescent="0.25">
      <c r="A121" s="361" t="s">
        <v>201</v>
      </c>
      <c r="B121" s="654" t="s">
        <v>204</v>
      </c>
      <c r="C121" s="701">
        <v>1117.49742867392</v>
      </c>
      <c r="D121" s="701">
        <v>1797.8240000000001</v>
      </c>
      <c r="E121" s="701">
        <v>358.41665999999998</v>
      </c>
      <c r="F121" s="702">
        <v>0.62158332999999999</v>
      </c>
      <c r="G121" s="701">
        <v>1143.8823978657599</v>
      </c>
      <c r="H121" s="701">
        <v>1840.2719999999999</v>
      </c>
      <c r="I121" s="701">
        <v>56.5</v>
      </c>
      <c r="J121" s="702">
        <v>0.62158332999999999</v>
      </c>
      <c r="K121" s="701">
        <v>488.90512504484002</v>
      </c>
      <c r="L121" s="701">
        <v>786.548</v>
      </c>
      <c r="M121" s="701">
        <v>42.666665999999999</v>
      </c>
      <c r="N121" s="702">
        <v>0.62158332999999999</v>
      </c>
      <c r="O121" s="701">
        <v>2750.2849515845201</v>
      </c>
      <c r="P121" s="701">
        <f t="shared" si="1"/>
        <v>4424.6440000000002</v>
      </c>
      <c r="Q121" s="701">
        <v>457.583326</v>
      </c>
      <c r="R121" s="702">
        <v>0.62158332999999999</v>
      </c>
      <c r="S121" s="658" t="s">
        <v>356</v>
      </c>
      <c r="T121" s="703">
        <f t="array" ref="T121">INDEX(UtilityList!Q$4:Q$251,MATCH('Table 2.5a'!$A121&amp;'Table 2.5a'!$B121,UtilityList!$A$4:$A$251&amp;UtilityList!$C$4:$C$251,0))</f>
        <v>0</v>
      </c>
      <c r="U121" s="704" t="str">
        <f t="array" ref="U121">INDEX(UtilityList!J$4:J$251,MATCH('Table 2.5a'!$A121&amp;'Table 2.5a'!$B121,UtilityList!$A$4:$A$251&amp;UtilityList!$C$4:$C$251,0))</f>
        <v>Southeast</v>
      </c>
      <c r="V121" s="704" t="str">
        <f t="array" ref="V121">INDEX(UtilityList!K$4:K$251,MATCH('Table 2.5a'!$A121&amp;'Table 2.5a'!$B121,UtilityList!$A$4:$A$251&amp;UtilityList!$C$4:$C$251,0))</f>
        <v>Hoonah-Angoon (CA)</v>
      </c>
      <c r="W121" s="704" t="str">
        <f t="array" ref="W121">INDEX(UtilityList!L$4:L$251,MATCH('Table 2.5a'!$A121&amp;'Table 2.5a'!$B121,UtilityList!$A$4:$A$251&amp;UtilityList!$C$4:$C$251,0))</f>
        <v>Sealaska</v>
      </c>
      <c r="X121" s="704" t="str">
        <f t="array" ref="X121">INDEX(UtilityList!M$4:M$251,MATCH('Table 2.5a'!$A121&amp;'Table 2.5a'!$B121,UtilityList!$A$4:$A$251&amp;UtilityList!$C$4:$C$251,0))</f>
        <v>SE</v>
      </c>
    </row>
    <row r="122" spans="1:24" customFormat="1" x14ac:dyDescent="0.25">
      <c r="A122" s="361" t="s">
        <v>201</v>
      </c>
      <c r="B122" s="654" t="s">
        <v>205</v>
      </c>
      <c r="C122" s="701">
        <v>655.82136769021997</v>
      </c>
      <c r="D122" s="701">
        <v>1057.066</v>
      </c>
      <c r="E122" s="701">
        <v>224.08332999999999</v>
      </c>
      <c r="F122" s="702">
        <v>0.62041667</v>
      </c>
      <c r="G122" s="701">
        <v>746.18877817574003</v>
      </c>
      <c r="H122" s="701">
        <v>1202.722</v>
      </c>
      <c r="I122" s="701">
        <v>49.333331999999999</v>
      </c>
      <c r="J122" s="702">
        <v>0.62041667</v>
      </c>
      <c r="K122" s="701">
        <v>170.71447133386999</v>
      </c>
      <c r="L122" s="701">
        <v>275.161</v>
      </c>
      <c r="M122" s="701">
        <v>20.666667</v>
      </c>
      <c r="N122" s="702">
        <v>0.62041667</v>
      </c>
      <c r="O122" s="701">
        <v>1572.7246171998302</v>
      </c>
      <c r="P122" s="701">
        <f t="shared" si="1"/>
        <v>2534.9490000000001</v>
      </c>
      <c r="Q122" s="701">
        <v>294.08332899999999</v>
      </c>
      <c r="R122" s="702">
        <v>0.62041667</v>
      </c>
      <c r="S122" s="658" t="s">
        <v>356</v>
      </c>
      <c r="T122" s="703">
        <f t="array" ref="T122">INDEX(UtilityList!Q$4:Q$251,MATCH('Table 2.5a'!$A122&amp;'Table 2.5a'!$B122,UtilityList!$A$4:$A$251&amp;UtilityList!$C$4:$C$251,0))</f>
        <v>0</v>
      </c>
      <c r="U122" s="704" t="str">
        <f t="array" ref="U122">INDEX(UtilityList!J$4:J$251,MATCH('Table 2.5a'!$A122&amp;'Table 2.5a'!$B122,UtilityList!$A$4:$A$251&amp;UtilityList!$C$4:$C$251,0))</f>
        <v>Southeast</v>
      </c>
      <c r="V122" s="704" t="str">
        <f t="array" ref="V122">INDEX(UtilityList!K$4:K$251,MATCH('Table 2.5a'!$A122&amp;'Table 2.5a'!$B122,UtilityList!$A$4:$A$251&amp;UtilityList!$C$4:$C$251,0))</f>
        <v>Petersburg (CA)</v>
      </c>
      <c r="W122" s="704" t="str">
        <f t="array" ref="W122">INDEX(UtilityList!L$4:L$251,MATCH('Table 2.5a'!$A122&amp;'Table 2.5a'!$B122,UtilityList!$A$4:$A$251&amp;UtilityList!$C$4:$C$251,0))</f>
        <v>Sealaska</v>
      </c>
      <c r="X122" s="704" t="str">
        <f t="array" ref="X122">INDEX(UtilityList!M$4:M$251,MATCH('Table 2.5a'!$A122&amp;'Table 2.5a'!$B122,UtilityList!$A$4:$A$251&amp;UtilityList!$C$4:$C$251,0))</f>
        <v>SE</v>
      </c>
    </row>
    <row r="123" spans="1:24" customFormat="1" ht="60" x14ac:dyDescent="0.25">
      <c r="A123" s="361" t="s">
        <v>201</v>
      </c>
      <c r="B123" s="654" t="s">
        <v>206</v>
      </c>
      <c r="C123" s="701">
        <v>137.43588300208</v>
      </c>
      <c r="D123" s="701">
        <v>220.624</v>
      </c>
      <c r="E123" s="701">
        <v>47</v>
      </c>
      <c r="F123" s="702">
        <v>0.62294167</v>
      </c>
      <c r="G123" s="701">
        <v>57.197881197729998</v>
      </c>
      <c r="H123" s="701">
        <v>91.819000000000003</v>
      </c>
      <c r="I123" s="701">
        <v>7</v>
      </c>
      <c r="J123" s="702">
        <v>0.62294167</v>
      </c>
      <c r="K123" s="701">
        <v>38.812380749349998</v>
      </c>
      <c r="L123" s="701">
        <v>62.305</v>
      </c>
      <c r="M123" s="701">
        <v>8.1666670000000003</v>
      </c>
      <c r="N123" s="702">
        <v>0.62294167</v>
      </c>
      <c r="O123" s="701">
        <v>233.44614494915999</v>
      </c>
      <c r="P123" s="701">
        <f t="shared" si="1"/>
        <v>374.74799999999999</v>
      </c>
      <c r="Q123" s="701">
        <v>62.166667000000004</v>
      </c>
      <c r="R123" s="702">
        <v>0.62294167</v>
      </c>
      <c r="S123" s="658" t="s">
        <v>356</v>
      </c>
      <c r="T123" s="703" t="str">
        <f t="array" ref="T123">INDEX(UtilityList!Q$4:Q$251,MATCH('Table 2.5a'!$A123&amp;'Table 2.5a'!$B123,UtilityList!$A$4:$A$251&amp;UtilityList!$C$4:$C$251,0))</f>
        <v>Receives power from Chilkat Valley via intertie. Chilkat Valley purchases power from AP&amp;T.</v>
      </c>
      <c r="U123" s="704" t="str">
        <f t="array" ref="U123">INDEX(UtilityList!J$4:J$251,MATCH('Table 2.5a'!$A123&amp;'Table 2.5a'!$B123,UtilityList!$A$4:$A$251&amp;UtilityList!$C$4:$C$251,0))</f>
        <v>Southeast</v>
      </c>
      <c r="V123" s="704" t="str">
        <f t="array" ref="V123">INDEX(UtilityList!K$4:K$251,MATCH('Table 2.5a'!$A123&amp;'Table 2.5a'!$B123,UtilityList!$A$4:$A$251&amp;UtilityList!$C$4:$C$251,0))</f>
        <v>Hoonah-Angoon (CA)</v>
      </c>
      <c r="W123" s="704" t="str">
        <f t="array" ref="W123">INDEX(UtilityList!L$4:L$251,MATCH('Table 2.5a'!$A123&amp;'Table 2.5a'!$B123,UtilityList!$A$4:$A$251&amp;UtilityList!$C$4:$C$251,0))</f>
        <v>Sealaska</v>
      </c>
      <c r="X123" s="704" t="str">
        <f t="array" ref="X123">INDEX(UtilityList!M$4:M$251,MATCH('Table 2.5a'!$A123&amp;'Table 2.5a'!$B123,UtilityList!$A$4:$A$251&amp;UtilityList!$C$4:$C$251,0))</f>
        <v>SE</v>
      </c>
    </row>
    <row r="124" spans="1:24" customFormat="1" ht="30" x14ac:dyDescent="0.25">
      <c r="A124" s="361" t="s">
        <v>209</v>
      </c>
      <c r="B124" s="361" t="s">
        <v>211</v>
      </c>
      <c r="C124" s="642">
        <v>7233.5</v>
      </c>
      <c r="D124" s="642">
        <v>70815</v>
      </c>
      <c r="E124" s="642">
        <v>6208</v>
      </c>
      <c r="F124" s="683">
        <v>0.10201</v>
      </c>
      <c r="G124" s="642">
        <v>6837.1</v>
      </c>
      <c r="H124" s="642">
        <v>70657</v>
      </c>
      <c r="I124" s="642">
        <v>1223</v>
      </c>
      <c r="J124" s="683">
        <v>9.6759999999999999E-2</v>
      </c>
      <c r="K124" s="642">
        <v>1952.6</v>
      </c>
      <c r="L124" s="642">
        <v>23242</v>
      </c>
      <c r="M124" s="642">
        <v>12</v>
      </c>
      <c r="N124" s="683">
        <v>8.4010000000000001E-2</v>
      </c>
      <c r="O124" s="642">
        <v>16013.2</v>
      </c>
      <c r="P124" s="642">
        <f t="shared" si="1"/>
        <v>164714</v>
      </c>
      <c r="Q124" s="642">
        <v>7443</v>
      </c>
      <c r="R124" s="705">
        <v>9.7218208531150971E-2</v>
      </c>
      <c r="S124" s="707" t="s">
        <v>558</v>
      </c>
      <c r="T124" s="703">
        <f t="array" ref="T124">INDEX(UtilityList!Q$4:Q$251,MATCH('Table 2.5a'!$A124&amp;'Table 2.5a'!$B124,UtilityList!$A$4:$A$251&amp;UtilityList!$C$4:$C$251,0))</f>
        <v>0</v>
      </c>
      <c r="U124" s="704" t="str">
        <f t="array" ref="U124">INDEX(UtilityList!J$4:J$251,MATCH('Table 2.5a'!$A124&amp;'Table 2.5a'!$B124,UtilityList!$A$4:$A$251&amp;UtilityList!$C$4:$C$251,0))</f>
        <v>Southeast</v>
      </c>
      <c r="V124" s="704" t="str">
        <f t="array" ref="V124">INDEX(UtilityList!K$4:K$251,MATCH('Table 2.5a'!$A124&amp;'Table 2.5a'!$B124,UtilityList!$A$4:$A$251&amp;UtilityList!$C$4:$C$251,0))</f>
        <v>Ketchikan Gateway</v>
      </c>
      <c r="W124" s="704" t="str">
        <f t="array" ref="W124">INDEX(UtilityList!L$4:L$251,MATCH('Table 2.5a'!$A124&amp;'Table 2.5a'!$B124,UtilityList!$A$4:$A$251&amp;UtilityList!$C$4:$C$251,0))</f>
        <v>Sealaska</v>
      </c>
      <c r="X124" s="704" t="str">
        <f t="array" ref="X124">INDEX(UtilityList!M$4:M$251,MATCH('Table 2.5a'!$A124&amp;'Table 2.5a'!$B124,UtilityList!$A$4:$A$251&amp;UtilityList!$C$4:$C$251,0))</f>
        <v>SE</v>
      </c>
    </row>
    <row r="125" spans="1:24" customFormat="1" x14ac:dyDescent="0.25">
      <c r="A125" s="361" t="s">
        <v>215</v>
      </c>
      <c r="B125" s="654" t="s">
        <v>216</v>
      </c>
      <c r="C125" s="701">
        <v>321.49610100000007</v>
      </c>
      <c r="D125" s="701">
        <v>1147.6880000000001</v>
      </c>
      <c r="E125" s="701">
        <v>126.75</v>
      </c>
      <c r="F125" s="702">
        <v>0.28012500000000001</v>
      </c>
      <c r="G125" s="701">
        <v>408.59088525000004</v>
      </c>
      <c r="H125" s="701">
        <v>1458.6020000000001</v>
      </c>
      <c r="I125" s="701">
        <v>210</v>
      </c>
      <c r="J125" s="702">
        <v>0.28012500000000001</v>
      </c>
      <c r="K125" s="701">
        <v>378.46372162500006</v>
      </c>
      <c r="L125" s="701">
        <v>1351.0530000000001</v>
      </c>
      <c r="M125" s="701">
        <v>36.25</v>
      </c>
      <c r="N125" s="702">
        <v>0.28012500000000001</v>
      </c>
      <c r="O125" s="701">
        <v>1108.5507078750002</v>
      </c>
      <c r="P125" s="701">
        <f t="shared" si="1"/>
        <v>3957.3429999999998</v>
      </c>
      <c r="Q125" s="701">
        <v>373</v>
      </c>
      <c r="R125" s="702">
        <v>0.28012500000000001</v>
      </c>
      <c r="S125" s="658" t="s">
        <v>356</v>
      </c>
      <c r="T125" s="703">
        <f t="array" ref="T125">INDEX(UtilityList!Q$4:Q$251,MATCH('Table 2.5a'!$A125&amp;'Table 2.5a'!$B125,UtilityList!$A$4:$A$251&amp;UtilityList!$C$4:$C$251,0))</f>
        <v>0</v>
      </c>
      <c r="U125" s="704" t="str">
        <f t="array" ref="U125">INDEX(UtilityList!J$4:J$251,MATCH('Table 2.5a'!$A125&amp;'Table 2.5a'!$B125,UtilityList!$A$4:$A$251&amp;UtilityList!$C$4:$C$251,0))</f>
        <v>Aleutians</v>
      </c>
      <c r="V125" s="704" t="str">
        <f t="array" ref="V125">INDEX(UtilityList!K$4:K$251,MATCH('Table 2.5a'!$A125&amp;'Table 2.5a'!$B125,UtilityList!$A$4:$A$251&amp;UtilityList!$C$4:$C$251,0))</f>
        <v>Aleutians East</v>
      </c>
      <c r="W125" s="704" t="str">
        <f t="array" ref="W125">INDEX(UtilityList!L$4:L$251,MATCH('Table 2.5a'!$A125&amp;'Table 2.5a'!$B125,UtilityList!$A$4:$A$251&amp;UtilityList!$C$4:$C$251,0))</f>
        <v>Aleut</v>
      </c>
      <c r="X125" s="704" t="str">
        <f t="array" ref="X125">INDEX(UtilityList!M$4:M$251,MATCH('Table 2.5a'!$A125&amp;'Table 2.5a'!$B125,UtilityList!$A$4:$A$251&amp;UtilityList!$C$4:$C$251,0))</f>
        <v>SW</v>
      </c>
    </row>
    <row r="126" spans="1:24" customFormat="1" x14ac:dyDescent="0.25">
      <c r="A126" s="361" t="s">
        <v>217</v>
      </c>
      <c r="B126" s="654" t="s">
        <v>218</v>
      </c>
      <c r="C126" s="701">
        <v>443.80786192197002</v>
      </c>
      <c r="D126" s="701">
        <v>773.40899999999999</v>
      </c>
      <c r="E126" s="701">
        <v>165.25</v>
      </c>
      <c r="F126" s="702">
        <v>0.57383333000000003</v>
      </c>
      <c r="G126" s="701">
        <v>197.10371518837999</v>
      </c>
      <c r="H126" s="701">
        <v>343.48599999999999</v>
      </c>
      <c r="I126" s="701">
        <v>31</v>
      </c>
      <c r="J126" s="702">
        <v>0.57383333000000003</v>
      </c>
      <c r="K126" s="701">
        <v>142.40649600611002</v>
      </c>
      <c r="L126" s="701">
        <v>248.167</v>
      </c>
      <c r="M126" s="701">
        <v>13.0833335</v>
      </c>
      <c r="N126" s="702">
        <v>0.57383333000000003</v>
      </c>
      <c r="O126" s="701">
        <v>783.31807311646003</v>
      </c>
      <c r="P126" s="701">
        <f t="shared" si="1"/>
        <v>1365.0619999999999</v>
      </c>
      <c r="Q126" s="701">
        <v>209.33333350000001</v>
      </c>
      <c r="R126" s="702">
        <v>0.57383333000000003</v>
      </c>
      <c r="S126" s="658" t="s">
        <v>356</v>
      </c>
      <c r="T126" s="703">
        <f t="array" ref="T126">INDEX(UtilityList!Q$4:Q$251,MATCH('Table 2.5a'!$A126&amp;'Table 2.5a'!$B126,UtilityList!$A$4:$A$251&amp;UtilityList!$C$4:$C$251,0))</f>
        <v>0</v>
      </c>
      <c r="U126" s="704" t="str">
        <f t="array" ref="U126">INDEX(UtilityList!J$4:J$251,MATCH('Table 2.5a'!$A126&amp;'Table 2.5a'!$B126,UtilityList!$A$4:$A$251&amp;UtilityList!$C$4:$C$251,0))</f>
        <v>Lower Yukon-Kuskokwim</v>
      </c>
      <c r="V126" s="704" t="str">
        <f t="array" ref="V126">INDEX(UtilityList!K$4:K$251,MATCH('Table 2.5a'!$A126&amp;'Table 2.5a'!$B126,UtilityList!$A$4:$A$251&amp;UtilityList!$C$4:$C$251,0))</f>
        <v>Bethel (CA)</v>
      </c>
      <c r="W126" s="704" t="str">
        <f t="array" ref="W126">INDEX(UtilityList!L$4:L$251,MATCH('Table 2.5a'!$A126&amp;'Table 2.5a'!$B126,UtilityList!$A$4:$A$251&amp;UtilityList!$C$4:$C$251,0))</f>
        <v>Calista</v>
      </c>
      <c r="X126" s="704" t="str">
        <f t="array" ref="X126">INDEX(UtilityList!M$4:M$251,MATCH('Table 2.5a'!$A126&amp;'Table 2.5a'!$B126,UtilityList!$A$4:$A$251&amp;UtilityList!$C$4:$C$251,0))</f>
        <v>SW</v>
      </c>
    </row>
    <row r="127" spans="1:24" customFormat="1" ht="90" x14ac:dyDescent="0.25">
      <c r="A127" s="361" t="s">
        <v>219</v>
      </c>
      <c r="B127" s="654" t="s">
        <v>220</v>
      </c>
      <c r="C127" s="701">
        <v>144.58617000000001</v>
      </c>
      <c r="D127" s="701">
        <v>166.191</v>
      </c>
      <c r="E127" s="701">
        <v>33.166668000000001</v>
      </c>
      <c r="F127" s="702">
        <v>0.87</v>
      </c>
      <c r="G127" s="701">
        <v>157.64225999999999</v>
      </c>
      <c r="H127" s="701">
        <v>181.19800000000001</v>
      </c>
      <c r="I127" s="701">
        <v>12.083333</v>
      </c>
      <c r="J127" s="702">
        <v>0.87</v>
      </c>
      <c r="K127" s="701">
        <v>132.75155999999998</v>
      </c>
      <c r="L127" s="701">
        <v>152.58799999999999</v>
      </c>
      <c r="M127" s="701">
        <v>8.4166668100000006</v>
      </c>
      <c r="N127" s="702">
        <v>0.87</v>
      </c>
      <c r="O127" s="701">
        <v>434.97998999999999</v>
      </c>
      <c r="P127" s="701">
        <f t="shared" si="1"/>
        <v>499.97699999999998</v>
      </c>
      <c r="Q127" s="701">
        <v>53.66666781</v>
      </c>
      <c r="R127" s="702">
        <v>0.87</v>
      </c>
      <c r="S127" s="658" t="s">
        <v>356</v>
      </c>
      <c r="T127" s="703" t="str">
        <f t="array" ref="T127">INDEX(UtilityList!Q$4:Q$251,MATCH('Table 2.5a'!$A127&amp;'Table 2.5a'!$B127,UtilityList!$A$4:$A$251&amp;UtilityList!$C$4:$C$251,0))</f>
        <v>Receives power from Shungnak via intertie. For fuel use and cost, please refer to Shungnak. On July 1, 2012, AVEC took over operations in Kobuk.</v>
      </c>
      <c r="U127" s="704" t="str">
        <f t="array" ref="U127">INDEX(UtilityList!J$4:J$251,MATCH('Table 2.5a'!$A127&amp;'Table 2.5a'!$B127,UtilityList!$A$4:$A$251&amp;UtilityList!$C$4:$C$251,0))</f>
        <v>Northwest Arctic</v>
      </c>
      <c r="V127" s="704" t="str">
        <f t="array" ref="V127">INDEX(UtilityList!K$4:K$251,MATCH('Table 2.5a'!$A127&amp;'Table 2.5a'!$B127,UtilityList!$A$4:$A$251&amp;UtilityList!$C$4:$C$251,0))</f>
        <v>Northwest Arctic</v>
      </c>
      <c r="W127" s="704" t="str">
        <f t="array" ref="W127">INDEX(UtilityList!L$4:L$251,MATCH('Table 2.5a'!$A127&amp;'Table 2.5a'!$B127,UtilityList!$A$4:$A$251&amp;UtilityList!$C$4:$C$251,0))</f>
        <v>NANA</v>
      </c>
      <c r="X127" s="704" t="str">
        <f t="array" ref="X127">INDEX(UtilityList!M$4:M$251,MATCH('Table 2.5a'!$A127&amp;'Table 2.5a'!$B127,UtilityList!$A$4:$A$251&amp;UtilityList!$C$4:$C$251,0))</f>
        <v>AN</v>
      </c>
    </row>
    <row r="128" spans="1:24" customFormat="1" x14ac:dyDescent="0.25">
      <c r="A128" s="361" t="s">
        <v>221</v>
      </c>
      <c r="B128" s="361" t="s">
        <v>222</v>
      </c>
      <c r="C128" s="642">
        <v>6493</v>
      </c>
      <c r="D128" s="642">
        <v>34125</v>
      </c>
      <c r="E128" s="642">
        <v>4689</v>
      </c>
      <c r="F128" s="683">
        <v>0.19027000000000002</v>
      </c>
      <c r="G128" s="642">
        <v>3982</v>
      </c>
      <c r="H128" s="642">
        <v>21537</v>
      </c>
      <c r="I128" s="642">
        <v>1032</v>
      </c>
      <c r="J128" s="683">
        <v>0.18489</v>
      </c>
      <c r="K128" s="642">
        <v>14987</v>
      </c>
      <c r="L128" s="642">
        <v>86308</v>
      </c>
      <c r="M128" s="642">
        <v>99</v>
      </c>
      <c r="N128" s="683">
        <v>0.17354</v>
      </c>
      <c r="O128" s="642">
        <v>25453</v>
      </c>
      <c r="P128" s="642">
        <f t="shared" si="1"/>
        <v>141970</v>
      </c>
      <c r="Q128" s="642">
        <v>5820</v>
      </c>
      <c r="R128" s="705">
        <v>0.17928435584982744</v>
      </c>
      <c r="S128" s="707" t="s">
        <v>558</v>
      </c>
      <c r="T128" s="703">
        <f t="array" ref="T128">INDEX(UtilityList!Q$4:Q$251,MATCH('Table 2.5a'!$A128&amp;'Table 2.5a'!$B128,UtilityList!$A$4:$A$251&amp;UtilityList!$C$4:$C$251,0))</f>
        <v>0</v>
      </c>
      <c r="U128" s="704" t="str">
        <f t="array" ref="U128">INDEX(UtilityList!J$4:J$251,MATCH('Table 2.5a'!$A128&amp;'Table 2.5a'!$B128,UtilityList!$A$4:$A$251&amp;UtilityList!$C$4:$C$251,0))</f>
        <v>Kodiak</v>
      </c>
      <c r="V128" s="704" t="str">
        <f t="array" ref="V128">INDEX(UtilityList!K$4:K$251,MATCH('Table 2.5a'!$A128&amp;'Table 2.5a'!$B128,UtilityList!$A$4:$A$251&amp;UtilityList!$C$4:$C$251,0))</f>
        <v>Kodiak Island</v>
      </c>
      <c r="W128" s="704" t="str">
        <f t="array" ref="W128">INDEX(UtilityList!L$4:L$251,MATCH('Table 2.5a'!$A128&amp;'Table 2.5a'!$B128,UtilityList!$A$4:$A$251&amp;UtilityList!$C$4:$C$251,0))</f>
        <v>Koniag</v>
      </c>
      <c r="X128" s="704" t="str">
        <f t="array" ref="X128">INDEX(UtilityList!M$4:M$251,MATCH('Table 2.5a'!$A128&amp;'Table 2.5a'!$B128,UtilityList!$A$4:$A$251&amp;UtilityList!$C$4:$C$251,0))</f>
        <v>SC</v>
      </c>
    </row>
    <row r="129" spans="1:24" customFormat="1" ht="30" x14ac:dyDescent="0.25">
      <c r="A129" s="361" t="s">
        <v>227</v>
      </c>
      <c r="B129" s="654" t="s">
        <v>228</v>
      </c>
      <c r="C129" s="701">
        <v>160.434</v>
      </c>
      <c r="D129" s="701">
        <v>178.26</v>
      </c>
      <c r="E129" s="701">
        <v>54.833331999999999</v>
      </c>
      <c r="F129" s="702">
        <v>0.9</v>
      </c>
      <c r="G129" s="701">
        <v>49.918500000000002</v>
      </c>
      <c r="H129" s="701">
        <v>55.465000000000003</v>
      </c>
      <c r="I129" s="701">
        <v>6.1666664999999998</v>
      </c>
      <c r="J129" s="702">
        <v>0.9</v>
      </c>
      <c r="K129" s="701">
        <v>153.46349999999998</v>
      </c>
      <c r="L129" s="701">
        <v>170.51499999999999</v>
      </c>
      <c r="M129" s="701">
        <v>14</v>
      </c>
      <c r="N129" s="702">
        <v>0.9</v>
      </c>
      <c r="O129" s="701">
        <v>363.81599999999997</v>
      </c>
      <c r="P129" s="701">
        <f t="shared" si="1"/>
        <v>404.24</v>
      </c>
      <c r="Q129" s="701">
        <v>74.999998500000004</v>
      </c>
      <c r="R129" s="702">
        <v>0.9</v>
      </c>
      <c r="S129" s="658" t="s">
        <v>356</v>
      </c>
      <c r="T129" s="703">
        <f t="array" ref="T129">INDEX(UtilityList!Q$4:Q$251,MATCH('Table 2.5a'!$A129&amp;'Table 2.5a'!$B129,UtilityList!$A$4:$A$251&amp;UtilityList!$C$4:$C$251,0))</f>
        <v>0</v>
      </c>
      <c r="U129" s="704" t="str">
        <f t="array" ref="U129">INDEX(UtilityList!J$4:J$251,MATCH('Table 2.5a'!$A129&amp;'Table 2.5a'!$B129,UtilityList!$A$4:$A$251&amp;UtilityList!$C$4:$C$251,0))</f>
        <v>Bristol Bay</v>
      </c>
      <c r="V129" s="704" t="str">
        <f t="array" ref="V129">INDEX(UtilityList!K$4:K$251,MATCH('Table 2.5a'!$A129&amp;'Table 2.5a'!$B129,UtilityList!$A$4:$A$251&amp;UtilityList!$C$4:$C$251,0))</f>
        <v>Lake and Peninsula</v>
      </c>
      <c r="W129" s="704" t="str">
        <f t="array" ref="W129">INDEX(UtilityList!L$4:L$251,MATCH('Table 2.5a'!$A129&amp;'Table 2.5a'!$B129,UtilityList!$A$4:$A$251&amp;UtilityList!$C$4:$C$251,0))</f>
        <v>Bristol Bay</v>
      </c>
      <c r="X129" s="704" t="str">
        <f t="array" ref="X129">INDEX(UtilityList!M$4:M$251,MATCH('Table 2.5a'!$A129&amp;'Table 2.5a'!$B129,UtilityList!$A$4:$A$251&amp;UtilityList!$C$4:$C$251,0))</f>
        <v>SW</v>
      </c>
    </row>
    <row r="130" spans="1:24" customFormat="1" ht="30" x14ac:dyDescent="0.25">
      <c r="A130" s="361" t="s">
        <v>229</v>
      </c>
      <c r="B130" s="654" t="s">
        <v>230</v>
      </c>
      <c r="C130" s="701">
        <v>3085.3220396627098</v>
      </c>
      <c r="D130" s="701">
        <v>7388.8130000000001</v>
      </c>
      <c r="E130" s="701">
        <v>975</v>
      </c>
      <c r="F130" s="702">
        <v>0.41756666999999997</v>
      </c>
      <c r="G130" s="701">
        <v>4419.6287742474897</v>
      </c>
      <c r="H130" s="701">
        <v>10584.246999999999</v>
      </c>
      <c r="I130" s="701">
        <v>107</v>
      </c>
      <c r="J130" s="702">
        <v>0.41756666999999997</v>
      </c>
      <c r="K130" s="701">
        <v>1235.85704079888</v>
      </c>
      <c r="L130" s="701">
        <v>2959.6640000000002</v>
      </c>
      <c r="M130" s="701">
        <v>93</v>
      </c>
      <c r="N130" s="702">
        <v>0.41756666999999997</v>
      </c>
      <c r="O130" s="701">
        <v>8740.8078547090809</v>
      </c>
      <c r="P130" s="701">
        <f t="shared" si="1"/>
        <v>20932.723999999998</v>
      </c>
      <c r="Q130" s="701">
        <v>1175</v>
      </c>
      <c r="R130" s="702">
        <v>0.41756666999999997</v>
      </c>
      <c r="S130" s="658" t="s">
        <v>356</v>
      </c>
      <c r="T130" s="703">
        <f t="array" ref="T130">INDEX(UtilityList!Q$4:Q$251,MATCH('Table 2.5a'!$A130&amp;'Table 2.5a'!$B130,UtilityList!$A$4:$A$251&amp;UtilityList!$C$4:$C$251,0))</f>
        <v>0</v>
      </c>
      <c r="U130" s="704" t="str">
        <f t="array" ref="U130">INDEX(UtilityList!J$4:J$251,MATCH('Table 2.5a'!$A130&amp;'Table 2.5a'!$B130,UtilityList!$A$4:$A$251&amp;UtilityList!$C$4:$C$251,0))</f>
        <v>Northwest Arctic</v>
      </c>
      <c r="V130" s="704" t="str">
        <f t="array" ref="V130">INDEX(UtilityList!K$4:K$251,MATCH('Table 2.5a'!$A130&amp;'Table 2.5a'!$B130,UtilityList!$A$4:$A$251&amp;UtilityList!$C$4:$C$251,0))</f>
        <v>Northwest Arctic</v>
      </c>
      <c r="W130" s="704" t="str">
        <f t="array" ref="W130">INDEX(UtilityList!L$4:L$251,MATCH('Table 2.5a'!$A130&amp;'Table 2.5a'!$B130,UtilityList!$A$4:$A$251&amp;UtilityList!$C$4:$C$251,0))</f>
        <v>NANA</v>
      </c>
      <c r="X130" s="704" t="str">
        <f t="array" ref="X130">INDEX(UtilityList!M$4:M$251,MATCH('Table 2.5a'!$A130&amp;'Table 2.5a'!$B130,UtilityList!$A$4:$A$251&amp;UtilityList!$C$4:$C$251,0))</f>
        <v>AN</v>
      </c>
    </row>
    <row r="131" spans="1:24" customFormat="1" x14ac:dyDescent="0.25">
      <c r="A131" s="361" t="s">
        <v>231</v>
      </c>
      <c r="B131" s="654" t="s">
        <v>232</v>
      </c>
      <c r="C131" s="701">
        <v>59.576233737239995</v>
      </c>
      <c r="D131" s="701">
        <v>121.172</v>
      </c>
      <c r="E131" s="701">
        <v>56.666668000000001</v>
      </c>
      <c r="F131" s="702">
        <v>0.49166666999999997</v>
      </c>
      <c r="G131" s="701">
        <v>41.450941947689998</v>
      </c>
      <c r="H131" s="701">
        <v>84.307000000000002</v>
      </c>
      <c r="I131" s="701">
        <v>5</v>
      </c>
      <c r="J131" s="702">
        <v>0.49166666999999997</v>
      </c>
      <c r="K131" s="701">
        <v>30.442033539719997</v>
      </c>
      <c r="L131" s="701">
        <v>61.915999999999997</v>
      </c>
      <c r="M131" s="701">
        <v>10</v>
      </c>
      <c r="N131" s="702">
        <v>0.49166666999999997</v>
      </c>
      <c r="O131" s="701">
        <v>131.46920922465</v>
      </c>
      <c r="P131" s="701">
        <f t="shared" si="1"/>
        <v>267.39499999999998</v>
      </c>
      <c r="Q131" s="701">
        <v>71.666668000000001</v>
      </c>
      <c r="R131" s="702">
        <v>0.49166666999999997</v>
      </c>
      <c r="S131" s="658" t="s">
        <v>356</v>
      </c>
      <c r="T131" s="703">
        <f t="array" ref="T131">INDEX(UtilityList!Q$4:Q$251,MATCH('Table 2.5a'!$A131&amp;'Table 2.5a'!$B131,UtilityList!$A$4:$A$251&amp;UtilityList!$C$4:$C$251,0))</f>
        <v>0</v>
      </c>
      <c r="U131" s="704" t="str">
        <f t="array" ref="U131">INDEX(UtilityList!J$4:J$251,MATCH('Table 2.5a'!$A131&amp;'Table 2.5a'!$B131,UtilityList!$A$4:$A$251&amp;UtilityList!$C$4:$C$251,0))</f>
        <v>Yukon-Koyukuk/Upper Tanana</v>
      </c>
      <c r="V131" s="704" t="str">
        <f t="array" ref="V131">INDEX(UtilityList!K$4:K$251,MATCH('Table 2.5a'!$A131&amp;'Table 2.5a'!$B131,UtilityList!$A$4:$A$251&amp;UtilityList!$C$4:$C$251,0))</f>
        <v>Yukon-Koyukuk (CA)</v>
      </c>
      <c r="W131" s="704" t="str">
        <f t="array" ref="W131">INDEX(UtilityList!L$4:L$251,MATCH('Table 2.5a'!$A131&amp;'Table 2.5a'!$B131,UtilityList!$A$4:$A$251&amp;UtilityList!$C$4:$C$251,0))</f>
        <v>Doyon</v>
      </c>
      <c r="X131" s="704" t="str">
        <f t="array" ref="X131">INDEX(UtilityList!M$4:M$251,MATCH('Table 2.5a'!$A131&amp;'Table 2.5a'!$B131,UtilityList!$A$4:$A$251&amp;UtilityList!$C$4:$C$251,0))</f>
        <v>YU</v>
      </c>
    </row>
    <row r="132" spans="1:24" customFormat="1" x14ac:dyDescent="0.25">
      <c r="A132" s="361" t="s">
        <v>233</v>
      </c>
      <c r="B132" s="654" t="s">
        <v>234</v>
      </c>
      <c r="C132" s="701">
        <v>324.44776000000002</v>
      </c>
      <c r="D132" s="701">
        <v>623.93799999999999</v>
      </c>
      <c r="E132" s="701">
        <v>178.66667000000001</v>
      </c>
      <c r="F132" s="702">
        <v>0.52</v>
      </c>
      <c r="G132" s="701">
        <v>130.89439999999999</v>
      </c>
      <c r="H132" s="701">
        <v>251.72</v>
      </c>
      <c r="I132" s="701">
        <v>8.1666670000000003</v>
      </c>
      <c r="J132" s="702">
        <v>0.52</v>
      </c>
      <c r="K132" s="701">
        <v>69.750720000000001</v>
      </c>
      <c r="L132" s="701">
        <v>134.136</v>
      </c>
      <c r="M132" s="701">
        <v>14.166667</v>
      </c>
      <c r="N132" s="702">
        <v>0.52</v>
      </c>
      <c r="O132" s="701">
        <v>525.09288000000004</v>
      </c>
      <c r="P132" s="701">
        <f t="shared" si="1"/>
        <v>1009.794</v>
      </c>
      <c r="Q132" s="701">
        <v>201.00000399999999</v>
      </c>
      <c r="R132" s="702">
        <v>0.52</v>
      </c>
      <c r="S132" s="658" t="s">
        <v>356</v>
      </c>
      <c r="T132" s="703">
        <f t="array" ref="T132">INDEX(UtilityList!Q$4:Q$251,MATCH('Table 2.5a'!$A132&amp;'Table 2.5a'!$B132,UtilityList!$A$4:$A$251&amp;UtilityList!$C$4:$C$251,0))</f>
        <v>0</v>
      </c>
      <c r="U132" s="704" t="str">
        <f t="array" ref="U132">INDEX(UtilityList!J$4:J$251,MATCH('Table 2.5a'!$A132&amp;'Table 2.5a'!$B132,UtilityList!$A$4:$A$251&amp;UtilityList!$C$4:$C$251,0))</f>
        <v>Lower Yukon-Kuskokwim</v>
      </c>
      <c r="V132" s="704" t="str">
        <f t="array" ref="V132">INDEX(UtilityList!K$4:K$251,MATCH('Table 2.5a'!$A132&amp;'Table 2.5a'!$B132,UtilityList!$A$4:$A$251&amp;UtilityList!$C$4:$C$251,0))</f>
        <v>Bethel (CA)</v>
      </c>
      <c r="W132" s="704" t="str">
        <f t="array" ref="W132">INDEX(UtilityList!L$4:L$251,MATCH('Table 2.5a'!$A132&amp;'Table 2.5a'!$B132,UtilityList!$A$4:$A$251&amp;UtilityList!$C$4:$C$251,0))</f>
        <v>Calista</v>
      </c>
      <c r="X132" s="704" t="str">
        <f t="array" ref="X132">INDEX(UtilityList!M$4:M$251,MATCH('Table 2.5a'!$A132&amp;'Table 2.5a'!$B132,UtilityList!$A$4:$A$251&amp;UtilityList!$C$4:$C$251,0))</f>
        <v>SW</v>
      </c>
    </row>
    <row r="133" spans="1:24" customFormat="1" ht="30" x14ac:dyDescent="0.25">
      <c r="A133" s="361" t="s">
        <v>641</v>
      </c>
      <c r="B133" s="654" t="s">
        <v>235</v>
      </c>
      <c r="C133" s="701">
        <v>260.19930000000005</v>
      </c>
      <c r="D133" s="701">
        <v>435.48</v>
      </c>
      <c r="E133" s="701">
        <v>84.333336000000003</v>
      </c>
      <c r="F133" s="702">
        <v>0.59750000000000003</v>
      </c>
      <c r="G133" s="701">
        <v>238.46762749999999</v>
      </c>
      <c r="H133" s="701">
        <v>399.10899999999998</v>
      </c>
      <c r="I133" s="701">
        <v>12.333333</v>
      </c>
      <c r="J133" s="702">
        <v>0.59750000000000003</v>
      </c>
      <c r="K133" s="701">
        <v>48.360455000000002</v>
      </c>
      <c r="L133" s="701">
        <v>80.938000000000002</v>
      </c>
      <c r="M133" s="701">
        <v>11.666667</v>
      </c>
      <c r="N133" s="702">
        <v>0.59750000000000003</v>
      </c>
      <c r="O133" s="701">
        <v>547.02738250000004</v>
      </c>
      <c r="P133" s="701">
        <f t="shared" si="1"/>
        <v>915.52699999999993</v>
      </c>
      <c r="Q133" s="701">
        <v>108.333336</v>
      </c>
      <c r="R133" s="702">
        <v>0.59750000000000003</v>
      </c>
      <c r="S133" s="658" t="s">
        <v>356</v>
      </c>
      <c r="T133" s="703">
        <f t="array" ref="T133">INDEX(UtilityList!Q$4:Q$251,MATCH('Table 2.5a'!$A133&amp;'Table 2.5a'!$B133,UtilityList!$A$4:$A$251&amp;UtilityList!$C$4:$C$251,0))</f>
        <v>0</v>
      </c>
      <c r="U133" s="704" t="str">
        <f t="array" ref="U133">INDEX(UtilityList!J$4:J$251,MATCH('Table 2.5a'!$A133&amp;'Table 2.5a'!$B133,UtilityList!$A$4:$A$251&amp;UtilityList!$C$4:$C$251,0))</f>
        <v>Lower Yukon-Kuskokwim</v>
      </c>
      <c r="V133" s="704" t="str">
        <f t="array" ref="V133">INDEX(UtilityList!K$4:K$251,MATCH('Table 2.5a'!$A133&amp;'Table 2.5a'!$B133,UtilityList!$A$4:$A$251&amp;UtilityList!$C$4:$C$251,0))</f>
        <v>Bethel (CA)</v>
      </c>
      <c r="W133" s="704" t="str">
        <f t="array" ref="W133">INDEX(UtilityList!L$4:L$251,MATCH('Table 2.5a'!$A133&amp;'Table 2.5a'!$B133,UtilityList!$A$4:$A$251&amp;UtilityList!$C$4:$C$251,0))</f>
        <v>Calista</v>
      </c>
      <c r="X133" s="704" t="str">
        <f t="array" ref="X133">INDEX(UtilityList!M$4:M$251,MATCH('Table 2.5a'!$A133&amp;'Table 2.5a'!$B133,UtilityList!$A$4:$A$251&amp;UtilityList!$C$4:$C$251,0))</f>
        <v>SW</v>
      </c>
    </row>
    <row r="134" spans="1:24" customFormat="1" ht="30" x14ac:dyDescent="0.25">
      <c r="A134" s="361" t="s">
        <v>236</v>
      </c>
      <c r="B134" s="654" t="s">
        <v>237</v>
      </c>
      <c r="C134" s="701">
        <v>71.99397175</v>
      </c>
      <c r="D134" s="701">
        <v>173.47945000000001</v>
      </c>
      <c r="E134" s="701">
        <v>43.583331999999999</v>
      </c>
      <c r="F134" s="702">
        <v>0.41499999999999998</v>
      </c>
      <c r="G134" s="701">
        <v>108.5908256</v>
      </c>
      <c r="H134" s="701">
        <v>261.66464000000002</v>
      </c>
      <c r="I134" s="701">
        <v>26.492424</v>
      </c>
      <c r="J134" s="702">
        <v>0.41499999999999998</v>
      </c>
      <c r="K134" s="701">
        <v>72.752555644999987</v>
      </c>
      <c r="L134" s="701">
        <v>175.30736299999998</v>
      </c>
      <c r="M134" s="701">
        <v>11.454545299999999</v>
      </c>
      <c r="N134" s="702">
        <v>0.41499999999999998</v>
      </c>
      <c r="O134" s="701">
        <v>253.337352995</v>
      </c>
      <c r="P134" s="701">
        <f t="shared" si="1"/>
        <v>610.45145300000001</v>
      </c>
      <c r="Q134" s="701">
        <v>81.530301299999991</v>
      </c>
      <c r="R134" s="702">
        <v>0.41499999999999998</v>
      </c>
      <c r="S134" s="658" t="s">
        <v>356</v>
      </c>
      <c r="T134" s="703">
        <f t="array" ref="T134">INDEX(UtilityList!Q$4:Q$251,MATCH('Table 2.5a'!$A134&amp;'Table 2.5a'!$B134,UtilityList!$A$4:$A$251&amp;UtilityList!$C$4:$C$251,0))</f>
        <v>0</v>
      </c>
      <c r="U134" s="704" t="str">
        <f t="array" ref="U134">INDEX(UtilityList!J$4:J$251,MATCH('Table 2.5a'!$A134&amp;'Table 2.5a'!$B134,UtilityList!$A$4:$A$251&amp;UtilityList!$C$4:$C$251,0))</f>
        <v>Kodiak</v>
      </c>
      <c r="V134" s="704" t="str">
        <f t="array" ref="V134">INDEX(UtilityList!K$4:K$251,MATCH('Table 2.5a'!$A134&amp;'Table 2.5a'!$B134,UtilityList!$A$4:$A$251&amp;UtilityList!$C$4:$C$251,0))</f>
        <v>Kodiak Island</v>
      </c>
      <c r="W134" s="704" t="str">
        <f t="array" ref="W134">INDEX(UtilityList!L$4:L$251,MATCH('Table 2.5a'!$A134&amp;'Table 2.5a'!$B134,UtilityList!$A$4:$A$251&amp;UtilityList!$C$4:$C$251,0))</f>
        <v>Koniag</v>
      </c>
      <c r="X134" s="704" t="str">
        <f t="array" ref="X134">INDEX(UtilityList!M$4:M$251,MATCH('Table 2.5a'!$A134&amp;'Table 2.5a'!$B134,UtilityList!$A$4:$A$251&amp;UtilityList!$C$4:$C$251,0))</f>
        <v>SC</v>
      </c>
    </row>
    <row r="135" spans="1:24" customFormat="1" x14ac:dyDescent="0.25">
      <c r="A135" s="361" t="s">
        <v>238</v>
      </c>
      <c r="B135" s="654" t="s">
        <v>239</v>
      </c>
      <c r="C135" s="701">
        <v>110.45299999999999</v>
      </c>
      <c r="D135" s="701">
        <v>157.79</v>
      </c>
      <c r="E135" s="701">
        <v>33.5</v>
      </c>
      <c r="F135" s="702">
        <v>0.7</v>
      </c>
      <c r="G135" s="701">
        <v>72.671199999999999</v>
      </c>
      <c r="H135" s="701">
        <v>103.816</v>
      </c>
      <c r="I135" s="701">
        <v>9.25</v>
      </c>
      <c r="J135" s="702">
        <v>0.7</v>
      </c>
      <c r="K135" s="701">
        <v>67.50869999999999</v>
      </c>
      <c r="L135" s="701">
        <v>96.441000000000003</v>
      </c>
      <c r="M135" s="701">
        <v>10.9166665</v>
      </c>
      <c r="N135" s="702">
        <v>0.7</v>
      </c>
      <c r="O135" s="701">
        <v>250.63289999999995</v>
      </c>
      <c r="P135" s="701">
        <f t="shared" si="1"/>
        <v>358.04700000000003</v>
      </c>
      <c r="Q135" s="701">
        <v>53.666666499999998</v>
      </c>
      <c r="R135" s="702">
        <v>0.7</v>
      </c>
      <c r="S135" s="658" t="s">
        <v>356</v>
      </c>
      <c r="T135" s="703">
        <f t="array" ref="T135">INDEX(UtilityList!Q$4:Q$251,MATCH('Table 2.5a'!$A135&amp;'Table 2.5a'!$B135,UtilityList!$A$4:$A$251&amp;UtilityList!$C$4:$C$251,0))</f>
        <v>0</v>
      </c>
      <c r="U135" s="704" t="str">
        <f t="array" ref="U135">INDEX(UtilityList!J$4:J$251,MATCH('Table 2.5a'!$A135&amp;'Table 2.5a'!$B135,UtilityList!$A$4:$A$251&amp;UtilityList!$C$4:$C$251,0))</f>
        <v>Bristol Bay</v>
      </c>
      <c r="V135" s="704" t="str">
        <f t="array" ref="V135">INDEX(UtilityList!K$4:K$251,MATCH('Table 2.5a'!$A135&amp;'Table 2.5a'!$B135,UtilityList!$A$4:$A$251&amp;UtilityList!$C$4:$C$251,0))</f>
        <v>Lake and Peninsula</v>
      </c>
      <c r="W135" s="704" t="str">
        <f t="array" ref="W135">INDEX(UtilityList!L$4:L$251,MATCH('Table 2.5a'!$A135&amp;'Table 2.5a'!$B135,UtilityList!$A$4:$A$251&amp;UtilityList!$C$4:$C$251,0))</f>
        <v>Bristol Bay</v>
      </c>
      <c r="X135" s="704" t="str">
        <f t="array" ref="X135">INDEX(UtilityList!M$4:M$251,MATCH('Table 2.5a'!$A135&amp;'Table 2.5a'!$B135,UtilityList!$A$4:$A$251&amp;UtilityList!$C$4:$C$251,0))</f>
        <v>SW</v>
      </c>
    </row>
    <row r="136" spans="1:24" s="169" customFormat="1" ht="30" x14ac:dyDescent="0.25">
      <c r="A136" s="361" t="s">
        <v>242</v>
      </c>
      <c r="B136" s="654" t="s">
        <v>243</v>
      </c>
      <c r="C136" s="701">
        <v>298.56035000000003</v>
      </c>
      <c r="D136" s="701">
        <v>542.83699999999999</v>
      </c>
      <c r="E136" s="701">
        <v>147</v>
      </c>
      <c r="F136" s="702">
        <v>0.55000000000000004</v>
      </c>
      <c r="G136" s="701">
        <v>75.132200000000012</v>
      </c>
      <c r="H136" s="701">
        <v>136.60400000000001</v>
      </c>
      <c r="I136" s="701">
        <v>19.25</v>
      </c>
      <c r="J136" s="702">
        <v>0.55000000000000004</v>
      </c>
      <c r="K136" s="701">
        <v>298.87715000000003</v>
      </c>
      <c r="L136" s="701">
        <v>543.41300000000001</v>
      </c>
      <c r="M136" s="701">
        <v>26.666665999999999</v>
      </c>
      <c r="N136" s="702">
        <v>0.55000000000000004</v>
      </c>
      <c r="O136" s="701">
        <v>672.56970000000001</v>
      </c>
      <c r="P136" s="701">
        <f t="shared" si="1"/>
        <v>1222.854</v>
      </c>
      <c r="Q136" s="701">
        <v>192.91666599999999</v>
      </c>
      <c r="R136" s="702">
        <v>0.55000000000000004</v>
      </c>
      <c r="S136" s="658" t="s">
        <v>356</v>
      </c>
      <c r="T136" s="703">
        <f t="array" ref="T136">INDEX(UtilityList!Q$4:Q$251,MATCH('Table 2.5a'!$A136&amp;'Table 2.5a'!$B136,UtilityList!$A$4:$A$251&amp;UtilityList!$C$4:$C$251,0))</f>
        <v>0</v>
      </c>
      <c r="U136" s="704" t="str">
        <f t="array" ref="U136">INDEX(UtilityList!J$4:J$251,MATCH('Table 2.5a'!$A136&amp;'Table 2.5a'!$B136,UtilityList!$A$4:$A$251&amp;UtilityList!$C$4:$C$251,0))</f>
        <v>Bristol Bay</v>
      </c>
      <c r="V136" s="704" t="str">
        <f t="array" ref="V136">INDEX(UtilityList!K$4:K$251,MATCH('Table 2.5a'!$A136&amp;'Table 2.5a'!$B136,UtilityList!$A$4:$A$251&amp;UtilityList!$C$4:$C$251,0))</f>
        <v>Dillingham (CA)</v>
      </c>
      <c r="W136" s="704" t="str">
        <f t="array" ref="W136">INDEX(UtilityList!L$4:L$251,MATCH('Table 2.5a'!$A136&amp;'Table 2.5a'!$B136,UtilityList!$A$4:$A$251&amp;UtilityList!$C$4:$C$251,0))</f>
        <v>Bristol Bay</v>
      </c>
      <c r="X136" s="704" t="str">
        <f t="array" ref="X136">INDEX(UtilityList!M$4:M$251,MATCH('Table 2.5a'!$A136&amp;'Table 2.5a'!$B136,UtilityList!$A$4:$A$251&amp;UtilityList!$C$4:$C$251,0))</f>
        <v>SW</v>
      </c>
    </row>
    <row r="137" spans="1:24" customFormat="1" ht="30" x14ac:dyDescent="0.25">
      <c r="A137" s="361" t="s">
        <v>487</v>
      </c>
      <c r="B137" s="361"/>
      <c r="C137" s="642">
        <v>68212</v>
      </c>
      <c r="D137" s="642">
        <v>451449</v>
      </c>
      <c r="E137" s="642">
        <v>53239</v>
      </c>
      <c r="F137" s="683">
        <v>0.15109999999999998</v>
      </c>
      <c r="G137" s="642">
        <v>33796</v>
      </c>
      <c r="H137" s="642">
        <v>265746</v>
      </c>
      <c r="I137" s="642">
        <v>3668</v>
      </c>
      <c r="J137" s="683">
        <v>0.12717000000000001</v>
      </c>
      <c r="K137" s="642">
        <v>0</v>
      </c>
      <c r="L137" s="642">
        <v>0</v>
      </c>
      <c r="M137" s="642">
        <v>0</v>
      </c>
      <c r="N137" s="683"/>
      <c r="O137" s="642">
        <v>102008</v>
      </c>
      <c r="P137" s="642">
        <f t="shared" si="1"/>
        <v>717195</v>
      </c>
      <c r="Q137" s="642">
        <v>56907</v>
      </c>
      <c r="R137" s="705">
        <v>0.14223188951400945</v>
      </c>
      <c r="S137" s="707" t="s">
        <v>558</v>
      </c>
      <c r="T137" s="703">
        <f t="array" ref="T137">INDEX(UtilityList!Q$4:Q$251,MATCH('Table 2.5a'!$A137&amp;'Table 2.5a'!$B137,UtilityList!$A$4:$A$251&amp;UtilityList!$C$4:$C$251,0))</f>
        <v>0</v>
      </c>
      <c r="U137" s="704" t="str">
        <f t="array" ref="U137">INDEX(UtilityList!J$4:J$251,MATCH('Table 2.5a'!$A137&amp;'Table 2.5a'!$B137,UtilityList!$A$4:$A$251&amp;UtilityList!$C$4:$C$251,0))</f>
        <v>Railbelt</v>
      </c>
      <c r="V137" s="704" t="str">
        <f t="array" ref="V137">INDEX(UtilityList!K$4:K$251,MATCH('Table 2.5a'!$A137&amp;'Table 2.5a'!$B137,UtilityList!$A$4:$A$251&amp;UtilityList!$C$4:$C$251,0))</f>
        <v>Matanuska Susitna</v>
      </c>
      <c r="W137" s="704" t="str">
        <f t="array" ref="W137">INDEX(UtilityList!L$4:L$251,MATCH('Table 2.5a'!$A137&amp;'Table 2.5a'!$B137,UtilityList!$A$4:$A$251&amp;UtilityList!$C$4:$C$251,0))</f>
        <v>Cook Inlet</v>
      </c>
      <c r="X137" s="704" t="str">
        <f t="array" ref="X137">INDEX(UtilityList!M$4:M$251,MATCH('Table 2.5a'!$A137&amp;'Table 2.5a'!$B137,UtilityList!$A$4:$A$251&amp;UtilityList!$C$4:$C$251,0))</f>
        <v>SC</v>
      </c>
    </row>
    <row r="138" spans="1:24" customFormat="1" x14ac:dyDescent="0.25">
      <c r="A138" s="361" t="s">
        <v>509</v>
      </c>
      <c r="B138" s="654" t="s">
        <v>244</v>
      </c>
      <c r="C138" s="701">
        <v>361.79945459999999</v>
      </c>
      <c r="D138" s="701">
        <v>710.31600000000003</v>
      </c>
      <c r="E138" s="701">
        <v>188</v>
      </c>
      <c r="F138" s="702">
        <v>0.50934999999999997</v>
      </c>
      <c r="G138" s="701">
        <v>450.5119254</v>
      </c>
      <c r="H138" s="701">
        <v>884.48400000000004</v>
      </c>
      <c r="I138" s="701">
        <v>60</v>
      </c>
      <c r="J138" s="702">
        <v>0.50934999999999997</v>
      </c>
      <c r="K138" s="701">
        <v>481.41164314999997</v>
      </c>
      <c r="L138" s="701">
        <v>945.149</v>
      </c>
      <c r="M138" s="701">
        <v>55.166667000000004</v>
      </c>
      <c r="N138" s="702">
        <v>0.50934999999999997</v>
      </c>
      <c r="O138" s="701">
        <v>1293.72302315</v>
      </c>
      <c r="P138" s="701">
        <f t="shared" ref="P138:P192" si="2">SUM(D138,H138,L138)</f>
        <v>2539.9490000000001</v>
      </c>
      <c r="Q138" s="701">
        <v>303.16666700000002</v>
      </c>
      <c r="R138" s="702">
        <v>0.50934999999999997</v>
      </c>
      <c r="S138" s="658" t="s">
        <v>356</v>
      </c>
      <c r="T138" s="703">
        <f t="array" ref="T138">INDEX(UtilityList!Q$4:Q$251,MATCH('Table 2.5a'!$A138&amp;'Table 2.5a'!$B138,UtilityList!$A$4:$A$251&amp;UtilityList!$C$4:$C$251,0))</f>
        <v>0</v>
      </c>
      <c r="U138" s="704" t="str">
        <f t="array" ref="U138">INDEX(UtilityList!J$4:J$251,MATCH('Table 2.5a'!$A138&amp;'Table 2.5a'!$B138,UtilityList!$A$4:$A$251&amp;UtilityList!$C$4:$C$251,0))</f>
        <v>Yukon-Koyukuk/Upper Tanana</v>
      </c>
      <c r="V138" s="704" t="str">
        <f t="array" ref="V138">INDEX(UtilityList!K$4:K$251,MATCH('Table 2.5a'!$A138&amp;'Table 2.5a'!$B138,UtilityList!$A$4:$A$251&amp;UtilityList!$C$4:$C$251,0))</f>
        <v>Yukon-Koyukuk (CA)</v>
      </c>
      <c r="W138" s="704" t="str">
        <f t="array" ref="W138">INDEX(UtilityList!L$4:L$251,MATCH('Table 2.5a'!$A138&amp;'Table 2.5a'!$B138,UtilityList!$A$4:$A$251&amp;UtilityList!$C$4:$C$251,0))</f>
        <v>Doyon</v>
      </c>
      <c r="X138" s="704" t="str">
        <f t="array" ref="X138">INDEX(UtilityList!M$4:M$251,MATCH('Table 2.5a'!$A138&amp;'Table 2.5a'!$B138,UtilityList!$A$4:$A$251&amp;UtilityList!$C$4:$C$251,0))</f>
        <v>SW</v>
      </c>
    </row>
    <row r="139" spans="1:24" customFormat="1" ht="30" x14ac:dyDescent="0.25">
      <c r="A139" s="361" t="s">
        <v>245</v>
      </c>
      <c r="B139" s="361" t="s">
        <v>247</v>
      </c>
      <c r="C139" s="642">
        <v>772</v>
      </c>
      <c r="D139" s="642">
        <v>8455</v>
      </c>
      <c r="E139" s="642">
        <v>641</v>
      </c>
      <c r="F139" s="683">
        <v>9.1306918982850385E-2</v>
      </c>
      <c r="G139" s="642">
        <v>1185</v>
      </c>
      <c r="H139" s="642">
        <v>9881</v>
      </c>
      <c r="I139" s="642">
        <v>210</v>
      </c>
      <c r="J139" s="683">
        <v>0.11992713288128731</v>
      </c>
      <c r="K139" s="642">
        <v>11</v>
      </c>
      <c r="L139" s="642">
        <v>60</v>
      </c>
      <c r="M139" s="642">
        <v>67</v>
      </c>
      <c r="N139" s="683">
        <v>0.18333333333333332</v>
      </c>
      <c r="O139" s="642">
        <v>1968</v>
      </c>
      <c r="P139" s="642">
        <f t="shared" si="2"/>
        <v>18396</v>
      </c>
      <c r="Q139" s="642">
        <v>918</v>
      </c>
      <c r="R139" s="705">
        <v>0.10697977821265492</v>
      </c>
      <c r="S139" s="707" t="s">
        <v>558</v>
      </c>
      <c r="T139" s="703">
        <f t="array" ref="T139">INDEX(UtilityList!Q$4:Q$251,MATCH('Table 2.5a'!$A139&amp;'Table 2.5a'!$B139,UtilityList!$A$4:$A$251&amp;UtilityList!$C$4:$C$251,0))</f>
        <v>0</v>
      </c>
      <c r="U139" s="704" t="str">
        <f t="array" ref="U139">INDEX(UtilityList!J$4:J$251,MATCH('Table 2.5a'!$A139&amp;'Table 2.5a'!$B139,UtilityList!$A$4:$A$251&amp;UtilityList!$C$4:$C$251,0))</f>
        <v>Southeast</v>
      </c>
      <c r="V139" s="704" t="str">
        <f t="array" ref="V139">INDEX(UtilityList!K$4:K$251,MATCH('Table 2.5a'!$A139&amp;'Table 2.5a'!$B139,UtilityList!$A$4:$A$251&amp;UtilityList!$C$4:$C$251,0))</f>
        <v>Prince of Wales-Hyder (CA)</v>
      </c>
      <c r="W139" s="704" t="str">
        <f t="array" ref="W139">INDEX(UtilityList!L$4:L$251,MATCH('Table 2.5a'!$A139&amp;'Table 2.5a'!$B139,UtilityList!$A$4:$A$251&amp;UtilityList!$C$4:$C$251,0))</f>
        <v>Sealaska</v>
      </c>
      <c r="X139" s="704" t="str">
        <f t="array" ref="X139">INDEX(UtilityList!M$4:M$251,MATCH('Table 2.5a'!$A139&amp;'Table 2.5a'!$B139,UtilityList!$A$4:$A$251&amp;UtilityList!$C$4:$C$251,0))</f>
        <v>SE</v>
      </c>
    </row>
    <row r="140" spans="1:24" s="169" customFormat="1" ht="30" x14ac:dyDescent="0.25">
      <c r="A140" s="361" t="s">
        <v>250</v>
      </c>
      <c r="B140" s="654" t="s">
        <v>251</v>
      </c>
      <c r="C140" s="701">
        <v>99.980659075000005</v>
      </c>
      <c r="D140" s="701">
        <v>117.697</v>
      </c>
      <c r="E140" s="701">
        <v>33.166668000000001</v>
      </c>
      <c r="F140" s="702">
        <v>0.84947499999999998</v>
      </c>
      <c r="G140" s="701">
        <v>92.777111074999993</v>
      </c>
      <c r="H140" s="701">
        <v>109.217</v>
      </c>
      <c r="I140" s="701">
        <v>6</v>
      </c>
      <c r="J140" s="702">
        <v>0.84947499999999998</v>
      </c>
      <c r="K140" s="701">
        <v>22.913738649999999</v>
      </c>
      <c r="L140" s="701">
        <v>26.974</v>
      </c>
      <c r="M140" s="701">
        <v>8</v>
      </c>
      <c r="N140" s="702">
        <v>0.84947499999999998</v>
      </c>
      <c r="O140" s="701">
        <v>215.6715088</v>
      </c>
      <c r="P140" s="701">
        <f t="shared" si="2"/>
        <v>253.88799999999998</v>
      </c>
      <c r="Q140" s="701">
        <v>47.166668000000001</v>
      </c>
      <c r="R140" s="702">
        <v>0.84947499999999998</v>
      </c>
      <c r="S140" s="658" t="s">
        <v>356</v>
      </c>
      <c r="T140" s="703">
        <f t="array" ref="T140">INDEX(UtilityList!Q$4:Q$251,MATCH('Table 2.5a'!$A140&amp;'Table 2.5a'!$B140,UtilityList!$A$4:$A$251&amp;UtilityList!$C$4:$C$251,0))</f>
        <v>0</v>
      </c>
      <c r="U140" s="704" t="str">
        <f t="array" ref="U140">INDEX(UtilityList!J$4:J$251,MATCH('Table 2.5a'!$A140&amp;'Table 2.5a'!$B140,UtilityList!$A$4:$A$251&amp;UtilityList!$C$4:$C$251,0))</f>
        <v>Lower Yukon-Kuskokwim</v>
      </c>
      <c r="V140" s="704" t="str">
        <f t="array" ref="V140">INDEX(UtilityList!K$4:K$251,MATCH('Table 2.5a'!$A140&amp;'Table 2.5a'!$B140,UtilityList!$A$4:$A$251&amp;UtilityList!$C$4:$C$251,0))</f>
        <v>Bethel (CA)</v>
      </c>
      <c r="W140" s="704" t="str">
        <f t="array" ref="W140">INDEX(UtilityList!L$4:L$251,MATCH('Table 2.5a'!$A140&amp;'Table 2.5a'!$B140,UtilityList!$A$4:$A$251&amp;UtilityList!$C$4:$C$251,0))</f>
        <v>Calista</v>
      </c>
      <c r="X140" s="704" t="str">
        <f t="array" ref="X140">INDEX(UtilityList!M$4:M$251,MATCH('Table 2.5a'!$A140&amp;'Table 2.5a'!$B140,UtilityList!$A$4:$A$251&amp;UtilityList!$C$4:$C$251,0))</f>
        <v>SW</v>
      </c>
    </row>
    <row r="141" spans="1:24" customFormat="1" ht="30" x14ac:dyDescent="0.25">
      <c r="A141" s="361" t="s">
        <v>250</v>
      </c>
      <c r="B141" s="654" t="s">
        <v>252</v>
      </c>
      <c r="C141" s="701">
        <v>86.526675006199994</v>
      </c>
      <c r="D141" s="701">
        <v>101.86</v>
      </c>
      <c r="E141" s="701">
        <v>33</v>
      </c>
      <c r="F141" s="702">
        <v>0.84946666999999998</v>
      </c>
      <c r="G141" s="701">
        <v>89.714723418709994</v>
      </c>
      <c r="H141" s="701">
        <v>105.613</v>
      </c>
      <c r="I141" s="701">
        <v>8</v>
      </c>
      <c r="J141" s="702">
        <v>0.84946666999999998</v>
      </c>
      <c r="K141" s="701">
        <v>42.925249768439997</v>
      </c>
      <c r="L141" s="701">
        <v>50.531999999999996</v>
      </c>
      <c r="M141" s="701">
        <v>8</v>
      </c>
      <c r="N141" s="702">
        <v>0.84946666999999998</v>
      </c>
      <c r="O141" s="701">
        <v>219.16664819335</v>
      </c>
      <c r="P141" s="701">
        <f t="shared" si="2"/>
        <v>258.005</v>
      </c>
      <c r="Q141" s="701">
        <v>49</v>
      </c>
      <c r="R141" s="702">
        <v>0.84946666999999998</v>
      </c>
      <c r="S141" s="658" t="s">
        <v>356</v>
      </c>
      <c r="T141" s="703">
        <f t="array" ref="T141">INDEX(UtilityList!Q$4:Q$251,MATCH('Table 2.5a'!$A141&amp;'Table 2.5a'!$B141,UtilityList!$A$4:$A$251&amp;UtilityList!$C$4:$C$251,0))</f>
        <v>0</v>
      </c>
      <c r="U141" s="704" t="str">
        <f t="array" ref="U141">INDEX(UtilityList!J$4:J$251,MATCH('Table 2.5a'!$A141&amp;'Table 2.5a'!$B141,UtilityList!$A$4:$A$251&amp;UtilityList!$C$4:$C$251,0))</f>
        <v>Lower Yukon-Kuskokwim</v>
      </c>
      <c r="V141" s="704" t="str">
        <f t="array" ref="V141">INDEX(UtilityList!K$4:K$251,MATCH('Table 2.5a'!$A141&amp;'Table 2.5a'!$B141,UtilityList!$A$4:$A$251&amp;UtilityList!$C$4:$C$251,0))</f>
        <v>Bethel (CA)</v>
      </c>
      <c r="W141" s="704" t="str">
        <f t="array" ref="W141">INDEX(UtilityList!L$4:L$251,MATCH('Table 2.5a'!$A141&amp;'Table 2.5a'!$B141,UtilityList!$A$4:$A$251&amp;UtilityList!$C$4:$C$251,0))</f>
        <v>Calista</v>
      </c>
      <c r="X141" s="704" t="str">
        <f t="array" ref="X141">INDEX(UtilityList!M$4:M$251,MATCH('Table 2.5a'!$A141&amp;'Table 2.5a'!$B141,UtilityList!$A$4:$A$251&amp;UtilityList!$C$4:$C$251,0))</f>
        <v>SW</v>
      </c>
    </row>
    <row r="142" spans="1:24" customFormat="1" ht="30" x14ac:dyDescent="0.25">
      <c r="A142" s="361" t="s">
        <v>250</v>
      </c>
      <c r="B142" s="654" t="s">
        <v>253</v>
      </c>
      <c r="C142" s="701">
        <v>48.105296188799997</v>
      </c>
      <c r="D142" s="701">
        <v>56.64</v>
      </c>
      <c r="E142" s="701">
        <v>16.166665999999999</v>
      </c>
      <c r="F142" s="702">
        <v>0.84931667</v>
      </c>
      <c r="G142" s="701">
        <v>19.689708360609998</v>
      </c>
      <c r="H142" s="701">
        <v>23.183</v>
      </c>
      <c r="I142" s="701">
        <v>3</v>
      </c>
      <c r="J142" s="702">
        <v>0.84931667</v>
      </c>
      <c r="K142" s="701">
        <v>12.23950253137</v>
      </c>
      <c r="L142" s="701">
        <v>14.411</v>
      </c>
      <c r="M142" s="701">
        <v>4</v>
      </c>
      <c r="N142" s="702">
        <v>0.84931667</v>
      </c>
      <c r="O142" s="701">
        <v>80.034507080780003</v>
      </c>
      <c r="P142" s="701">
        <f t="shared" si="2"/>
        <v>94.234000000000009</v>
      </c>
      <c r="Q142" s="701">
        <v>23.166665999999999</v>
      </c>
      <c r="R142" s="702">
        <v>0.84931667</v>
      </c>
      <c r="S142" s="658" t="s">
        <v>356</v>
      </c>
      <c r="T142" s="703">
        <f t="array" ref="T142">INDEX(UtilityList!Q$4:Q$251,MATCH('Table 2.5a'!$A142&amp;'Table 2.5a'!$B142,UtilityList!$A$4:$A$251&amp;UtilityList!$C$4:$C$251,0))</f>
        <v>0</v>
      </c>
      <c r="U142" s="704" t="str">
        <f t="array" ref="U142">INDEX(UtilityList!J$4:J$251,MATCH('Table 2.5a'!$A142&amp;'Table 2.5a'!$B142,UtilityList!$A$4:$A$251&amp;UtilityList!$C$4:$C$251,0))</f>
        <v>Lower Yukon-Kuskokwim</v>
      </c>
      <c r="V142" s="704" t="str">
        <f t="array" ref="V142">INDEX(UtilityList!K$4:K$251,MATCH('Table 2.5a'!$A142&amp;'Table 2.5a'!$B142,UtilityList!$A$4:$A$251&amp;UtilityList!$C$4:$C$251,0))</f>
        <v>Bethel (CA)</v>
      </c>
      <c r="W142" s="704" t="str">
        <f t="array" ref="W142">INDEX(UtilityList!L$4:L$251,MATCH('Table 2.5a'!$A142&amp;'Table 2.5a'!$B142,UtilityList!$A$4:$A$251&amp;UtilityList!$C$4:$C$251,0))</f>
        <v>Calista</v>
      </c>
      <c r="X142" s="704" t="str">
        <f t="array" ref="X142">INDEX(UtilityList!M$4:M$251,MATCH('Table 2.5a'!$A142&amp;'Table 2.5a'!$B142,UtilityList!$A$4:$A$251&amp;UtilityList!$C$4:$C$251,0))</f>
        <v>SW</v>
      </c>
    </row>
    <row r="143" spans="1:24" customFormat="1" ht="30" x14ac:dyDescent="0.25">
      <c r="A143" s="361" t="s">
        <v>250</v>
      </c>
      <c r="B143" s="654" t="s">
        <v>254</v>
      </c>
      <c r="C143" s="701">
        <v>87.739735222380006</v>
      </c>
      <c r="D143" s="701">
        <v>103.286</v>
      </c>
      <c r="E143" s="701">
        <v>31.083334000000001</v>
      </c>
      <c r="F143" s="702">
        <v>0.84948332999999998</v>
      </c>
      <c r="G143" s="701">
        <v>55.937627797170002</v>
      </c>
      <c r="H143" s="701">
        <v>65.849000000000004</v>
      </c>
      <c r="I143" s="701">
        <v>7</v>
      </c>
      <c r="J143" s="702">
        <v>0.84948332999999998</v>
      </c>
      <c r="K143" s="701">
        <v>70.677013056000007</v>
      </c>
      <c r="L143" s="701">
        <v>83.2</v>
      </c>
      <c r="M143" s="701">
        <v>8</v>
      </c>
      <c r="N143" s="702">
        <v>0.84948332999999998</v>
      </c>
      <c r="O143" s="701">
        <v>214.35437607555002</v>
      </c>
      <c r="P143" s="701">
        <f t="shared" si="2"/>
        <v>252.33499999999998</v>
      </c>
      <c r="Q143" s="701">
        <v>46.083334000000001</v>
      </c>
      <c r="R143" s="702">
        <v>0.84948332999999998</v>
      </c>
      <c r="S143" s="658" t="s">
        <v>356</v>
      </c>
      <c r="T143" s="703">
        <f t="array" ref="T143">INDEX(UtilityList!Q$4:Q$251,MATCH('Table 2.5a'!$A143&amp;'Table 2.5a'!$B143,UtilityList!$A$4:$A$251&amp;UtilityList!$C$4:$C$251,0))</f>
        <v>0</v>
      </c>
      <c r="U143" s="704" t="str">
        <f t="array" ref="U143">INDEX(UtilityList!J$4:J$251,MATCH('Table 2.5a'!$A143&amp;'Table 2.5a'!$B143,UtilityList!$A$4:$A$251&amp;UtilityList!$C$4:$C$251,0))</f>
        <v>Lower Yukon-Kuskokwim</v>
      </c>
      <c r="V143" s="704" t="str">
        <f t="array" ref="V143">INDEX(UtilityList!K$4:K$251,MATCH('Table 2.5a'!$A143&amp;'Table 2.5a'!$B143,UtilityList!$A$4:$A$251&amp;UtilityList!$C$4:$C$251,0))</f>
        <v>Bethel (CA)</v>
      </c>
      <c r="W143" s="704" t="str">
        <f t="array" ref="W143">INDEX(UtilityList!L$4:L$251,MATCH('Table 2.5a'!$A143&amp;'Table 2.5a'!$B143,UtilityList!$A$4:$A$251&amp;UtilityList!$C$4:$C$251,0))</f>
        <v>Calista</v>
      </c>
      <c r="X143" s="704" t="str">
        <f t="array" ref="X143">INDEX(UtilityList!M$4:M$251,MATCH('Table 2.5a'!$A143&amp;'Table 2.5a'!$B143,UtilityList!$A$4:$A$251&amp;UtilityList!$C$4:$C$251,0))</f>
        <v>SW</v>
      </c>
    </row>
    <row r="144" spans="1:24" customFormat="1" ht="30" x14ac:dyDescent="0.25">
      <c r="A144" s="361" t="s">
        <v>250</v>
      </c>
      <c r="B144" s="654" t="s">
        <v>255</v>
      </c>
      <c r="C144" s="701">
        <v>36.282994500000001</v>
      </c>
      <c r="D144" s="701">
        <v>42.710999999999999</v>
      </c>
      <c r="E144" s="701">
        <v>18.166665999999999</v>
      </c>
      <c r="F144" s="702">
        <v>0.84950000000000003</v>
      </c>
      <c r="G144" s="701">
        <v>41.600014999999999</v>
      </c>
      <c r="H144" s="701">
        <v>48.97</v>
      </c>
      <c r="I144" s="701">
        <v>5</v>
      </c>
      <c r="J144" s="702">
        <v>0.84950000000000003</v>
      </c>
      <c r="K144" s="701">
        <v>16.682481000000003</v>
      </c>
      <c r="L144" s="701">
        <v>19.638000000000002</v>
      </c>
      <c r="M144" s="701">
        <v>3</v>
      </c>
      <c r="N144" s="702">
        <v>0.84950000000000003</v>
      </c>
      <c r="O144" s="701">
        <v>94.56549050000001</v>
      </c>
      <c r="P144" s="701">
        <f t="shared" si="2"/>
        <v>111.319</v>
      </c>
      <c r="Q144" s="701">
        <v>26.166665999999999</v>
      </c>
      <c r="R144" s="702">
        <v>0.84950000000000003</v>
      </c>
      <c r="S144" s="658" t="s">
        <v>356</v>
      </c>
      <c r="T144" s="703">
        <f t="array" ref="T144">INDEX(UtilityList!Q$4:Q$251,MATCH('Table 2.5a'!$A144&amp;'Table 2.5a'!$B144,UtilityList!$A$4:$A$251&amp;UtilityList!$C$4:$C$251,0))</f>
        <v>0</v>
      </c>
      <c r="U144" s="704" t="str">
        <f t="array" ref="U144">INDEX(UtilityList!J$4:J$251,MATCH('Table 2.5a'!$A144&amp;'Table 2.5a'!$B144,UtilityList!$A$4:$A$251&amp;UtilityList!$C$4:$C$251,0))</f>
        <v>Lower Yukon-Kuskokwim</v>
      </c>
      <c r="V144" s="704" t="str">
        <f t="array" ref="V144">INDEX(UtilityList!K$4:K$251,MATCH('Table 2.5a'!$A144&amp;'Table 2.5a'!$B144,UtilityList!$A$4:$A$251&amp;UtilityList!$C$4:$C$251,0))</f>
        <v>Bethel (CA)</v>
      </c>
      <c r="W144" s="704" t="str">
        <f t="array" ref="W144">INDEX(UtilityList!L$4:L$251,MATCH('Table 2.5a'!$A144&amp;'Table 2.5a'!$B144,UtilityList!$A$4:$A$251&amp;UtilityList!$C$4:$C$251,0))</f>
        <v>Calista</v>
      </c>
      <c r="X144" s="704" t="str">
        <f t="array" ref="X144">INDEX(UtilityList!M$4:M$251,MATCH('Table 2.5a'!$A144&amp;'Table 2.5a'!$B144,UtilityList!$A$4:$A$251&amp;UtilityList!$C$4:$C$251,0))</f>
        <v>SW</v>
      </c>
    </row>
    <row r="145" spans="1:24" customFormat="1" ht="75" x14ac:dyDescent="0.25">
      <c r="A145" s="361" t="s">
        <v>258</v>
      </c>
      <c r="B145" s="654" t="s">
        <v>682</v>
      </c>
      <c r="C145" s="701">
        <v>1707.3799784703001</v>
      </c>
      <c r="D145" s="701">
        <v>3383.91</v>
      </c>
      <c r="E145" s="701">
        <v>741.41669000000002</v>
      </c>
      <c r="F145" s="702">
        <v>0.50455833000000005</v>
      </c>
      <c r="G145" s="701">
        <v>4833.7308620745907</v>
      </c>
      <c r="H145" s="701">
        <v>9580.1229999999996</v>
      </c>
      <c r="I145" s="701">
        <v>244.91667000000001</v>
      </c>
      <c r="J145" s="702">
        <v>0.50455833000000005</v>
      </c>
      <c r="K145" s="701">
        <v>2761.0617529675501</v>
      </c>
      <c r="L145" s="701">
        <v>5472.2349999999997</v>
      </c>
      <c r="M145" s="701">
        <v>136.166664</v>
      </c>
      <c r="N145" s="702">
        <v>0.50455833000000005</v>
      </c>
      <c r="O145" s="701">
        <v>9302.1725935124414</v>
      </c>
      <c r="P145" s="701">
        <f t="shared" si="2"/>
        <v>18436.268</v>
      </c>
      <c r="Q145" s="701">
        <v>1122.5000240000002</v>
      </c>
      <c r="R145" s="702">
        <v>0.50455833000000005</v>
      </c>
      <c r="S145" s="658" t="s">
        <v>356</v>
      </c>
      <c r="T145" s="703" t="str">
        <f t="array" ref="T145">INDEX(UtilityList!Q$4:Q$251,MATCH('Table 2.5a'!$A145&amp;'Table 2.5a'!$B145,UtilityList!$A$4:$A$251&amp;UtilityList!$C$4:$C$251,0))</f>
        <v>Provides power to South Naknek and King Salmon via intertie. Data includes South Naknek's and King Salmon's information.</v>
      </c>
      <c r="U145" s="704" t="str">
        <f t="array" ref="U145">INDEX(UtilityList!J$4:J$251,MATCH('Table 2.5a'!$A145&amp;'Table 2.5a'!$B145,UtilityList!$A$4:$A$251&amp;UtilityList!$C$4:$C$251,0))</f>
        <v>Bristol Bay</v>
      </c>
      <c r="V145" s="704" t="str">
        <f t="array" ref="V145">INDEX(UtilityList!K$4:K$251,MATCH('Table 2.5a'!$A145&amp;'Table 2.5a'!$B145,UtilityList!$A$4:$A$251&amp;UtilityList!$C$4:$C$251,0))</f>
        <v>Bristol Bay</v>
      </c>
      <c r="W145" s="704" t="str">
        <f t="array" ref="W145">INDEX(UtilityList!L$4:L$251,MATCH('Table 2.5a'!$A145&amp;'Table 2.5a'!$B145,UtilityList!$A$4:$A$251&amp;UtilityList!$C$4:$C$251,0))</f>
        <v>Bristol Bay</v>
      </c>
      <c r="X145" s="704" t="str">
        <f t="array" ref="X145">INDEX(UtilityList!M$4:M$251,MATCH('Table 2.5a'!$A145&amp;'Table 2.5a'!$B145,UtilityList!$A$4:$A$251&amp;UtilityList!$C$4:$C$251,0))</f>
        <v>SW</v>
      </c>
    </row>
    <row r="146" spans="1:24" customFormat="1" ht="45" x14ac:dyDescent="0.25">
      <c r="A146" s="361" t="s">
        <v>260</v>
      </c>
      <c r="B146" s="654" t="s">
        <v>261</v>
      </c>
      <c r="C146" s="701">
        <v>296.61635653543999</v>
      </c>
      <c r="D146" s="701">
        <v>359.36799999999999</v>
      </c>
      <c r="E146" s="701">
        <v>111.58334000000001</v>
      </c>
      <c r="F146" s="702">
        <v>0.82538332999999997</v>
      </c>
      <c r="G146" s="701">
        <v>139.38660985375</v>
      </c>
      <c r="H146" s="701">
        <v>168.875</v>
      </c>
      <c r="I146" s="701">
        <v>17</v>
      </c>
      <c r="J146" s="702">
        <v>0.82538332999999997</v>
      </c>
      <c r="K146" s="701">
        <v>60.780403037869995</v>
      </c>
      <c r="L146" s="701">
        <v>73.638999999999996</v>
      </c>
      <c r="M146" s="701">
        <v>11.5833333</v>
      </c>
      <c r="N146" s="702">
        <v>0.82538332999999997</v>
      </c>
      <c r="O146" s="701">
        <v>496.78336942705994</v>
      </c>
      <c r="P146" s="701">
        <f t="shared" si="2"/>
        <v>601.88199999999995</v>
      </c>
      <c r="Q146" s="701">
        <v>140.16667330000001</v>
      </c>
      <c r="R146" s="702">
        <v>0.82538332999999997</v>
      </c>
      <c r="S146" s="658" t="s">
        <v>356</v>
      </c>
      <c r="T146" s="703" t="str">
        <f t="array" ref="T146">INDEX(UtilityList!Q$4:Q$251,MATCH('Table 2.5a'!$A146&amp;'Table 2.5a'!$B146,UtilityList!$A$4:$A$251&amp;UtilityList!$C$4:$C$251,0))</f>
        <v>Purchases power from Bethel Utilities Corporation</v>
      </c>
      <c r="U146" s="704" t="str">
        <f t="array" ref="U146">INDEX(UtilityList!J$4:J$251,MATCH('Table 2.5a'!$A146&amp;'Table 2.5a'!$B146,UtilityList!$A$4:$A$251&amp;UtilityList!$C$4:$C$251,0))</f>
        <v>Lower Yukon-Kuskokwim</v>
      </c>
      <c r="V146" s="704" t="str">
        <f t="array" ref="V146">INDEX(UtilityList!K$4:K$251,MATCH('Table 2.5a'!$A146&amp;'Table 2.5a'!$B146,UtilityList!$A$4:$A$251&amp;UtilityList!$C$4:$C$251,0))</f>
        <v>Bethel (CA)</v>
      </c>
      <c r="W146" s="704" t="str">
        <f t="array" ref="W146">INDEX(UtilityList!L$4:L$251,MATCH('Table 2.5a'!$A146&amp;'Table 2.5a'!$B146,UtilityList!$A$4:$A$251&amp;UtilityList!$C$4:$C$251,0))</f>
        <v>Calista</v>
      </c>
      <c r="X146" s="704" t="str">
        <f t="array" ref="X146">INDEX(UtilityList!M$4:M$251,MATCH('Table 2.5a'!$A146&amp;'Table 2.5a'!$B146,UtilityList!$A$4:$A$251&amp;UtilityList!$C$4:$C$251,0))</f>
        <v>SW</v>
      </c>
    </row>
    <row r="147" spans="1:24" customFormat="1" ht="30" x14ac:dyDescent="0.25">
      <c r="A147" s="361" t="s">
        <v>262</v>
      </c>
      <c r="B147" s="654" t="s">
        <v>263</v>
      </c>
      <c r="C147" s="701">
        <v>282.7491</v>
      </c>
      <c r="D147" s="701">
        <v>443.52800000000002</v>
      </c>
      <c r="E147" s="701">
        <v>107</v>
      </c>
      <c r="F147" s="702">
        <v>0.63749999999999996</v>
      </c>
      <c r="G147" s="701">
        <v>137.08098749999999</v>
      </c>
      <c r="H147" s="701">
        <v>215.029</v>
      </c>
      <c r="I147" s="701">
        <v>5</v>
      </c>
      <c r="J147" s="702">
        <v>0.63749999999999996</v>
      </c>
      <c r="K147" s="701">
        <v>58.085812499999996</v>
      </c>
      <c r="L147" s="701">
        <v>91.114999999999995</v>
      </c>
      <c r="M147" s="701">
        <v>13</v>
      </c>
      <c r="N147" s="702">
        <v>0.63749999999999996</v>
      </c>
      <c r="O147" s="701">
        <v>477.91589999999997</v>
      </c>
      <c r="P147" s="701">
        <f t="shared" si="2"/>
        <v>749.67200000000003</v>
      </c>
      <c r="Q147" s="701">
        <v>125</v>
      </c>
      <c r="R147" s="702">
        <v>0.63749999999999996</v>
      </c>
      <c r="S147" s="658" t="s">
        <v>356</v>
      </c>
      <c r="T147" s="703">
        <f t="array" ref="T147">INDEX(UtilityList!Q$4:Q$251,MATCH('Table 2.5a'!$A147&amp;'Table 2.5a'!$B147,UtilityList!$A$4:$A$251&amp;UtilityList!$C$4:$C$251,0))</f>
        <v>0</v>
      </c>
      <c r="U147" s="704" t="str">
        <f t="array" ref="U147">INDEX(UtilityList!J$4:J$251,MATCH('Table 2.5a'!$A147&amp;'Table 2.5a'!$B147,UtilityList!$A$4:$A$251&amp;UtilityList!$C$4:$C$251,0))</f>
        <v>Lower Yukon-Kuskokwim</v>
      </c>
      <c r="V147" s="704" t="str">
        <f t="array" ref="V147">INDEX(UtilityList!K$4:K$251,MATCH('Table 2.5a'!$A147&amp;'Table 2.5a'!$B147,UtilityList!$A$4:$A$251&amp;UtilityList!$C$4:$C$251,0))</f>
        <v>Bethel (CA)</v>
      </c>
      <c r="W147" s="704" t="str">
        <f t="array" ref="W147">INDEX(UtilityList!L$4:L$251,MATCH('Table 2.5a'!$A147&amp;'Table 2.5a'!$B147,UtilityList!$A$4:$A$251&amp;UtilityList!$C$4:$C$251,0))</f>
        <v>Calista</v>
      </c>
      <c r="X147" s="704" t="str">
        <f t="array" ref="X147">INDEX(UtilityList!M$4:M$251,MATCH('Table 2.5a'!$A147&amp;'Table 2.5a'!$B147,UtilityList!$A$4:$A$251&amp;UtilityList!$C$4:$C$251,0))</f>
        <v>SW</v>
      </c>
    </row>
    <row r="148" spans="1:24" customFormat="1" x14ac:dyDescent="0.25">
      <c r="A148" s="361" t="s">
        <v>264</v>
      </c>
      <c r="B148" s="654" t="s">
        <v>265</v>
      </c>
      <c r="C148" s="701">
        <v>242.7149319344</v>
      </c>
      <c r="D148" s="701">
        <v>419.68</v>
      </c>
      <c r="E148" s="701">
        <v>95.166663999999997</v>
      </c>
      <c r="F148" s="702">
        <v>0.57833332999999998</v>
      </c>
      <c r="G148" s="701">
        <v>107.35370271458</v>
      </c>
      <c r="H148" s="701">
        <v>185.626</v>
      </c>
      <c r="I148" s="701">
        <v>7.1666664999999998</v>
      </c>
      <c r="J148" s="702">
        <v>0.57833332999999998</v>
      </c>
      <c r="K148" s="701">
        <v>282.08613004081002</v>
      </c>
      <c r="L148" s="701">
        <v>487.75700000000001</v>
      </c>
      <c r="M148" s="701">
        <v>24.833333500000002</v>
      </c>
      <c r="N148" s="702">
        <v>0.57833332999999998</v>
      </c>
      <c r="O148" s="701">
        <v>632.15476468979</v>
      </c>
      <c r="P148" s="701">
        <f t="shared" si="2"/>
        <v>1093.0630000000001</v>
      </c>
      <c r="Q148" s="701">
        <v>127.166664</v>
      </c>
      <c r="R148" s="702">
        <v>0.57833332999999998</v>
      </c>
      <c r="S148" s="658" t="s">
        <v>356</v>
      </c>
      <c r="T148" s="703">
        <f t="array" ref="T148">INDEX(UtilityList!Q$4:Q$251,MATCH('Table 2.5a'!$A148&amp;'Table 2.5a'!$B148,UtilityList!$A$4:$A$251&amp;UtilityList!$C$4:$C$251,0))</f>
        <v>0</v>
      </c>
      <c r="U148" s="704" t="str">
        <f t="array" ref="U148">INDEX(UtilityList!J$4:J$251,MATCH('Table 2.5a'!$A148&amp;'Table 2.5a'!$B148,UtilityList!$A$4:$A$251&amp;UtilityList!$C$4:$C$251,0))</f>
        <v>Lower Yukon-Kuskokwim</v>
      </c>
      <c r="V148" s="704" t="str">
        <f t="array" ref="V148">INDEX(UtilityList!K$4:K$251,MATCH('Table 2.5a'!$A148&amp;'Table 2.5a'!$B148,UtilityList!$A$4:$A$251&amp;UtilityList!$C$4:$C$251,0))</f>
        <v>Bethel (CA)</v>
      </c>
      <c r="W148" s="704" t="str">
        <f t="array" ref="W148">INDEX(UtilityList!L$4:L$251,MATCH('Table 2.5a'!$A148&amp;'Table 2.5a'!$B148,UtilityList!$A$4:$A$251&amp;UtilityList!$C$4:$C$251,0))</f>
        <v>Calista</v>
      </c>
      <c r="X148" s="704" t="str">
        <f t="array" ref="X148">INDEX(UtilityList!M$4:M$251,MATCH('Table 2.5a'!$A148&amp;'Table 2.5a'!$B148,UtilityList!$A$4:$A$251&amp;UtilityList!$C$4:$C$251,0))</f>
        <v>SW</v>
      </c>
    </row>
    <row r="149" spans="1:24" customFormat="1" ht="30" x14ac:dyDescent="0.25">
      <c r="A149" s="361" t="s">
        <v>266</v>
      </c>
      <c r="B149" s="654" t="s">
        <v>267</v>
      </c>
      <c r="C149" s="701">
        <v>116.94119999999999</v>
      </c>
      <c r="D149" s="701">
        <v>123.096</v>
      </c>
      <c r="E149" s="701">
        <v>44.75</v>
      </c>
      <c r="F149" s="702">
        <v>0.95</v>
      </c>
      <c r="G149" s="701">
        <v>149.834</v>
      </c>
      <c r="H149" s="701">
        <v>157.72</v>
      </c>
      <c r="I149" s="701">
        <v>9.6666670000000003</v>
      </c>
      <c r="J149" s="702">
        <v>0.95</v>
      </c>
      <c r="K149" s="701">
        <v>58.115299999999998</v>
      </c>
      <c r="L149" s="701">
        <v>61.173999999999999</v>
      </c>
      <c r="M149" s="701">
        <v>8.0833335000000002</v>
      </c>
      <c r="N149" s="702">
        <v>0.95</v>
      </c>
      <c r="O149" s="701">
        <v>324.89049999999997</v>
      </c>
      <c r="P149" s="701">
        <f t="shared" si="2"/>
        <v>341.99</v>
      </c>
      <c r="Q149" s="701">
        <v>62.500000500000006</v>
      </c>
      <c r="R149" s="702">
        <v>0.95</v>
      </c>
      <c r="S149" s="658" t="s">
        <v>356</v>
      </c>
      <c r="T149" s="703">
        <f t="array" ref="T149">INDEX(UtilityList!Q$4:Q$251,MATCH('Table 2.5a'!$A149&amp;'Table 2.5a'!$B149,UtilityList!$A$4:$A$251&amp;UtilityList!$C$4:$C$251,0))</f>
        <v>0</v>
      </c>
      <c r="U149" s="704" t="str">
        <f t="array" ref="U149">INDEX(UtilityList!J$4:J$251,MATCH('Table 2.5a'!$A149&amp;'Table 2.5a'!$B149,UtilityList!$A$4:$A$251&amp;UtilityList!$C$4:$C$251,0))</f>
        <v>Bristol Bay</v>
      </c>
      <c r="V149" s="704" t="str">
        <f t="array" ref="V149">INDEX(UtilityList!K$4:K$251,MATCH('Table 2.5a'!$A149&amp;'Table 2.5a'!$B149,UtilityList!$A$4:$A$251&amp;UtilityList!$C$4:$C$251,0))</f>
        <v>Lake and Peninsula</v>
      </c>
      <c r="W149" s="704" t="str">
        <f t="array" ref="W149">INDEX(UtilityList!L$4:L$251,MATCH('Table 2.5a'!$A149&amp;'Table 2.5a'!$B149,UtilityList!$A$4:$A$251&amp;UtilityList!$C$4:$C$251,0))</f>
        <v>Bristol Bay</v>
      </c>
      <c r="X149" s="704" t="str">
        <f t="array" ref="X149">INDEX(UtilityList!M$4:M$251,MATCH('Table 2.5a'!$A149&amp;'Table 2.5a'!$B149,UtilityList!$A$4:$A$251&amp;UtilityList!$C$4:$C$251,0))</f>
        <v>SW</v>
      </c>
    </row>
    <row r="150" spans="1:24" customFormat="1" ht="30" x14ac:dyDescent="0.25">
      <c r="A150" s="361" t="s">
        <v>268</v>
      </c>
      <c r="B150" s="654" t="s">
        <v>269</v>
      </c>
      <c r="C150" s="701">
        <v>117.77863500000001</v>
      </c>
      <c r="D150" s="701">
        <v>153.959</v>
      </c>
      <c r="E150" s="701">
        <v>36</v>
      </c>
      <c r="F150" s="702">
        <v>0.76500000000000001</v>
      </c>
      <c r="G150" s="701">
        <v>119.37213</v>
      </c>
      <c r="H150" s="701">
        <v>156.042</v>
      </c>
      <c r="I150" s="701">
        <v>13</v>
      </c>
      <c r="J150" s="702">
        <v>0.76500000000000001</v>
      </c>
      <c r="K150" s="701">
        <v>48.386250000000004</v>
      </c>
      <c r="L150" s="701">
        <v>63.25</v>
      </c>
      <c r="M150" s="701">
        <v>11</v>
      </c>
      <c r="N150" s="702">
        <v>0.76500000000000001</v>
      </c>
      <c r="O150" s="701">
        <v>285.537015</v>
      </c>
      <c r="P150" s="701">
        <f t="shared" si="2"/>
        <v>373.25099999999998</v>
      </c>
      <c r="Q150" s="701">
        <v>60</v>
      </c>
      <c r="R150" s="702">
        <v>0.76500000000000001</v>
      </c>
      <c r="S150" s="658" t="s">
        <v>356</v>
      </c>
      <c r="T150" s="703">
        <f t="array" ref="T150">INDEX(UtilityList!Q$4:Q$251,MATCH('Table 2.5a'!$A150&amp;'Table 2.5a'!$B150,UtilityList!$A$4:$A$251&amp;UtilityList!$C$4:$C$251,0))</f>
        <v>0</v>
      </c>
      <c r="U150" s="704" t="str">
        <f t="array" ref="U150">INDEX(UtilityList!J$4:J$251,MATCH('Table 2.5a'!$A150&amp;'Table 2.5a'!$B150,UtilityList!$A$4:$A$251&amp;UtilityList!$C$4:$C$251,0))</f>
        <v>Aleutians</v>
      </c>
      <c r="V150" s="704" t="str">
        <f t="array" ref="V150">INDEX(UtilityList!K$4:K$251,MATCH('Table 2.5a'!$A150&amp;'Table 2.5a'!$B150,UtilityList!$A$4:$A$251&amp;UtilityList!$C$4:$C$251,0))</f>
        <v>Aleutians East</v>
      </c>
      <c r="W150" s="704" t="str">
        <f t="array" ref="W150">INDEX(UtilityList!L$4:L$251,MATCH('Table 2.5a'!$A150&amp;'Table 2.5a'!$B150,UtilityList!$A$4:$A$251&amp;UtilityList!$C$4:$C$251,0))</f>
        <v>Aleut</v>
      </c>
      <c r="X150" s="704" t="str">
        <f t="array" ref="X150">INDEX(UtilityList!M$4:M$251,MATCH('Table 2.5a'!$A150&amp;'Table 2.5a'!$B150,UtilityList!$A$4:$A$251&amp;UtilityList!$C$4:$C$251,0))</f>
        <v>SW</v>
      </c>
    </row>
    <row r="151" spans="1:24" customFormat="1" ht="30" x14ac:dyDescent="0.25">
      <c r="A151" s="361" t="s">
        <v>270</v>
      </c>
      <c r="B151" s="654" t="s">
        <v>271</v>
      </c>
      <c r="C151" s="701">
        <v>130.37686000000002</v>
      </c>
      <c r="D151" s="701">
        <v>258.17200000000003</v>
      </c>
      <c r="E151" s="701">
        <v>70</v>
      </c>
      <c r="F151" s="702">
        <v>0.505</v>
      </c>
      <c r="G151" s="701">
        <v>35.590885</v>
      </c>
      <c r="H151" s="701">
        <v>70.477000000000004</v>
      </c>
      <c r="I151" s="701">
        <v>7</v>
      </c>
      <c r="J151" s="702">
        <v>0.505</v>
      </c>
      <c r="K151" s="701">
        <v>142.12265499999998</v>
      </c>
      <c r="L151" s="701">
        <v>281.43099999999998</v>
      </c>
      <c r="M151" s="701">
        <v>23</v>
      </c>
      <c r="N151" s="702">
        <v>0.505</v>
      </c>
      <c r="O151" s="701">
        <v>308.09040000000005</v>
      </c>
      <c r="P151" s="701">
        <f t="shared" si="2"/>
        <v>610.07999999999993</v>
      </c>
      <c r="Q151" s="701">
        <v>100</v>
      </c>
      <c r="R151" s="702">
        <v>0.505</v>
      </c>
      <c r="S151" s="658" t="s">
        <v>356</v>
      </c>
      <c r="T151" s="703">
        <f t="array" ref="T151">INDEX(UtilityList!Q$4:Q$251,MATCH('Table 2.5a'!$A151&amp;'Table 2.5a'!$B151,UtilityList!$A$4:$A$251&amp;UtilityList!$C$4:$C$251,0))</f>
        <v>0</v>
      </c>
      <c r="U151" s="704" t="str">
        <f t="array" ref="U151">INDEX(UtilityList!J$4:J$251,MATCH('Table 2.5a'!$A151&amp;'Table 2.5a'!$B151,UtilityList!$A$4:$A$251&amp;UtilityList!$C$4:$C$251,0))</f>
        <v>Bristol Bay</v>
      </c>
      <c r="V151" s="704" t="str">
        <f t="array" ref="V151">INDEX(UtilityList!K$4:K$251,MATCH('Table 2.5a'!$A151&amp;'Table 2.5a'!$B151,UtilityList!$A$4:$A$251&amp;UtilityList!$C$4:$C$251,0))</f>
        <v>Dillingham (CA)</v>
      </c>
      <c r="W151" s="704" t="str">
        <f t="array" ref="W151">INDEX(UtilityList!L$4:L$251,MATCH('Table 2.5a'!$A151&amp;'Table 2.5a'!$B151,UtilityList!$A$4:$A$251&amp;UtilityList!$C$4:$C$251,0))</f>
        <v>Bristol Bay</v>
      </c>
      <c r="X151" s="704" t="str">
        <f t="array" ref="X151">INDEX(UtilityList!M$4:M$251,MATCH('Table 2.5a'!$A151&amp;'Table 2.5a'!$B151,UtilityList!$A$4:$A$251&amp;UtilityList!$C$4:$C$251,0))</f>
        <v>SW</v>
      </c>
    </row>
    <row r="152" spans="1:24" customFormat="1" x14ac:dyDescent="0.25">
      <c r="A152" s="361" t="s">
        <v>272</v>
      </c>
      <c r="B152" s="654" t="s">
        <v>273</v>
      </c>
      <c r="C152" s="701">
        <v>127.11996312499998</v>
      </c>
      <c r="D152" s="701">
        <v>158.07499999999999</v>
      </c>
      <c r="E152" s="701">
        <v>35.333331999999999</v>
      </c>
      <c r="F152" s="702">
        <v>0.80417499999999997</v>
      </c>
      <c r="G152" s="701">
        <v>56.437001500000001</v>
      </c>
      <c r="H152" s="701">
        <v>70.180000000000007</v>
      </c>
      <c r="I152" s="701">
        <v>6</v>
      </c>
      <c r="J152" s="702">
        <v>0.80417499999999997</v>
      </c>
      <c r="K152" s="701">
        <v>85.152482399999997</v>
      </c>
      <c r="L152" s="701">
        <v>105.88800000000001</v>
      </c>
      <c r="M152" s="701">
        <v>13</v>
      </c>
      <c r="N152" s="702">
        <v>0.80417499999999997</v>
      </c>
      <c r="O152" s="701">
        <v>268.70944702499997</v>
      </c>
      <c r="P152" s="701">
        <f t="shared" si="2"/>
        <v>334.14300000000003</v>
      </c>
      <c r="Q152" s="701">
        <v>54.333331999999999</v>
      </c>
      <c r="R152" s="702">
        <v>0.80417499999999997</v>
      </c>
      <c r="S152" s="658" t="s">
        <v>356</v>
      </c>
      <c r="T152" s="703">
        <f t="array" ref="T152">INDEX(UtilityList!Q$4:Q$251,MATCH('Table 2.5a'!$A152&amp;'Table 2.5a'!$B152,UtilityList!$A$4:$A$251&amp;UtilityList!$C$4:$C$251,0))</f>
        <v>0</v>
      </c>
      <c r="U152" s="704" t="str">
        <f t="array" ref="U152">INDEX(UtilityList!J$4:J$251,MATCH('Table 2.5a'!$A152&amp;'Table 2.5a'!$B152,UtilityList!$A$4:$A$251&amp;UtilityList!$C$4:$C$251,0))</f>
        <v>Yukon-Koyukuk/Upper Tanana</v>
      </c>
      <c r="V152" s="704" t="str">
        <f t="array" ref="V152">INDEX(UtilityList!K$4:K$251,MATCH('Table 2.5a'!$A152&amp;'Table 2.5a'!$B152,UtilityList!$A$4:$A$251&amp;UtilityList!$C$4:$C$251,0))</f>
        <v>Yukon-Koyukuk (CA)</v>
      </c>
      <c r="W152" s="704" t="str">
        <f t="array" ref="W152">INDEX(UtilityList!L$4:L$251,MATCH('Table 2.5a'!$A152&amp;'Table 2.5a'!$B152,UtilityList!$A$4:$A$251&amp;UtilityList!$C$4:$C$251,0))</f>
        <v>Doyon</v>
      </c>
      <c r="X152" s="704" t="str">
        <f t="array" ref="X152">INDEX(UtilityList!M$4:M$251,MATCH('Table 2.5a'!$A152&amp;'Table 2.5a'!$B152,UtilityList!$A$4:$A$251&amp;UtilityList!$C$4:$C$251,0))</f>
        <v>SW</v>
      </c>
    </row>
    <row r="153" spans="1:24" s="153" customFormat="1" ht="30" x14ac:dyDescent="0.25">
      <c r="A153" s="361" t="s">
        <v>274</v>
      </c>
      <c r="B153" s="654" t="s">
        <v>276</v>
      </c>
      <c r="C153" s="701">
        <v>3338.3782034000001</v>
      </c>
      <c r="D153" s="701">
        <v>9216.9470000000001</v>
      </c>
      <c r="E153" s="701">
        <v>1700.9166</v>
      </c>
      <c r="F153" s="702">
        <v>0.36220000000000002</v>
      </c>
      <c r="G153" s="701">
        <v>6087.4696838</v>
      </c>
      <c r="H153" s="701">
        <v>16806.929</v>
      </c>
      <c r="I153" s="701">
        <v>280.66665999999998</v>
      </c>
      <c r="J153" s="702">
        <v>0.36220000000000002</v>
      </c>
      <c r="K153" s="701">
        <v>2445.6370606</v>
      </c>
      <c r="L153" s="701">
        <v>6752.1729999999998</v>
      </c>
      <c r="M153" s="701">
        <v>125.833332</v>
      </c>
      <c r="N153" s="702">
        <v>0.36220000000000002</v>
      </c>
      <c r="O153" s="701">
        <v>11871.4849478</v>
      </c>
      <c r="P153" s="701">
        <f t="shared" si="2"/>
        <v>32776.048999999999</v>
      </c>
      <c r="Q153" s="701">
        <v>2107.416592</v>
      </c>
      <c r="R153" s="702">
        <v>0.36220000000000002</v>
      </c>
      <c r="S153" s="658" t="s">
        <v>356</v>
      </c>
      <c r="T153" s="703">
        <f t="array" ref="T153">INDEX(UtilityList!Q$4:Q$251,MATCH('Table 2.5a'!$A153&amp;'Table 2.5a'!$B153,UtilityList!$A$4:$A$251&amp;UtilityList!$C$4:$C$251,0))</f>
        <v>0</v>
      </c>
      <c r="U153" s="704" t="str">
        <f t="array" ref="U153">INDEX(UtilityList!J$4:J$251,MATCH('Table 2.5a'!$A153&amp;'Table 2.5a'!$B153,UtilityList!$A$4:$A$251&amp;UtilityList!$C$4:$C$251,0))</f>
        <v>Bering Straits</v>
      </c>
      <c r="V153" s="704" t="str">
        <f t="array" ref="V153">INDEX(UtilityList!K$4:K$251,MATCH('Table 2.5a'!$A153&amp;'Table 2.5a'!$B153,UtilityList!$A$4:$A$251&amp;UtilityList!$C$4:$C$251,0))</f>
        <v>Nome (CA)</v>
      </c>
      <c r="W153" s="704" t="str">
        <f t="array" ref="W153">INDEX(UtilityList!L$4:L$251,MATCH('Table 2.5a'!$A153&amp;'Table 2.5a'!$B153,UtilityList!$A$4:$A$251&amp;UtilityList!$C$4:$C$251,0))</f>
        <v>Bering Straits</v>
      </c>
      <c r="X153" s="704" t="str">
        <f t="array" ref="X153">INDEX(UtilityList!M$4:M$251,MATCH('Table 2.5a'!$A153&amp;'Table 2.5a'!$B153,UtilityList!$A$4:$A$251&amp;UtilityList!$C$4:$C$251,0))</f>
        <v>AN</v>
      </c>
    </row>
    <row r="154" spans="1:24" s="154" customFormat="1" ht="30" x14ac:dyDescent="0.25">
      <c r="A154" s="352" t="s">
        <v>277</v>
      </c>
      <c r="B154" s="633" t="s">
        <v>278</v>
      </c>
      <c r="C154" s="701">
        <v>97.884599999999992</v>
      </c>
      <c r="D154" s="701">
        <v>652.56399999999996</v>
      </c>
      <c r="E154" s="701">
        <v>92</v>
      </c>
      <c r="F154" s="702">
        <v>0.15</v>
      </c>
      <c r="G154" s="701">
        <v>385.48154999999997</v>
      </c>
      <c r="H154" s="701">
        <v>2569.877</v>
      </c>
      <c r="I154" s="701">
        <v>59.166668000000001</v>
      </c>
      <c r="J154" s="702">
        <v>0.15</v>
      </c>
      <c r="K154" s="701">
        <v>10.553849999999999</v>
      </c>
      <c r="L154" s="701">
        <v>70.358999999999995</v>
      </c>
      <c r="M154" s="701">
        <v>4</v>
      </c>
      <c r="N154" s="702">
        <v>0.15</v>
      </c>
      <c r="O154" s="701">
        <v>493.91999999999996</v>
      </c>
      <c r="P154" s="701">
        <f t="shared" si="2"/>
        <v>3292.7999999999997</v>
      </c>
      <c r="Q154" s="701">
        <v>155.16666800000002</v>
      </c>
      <c r="R154" s="702">
        <v>0.15</v>
      </c>
      <c r="S154" s="662" t="s">
        <v>356</v>
      </c>
      <c r="T154" s="703">
        <f t="array" ref="T154">INDEX(UtilityList!Q$4:Q$251,MATCH('Table 2.5a'!$A154&amp;'Table 2.5a'!$B154,UtilityList!$A$4:$A$251&amp;UtilityList!$C$4:$C$251,0))</f>
        <v>0</v>
      </c>
      <c r="U154" s="704" t="str">
        <f t="array" ref="U154">INDEX(UtilityList!J$4:J$251,MATCH('Table 2.5a'!$A154&amp;'Table 2.5a'!$B154,UtilityList!$A$4:$A$251&amp;UtilityList!$C$4:$C$251,0))</f>
        <v>North Slope</v>
      </c>
      <c r="V154" s="704" t="str">
        <f t="array" ref="V154">INDEX(UtilityList!K$4:K$251,MATCH('Table 2.5a'!$A154&amp;'Table 2.5a'!$B154,UtilityList!$A$4:$A$251&amp;UtilityList!$C$4:$C$251,0))</f>
        <v>North Slope</v>
      </c>
      <c r="W154" s="704" t="str">
        <f t="array" ref="W154">INDEX(UtilityList!L$4:L$251,MATCH('Table 2.5a'!$A154&amp;'Table 2.5a'!$B154,UtilityList!$A$4:$A$251&amp;UtilityList!$C$4:$C$251,0))</f>
        <v>Arctic Slope</v>
      </c>
      <c r="X154" s="704" t="str">
        <f t="array" ref="X154">INDEX(UtilityList!M$4:M$251,MATCH('Table 2.5a'!$A154&amp;'Table 2.5a'!$B154,UtilityList!$A$4:$A$251&amp;UtilityList!$C$4:$C$251,0))</f>
        <v>AN</v>
      </c>
    </row>
    <row r="155" spans="1:24" s="153" customFormat="1" ht="30" x14ac:dyDescent="0.25">
      <c r="A155" s="352" t="s">
        <v>277</v>
      </c>
      <c r="B155" s="633" t="s">
        <v>279</v>
      </c>
      <c r="C155" s="701">
        <v>87.6066</v>
      </c>
      <c r="D155" s="701">
        <v>584.04399999999998</v>
      </c>
      <c r="E155" s="701">
        <v>57.75</v>
      </c>
      <c r="F155" s="702">
        <v>0.15</v>
      </c>
      <c r="G155" s="701">
        <v>348.21165000000002</v>
      </c>
      <c r="H155" s="701">
        <v>2321.4110000000001</v>
      </c>
      <c r="I155" s="701">
        <v>56</v>
      </c>
      <c r="J155" s="702">
        <v>0.15</v>
      </c>
      <c r="K155" s="701">
        <v>13.279500000000001</v>
      </c>
      <c r="L155" s="701">
        <v>88.53</v>
      </c>
      <c r="M155" s="701">
        <v>4</v>
      </c>
      <c r="N155" s="702">
        <v>0.15</v>
      </c>
      <c r="O155" s="701">
        <v>449.09775000000002</v>
      </c>
      <c r="P155" s="701">
        <f t="shared" si="2"/>
        <v>2993.9850000000001</v>
      </c>
      <c r="Q155" s="701">
        <v>117.75</v>
      </c>
      <c r="R155" s="702">
        <v>0.15</v>
      </c>
      <c r="S155" s="662" t="s">
        <v>356</v>
      </c>
      <c r="T155" s="703">
        <f t="array" ref="T155">INDEX(UtilityList!Q$4:Q$251,MATCH('Table 2.5a'!$A155&amp;'Table 2.5a'!$B155,UtilityList!$A$4:$A$251&amp;UtilityList!$C$4:$C$251,0))</f>
        <v>0</v>
      </c>
      <c r="U155" s="704" t="str">
        <f t="array" ref="U155">INDEX(UtilityList!J$4:J$251,MATCH('Table 2.5a'!$A155&amp;'Table 2.5a'!$B155,UtilityList!$A$4:$A$251&amp;UtilityList!$C$4:$C$251,0))</f>
        <v>North Slope</v>
      </c>
      <c r="V155" s="704" t="str">
        <f t="array" ref="V155">INDEX(UtilityList!K$4:K$251,MATCH('Table 2.5a'!$A155&amp;'Table 2.5a'!$B155,UtilityList!$A$4:$A$251&amp;UtilityList!$C$4:$C$251,0))</f>
        <v>North Slope</v>
      </c>
      <c r="W155" s="704" t="str">
        <f t="array" ref="W155">INDEX(UtilityList!L$4:L$251,MATCH('Table 2.5a'!$A155&amp;'Table 2.5a'!$B155,UtilityList!$A$4:$A$251&amp;UtilityList!$C$4:$C$251,0))</f>
        <v>Arctic Slope</v>
      </c>
      <c r="X155" s="704" t="str">
        <f t="array" ref="X155">INDEX(UtilityList!M$4:M$251,MATCH('Table 2.5a'!$A155&amp;'Table 2.5a'!$B155,UtilityList!$A$4:$A$251&amp;UtilityList!$C$4:$C$251,0))</f>
        <v>AN</v>
      </c>
    </row>
    <row r="156" spans="1:24" s="153" customFormat="1" ht="30" x14ac:dyDescent="0.25">
      <c r="A156" s="352" t="s">
        <v>277</v>
      </c>
      <c r="B156" s="633" t="s">
        <v>280</v>
      </c>
      <c r="C156" s="701">
        <v>97.421399999999991</v>
      </c>
      <c r="D156" s="701">
        <v>649.476</v>
      </c>
      <c r="E156" s="701">
        <v>78.583336000000003</v>
      </c>
      <c r="F156" s="702">
        <v>0.15</v>
      </c>
      <c r="G156" s="701">
        <v>500.52074999999996</v>
      </c>
      <c r="H156" s="701">
        <v>3336.8049999999998</v>
      </c>
      <c r="I156" s="701">
        <v>48.916668000000001</v>
      </c>
      <c r="J156" s="702">
        <v>0.15</v>
      </c>
      <c r="K156" s="701">
        <v>129.02295000000001</v>
      </c>
      <c r="L156" s="701">
        <v>860.15300000000002</v>
      </c>
      <c r="M156" s="701">
        <v>10</v>
      </c>
      <c r="N156" s="702">
        <v>0.15</v>
      </c>
      <c r="O156" s="701">
        <v>726.96510000000001</v>
      </c>
      <c r="P156" s="701">
        <f t="shared" si="2"/>
        <v>4846.4340000000002</v>
      </c>
      <c r="Q156" s="701">
        <v>137.50000399999999</v>
      </c>
      <c r="R156" s="702">
        <v>0.15</v>
      </c>
      <c r="S156" s="662" t="s">
        <v>356</v>
      </c>
      <c r="T156" s="703">
        <f t="array" ref="T156">INDEX(UtilityList!Q$4:Q$251,MATCH('Table 2.5a'!$A156&amp;'Table 2.5a'!$B156,UtilityList!$A$4:$A$251&amp;UtilityList!$C$4:$C$251,0))</f>
        <v>0</v>
      </c>
      <c r="U156" s="704" t="str">
        <f t="array" ref="U156">INDEX(UtilityList!J$4:J$251,MATCH('Table 2.5a'!$A156&amp;'Table 2.5a'!$B156,UtilityList!$A$4:$A$251&amp;UtilityList!$C$4:$C$251,0))</f>
        <v>North Slope</v>
      </c>
      <c r="V156" s="704" t="str">
        <f t="array" ref="V156">INDEX(UtilityList!K$4:K$251,MATCH('Table 2.5a'!$A156&amp;'Table 2.5a'!$B156,UtilityList!$A$4:$A$251&amp;UtilityList!$C$4:$C$251,0))</f>
        <v>North Slope</v>
      </c>
      <c r="W156" s="704" t="str">
        <f t="array" ref="W156">INDEX(UtilityList!L$4:L$251,MATCH('Table 2.5a'!$A156&amp;'Table 2.5a'!$B156,UtilityList!$A$4:$A$251&amp;UtilityList!$C$4:$C$251,0))</f>
        <v>Arctic Slope</v>
      </c>
      <c r="X156" s="704" t="str">
        <f t="array" ref="X156">INDEX(UtilityList!M$4:M$251,MATCH('Table 2.5a'!$A156&amp;'Table 2.5a'!$B156,UtilityList!$A$4:$A$251&amp;UtilityList!$C$4:$C$251,0))</f>
        <v>AN</v>
      </c>
    </row>
    <row r="157" spans="1:24" s="153" customFormat="1" ht="30" x14ac:dyDescent="0.25">
      <c r="A157" s="352" t="s">
        <v>277</v>
      </c>
      <c r="B157" s="633" t="s">
        <v>281</v>
      </c>
      <c r="C157" s="701">
        <v>71.562240000000003</v>
      </c>
      <c r="D157" s="701">
        <v>894.52800000000002</v>
      </c>
      <c r="E157" s="701">
        <v>104.75</v>
      </c>
      <c r="F157" s="702">
        <v>0.08</v>
      </c>
      <c r="G157" s="701">
        <v>284.43056000000001</v>
      </c>
      <c r="H157" s="701">
        <v>3555.3820000000001</v>
      </c>
      <c r="I157" s="701">
        <v>66.25</v>
      </c>
      <c r="J157" s="702">
        <v>0.08</v>
      </c>
      <c r="K157" s="701">
        <v>9.3680800000000009</v>
      </c>
      <c r="L157" s="701">
        <v>117.101</v>
      </c>
      <c r="M157" s="701">
        <v>5.3333332999999996</v>
      </c>
      <c r="N157" s="702">
        <v>0.08</v>
      </c>
      <c r="O157" s="701">
        <v>365.36088000000001</v>
      </c>
      <c r="P157" s="701">
        <f t="shared" si="2"/>
        <v>4567.0109999999995</v>
      </c>
      <c r="Q157" s="701">
        <v>176.33333329999999</v>
      </c>
      <c r="R157" s="702">
        <v>0.08</v>
      </c>
      <c r="S157" s="662" t="s">
        <v>356</v>
      </c>
      <c r="T157" s="703">
        <f t="array" ref="T157">INDEX(UtilityList!Q$4:Q$251,MATCH('Table 2.5a'!$A157&amp;'Table 2.5a'!$B157,UtilityList!$A$4:$A$251&amp;UtilityList!$C$4:$C$251,0))</f>
        <v>0</v>
      </c>
      <c r="U157" s="704" t="str">
        <f t="array" ref="U157">INDEX(UtilityList!J$4:J$251,MATCH('Table 2.5a'!$A157&amp;'Table 2.5a'!$B157,UtilityList!$A$4:$A$251&amp;UtilityList!$C$4:$C$251,0))</f>
        <v>North Slope</v>
      </c>
      <c r="V157" s="704" t="str">
        <f t="array" ref="V157">INDEX(UtilityList!K$4:K$251,MATCH('Table 2.5a'!$A157&amp;'Table 2.5a'!$B157,UtilityList!$A$4:$A$251&amp;UtilityList!$C$4:$C$251,0))</f>
        <v>North Slope</v>
      </c>
      <c r="W157" s="704" t="str">
        <f t="array" ref="W157">INDEX(UtilityList!L$4:L$251,MATCH('Table 2.5a'!$A157&amp;'Table 2.5a'!$B157,UtilityList!$A$4:$A$251&amp;UtilityList!$C$4:$C$251,0))</f>
        <v>Arctic Slope</v>
      </c>
      <c r="X157" s="704" t="str">
        <f t="array" ref="X157">INDEX(UtilityList!M$4:M$251,MATCH('Table 2.5a'!$A157&amp;'Table 2.5a'!$B157,UtilityList!$A$4:$A$251&amp;UtilityList!$C$4:$C$251,0))</f>
        <v>AN</v>
      </c>
    </row>
    <row r="158" spans="1:24" s="126" customFormat="1" ht="30" x14ac:dyDescent="0.25">
      <c r="A158" s="352" t="s">
        <v>277</v>
      </c>
      <c r="B158" s="633" t="s">
        <v>282</v>
      </c>
      <c r="C158" s="701">
        <v>248.80124999999998</v>
      </c>
      <c r="D158" s="701">
        <v>1658.675</v>
      </c>
      <c r="E158" s="701">
        <v>181.16667000000001</v>
      </c>
      <c r="F158" s="702">
        <v>0.15</v>
      </c>
      <c r="G158" s="701">
        <v>483.52364999999998</v>
      </c>
      <c r="H158" s="701">
        <v>3223.491</v>
      </c>
      <c r="I158" s="701">
        <v>76.916663999999997</v>
      </c>
      <c r="J158" s="702">
        <v>0.15</v>
      </c>
      <c r="K158" s="701">
        <v>42.15</v>
      </c>
      <c r="L158" s="701">
        <v>281</v>
      </c>
      <c r="M158" s="701">
        <v>8</v>
      </c>
      <c r="N158" s="702">
        <v>0.15</v>
      </c>
      <c r="O158" s="701">
        <v>774.47489999999993</v>
      </c>
      <c r="P158" s="701">
        <f t="shared" si="2"/>
        <v>5163.1660000000002</v>
      </c>
      <c r="Q158" s="701">
        <v>266.08333400000004</v>
      </c>
      <c r="R158" s="702">
        <v>0.15</v>
      </c>
      <c r="S158" s="662" t="s">
        <v>356</v>
      </c>
      <c r="T158" s="703">
        <f t="array" ref="T158">INDEX(UtilityList!Q$4:Q$251,MATCH('Table 2.5a'!$A158&amp;'Table 2.5a'!$B158,UtilityList!$A$4:$A$251&amp;UtilityList!$C$4:$C$251,0))</f>
        <v>0</v>
      </c>
      <c r="U158" s="704" t="str">
        <f t="array" ref="U158">INDEX(UtilityList!J$4:J$251,MATCH('Table 2.5a'!$A158&amp;'Table 2.5a'!$B158,UtilityList!$A$4:$A$251&amp;UtilityList!$C$4:$C$251,0))</f>
        <v>North Slope</v>
      </c>
      <c r="V158" s="704" t="str">
        <f t="array" ref="V158">INDEX(UtilityList!K$4:K$251,MATCH('Table 2.5a'!$A158&amp;'Table 2.5a'!$B158,UtilityList!$A$4:$A$251&amp;UtilityList!$C$4:$C$251,0))</f>
        <v>North Slope</v>
      </c>
      <c r="W158" s="704" t="str">
        <f t="array" ref="W158">INDEX(UtilityList!L$4:L$251,MATCH('Table 2.5a'!$A158&amp;'Table 2.5a'!$B158,UtilityList!$A$4:$A$251&amp;UtilityList!$C$4:$C$251,0))</f>
        <v>Arctic Slope</v>
      </c>
      <c r="X158" s="704" t="str">
        <f t="array" ref="X158">INDEX(UtilityList!M$4:M$251,MATCH('Table 2.5a'!$A158&amp;'Table 2.5a'!$B158,UtilityList!$A$4:$A$251&amp;UtilityList!$C$4:$C$251,0))</f>
        <v>AN</v>
      </c>
    </row>
    <row r="159" spans="1:24" s="126" customFormat="1" ht="30" x14ac:dyDescent="0.25">
      <c r="A159" s="352" t="s">
        <v>277</v>
      </c>
      <c r="B159" s="633" t="s">
        <v>283</v>
      </c>
      <c r="C159" s="701">
        <v>63.067499999999995</v>
      </c>
      <c r="D159" s="701">
        <v>420.45</v>
      </c>
      <c r="E159" s="701">
        <v>55.5</v>
      </c>
      <c r="F159" s="702">
        <v>0.15</v>
      </c>
      <c r="G159" s="701">
        <v>275.62605000000002</v>
      </c>
      <c r="H159" s="701">
        <v>1837.5070000000001</v>
      </c>
      <c r="I159" s="701">
        <v>44.5</v>
      </c>
      <c r="J159" s="702">
        <v>0.15</v>
      </c>
      <c r="K159" s="701">
        <v>14.835149999999999</v>
      </c>
      <c r="L159" s="701">
        <v>98.900999999999996</v>
      </c>
      <c r="M159" s="701">
        <v>3</v>
      </c>
      <c r="N159" s="702">
        <v>0.15</v>
      </c>
      <c r="O159" s="701">
        <v>353.52870000000001</v>
      </c>
      <c r="P159" s="701">
        <f t="shared" si="2"/>
        <v>2356.8579999999997</v>
      </c>
      <c r="Q159" s="701">
        <v>103</v>
      </c>
      <c r="R159" s="702">
        <v>0.15</v>
      </c>
      <c r="S159" s="662" t="s">
        <v>356</v>
      </c>
      <c r="T159" s="703">
        <f t="array" ref="T159">INDEX(UtilityList!Q$4:Q$251,MATCH('Table 2.5a'!$A159&amp;'Table 2.5a'!$B159,UtilityList!$A$4:$A$251&amp;UtilityList!$C$4:$C$251,0))</f>
        <v>0</v>
      </c>
      <c r="U159" s="704" t="str">
        <f t="array" ref="U159">INDEX(UtilityList!J$4:J$251,MATCH('Table 2.5a'!$A159&amp;'Table 2.5a'!$B159,UtilityList!$A$4:$A$251&amp;UtilityList!$C$4:$C$251,0))</f>
        <v>North Slope</v>
      </c>
      <c r="V159" s="704" t="str">
        <f t="array" ref="V159">INDEX(UtilityList!K$4:K$251,MATCH('Table 2.5a'!$A159&amp;'Table 2.5a'!$B159,UtilityList!$A$4:$A$251&amp;UtilityList!$C$4:$C$251,0))</f>
        <v>North Slope</v>
      </c>
      <c r="W159" s="704" t="str">
        <f t="array" ref="W159">INDEX(UtilityList!L$4:L$251,MATCH('Table 2.5a'!$A159&amp;'Table 2.5a'!$B159,UtilityList!$A$4:$A$251&amp;UtilityList!$C$4:$C$251,0))</f>
        <v>Arctic Slope</v>
      </c>
      <c r="X159" s="704" t="str">
        <f t="array" ref="X159">INDEX(UtilityList!M$4:M$251,MATCH('Table 2.5a'!$A159&amp;'Table 2.5a'!$B159,UtilityList!$A$4:$A$251&amp;UtilityList!$C$4:$C$251,0))</f>
        <v>AN</v>
      </c>
    </row>
    <row r="160" spans="1:24" s="126" customFormat="1" ht="30" x14ac:dyDescent="0.25">
      <c r="A160" s="352" t="s">
        <v>277</v>
      </c>
      <c r="B160" s="633" t="s">
        <v>284</v>
      </c>
      <c r="C160" s="701">
        <v>172.5</v>
      </c>
      <c r="D160" s="701">
        <v>1150</v>
      </c>
      <c r="E160" s="701">
        <v>141.41667000000001</v>
      </c>
      <c r="F160" s="702">
        <v>0.15</v>
      </c>
      <c r="G160" s="701">
        <v>509.8587</v>
      </c>
      <c r="H160" s="701">
        <v>3399.058</v>
      </c>
      <c r="I160" s="701">
        <v>71.833336000000003</v>
      </c>
      <c r="J160" s="702">
        <v>0.15</v>
      </c>
      <c r="K160" s="701">
        <v>19.6281</v>
      </c>
      <c r="L160" s="701">
        <v>130.85400000000001</v>
      </c>
      <c r="M160" s="701">
        <v>6</v>
      </c>
      <c r="N160" s="702">
        <v>0.15</v>
      </c>
      <c r="O160" s="701">
        <v>701.98680000000002</v>
      </c>
      <c r="P160" s="701">
        <f t="shared" si="2"/>
        <v>4679.9120000000003</v>
      </c>
      <c r="Q160" s="701">
        <v>219.25000600000001</v>
      </c>
      <c r="R160" s="702">
        <v>0.15</v>
      </c>
      <c r="S160" s="662" t="s">
        <v>356</v>
      </c>
      <c r="T160" s="703">
        <f t="array" ref="T160">INDEX(UtilityList!Q$4:Q$251,MATCH('Table 2.5a'!$A160&amp;'Table 2.5a'!$B160,UtilityList!$A$4:$A$251&amp;UtilityList!$C$4:$C$251,0))</f>
        <v>0</v>
      </c>
      <c r="U160" s="704" t="str">
        <f t="array" ref="U160">INDEX(UtilityList!J$4:J$251,MATCH('Table 2.5a'!$A160&amp;'Table 2.5a'!$B160,UtilityList!$A$4:$A$251&amp;UtilityList!$C$4:$C$251,0))</f>
        <v>North Slope</v>
      </c>
      <c r="V160" s="704" t="str">
        <f t="array" ref="V160">INDEX(UtilityList!K$4:K$251,MATCH('Table 2.5a'!$A160&amp;'Table 2.5a'!$B160,UtilityList!$A$4:$A$251&amp;UtilityList!$C$4:$C$251,0))</f>
        <v>North Slope</v>
      </c>
      <c r="W160" s="704" t="str">
        <f t="array" ref="W160">INDEX(UtilityList!L$4:L$251,MATCH('Table 2.5a'!$A160&amp;'Table 2.5a'!$B160,UtilityList!$A$4:$A$251&amp;UtilityList!$C$4:$C$251,0))</f>
        <v>Arctic Slope</v>
      </c>
      <c r="X160" s="704" t="str">
        <f t="array" ref="X160">INDEX(UtilityList!M$4:M$251,MATCH('Table 2.5a'!$A160&amp;'Table 2.5a'!$B160,UtilityList!$A$4:$A$251&amp;UtilityList!$C$4:$C$251,0))</f>
        <v>AN</v>
      </c>
    </row>
    <row r="161" spans="1:24" s="126" customFormat="1" ht="30" x14ac:dyDescent="0.25">
      <c r="A161" s="361" t="s">
        <v>285</v>
      </c>
      <c r="B161" s="654" t="s">
        <v>286</v>
      </c>
      <c r="C161" s="701">
        <v>91.969840000000005</v>
      </c>
      <c r="D161" s="701">
        <v>173.52799999999999</v>
      </c>
      <c r="E161" s="701">
        <v>40.666668000000001</v>
      </c>
      <c r="F161" s="702">
        <v>0.53</v>
      </c>
      <c r="G161" s="701">
        <v>201.47685000000001</v>
      </c>
      <c r="H161" s="701">
        <v>380.14499999999998</v>
      </c>
      <c r="I161" s="701">
        <v>6.75</v>
      </c>
      <c r="J161" s="702">
        <v>0.53</v>
      </c>
      <c r="K161" s="701">
        <v>114.99834000000001</v>
      </c>
      <c r="L161" s="701">
        <v>216.97800000000001</v>
      </c>
      <c r="M161" s="701">
        <v>9.6666664999999998</v>
      </c>
      <c r="N161" s="702">
        <v>0.53</v>
      </c>
      <c r="O161" s="701">
        <v>408.44502999999997</v>
      </c>
      <c r="P161" s="701">
        <f t="shared" si="2"/>
        <v>770.65100000000007</v>
      </c>
      <c r="Q161" s="701">
        <v>57.083334499999999</v>
      </c>
      <c r="R161" s="702">
        <v>0.53</v>
      </c>
      <c r="S161" s="658" t="s">
        <v>356</v>
      </c>
      <c r="T161" s="703">
        <f t="array" ref="T161">INDEX(UtilityList!Q$4:Q$251,MATCH('Table 2.5a'!$A161&amp;'Table 2.5a'!$B161,UtilityList!$A$4:$A$251&amp;UtilityList!$C$4:$C$251,0))</f>
        <v>0</v>
      </c>
      <c r="U161" s="704" t="str">
        <f t="array" ref="U161">INDEX(UtilityList!J$4:J$251,MATCH('Table 2.5a'!$A161&amp;'Table 2.5a'!$B161,UtilityList!$A$4:$A$251&amp;UtilityList!$C$4:$C$251,0))</f>
        <v>Lower Yukon-Kuskokwim</v>
      </c>
      <c r="V161" s="704" t="str">
        <f t="array" ref="V161">INDEX(UtilityList!K$4:K$251,MATCH('Table 2.5a'!$A161&amp;'Table 2.5a'!$B161,UtilityList!$A$4:$A$251&amp;UtilityList!$C$4:$C$251,0))</f>
        <v>Wade Hampton (CA)</v>
      </c>
      <c r="W161" s="704" t="str">
        <f t="array" ref="W161">INDEX(UtilityList!L$4:L$251,MATCH('Table 2.5a'!$A161&amp;'Table 2.5a'!$B161,UtilityList!$A$4:$A$251&amp;UtilityList!$C$4:$C$251,0))</f>
        <v>Calista</v>
      </c>
      <c r="X161" s="704" t="str">
        <f t="array" ref="X161">INDEX(UtilityList!M$4:M$251,MATCH('Table 2.5a'!$A161&amp;'Table 2.5a'!$B161,UtilityList!$A$4:$A$251&amp;UtilityList!$C$4:$C$251,0))</f>
        <v>YU</v>
      </c>
    </row>
    <row r="162" spans="1:24" s="126" customFormat="1" ht="60" x14ac:dyDescent="0.25">
      <c r="A162" s="361" t="s">
        <v>536</v>
      </c>
      <c r="B162" s="654" t="s">
        <v>687</v>
      </c>
      <c r="C162" s="701">
        <v>2279.2359367333502</v>
      </c>
      <c r="D162" s="701">
        <v>5695.0050000000001</v>
      </c>
      <c r="E162" s="701">
        <v>1000.5833</v>
      </c>
      <c r="F162" s="702">
        <v>0.40021667</v>
      </c>
      <c r="G162" s="701">
        <v>4241.1796972740303</v>
      </c>
      <c r="H162" s="701">
        <v>10597.209000000001</v>
      </c>
      <c r="I162" s="701">
        <v>388.5</v>
      </c>
      <c r="J162" s="702">
        <v>0.40021667</v>
      </c>
      <c r="K162" s="701">
        <v>691.29545474101008</v>
      </c>
      <c r="L162" s="701">
        <v>1727.3030000000001</v>
      </c>
      <c r="M162" s="701">
        <v>101.333332</v>
      </c>
      <c r="N162" s="702">
        <v>0.40021667</v>
      </c>
      <c r="O162" s="701">
        <v>7211.7110887483905</v>
      </c>
      <c r="P162" s="701">
        <f t="shared" si="2"/>
        <v>18019.517</v>
      </c>
      <c r="Q162" s="701">
        <v>1490.4166319999999</v>
      </c>
      <c r="R162" s="702">
        <v>0.40021667</v>
      </c>
      <c r="S162" s="658" t="s">
        <v>356</v>
      </c>
      <c r="T162" s="703" t="str">
        <f t="array" ref="T162">INDEX(UtilityList!Q$4:Q$251,MATCH('Table 2.5a'!$A162&amp;'Table 2.5a'!$B162,UtilityList!$A$4:$A$251&amp;UtilityList!$C$4:$C$251,0))</f>
        <v>Provides power to Aleknagik via intertie. Data includes Aleknagik's information.</v>
      </c>
      <c r="U162" s="704" t="str">
        <f t="array" ref="U162">INDEX(UtilityList!J$4:J$251,MATCH('Table 2.5a'!$A162&amp;'Table 2.5a'!$B162,UtilityList!$A$4:$A$251&amp;UtilityList!$C$4:$C$251,0))</f>
        <v>Bristol Bay</v>
      </c>
      <c r="V162" s="704" t="str">
        <f t="array" ref="V162">INDEX(UtilityList!K$4:K$251,MATCH('Table 2.5a'!$A162&amp;'Table 2.5a'!$B162,UtilityList!$A$4:$A$251&amp;UtilityList!$C$4:$C$251,0))</f>
        <v>Dillingham (CA)</v>
      </c>
      <c r="W162" s="704" t="str">
        <f t="array" ref="W162">INDEX(UtilityList!L$4:L$251,MATCH('Table 2.5a'!$A162&amp;'Table 2.5a'!$B162,UtilityList!$A$4:$A$251&amp;UtilityList!$C$4:$C$251,0))</f>
        <v>Bristol Bay</v>
      </c>
      <c r="X162" s="704" t="str">
        <f t="array" ref="X162">INDEX(UtilityList!M$4:M$251,MATCH('Table 2.5a'!$A162&amp;'Table 2.5a'!$B162,UtilityList!$A$4:$A$251&amp;UtilityList!$C$4:$C$251,0))</f>
        <v>SW</v>
      </c>
    </row>
    <row r="163" spans="1:24" s="126" customFormat="1" x14ac:dyDescent="0.25">
      <c r="A163" s="361" t="s">
        <v>288</v>
      </c>
      <c r="B163" s="654" t="s">
        <v>289</v>
      </c>
      <c r="C163" s="701">
        <v>134.78135895</v>
      </c>
      <c r="D163" s="701">
        <v>325.38200000000001</v>
      </c>
      <c r="E163" s="701">
        <v>76.833336000000003</v>
      </c>
      <c r="F163" s="702">
        <v>0.41422500000000001</v>
      </c>
      <c r="G163" s="701">
        <v>100.470687975</v>
      </c>
      <c r="H163" s="701">
        <v>242.55099999999999</v>
      </c>
      <c r="I163" s="701">
        <v>9.5</v>
      </c>
      <c r="J163" s="702">
        <v>0.41422500000000001</v>
      </c>
      <c r="K163" s="701">
        <v>43.868912850000001</v>
      </c>
      <c r="L163" s="701">
        <v>105.90600000000001</v>
      </c>
      <c r="M163" s="701">
        <v>7.9166668100000006</v>
      </c>
      <c r="N163" s="702">
        <v>0.41422500000000001</v>
      </c>
      <c r="O163" s="701">
        <v>279.12095977500002</v>
      </c>
      <c r="P163" s="701">
        <f t="shared" si="2"/>
        <v>673.83899999999994</v>
      </c>
      <c r="Q163" s="701">
        <v>94.250002809999998</v>
      </c>
      <c r="R163" s="702">
        <v>0.41422500000000001</v>
      </c>
      <c r="S163" s="658" t="s">
        <v>356</v>
      </c>
      <c r="T163" s="703">
        <f t="array" ref="T163">INDEX(UtilityList!Q$4:Q$251,MATCH('Table 2.5a'!$A163&amp;'Table 2.5a'!$B163,UtilityList!$A$4:$A$251&amp;UtilityList!$C$4:$C$251,0))</f>
        <v>0</v>
      </c>
      <c r="U163" s="704" t="str">
        <f t="array" ref="U163">INDEX(UtilityList!J$4:J$251,MATCH('Table 2.5a'!$A163&amp;'Table 2.5a'!$B163,UtilityList!$A$4:$A$251&amp;UtilityList!$C$4:$C$251,0))</f>
        <v>Kodiak</v>
      </c>
      <c r="V163" s="704" t="str">
        <f t="array" ref="V163">INDEX(UtilityList!K$4:K$251,MATCH('Table 2.5a'!$A163&amp;'Table 2.5a'!$B163,UtilityList!$A$4:$A$251&amp;UtilityList!$C$4:$C$251,0))</f>
        <v>Kodiak Island</v>
      </c>
      <c r="W163" s="704" t="str">
        <f t="array" ref="W163">INDEX(UtilityList!L$4:L$251,MATCH('Table 2.5a'!$A163&amp;'Table 2.5a'!$B163,UtilityList!$A$4:$A$251&amp;UtilityList!$C$4:$C$251,0))</f>
        <v>Koniag</v>
      </c>
      <c r="X163" s="704" t="str">
        <f t="array" ref="X163">INDEX(UtilityList!M$4:M$251,MATCH('Table 2.5a'!$A163&amp;'Table 2.5a'!$B163,UtilityList!$A$4:$A$251&amp;UtilityList!$C$4:$C$251,0))</f>
        <v>SC</v>
      </c>
    </row>
    <row r="164" spans="1:24" s="126" customFormat="1" ht="30" x14ac:dyDescent="0.25">
      <c r="A164" s="361" t="s">
        <v>290</v>
      </c>
      <c r="B164" s="654" t="s">
        <v>291</v>
      </c>
      <c r="C164" s="701">
        <v>59.287410000000001</v>
      </c>
      <c r="D164" s="701">
        <v>65.150999999999996</v>
      </c>
      <c r="E164" s="701">
        <v>22.5</v>
      </c>
      <c r="F164" s="702">
        <v>0.91</v>
      </c>
      <c r="G164" s="701">
        <v>93.27955</v>
      </c>
      <c r="H164" s="701">
        <v>102.505</v>
      </c>
      <c r="I164" s="701">
        <v>9.8333329999999997</v>
      </c>
      <c r="J164" s="702">
        <v>0.91</v>
      </c>
      <c r="K164" s="701">
        <v>30.290260000000004</v>
      </c>
      <c r="L164" s="701">
        <v>33.286000000000001</v>
      </c>
      <c r="M164" s="701">
        <v>6.1666664999999998</v>
      </c>
      <c r="N164" s="702">
        <v>0.91</v>
      </c>
      <c r="O164" s="701">
        <v>182.85721999999998</v>
      </c>
      <c r="P164" s="701">
        <f t="shared" si="2"/>
        <v>200.94200000000001</v>
      </c>
      <c r="Q164" s="701">
        <v>38.499999499999994</v>
      </c>
      <c r="R164" s="702">
        <v>0.91</v>
      </c>
      <c r="S164" s="658" t="s">
        <v>356</v>
      </c>
      <c r="T164" s="703">
        <f t="array" ref="T164">INDEX(UtilityList!Q$4:Q$251,MATCH('Table 2.5a'!$A164&amp;'Table 2.5a'!$B164,UtilityList!$A$4:$A$251&amp;UtilityList!$C$4:$C$251,0))</f>
        <v>0</v>
      </c>
      <c r="U164" s="704" t="str">
        <f t="array" ref="U164">INDEX(UtilityList!J$4:J$251,MATCH('Table 2.5a'!$A164&amp;'Table 2.5a'!$B164,UtilityList!$A$4:$A$251&amp;UtilityList!$C$4:$C$251,0))</f>
        <v>Bristol Bay</v>
      </c>
      <c r="V164" s="704" t="str">
        <f t="array" ref="V164">INDEX(UtilityList!K$4:K$251,MATCH('Table 2.5a'!$A164&amp;'Table 2.5a'!$B164,UtilityList!$A$4:$A$251&amp;UtilityList!$C$4:$C$251,0))</f>
        <v>Lake and Peninsula</v>
      </c>
      <c r="W164" s="704" t="str">
        <f t="array" ref="W164">INDEX(UtilityList!L$4:L$251,MATCH('Table 2.5a'!$A164&amp;'Table 2.5a'!$B164,UtilityList!$A$4:$A$251&amp;UtilityList!$C$4:$C$251,0))</f>
        <v>Bristol Bay</v>
      </c>
      <c r="X164" s="704" t="str">
        <f t="array" ref="X164">INDEX(UtilityList!M$4:M$251,MATCH('Table 2.5a'!$A164&amp;'Table 2.5a'!$B164,UtilityList!$A$4:$A$251&amp;UtilityList!$C$4:$C$251,0))</f>
        <v>SW</v>
      </c>
    </row>
    <row r="165" spans="1:24" s="169" customFormat="1" x14ac:dyDescent="0.25">
      <c r="A165" s="361" t="s">
        <v>292</v>
      </c>
      <c r="B165" s="654" t="s">
        <v>293</v>
      </c>
      <c r="C165" s="701">
        <v>228.44364439034999</v>
      </c>
      <c r="D165" s="701">
        <v>332.89499999999998</v>
      </c>
      <c r="E165" s="701">
        <v>68.083336000000003</v>
      </c>
      <c r="F165" s="702">
        <v>0.68623332999999997</v>
      </c>
      <c r="G165" s="701">
        <v>124.66457789444999</v>
      </c>
      <c r="H165" s="701">
        <v>181.66499999999999</v>
      </c>
      <c r="I165" s="701">
        <v>13.666667</v>
      </c>
      <c r="J165" s="702">
        <v>0.68623332999999997</v>
      </c>
      <c r="K165" s="701">
        <v>134.91347267800001</v>
      </c>
      <c r="L165" s="701">
        <v>196.6</v>
      </c>
      <c r="M165" s="701">
        <v>26.5</v>
      </c>
      <c r="N165" s="702">
        <v>0.68623332999999997</v>
      </c>
      <c r="O165" s="701">
        <v>488.02169496279998</v>
      </c>
      <c r="P165" s="701">
        <f t="shared" si="2"/>
        <v>711.16</v>
      </c>
      <c r="Q165" s="701">
        <v>108.25000300000001</v>
      </c>
      <c r="R165" s="702">
        <v>0.68623332999999997</v>
      </c>
      <c r="S165" s="658" t="s">
        <v>356</v>
      </c>
      <c r="T165" s="703">
        <f t="array" ref="T165">INDEX(UtilityList!Q$4:Q$251,MATCH('Table 2.5a'!$A165&amp;'Table 2.5a'!$B165,UtilityList!$A$4:$A$251&amp;UtilityList!$C$4:$C$251,0))</f>
        <v>0</v>
      </c>
      <c r="U165" s="704" t="str">
        <f t="array" ref="U165">INDEX(UtilityList!J$4:J$251,MATCH('Table 2.5a'!$A165&amp;'Table 2.5a'!$B165,UtilityList!$A$4:$A$251&amp;UtilityList!$C$4:$C$251,0))</f>
        <v>Southeast</v>
      </c>
      <c r="V165" s="704" t="str">
        <f t="array" ref="V165">INDEX(UtilityList!K$4:K$251,MATCH('Table 2.5a'!$A165&amp;'Table 2.5a'!$B165,UtilityList!$A$4:$A$251&amp;UtilityList!$C$4:$C$251,0))</f>
        <v>Hoonah-Angoon (CA)</v>
      </c>
      <c r="W165" s="704" t="str">
        <f t="array" ref="W165">INDEX(UtilityList!L$4:L$251,MATCH('Table 2.5a'!$A165&amp;'Table 2.5a'!$B165,UtilityList!$A$4:$A$251&amp;UtilityList!$C$4:$C$251,0))</f>
        <v>Sealaska</v>
      </c>
      <c r="X165" s="704" t="str">
        <f t="array" ref="X165">INDEX(UtilityList!M$4:M$251,MATCH('Table 2.5a'!$A165&amp;'Table 2.5a'!$B165,UtilityList!$A$4:$A$251&amp;UtilityList!$C$4:$C$251,0))</f>
        <v>SE</v>
      </c>
    </row>
    <row r="166" spans="1:24" customFormat="1" x14ac:dyDescent="0.25">
      <c r="A166" s="361" t="s">
        <v>294</v>
      </c>
      <c r="B166" s="361" t="s">
        <v>295</v>
      </c>
      <c r="C166" s="642">
        <v>2006.8</v>
      </c>
      <c r="D166" s="642">
        <v>20389</v>
      </c>
      <c r="E166" s="642">
        <v>1367</v>
      </c>
      <c r="F166" s="683">
        <v>9.8425621658737555E-2</v>
      </c>
      <c r="G166" s="642">
        <v>1000.6</v>
      </c>
      <c r="H166" s="642">
        <v>8580</v>
      </c>
      <c r="I166" s="642">
        <v>713</v>
      </c>
      <c r="J166" s="683">
        <v>0.11662004662004662</v>
      </c>
      <c r="K166" s="642">
        <v>2329.9</v>
      </c>
      <c r="L166" s="642">
        <v>21706</v>
      </c>
      <c r="M166" s="642">
        <v>37</v>
      </c>
      <c r="N166" s="683">
        <v>0.10733898461254952</v>
      </c>
      <c r="O166" s="642">
        <v>5337.3</v>
      </c>
      <c r="P166" s="642">
        <f t="shared" si="2"/>
        <v>50675</v>
      </c>
      <c r="Q166" s="642">
        <v>2117</v>
      </c>
      <c r="R166" s="705">
        <v>0.10532412432165762</v>
      </c>
      <c r="S166" s="707" t="s">
        <v>558</v>
      </c>
      <c r="T166" s="703">
        <f t="array" ref="T166">INDEX(UtilityList!Q$4:Q$251,MATCH('Table 2.5a'!$A166&amp;'Table 2.5a'!$B166,UtilityList!$A$4:$A$251&amp;UtilityList!$C$4:$C$251,0))</f>
        <v>0</v>
      </c>
      <c r="U166" s="704" t="str">
        <f t="array" ref="U166">INDEX(UtilityList!J$4:J$251,MATCH('Table 2.5a'!$A166&amp;'Table 2.5a'!$B166,UtilityList!$A$4:$A$251&amp;UtilityList!$C$4:$C$251,0))</f>
        <v>Southeast</v>
      </c>
      <c r="V166" s="704" t="str">
        <f t="array" ref="V166">INDEX(UtilityList!K$4:K$251,MATCH('Table 2.5a'!$A166&amp;'Table 2.5a'!$B166,UtilityList!$A$4:$A$251&amp;UtilityList!$C$4:$C$251,0))</f>
        <v>Petersburg (CA)</v>
      </c>
      <c r="W166" s="704" t="str">
        <f t="array" ref="W166">INDEX(UtilityList!L$4:L$251,MATCH('Table 2.5a'!$A166&amp;'Table 2.5a'!$B166,UtilityList!$A$4:$A$251&amp;UtilityList!$C$4:$C$251,0))</f>
        <v>Sealaska</v>
      </c>
      <c r="X166" s="704" t="str">
        <f t="array" ref="X166">INDEX(UtilityList!M$4:M$251,MATCH('Table 2.5a'!$A166&amp;'Table 2.5a'!$B166,UtilityList!$A$4:$A$251&amp;UtilityList!$C$4:$C$251,0))</f>
        <v>SE</v>
      </c>
    </row>
    <row r="167" spans="1:24" customFormat="1" ht="30" x14ac:dyDescent="0.25">
      <c r="A167" s="361" t="s">
        <v>296</v>
      </c>
      <c r="B167" s="654" t="s">
        <v>297</v>
      </c>
      <c r="C167" s="701">
        <v>83.621499999999997</v>
      </c>
      <c r="D167" s="701">
        <v>167.24299999999999</v>
      </c>
      <c r="E167" s="701">
        <v>39</v>
      </c>
      <c r="F167" s="702">
        <v>0.5</v>
      </c>
      <c r="G167" s="701">
        <v>61.274999999999999</v>
      </c>
      <c r="H167" s="701">
        <v>122.55</v>
      </c>
      <c r="I167" s="701">
        <v>15.25</v>
      </c>
      <c r="J167" s="702">
        <v>0.5</v>
      </c>
      <c r="K167" s="701">
        <v>53.3065</v>
      </c>
      <c r="L167" s="701">
        <v>106.613</v>
      </c>
      <c r="M167" s="701">
        <v>15</v>
      </c>
      <c r="N167" s="702">
        <v>0.5</v>
      </c>
      <c r="O167" s="701">
        <v>198.203</v>
      </c>
      <c r="P167" s="701">
        <f t="shared" si="2"/>
        <v>396.40600000000001</v>
      </c>
      <c r="Q167" s="701">
        <v>69.25</v>
      </c>
      <c r="R167" s="702">
        <v>0.5</v>
      </c>
      <c r="S167" s="658" t="s">
        <v>356</v>
      </c>
      <c r="T167" s="703">
        <f t="array" ref="T167">INDEX(UtilityList!Q$4:Q$251,MATCH('Table 2.5a'!$A167&amp;'Table 2.5a'!$B167,UtilityList!$A$4:$A$251&amp;UtilityList!$C$4:$C$251,0))</f>
        <v>0</v>
      </c>
      <c r="U167" s="704" t="str">
        <f t="array" ref="U167">INDEX(UtilityList!J$4:J$251,MATCH('Table 2.5a'!$A167&amp;'Table 2.5a'!$B167,UtilityList!$A$4:$A$251&amp;UtilityList!$C$4:$C$251,0))</f>
        <v>Bristol Bay</v>
      </c>
      <c r="V167" s="704" t="str">
        <f t="array" ref="V167">INDEX(UtilityList!K$4:K$251,MATCH('Table 2.5a'!$A167&amp;'Table 2.5a'!$B167,UtilityList!$A$4:$A$251&amp;UtilityList!$C$4:$C$251,0))</f>
        <v>Lake and Peninsula</v>
      </c>
      <c r="W167" s="704" t="str">
        <f t="array" ref="W167">INDEX(UtilityList!L$4:L$251,MATCH('Table 2.5a'!$A167&amp;'Table 2.5a'!$B167,UtilityList!$A$4:$A$251&amp;UtilityList!$C$4:$C$251,0))</f>
        <v>Bristol Bay</v>
      </c>
      <c r="X167" s="704" t="str">
        <f t="array" ref="X167">INDEX(UtilityList!M$4:M$251,MATCH('Table 2.5a'!$A167&amp;'Table 2.5a'!$B167,UtilityList!$A$4:$A$251&amp;UtilityList!$C$4:$C$251,0))</f>
        <v>SW</v>
      </c>
    </row>
    <row r="168" spans="1:24" customFormat="1" x14ac:dyDescent="0.25">
      <c r="A168" s="361" t="s">
        <v>300</v>
      </c>
      <c r="B168" s="654" t="s">
        <v>301</v>
      </c>
      <c r="C168" s="701">
        <v>146.51325</v>
      </c>
      <c r="D168" s="701">
        <v>195.351</v>
      </c>
      <c r="E168" s="701">
        <v>44.75</v>
      </c>
      <c r="F168" s="702">
        <v>0.75</v>
      </c>
      <c r="G168" s="701">
        <v>103.70175</v>
      </c>
      <c r="H168" s="701">
        <v>138.26900000000001</v>
      </c>
      <c r="I168" s="701">
        <v>26.833334000000001</v>
      </c>
      <c r="J168" s="702">
        <v>0.75</v>
      </c>
      <c r="K168" s="701">
        <v>190.11599999999999</v>
      </c>
      <c r="L168" s="701">
        <v>253.488</v>
      </c>
      <c r="M168" s="701">
        <v>12.25</v>
      </c>
      <c r="N168" s="702">
        <v>0.75</v>
      </c>
      <c r="O168" s="701">
        <v>440.33100000000002</v>
      </c>
      <c r="P168" s="701">
        <f t="shared" si="2"/>
        <v>587.10799999999995</v>
      </c>
      <c r="Q168" s="701">
        <v>83.833334000000008</v>
      </c>
      <c r="R168" s="702">
        <v>0.75</v>
      </c>
      <c r="S168" s="658" t="s">
        <v>356</v>
      </c>
      <c r="T168" s="703">
        <f t="array" ref="T168">INDEX(UtilityList!Q$4:Q$251,MATCH('Table 2.5a'!$A168&amp;'Table 2.5a'!$B168,UtilityList!$A$4:$A$251&amp;UtilityList!$C$4:$C$251,0))</f>
        <v>0</v>
      </c>
      <c r="U168" s="704" t="str">
        <f t="array" ref="U168">INDEX(UtilityList!J$4:J$251,MATCH('Table 2.5a'!$A168&amp;'Table 2.5a'!$B168,UtilityList!$A$4:$A$251&amp;UtilityList!$C$4:$C$251,0))</f>
        <v>Bristol Bay</v>
      </c>
      <c r="V168" s="704" t="str">
        <f t="array" ref="V168">INDEX(UtilityList!K$4:K$251,MATCH('Table 2.5a'!$A168&amp;'Table 2.5a'!$B168,UtilityList!$A$4:$A$251&amp;UtilityList!$C$4:$C$251,0))</f>
        <v>Lake and Peninsula</v>
      </c>
      <c r="W168" s="704" t="str">
        <f t="array" ref="W168">INDEX(UtilityList!L$4:L$251,MATCH('Table 2.5a'!$A168&amp;'Table 2.5a'!$B168,UtilityList!$A$4:$A$251&amp;UtilityList!$C$4:$C$251,0))</f>
        <v>Bristol Bay</v>
      </c>
      <c r="X168" s="704" t="str">
        <f t="array" ref="X168">INDEX(UtilityList!M$4:M$251,MATCH('Table 2.5a'!$A168&amp;'Table 2.5a'!$B168,UtilityList!$A$4:$A$251&amp;UtilityList!$C$4:$C$251,0))</f>
        <v>SW</v>
      </c>
    </row>
    <row r="169" spans="1:24" customFormat="1" ht="30" x14ac:dyDescent="0.25">
      <c r="A169" s="361" t="s">
        <v>302</v>
      </c>
      <c r="B169" s="654" t="s">
        <v>303</v>
      </c>
      <c r="C169" s="701">
        <v>283.38234232484001</v>
      </c>
      <c r="D169" s="701">
        <v>507.452</v>
      </c>
      <c r="E169" s="701">
        <v>104.66665999999999</v>
      </c>
      <c r="F169" s="702">
        <v>0.55844167</v>
      </c>
      <c r="G169" s="701">
        <v>96.631629693460013</v>
      </c>
      <c r="H169" s="701">
        <v>173.03800000000001</v>
      </c>
      <c r="I169" s="701">
        <v>14.833333</v>
      </c>
      <c r="J169" s="702">
        <v>0.55844167</v>
      </c>
      <c r="K169" s="701">
        <v>54.827244718930004</v>
      </c>
      <c r="L169" s="701">
        <v>98.179000000000002</v>
      </c>
      <c r="M169" s="701">
        <v>9.6666670000000003</v>
      </c>
      <c r="N169" s="702">
        <v>0.55844167</v>
      </c>
      <c r="O169" s="701">
        <v>434.84121673723001</v>
      </c>
      <c r="P169" s="701">
        <f t="shared" si="2"/>
        <v>778.66899999999998</v>
      </c>
      <c r="Q169" s="701">
        <v>129.16665999999998</v>
      </c>
      <c r="R169" s="702">
        <v>0.55844167</v>
      </c>
      <c r="S169" s="658" t="s">
        <v>356</v>
      </c>
      <c r="T169" s="703">
        <f t="array" ref="T169">INDEX(UtilityList!Q$4:Q$251,MATCH('Table 2.5a'!$A169&amp;'Table 2.5a'!$B169,UtilityList!$A$4:$A$251&amp;UtilityList!$C$4:$C$251,0))</f>
        <v>0</v>
      </c>
      <c r="U169" s="704" t="str">
        <f t="array" ref="U169">INDEX(UtilityList!J$4:J$251,MATCH('Table 2.5a'!$A169&amp;'Table 2.5a'!$B169,UtilityList!$A$4:$A$251&amp;UtilityList!$C$4:$C$251,0))</f>
        <v>Lower Yukon-Kuskokwim</v>
      </c>
      <c r="V169" s="704" t="str">
        <f t="array" ref="V169">INDEX(UtilityList!K$4:K$251,MATCH('Table 2.5a'!$A169&amp;'Table 2.5a'!$B169,UtilityList!$A$4:$A$251&amp;UtilityList!$C$4:$C$251,0))</f>
        <v>Bethel (CA)</v>
      </c>
      <c r="W169" s="704" t="str">
        <f t="array" ref="W169">INDEX(UtilityList!L$4:L$251,MATCH('Table 2.5a'!$A169&amp;'Table 2.5a'!$B169,UtilityList!$A$4:$A$251&amp;UtilityList!$C$4:$C$251,0))</f>
        <v>Calista</v>
      </c>
      <c r="X169" s="704" t="str">
        <f t="array" ref="X169">INDEX(UtilityList!M$4:M$251,MATCH('Table 2.5a'!$A169&amp;'Table 2.5a'!$B169,UtilityList!$A$4:$A$251&amp;UtilityList!$C$4:$C$251,0))</f>
        <v>SW</v>
      </c>
    </row>
    <row r="170" spans="1:24" customFormat="1" x14ac:dyDescent="0.25">
      <c r="A170" s="361" t="s">
        <v>306</v>
      </c>
      <c r="B170" s="654" t="s">
        <v>307</v>
      </c>
      <c r="C170" s="701">
        <v>207.26579999999998</v>
      </c>
      <c r="D170" s="701">
        <v>246.745</v>
      </c>
      <c r="E170" s="701">
        <v>130.91667000000001</v>
      </c>
      <c r="F170" s="702">
        <v>0.84</v>
      </c>
      <c r="G170" s="701">
        <v>241.91328000000001</v>
      </c>
      <c r="H170" s="701">
        <v>287.99200000000002</v>
      </c>
      <c r="I170" s="701">
        <v>14</v>
      </c>
      <c r="J170" s="702">
        <v>0.84</v>
      </c>
      <c r="K170" s="701">
        <v>105.735</v>
      </c>
      <c r="L170" s="701">
        <v>125.875</v>
      </c>
      <c r="M170" s="701">
        <v>22</v>
      </c>
      <c r="N170" s="702">
        <v>0.84</v>
      </c>
      <c r="O170" s="701">
        <v>554.91408000000001</v>
      </c>
      <c r="P170" s="701">
        <f t="shared" si="2"/>
        <v>660.61200000000008</v>
      </c>
      <c r="Q170" s="701">
        <v>166.91667000000001</v>
      </c>
      <c r="R170" s="702">
        <v>0.84</v>
      </c>
      <c r="S170" s="658" t="s">
        <v>356</v>
      </c>
      <c r="T170" s="703">
        <f t="array" ref="T170">INDEX(UtilityList!Q$4:Q$251,MATCH('Table 2.5a'!$A170&amp;'Table 2.5a'!$B170,UtilityList!$A$4:$A$251&amp;UtilityList!$C$4:$C$251,0))</f>
        <v>0</v>
      </c>
      <c r="U170" s="704" t="str">
        <f t="array" ref="U170">INDEX(UtilityList!J$4:J$251,MATCH('Table 2.5a'!$A170&amp;'Table 2.5a'!$B170,UtilityList!$A$4:$A$251&amp;UtilityList!$C$4:$C$251,0))</f>
        <v>Yukon-Koyukuk/Upper Tanana</v>
      </c>
      <c r="V170" s="704" t="str">
        <f t="array" ref="V170">INDEX(UtilityList!K$4:K$251,MATCH('Table 2.5a'!$A170&amp;'Table 2.5a'!$B170,UtilityList!$A$4:$A$251&amp;UtilityList!$C$4:$C$251,0))</f>
        <v>Yukon-Koyukuk (CA)</v>
      </c>
      <c r="W170" s="704" t="str">
        <f t="array" ref="W170">INDEX(UtilityList!L$4:L$251,MATCH('Table 2.5a'!$A170&amp;'Table 2.5a'!$B170,UtilityList!$A$4:$A$251&amp;UtilityList!$C$4:$C$251,0))</f>
        <v>Doyon</v>
      </c>
      <c r="X170" s="704" t="str">
        <f t="array" ref="X170">INDEX(UtilityList!M$4:M$251,MATCH('Table 2.5a'!$A170&amp;'Table 2.5a'!$B170,UtilityList!$A$4:$A$251&amp;UtilityList!$C$4:$C$251,0))</f>
        <v>YU</v>
      </c>
    </row>
    <row r="171" spans="1:24" customFormat="1" x14ac:dyDescent="0.25">
      <c r="A171" s="361" t="s">
        <v>308</v>
      </c>
      <c r="B171" s="654" t="s">
        <v>309</v>
      </c>
      <c r="C171" s="701">
        <v>100.5368625</v>
      </c>
      <c r="D171" s="701">
        <v>120.765</v>
      </c>
      <c r="E171" s="701">
        <v>42.125</v>
      </c>
      <c r="F171" s="702">
        <v>0.83250000000000002</v>
      </c>
      <c r="G171" s="701">
        <v>75.764160000000004</v>
      </c>
      <c r="H171" s="701">
        <v>91.007999999999996</v>
      </c>
      <c r="I171" s="701">
        <v>15</v>
      </c>
      <c r="J171" s="702">
        <v>0.83250000000000002</v>
      </c>
      <c r="K171" s="701">
        <v>150.32202750000002</v>
      </c>
      <c r="L171" s="701">
        <v>180.56700000000001</v>
      </c>
      <c r="M171" s="701">
        <v>21</v>
      </c>
      <c r="N171" s="702">
        <v>0.83250000000000002</v>
      </c>
      <c r="O171" s="701">
        <v>326.62305000000003</v>
      </c>
      <c r="P171" s="701">
        <f t="shared" si="2"/>
        <v>392.34000000000003</v>
      </c>
      <c r="Q171" s="701">
        <v>78.125</v>
      </c>
      <c r="R171" s="702">
        <v>0.83250000000000002</v>
      </c>
      <c r="S171" s="658" t="s">
        <v>356</v>
      </c>
      <c r="T171" s="703">
        <f t="array" ref="T171">INDEX(UtilityList!Q$4:Q$251,MATCH('Table 2.5a'!$A171&amp;'Table 2.5a'!$B171,UtilityList!$A$4:$A$251&amp;UtilityList!$C$4:$C$251,0))</f>
        <v>0</v>
      </c>
      <c r="U171" s="704" t="str">
        <f t="array" ref="U171">INDEX(UtilityList!J$4:J$251,MATCH('Table 2.5a'!$A171&amp;'Table 2.5a'!$B171,UtilityList!$A$4:$A$251&amp;UtilityList!$C$4:$C$251,0))</f>
        <v>Aleutians</v>
      </c>
      <c r="V171" s="704" t="str">
        <f t="array" ref="V171">INDEX(UtilityList!K$4:K$251,MATCH('Table 2.5a'!$A171&amp;'Table 2.5a'!$B171,UtilityList!$A$4:$A$251&amp;UtilityList!$C$4:$C$251,0))</f>
        <v>Aleutians West (CA)</v>
      </c>
      <c r="W171" s="704" t="str">
        <f t="array" ref="W171">INDEX(UtilityList!L$4:L$251,MATCH('Table 2.5a'!$A171&amp;'Table 2.5a'!$B171,UtilityList!$A$4:$A$251&amp;UtilityList!$C$4:$C$251,0))</f>
        <v>Aleut</v>
      </c>
      <c r="X171" s="704" t="str">
        <f t="array" ref="X171">INDEX(UtilityList!M$4:M$251,MATCH('Table 2.5a'!$A171&amp;'Table 2.5a'!$B171,UtilityList!$A$4:$A$251&amp;UtilityList!$C$4:$C$251,0))</f>
        <v>SW</v>
      </c>
    </row>
    <row r="172" spans="1:24" customFormat="1" ht="30" x14ac:dyDescent="0.25">
      <c r="A172" s="361" t="s">
        <v>633</v>
      </c>
      <c r="B172" s="654" t="s">
        <v>320</v>
      </c>
      <c r="C172" s="701">
        <v>428.57572025169003</v>
      </c>
      <c r="D172" s="701">
        <v>825.50699999999995</v>
      </c>
      <c r="E172" s="701">
        <v>142.33332999999999</v>
      </c>
      <c r="F172" s="702">
        <v>0.51916667000000005</v>
      </c>
      <c r="G172" s="701">
        <v>715.21646459208011</v>
      </c>
      <c r="H172" s="701">
        <v>1377.624</v>
      </c>
      <c r="I172" s="701">
        <v>33</v>
      </c>
      <c r="J172" s="702">
        <v>0.51916667000000005</v>
      </c>
      <c r="K172" s="701">
        <v>756.79392735903014</v>
      </c>
      <c r="L172" s="701">
        <v>1457.7090000000001</v>
      </c>
      <c r="M172" s="701">
        <v>48</v>
      </c>
      <c r="N172" s="702">
        <v>0.51916667000000005</v>
      </c>
      <c r="O172" s="701">
        <v>1900.5861122028005</v>
      </c>
      <c r="P172" s="701">
        <f t="shared" si="2"/>
        <v>3660.84</v>
      </c>
      <c r="Q172" s="701">
        <v>223.33332999999999</v>
      </c>
      <c r="R172" s="702">
        <v>0.51916667000000005</v>
      </c>
      <c r="S172" s="658" t="s">
        <v>356</v>
      </c>
      <c r="T172" s="703">
        <f t="array" ref="T172">INDEX(UtilityList!Q$4:Q$251,MATCH('Table 2.5a'!$A172&amp;'Table 2.5a'!$B172,UtilityList!$A$4:$A$251&amp;UtilityList!$C$4:$C$251,0))</f>
        <v>0</v>
      </c>
      <c r="U172" s="704" t="str">
        <f t="array" ref="U172">INDEX(UtilityList!J$4:J$251,MATCH('Table 2.5a'!$A172&amp;'Table 2.5a'!$B172,UtilityList!$A$4:$A$251&amp;UtilityList!$C$4:$C$251,0))</f>
        <v>Aleutians</v>
      </c>
      <c r="V172" s="704" t="str">
        <f t="array" ref="V172">INDEX(UtilityList!K$4:K$251,MATCH('Table 2.5a'!$A172&amp;'Table 2.5a'!$B172,UtilityList!$A$4:$A$251&amp;UtilityList!$C$4:$C$251,0))</f>
        <v>Aleutians West (CA)</v>
      </c>
      <c r="W172" s="704" t="str">
        <f t="array" ref="W172">INDEX(UtilityList!L$4:L$251,MATCH('Table 2.5a'!$A172&amp;'Table 2.5a'!$B172,UtilityList!$A$4:$A$251&amp;UtilityList!$C$4:$C$251,0))</f>
        <v>Aleut</v>
      </c>
      <c r="X172" s="704" t="str">
        <f t="array" ref="X172">INDEX(UtilityList!M$4:M$251,MATCH('Table 2.5a'!$A172&amp;'Table 2.5a'!$B172,UtilityList!$A$4:$A$251&amp;UtilityList!$C$4:$C$251,0))</f>
        <v>SW</v>
      </c>
    </row>
    <row r="173" spans="1:24" customFormat="1" x14ac:dyDescent="0.25">
      <c r="A173" s="361" t="s">
        <v>310</v>
      </c>
      <c r="B173" s="361" t="s">
        <v>311</v>
      </c>
      <c r="C173" s="642">
        <v>3123</v>
      </c>
      <c r="D173" s="642">
        <v>16246</v>
      </c>
      <c r="E173" s="642">
        <v>2053</v>
      </c>
      <c r="F173" s="683">
        <v>0.19222999999999998</v>
      </c>
      <c r="G173" s="642">
        <v>1724</v>
      </c>
      <c r="H173" s="642">
        <v>8464</v>
      </c>
      <c r="I173" s="642">
        <v>496</v>
      </c>
      <c r="J173" s="683">
        <v>0.20369000000000001</v>
      </c>
      <c r="K173" s="642">
        <v>5319</v>
      </c>
      <c r="L173" s="642">
        <v>32544</v>
      </c>
      <c r="M173" s="642">
        <v>122</v>
      </c>
      <c r="N173" s="683">
        <v>0.16344</v>
      </c>
      <c r="O173" s="642">
        <v>10166</v>
      </c>
      <c r="P173" s="642">
        <f t="shared" si="2"/>
        <v>57254</v>
      </c>
      <c r="Q173" s="642">
        <v>2671</v>
      </c>
      <c r="R173" s="705">
        <v>0.17755964648758166</v>
      </c>
      <c r="S173" s="707" t="s">
        <v>558</v>
      </c>
      <c r="T173" s="703">
        <f t="array" ref="T173">INDEX(UtilityList!Q$4:Q$251,MATCH('Table 2.5a'!$A173&amp;'Table 2.5a'!$B173,UtilityList!$A$4:$A$251&amp;UtilityList!$C$4:$C$251,0))</f>
        <v>0</v>
      </c>
      <c r="U173" s="704" t="str">
        <f t="array" ref="U173">INDEX(UtilityList!J$4:J$251,MATCH('Table 2.5a'!$A173&amp;'Table 2.5a'!$B173,UtilityList!$A$4:$A$251&amp;UtilityList!$C$4:$C$251,0))</f>
        <v>Railbelt</v>
      </c>
      <c r="V173" s="704" t="str">
        <f t="array" ref="V173">INDEX(UtilityList!K$4:K$251,MATCH('Table 2.5a'!$A173&amp;'Table 2.5a'!$B173,UtilityList!$A$4:$A$251&amp;UtilityList!$C$4:$C$251,0))</f>
        <v>Kenai Peninsula</v>
      </c>
      <c r="W173" s="704" t="str">
        <f t="array" ref="W173">INDEX(UtilityList!L$4:L$251,MATCH('Table 2.5a'!$A173&amp;'Table 2.5a'!$B173,UtilityList!$A$4:$A$251&amp;UtilityList!$C$4:$C$251,0))</f>
        <v>Chugach</v>
      </c>
      <c r="X173" s="704" t="str">
        <f t="array" ref="X173">INDEX(UtilityList!M$4:M$251,MATCH('Table 2.5a'!$A173&amp;'Table 2.5a'!$B173,UtilityList!$A$4:$A$251&amp;UtilityList!$C$4:$C$251,0))</f>
        <v>SC</v>
      </c>
    </row>
    <row r="174" spans="1:24" customFormat="1" x14ac:dyDescent="0.25">
      <c r="A174" s="361" t="s">
        <v>638</v>
      </c>
      <c r="B174" s="361" t="s">
        <v>314</v>
      </c>
      <c r="C174" s="642">
        <v>4573</v>
      </c>
      <c r="D174" s="642">
        <v>48297</v>
      </c>
      <c r="E174" s="642">
        <v>3682</v>
      </c>
      <c r="F174" s="683">
        <v>9.468E-2</v>
      </c>
      <c r="G174" s="642">
        <v>5442</v>
      </c>
      <c r="H174" s="642">
        <v>58422</v>
      </c>
      <c r="I174" s="642">
        <v>1603</v>
      </c>
      <c r="J174" s="683">
        <v>9.3149999999999997E-2</v>
      </c>
      <c r="K174" s="642">
        <v>522</v>
      </c>
      <c r="L174" s="642">
        <v>5563</v>
      </c>
      <c r="M174" s="642">
        <v>16</v>
      </c>
      <c r="N174" s="683">
        <v>9.3829999999999997E-2</v>
      </c>
      <c r="O174" s="642">
        <v>10537</v>
      </c>
      <c r="P174" s="642">
        <f t="shared" si="2"/>
        <v>112282</v>
      </c>
      <c r="Q174" s="642">
        <v>5301</v>
      </c>
      <c r="R174" s="705">
        <v>9.3844071177927008E-2</v>
      </c>
      <c r="S174" s="707" t="s">
        <v>558</v>
      </c>
      <c r="T174" s="703">
        <f t="array" ref="T174">INDEX(UtilityList!Q$4:Q$251,MATCH('Table 2.5a'!$A174&amp;'Table 2.5a'!$B174,UtilityList!$A$4:$A$251&amp;UtilityList!$C$4:$C$251,0))</f>
        <v>0</v>
      </c>
      <c r="U174" s="704" t="str">
        <f t="array" ref="U174">INDEX(UtilityList!J$4:J$251,MATCH('Table 2.5a'!$A174&amp;'Table 2.5a'!$B174,UtilityList!$A$4:$A$251&amp;UtilityList!$C$4:$C$251,0))</f>
        <v>Southeast</v>
      </c>
      <c r="V174" s="704" t="str">
        <f t="array" ref="V174">INDEX(UtilityList!K$4:K$251,MATCH('Table 2.5a'!$A174&amp;'Table 2.5a'!$B174,UtilityList!$A$4:$A$251&amp;UtilityList!$C$4:$C$251,0))</f>
        <v>Sitka</v>
      </c>
      <c r="W174" s="704" t="str">
        <f t="array" ref="W174">INDEX(UtilityList!L$4:L$251,MATCH('Table 2.5a'!$A174&amp;'Table 2.5a'!$B174,UtilityList!$A$4:$A$251&amp;UtilityList!$C$4:$C$251,0))</f>
        <v>Sealaska</v>
      </c>
      <c r="X174" s="704" t="str">
        <f t="array" ref="X174">INDEX(UtilityList!M$4:M$251,MATCH('Table 2.5a'!$A174&amp;'Table 2.5a'!$B174,UtilityList!$A$4:$A$251&amp;UtilityList!$C$4:$C$251,0))</f>
        <v>SE</v>
      </c>
    </row>
    <row r="175" spans="1:24" customFormat="1" ht="30" x14ac:dyDescent="0.25">
      <c r="A175" s="361" t="s">
        <v>323</v>
      </c>
      <c r="B175" s="654" t="s">
        <v>324</v>
      </c>
      <c r="C175" s="701">
        <v>56.880431999999999</v>
      </c>
      <c r="D175" s="701">
        <v>55.655999999999999</v>
      </c>
      <c r="E175" s="701">
        <v>23.083334000000001</v>
      </c>
      <c r="F175" s="702">
        <v>1.022</v>
      </c>
      <c r="G175" s="701">
        <v>64.202039999999997</v>
      </c>
      <c r="H175" s="701">
        <v>62.82</v>
      </c>
      <c r="I175" s="701">
        <v>12.666667</v>
      </c>
      <c r="J175" s="702">
        <v>1.022</v>
      </c>
      <c r="K175" s="701">
        <v>56.072030000000005</v>
      </c>
      <c r="L175" s="701">
        <v>54.865000000000002</v>
      </c>
      <c r="M175" s="701">
        <v>6.1666666000000001</v>
      </c>
      <c r="N175" s="702">
        <v>1.022</v>
      </c>
      <c r="O175" s="701">
        <v>177.15450200000001</v>
      </c>
      <c r="P175" s="701">
        <f t="shared" si="2"/>
        <v>173.34100000000001</v>
      </c>
      <c r="Q175" s="701">
        <v>41.916667599999997</v>
      </c>
      <c r="R175" s="702">
        <v>1.022</v>
      </c>
      <c r="S175" s="658" t="s">
        <v>356</v>
      </c>
      <c r="T175" s="703">
        <f t="array" ref="T175">INDEX(UtilityList!Q$4:Q$251,MATCH('Table 2.5a'!$A175&amp;'Table 2.5a'!$B175,UtilityList!$A$4:$A$251&amp;UtilityList!$C$4:$C$251,0))</f>
        <v>0</v>
      </c>
      <c r="U175" s="704" t="str">
        <f t="array" ref="U175">INDEX(UtilityList!J$4:J$251,MATCH('Table 2.5a'!$A175&amp;'Table 2.5a'!$B175,UtilityList!$A$4:$A$251&amp;UtilityList!$C$4:$C$251,0))</f>
        <v>Yukon-Koyukuk/Upper Tanana</v>
      </c>
      <c r="V175" s="704" t="str">
        <f t="array" ref="V175">INDEX(UtilityList!K$4:K$251,MATCH('Table 2.5a'!$A175&amp;'Table 2.5a'!$B175,UtilityList!$A$4:$A$251&amp;UtilityList!$C$4:$C$251,0))</f>
        <v>Yukon-Koyukuk (CA)</v>
      </c>
      <c r="W175" s="704" t="str">
        <f t="array" ref="W175">INDEX(UtilityList!L$4:L$251,MATCH('Table 2.5a'!$A175&amp;'Table 2.5a'!$B175,UtilityList!$A$4:$A$251&amp;UtilityList!$C$4:$C$251,0))</f>
        <v>Doyon</v>
      </c>
      <c r="X175" s="704" t="str">
        <f t="array" ref="X175">INDEX(UtilityList!M$4:M$251,MATCH('Table 2.5a'!$A175&amp;'Table 2.5a'!$B175,UtilityList!$A$4:$A$251&amp;UtilityList!$C$4:$C$251,0))</f>
        <v>SW</v>
      </c>
    </row>
    <row r="176" spans="1:24" customFormat="1" ht="30" x14ac:dyDescent="0.25">
      <c r="A176" s="361" t="s">
        <v>325</v>
      </c>
      <c r="B176" s="654" t="s">
        <v>326</v>
      </c>
      <c r="C176" s="701">
        <v>177.42315937500001</v>
      </c>
      <c r="D176" s="701">
        <v>259.875</v>
      </c>
      <c r="E176" s="701">
        <v>62.166668000000001</v>
      </c>
      <c r="F176" s="702">
        <v>0.68272500000000003</v>
      </c>
      <c r="G176" s="701">
        <v>182.287575</v>
      </c>
      <c r="H176" s="701">
        <v>267</v>
      </c>
      <c r="I176" s="701">
        <v>31.416665999999999</v>
      </c>
      <c r="J176" s="702">
        <v>0.68272500000000003</v>
      </c>
      <c r="K176" s="701">
        <v>54.086839949999998</v>
      </c>
      <c r="L176" s="701">
        <v>79.221999999999994</v>
      </c>
      <c r="M176" s="701">
        <v>15</v>
      </c>
      <c r="N176" s="702">
        <v>0.68272500000000003</v>
      </c>
      <c r="O176" s="701">
        <v>413.79757432500003</v>
      </c>
      <c r="P176" s="701">
        <f t="shared" si="2"/>
        <v>606.09699999999998</v>
      </c>
      <c r="Q176" s="701">
        <v>108.58333400000001</v>
      </c>
      <c r="R176" s="702">
        <v>0.68272500000000003</v>
      </c>
      <c r="S176" s="658" t="s">
        <v>356</v>
      </c>
      <c r="T176" s="703">
        <f t="array" ref="T176">INDEX(UtilityList!Q$4:Q$251,MATCH('Table 2.5a'!$A176&amp;'Table 2.5a'!$B176,UtilityList!$A$4:$A$251&amp;UtilityList!$C$4:$C$251,0))</f>
        <v>0</v>
      </c>
      <c r="U176" s="704" t="str">
        <f t="array" ref="U176">INDEX(UtilityList!J$4:J$251,MATCH('Table 2.5a'!$A176&amp;'Table 2.5a'!$B176,UtilityList!$A$4:$A$251&amp;UtilityList!$C$4:$C$251,0))</f>
        <v>Bristol Bay</v>
      </c>
      <c r="V176" s="704" t="str">
        <f t="array" ref="V176">INDEX(UtilityList!K$4:K$251,MATCH('Table 2.5a'!$A176&amp;'Table 2.5a'!$B176,UtilityList!$A$4:$A$251&amp;UtilityList!$C$4:$C$251,0))</f>
        <v>Lake and Peninsula</v>
      </c>
      <c r="W176" s="704" t="str">
        <f t="array" ref="W176">INDEX(UtilityList!L$4:L$251,MATCH('Table 2.5a'!$A176&amp;'Table 2.5a'!$B176,UtilityList!$A$4:$A$251&amp;UtilityList!$C$4:$C$251,0))</f>
        <v>Cook Inlet</v>
      </c>
      <c r="X176" s="704" t="str">
        <f t="array" ref="X176">INDEX(UtilityList!M$4:M$251,MATCH('Table 2.5a'!$A176&amp;'Table 2.5a'!$B176,UtilityList!$A$4:$A$251&amp;UtilityList!$C$4:$C$251,0))</f>
        <v>SW</v>
      </c>
    </row>
    <row r="177" spans="1:24" customFormat="1" ht="30" x14ac:dyDescent="0.25">
      <c r="A177" s="361" t="s">
        <v>510</v>
      </c>
      <c r="B177" s="654" t="s">
        <v>327</v>
      </c>
      <c r="C177" s="701">
        <v>212.40038512499999</v>
      </c>
      <c r="D177" s="701">
        <v>297.61500000000001</v>
      </c>
      <c r="E177" s="701">
        <v>104.08334000000001</v>
      </c>
      <c r="F177" s="702">
        <v>0.71367499999999995</v>
      </c>
      <c r="G177" s="701">
        <v>292.40335262499997</v>
      </c>
      <c r="H177" s="701">
        <v>409.71499999999997</v>
      </c>
      <c r="I177" s="701">
        <v>34.916668000000001</v>
      </c>
      <c r="J177" s="702">
        <v>0.71367499999999995</v>
      </c>
      <c r="K177" s="701">
        <v>257.82651255000002</v>
      </c>
      <c r="L177" s="701">
        <v>361.26600000000002</v>
      </c>
      <c r="M177" s="701">
        <v>18.75</v>
      </c>
      <c r="N177" s="702">
        <v>0.71367499999999995</v>
      </c>
      <c r="O177" s="701">
        <v>762.63025029999994</v>
      </c>
      <c r="P177" s="701">
        <f t="shared" si="2"/>
        <v>1068.596</v>
      </c>
      <c r="Q177" s="701">
        <v>157.75000800000001</v>
      </c>
      <c r="R177" s="702">
        <v>0.71367499999999995</v>
      </c>
      <c r="S177" s="658" t="s">
        <v>356</v>
      </c>
      <c r="T177" s="703">
        <f t="array" ref="T177">INDEX(UtilityList!Q$4:Q$251,MATCH('Table 2.5a'!$A177&amp;'Table 2.5a'!$B177,UtilityList!$A$4:$A$251&amp;UtilityList!$C$4:$C$251,0))</f>
        <v>0</v>
      </c>
      <c r="U177" s="704" t="str">
        <f t="array" ref="U177">INDEX(UtilityList!J$4:J$251,MATCH('Table 2.5a'!$A177&amp;'Table 2.5a'!$B177,UtilityList!$A$4:$A$251&amp;UtilityList!$C$4:$C$251,0))</f>
        <v>Yukon-Koyukuk/Upper Tanana</v>
      </c>
      <c r="V177" s="704" t="str">
        <f t="array" ref="V177">INDEX(UtilityList!K$4:K$251,MATCH('Table 2.5a'!$A177&amp;'Table 2.5a'!$B177,UtilityList!$A$4:$A$251&amp;UtilityList!$C$4:$C$251,0))</f>
        <v>Yukon-Koyukuk (CA)</v>
      </c>
      <c r="W177" s="704" t="str">
        <f t="array" ref="W177">INDEX(UtilityList!L$4:L$251,MATCH('Table 2.5a'!$A177&amp;'Table 2.5a'!$B177,UtilityList!$A$4:$A$251&amp;UtilityList!$C$4:$C$251,0))</f>
        <v>Doyon</v>
      </c>
      <c r="X177" s="704" t="str">
        <f t="array" ref="X177">INDEX(UtilityList!M$4:M$251,MATCH('Table 2.5a'!$A177&amp;'Table 2.5a'!$B177,UtilityList!$A$4:$A$251&amp;UtilityList!$C$4:$C$251,0))</f>
        <v>YU</v>
      </c>
    </row>
    <row r="178" spans="1:24" customFormat="1" ht="30" x14ac:dyDescent="0.25">
      <c r="A178" s="361" t="s">
        <v>328</v>
      </c>
      <c r="B178" s="654" t="s">
        <v>329</v>
      </c>
      <c r="C178" s="701">
        <v>86.166836100000012</v>
      </c>
      <c r="D178" s="701">
        <v>137.88900000000001</v>
      </c>
      <c r="E178" s="701">
        <v>40</v>
      </c>
      <c r="F178" s="702">
        <v>0.62490000000000001</v>
      </c>
      <c r="G178" s="701">
        <v>53.143995599999997</v>
      </c>
      <c r="H178" s="701">
        <v>85.043999999999997</v>
      </c>
      <c r="I178" s="701">
        <v>14</v>
      </c>
      <c r="J178" s="702">
        <v>0.62490000000000001</v>
      </c>
      <c r="K178" s="701">
        <v>102.9885192</v>
      </c>
      <c r="L178" s="701">
        <v>164.80799999999999</v>
      </c>
      <c r="M178" s="701">
        <v>11</v>
      </c>
      <c r="N178" s="702">
        <v>0.62490000000000001</v>
      </c>
      <c r="O178" s="701">
        <v>242.29935089999998</v>
      </c>
      <c r="P178" s="701">
        <f t="shared" si="2"/>
        <v>387.74099999999999</v>
      </c>
      <c r="Q178" s="701">
        <v>65</v>
      </c>
      <c r="R178" s="702">
        <v>0.62490000000000001</v>
      </c>
      <c r="S178" s="658" t="s">
        <v>356</v>
      </c>
      <c r="T178" s="703">
        <f t="array" ref="T178">INDEX(UtilityList!Q$4:Q$251,MATCH('Table 2.5a'!$A178&amp;'Table 2.5a'!$B178,UtilityList!$A$4:$A$251&amp;UtilityList!$C$4:$C$251,0))</f>
        <v>0</v>
      </c>
      <c r="U178" s="704" t="str">
        <f t="array" ref="U178">INDEX(UtilityList!J$4:J$251,MATCH('Table 2.5a'!$A178&amp;'Table 2.5a'!$B178,UtilityList!$A$4:$A$251&amp;UtilityList!$C$4:$C$251,0))</f>
        <v>Copper River/Chugach</v>
      </c>
      <c r="V178" s="704" t="str">
        <f t="array" ref="V178">INDEX(UtilityList!K$4:K$251,MATCH('Table 2.5a'!$A178&amp;'Table 2.5a'!$B178,UtilityList!$A$4:$A$251&amp;UtilityList!$C$4:$C$251,0))</f>
        <v>Valdez-Cordova (CA)</v>
      </c>
      <c r="W178" s="704" t="str">
        <f t="array" ref="W178">INDEX(UtilityList!L$4:L$251,MATCH('Table 2.5a'!$A178&amp;'Table 2.5a'!$B178,UtilityList!$A$4:$A$251&amp;UtilityList!$C$4:$C$251,0))</f>
        <v>Chugach</v>
      </c>
      <c r="X178" s="704" t="str">
        <f t="array" ref="X178">INDEX(UtilityList!M$4:M$251,MATCH('Table 2.5a'!$A178&amp;'Table 2.5a'!$B178,UtilityList!$A$4:$A$251&amp;UtilityList!$C$4:$C$251,0))</f>
        <v>SC</v>
      </c>
    </row>
    <row r="179" spans="1:24" customFormat="1" ht="30" x14ac:dyDescent="0.25">
      <c r="A179" s="361" t="s">
        <v>1080</v>
      </c>
      <c r="B179" s="654" t="s">
        <v>330</v>
      </c>
      <c r="C179" s="701">
        <v>301.09502529008603</v>
      </c>
      <c r="D179" s="701">
        <v>370.9742</v>
      </c>
      <c r="E179" s="701">
        <v>106.15</v>
      </c>
      <c r="F179" s="702">
        <v>0.81163333000000004</v>
      </c>
      <c r="G179" s="701">
        <v>795.67337219888009</v>
      </c>
      <c r="H179" s="701">
        <v>980.33600000000001</v>
      </c>
      <c r="I179" s="701">
        <v>62.266666000000001</v>
      </c>
      <c r="J179" s="702">
        <v>0.81163333000000004</v>
      </c>
      <c r="K179" s="701">
        <v>511.67231879859003</v>
      </c>
      <c r="L179" s="701">
        <v>630.423</v>
      </c>
      <c r="M179" s="701">
        <v>26.949999599999998</v>
      </c>
      <c r="N179" s="702">
        <v>0.81163333000000004</v>
      </c>
      <c r="O179" s="701">
        <v>1608.4407162875559</v>
      </c>
      <c r="P179" s="701">
        <f t="shared" si="2"/>
        <v>1981.7331999999999</v>
      </c>
      <c r="Q179" s="701">
        <v>195.36666560000003</v>
      </c>
      <c r="R179" s="702">
        <v>0.81163333000000004</v>
      </c>
      <c r="S179" s="658" t="s">
        <v>356</v>
      </c>
      <c r="T179" s="703">
        <f t="array" ref="T179">INDEX(UtilityList!Q$4:Q$251,MATCH('Table 2.5a'!$A179&amp;'Table 2.5a'!$B179,UtilityList!$A$4:$A$251&amp;UtilityList!$C$4:$C$251,0))</f>
        <v>0</v>
      </c>
      <c r="U179" s="704" t="str">
        <f t="array" ref="U179">INDEX(UtilityList!J$4:J$251,MATCH('Table 2.5a'!$A179&amp;'Table 2.5a'!$B179,UtilityList!$A$4:$A$251&amp;UtilityList!$C$4:$C$251,0))</f>
        <v>Aleutians</v>
      </c>
      <c r="V179" s="704" t="str">
        <f t="array" ref="V179">INDEX(UtilityList!K$4:K$251,MATCH('Table 2.5a'!$A179&amp;'Table 2.5a'!$B179,UtilityList!$A$4:$A$251&amp;UtilityList!$C$4:$C$251,0))</f>
        <v>Aleutians West (CA)</v>
      </c>
      <c r="W179" s="704" t="str">
        <f t="array" ref="W179">INDEX(UtilityList!L$4:L$251,MATCH('Table 2.5a'!$A179&amp;'Table 2.5a'!$B179,UtilityList!$A$4:$A$251&amp;UtilityList!$C$4:$C$251,0))</f>
        <v>Aleut</v>
      </c>
      <c r="X179" s="704" t="str">
        <f t="array" ref="X179">INDEX(UtilityList!M$4:M$251,MATCH('Table 2.5a'!$A179&amp;'Table 2.5a'!$B179,UtilityList!$A$4:$A$251&amp;UtilityList!$C$4:$C$251,0))</f>
        <v>SW</v>
      </c>
    </row>
    <row r="180" spans="1:24" customFormat="1" x14ac:dyDescent="0.25">
      <c r="A180" s="361" t="s">
        <v>331</v>
      </c>
      <c r="B180" s="654" t="s">
        <v>332</v>
      </c>
      <c r="C180" s="701">
        <v>861.71920212604994</v>
      </c>
      <c r="D180" s="701">
        <v>1475.3150000000001</v>
      </c>
      <c r="E180" s="701">
        <v>287.66665999999998</v>
      </c>
      <c r="F180" s="702">
        <v>0.58409166999999995</v>
      </c>
      <c r="G180" s="701">
        <v>1012.3360006106</v>
      </c>
      <c r="H180" s="701">
        <v>1733.18</v>
      </c>
      <c r="I180" s="701">
        <v>162.33332999999999</v>
      </c>
      <c r="J180" s="702">
        <v>0.58409166999999995</v>
      </c>
      <c r="K180" s="701">
        <v>380.32661818714001</v>
      </c>
      <c r="L180" s="701">
        <v>651.14200000000005</v>
      </c>
      <c r="M180" s="701">
        <v>44.083334000000001</v>
      </c>
      <c r="N180" s="702">
        <v>0.58409166999999995</v>
      </c>
      <c r="O180" s="701">
        <v>2254.3818209237897</v>
      </c>
      <c r="P180" s="701">
        <f t="shared" si="2"/>
        <v>3859.6369999999997</v>
      </c>
      <c r="Q180" s="701">
        <v>494.08332399999995</v>
      </c>
      <c r="R180" s="702">
        <v>0.58409166999999995</v>
      </c>
      <c r="S180" s="658" t="s">
        <v>356</v>
      </c>
      <c r="T180" s="703">
        <f t="array" ref="T180">INDEX(UtilityList!Q$4:Q$251,MATCH('Table 2.5a'!$A180&amp;'Table 2.5a'!$B180,UtilityList!$A$4:$A$251&amp;UtilityList!$C$4:$C$251,0))</f>
        <v>0</v>
      </c>
      <c r="U180" s="704" t="str">
        <f t="array" ref="U180">INDEX(UtilityList!J$4:J$251,MATCH('Table 2.5a'!$A180&amp;'Table 2.5a'!$B180,UtilityList!$A$4:$A$251&amp;UtilityList!$C$4:$C$251,0))</f>
        <v>Aleutians</v>
      </c>
      <c r="V180" s="704" t="str">
        <f t="array" ref="V180">INDEX(UtilityList!K$4:K$251,MATCH('Table 2.5a'!$A180&amp;'Table 2.5a'!$B180,UtilityList!$A$4:$A$251&amp;UtilityList!$C$4:$C$251,0))</f>
        <v>Aleutians East</v>
      </c>
      <c r="W180" s="704" t="str">
        <f t="array" ref="W180">INDEX(UtilityList!L$4:L$251,MATCH('Table 2.5a'!$A180&amp;'Table 2.5a'!$B180,UtilityList!$A$4:$A$251&amp;UtilityList!$C$4:$C$251,0))</f>
        <v>Aleut</v>
      </c>
      <c r="X180" s="704" t="str">
        <f t="array" ref="X180">INDEX(UtilityList!M$4:M$251,MATCH('Table 2.5a'!$A180&amp;'Table 2.5a'!$B180,UtilityList!$A$4:$A$251&amp;UtilityList!$C$4:$C$251,0))</f>
        <v>SW</v>
      </c>
    </row>
    <row r="181" spans="1:24" customFormat="1" ht="30" x14ac:dyDescent="0.25">
      <c r="A181" s="361" t="s">
        <v>333</v>
      </c>
      <c r="B181" s="654" t="s">
        <v>334</v>
      </c>
      <c r="C181" s="701">
        <v>106.38987336802998</v>
      </c>
      <c r="D181" s="701">
        <v>157.90899999999999</v>
      </c>
      <c r="E181" s="701">
        <v>82.472221000000005</v>
      </c>
      <c r="F181" s="702">
        <v>0.67374166999999996</v>
      </c>
      <c r="G181" s="701">
        <v>111.56510547005109</v>
      </c>
      <c r="H181" s="701">
        <v>165.59032999999999</v>
      </c>
      <c r="I181" s="701">
        <v>15.055555</v>
      </c>
      <c r="J181" s="702">
        <v>0.67374166999999996</v>
      </c>
      <c r="K181" s="701">
        <v>11.725575399207223</v>
      </c>
      <c r="L181" s="701">
        <v>17.403666600000001</v>
      </c>
      <c r="M181" s="701">
        <v>4</v>
      </c>
      <c r="N181" s="702">
        <v>0.67374166999999996</v>
      </c>
      <c r="O181" s="701">
        <v>229.68055423728831</v>
      </c>
      <c r="P181" s="701">
        <f t="shared" si="2"/>
        <v>340.90299659999999</v>
      </c>
      <c r="Q181" s="701">
        <v>101.527776</v>
      </c>
      <c r="R181" s="702">
        <v>0.67374166999999996</v>
      </c>
      <c r="S181" s="658" t="s">
        <v>356</v>
      </c>
      <c r="T181" s="703">
        <f t="array" ref="T181">INDEX(UtilityList!Q$4:Q$251,MATCH('Table 2.5a'!$A181&amp;'Table 2.5a'!$B181,UtilityList!$A$4:$A$251&amp;UtilityList!$C$4:$C$251,0))</f>
        <v>0</v>
      </c>
      <c r="U181" s="704" t="str">
        <f t="array" ref="U181">INDEX(UtilityList!J$4:J$251,MATCH('Table 2.5a'!$A181&amp;'Table 2.5a'!$B181,UtilityList!$A$4:$A$251&amp;UtilityList!$C$4:$C$251,0))</f>
        <v>Yukon-Koyukuk/Upper Tanana</v>
      </c>
      <c r="V181" s="704" t="str">
        <f t="array" ref="V181">INDEX(UtilityList!K$4:K$251,MATCH('Table 2.5a'!$A181&amp;'Table 2.5a'!$B181,UtilityList!$A$4:$A$251&amp;UtilityList!$C$4:$C$251,0))</f>
        <v>Yukon-Koyukuk (CA)</v>
      </c>
      <c r="W181" s="704" t="str">
        <f t="array" ref="W181">INDEX(UtilityList!L$4:L$251,MATCH('Table 2.5a'!$A181&amp;'Table 2.5a'!$B181,UtilityList!$A$4:$A$251&amp;UtilityList!$C$4:$C$251,0))</f>
        <v>Doyon</v>
      </c>
      <c r="X181" s="704" t="str">
        <f t="array" ref="X181">INDEX(UtilityList!M$4:M$251,MATCH('Table 2.5a'!$A181&amp;'Table 2.5a'!$B181,UtilityList!$A$4:$A$251&amp;UtilityList!$C$4:$C$251,0))</f>
        <v>YU</v>
      </c>
    </row>
    <row r="182" spans="1:24" customFormat="1" x14ac:dyDescent="0.25">
      <c r="A182" s="361" t="s">
        <v>335</v>
      </c>
      <c r="B182" s="654" t="s">
        <v>336</v>
      </c>
      <c r="C182" s="701">
        <v>164.81522086852999</v>
      </c>
      <c r="D182" s="701">
        <v>239.441</v>
      </c>
      <c r="E182" s="701">
        <v>123</v>
      </c>
      <c r="F182" s="702">
        <v>0.68833332999999997</v>
      </c>
      <c r="G182" s="701">
        <v>57.479963054979997</v>
      </c>
      <c r="H182" s="701">
        <v>83.506</v>
      </c>
      <c r="I182" s="701">
        <v>21.333334000000001</v>
      </c>
      <c r="J182" s="702">
        <v>0.68833332999999997</v>
      </c>
      <c r="K182" s="701">
        <v>25.371278210469999</v>
      </c>
      <c r="L182" s="701">
        <v>36.859000000000002</v>
      </c>
      <c r="M182" s="701">
        <v>14</v>
      </c>
      <c r="N182" s="702">
        <v>0.68833332999999997</v>
      </c>
      <c r="O182" s="701">
        <v>247.66646213397999</v>
      </c>
      <c r="P182" s="701">
        <f t="shared" si="2"/>
        <v>359.80599999999998</v>
      </c>
      <c r="Q182" s="701">
        <v>158.33333400000001</v>
      </c>
      <c r="R182" s="702">
        <v>0.68833332999999997</v>
      </c>
      <c r="S182" s="658" t="s">
        <v>356</v>
      </c>
      <c r="T182" s="703">
        <f t="array" ref="T182">INDEX(UtilityList!Q$4:Q$251,MATCH('Table 2.5a'!$A182&amp;'Table 2.5a'!$B182,UtilityList!$A$4:$A$251&amp;UtilityList!$C$4:$C$251,0))</f>
        <v>0</v>
      </c>
      <c r="U182" s="704" t="str">
        <f t="array" ref="U182">INDEX(UtilityList!J$4:J$251,MATCH('Table 2.5a'!$A182&amp;'Table 2.5a'!$B182,UtilityList!$A$4:$A$251&amp;UtilityList!$C$4:$C$251,0))</f>
        <v>Southeast</v>
      </c>
      <c r="V182" s="704" t="str">
        <f t="array" ref="V182">INDEX(UtilityList!K$4:K$251,MATCH('Table 2.5a'!$A182&amp;'Table 2.5a'!$B182,UtilityList!$A$4:$A$251&amp;UtilityList!$C$4:$C$251,0))</f>
        <v>Hoonah-Angoon (CA)</v>
      </c>
      <c r="W182" s="704" t="str">
        <f t="array" ref="W182">INDEX(UtilityList!L$4:L$251,MATCH('Table 2.5a'!$A182&amp;'Table 2.5a'!$B182,UtilityList!$A$4:$A$251&amp;UtilityList!$C$4:$C$251,0))</f>
        <v>Sealaska</v>
      </c>
      <c r="X182" s="704" t="str">
        <f t="array" ref="X182">INDEX(UtilityList!M$4:M$251,MATCH('Table 2.5a'!$A182&amp;'Table 2.5a'!$B182,UtilityList!$A$4:$A$251&amp;UtilityList!$C$4:$C$251,0))</f>
        <v>SE</v>
      </c>
    </row>
    <row r="183" spans="1:24" customFormat="1" x14ac:dyDescent="0.25">
      <c r="A183" s="361" t="s">
        <v>337</v>
      </c>
      <c r="B183" s="654" t="s">
        <v>338</v>
      </c>
      <c r="C183" s="701">
        <v>159.70320000000001</v>
      </c>
      <c r="D183" s="701">
        <v>266.17200000000003</v>
      </c>
      <c r="E183" s="701">
        <v>84.5</v>
      </c>
      <c r="F183" s="702">
        <v>0.6</v>
      </c>
      <c r="G183" s="701">
        <v>95.389200000000002</v>
      </c>
      <c r="H183" s="701">
        <v>158.982</v>
      </c>
      <c r="I183" s="701">
        <v>9.8333329999999997</v>
      </c>
      <c r="J183" s="702">
        <v>0.6</v>
      </c>
      <c r="K183" s="701">
        <v>42.864600000000003</v>
      </c>
      <c r="L183" s="701">
        <v>71.441000000000003</v>
      </c>
      <c r="M183" s="701">
        <v>6</v>
      </c>
      <c r="N183" s="702">
        <v>0.6</v>
      </c>
      <c r="O183" s="701">
        <v>297.95699999999999</v>
      </c>
      <c r="P183" s="701">
        <f t="shared" si="2"/>
        <v>496.59500000000003</v>
      </c>
      <c r="Q183" s="701">
        <v>100.333333</v>
      </c>
      <c r="R183" s="702">
        <v>0.6</v>
      </c>
      <c r="S183" s="658" t="s">
        <v>356</v>
      </c>
      <c r="T183" s="703">
        <f t="array" ref="T183">INDEX(UtilityList!Q$4:Q$251,MATCH('Table 2.5a'!$A183&amp;'Table 2.5a'!$B183,UtilityList!$A$4:$A$251&amp;UtilityList!$C$4:$C$251,0))</f>
        <v>0</v>
      </c>
      <c r="U183" s="704" t="str">
        <f t="array" ref="U183">INDEX(UtilityList!J$4:J$251,MATCH('Table 2.5a'!$A183&amp;'Table 2.5a'!$B183,UtilityList!$A$4:$A$251&amp;UtilityList!$C$4:$C$251,0))</f>
        <v>Lower Yukon-Kuskokwim</v>
      </c>
      <c r="V183" s="704" t="str">
        <f t="array" ref="V183">INDEX(UtilityList!K$4:K$251,MATCH('Table 2.5a'!$A183&amp;'Table 2.5a'!$B183,UtilityList!$A$4:$A$251&amp;UtilityList!$C$4:$C$251,0))</f>
        <v>Bethel (CA)</v>
      </c>
      <c r="W183" s="704" t="str">
        <f t="array" ref="W183">INDEX(UtilityList!L$4:L$251,MATCH('Table 2.5a'!$A183&amp;'Table 2.5a'!$B183,UtilityList!$A$4:$A$251&amp;UtilityList!$C$4:$C$251,0))</f>
        <v>Calista</v>
      </c>
      <c r="X183" s="704" t="str">
        <f t="array" ref="X183">INDEX(UtilityList!M$4:M$251,MATCH('Table 2.5a'!$A183&amp;'Table 2.5a'!$B183,UtilityList!$A$4:$A$251&amp;UtilityList!$C$4:$C$251,0))</f>
        <v>SW</v>
      </c>
    </row>
    <row r="184" spans="1:24" customFormat="1" x14ac:dyDescent="0.25">
      <c r="A184" s="361" t="s">
        <v>339</v>
      </c>
      <c r="B184" s="654" t="s">
        <v>340</v>
      </c>
      <c r="C184" s="701">
        <v>267.61995000000002</v>
      </c>
      <c r="D184" s="701">
        <v>411.72300000000001</v>
      </c>
      <c r="E184" s="701">
        <v>91.583336000000003</v>
      </c>
      <c r="F184" s="702">
        <v>0.65</v>
      </c>
      <c r="G184" s="701">
        <v>265.57765000000001</v>
      </c>
      <c r="H184" s="701">
        <v>408.58100000000002</v>
      </c>
      <c r="I184" s="701">
        <v>25.5</v>
      </c>
      <c r="J184" s="702">
        <v>0.65</v>
      </c>
      <c r="K184" s="701">
        <v>47.134750000000004</v>
      </c>
      <c r="L184" s="701">
        <v>72.515000000000001</v>
      </c>
      <c r="M184" s="701">
        <v>12.9166665</v>
      </c>
      <c r="N184" s="702">
        <v>0.65</v>
      </c>
      <c r="O184" s="701">
        <v>580.33235000000002</v>
      </c>
      <c r="P184" s="701">
        <f t="shared" si="2"/>
        <v>892.81900000000007</v>
      </c>
      <c r="Q184" s="701">
        <v>130.00000249999999</v>
      </c>
      <c r="R184" s="702">
        <v>0.65</v>
      </c>
      <c r="S184" s="658" t="s">
        <v>356</v>
      </c>
      <c r="T184" s="703">
        <f t="array" ref="T184">INDEX(UtilityList!Q$4:Q$251,MATCH('Table 2.5a'!$A184&amp;'Table 2.5a'!$B184,UtilityList!$A$4:$A$251&amp;UtilityList!$C$4:$C$251,0))</f>
        <v>0</v>
      </c>
      <c r="U184" s="704" t="str">
        <f t="array" ref="U184">INDEX(UtilityList!J$4:J$251,MATCH('Table 2.5a'!$A184&amp;'Table 2.5a'!$B184,UtilityList!$A$4:$A$251&amp;UtilityList!$C$4:$C$251,0))</f>
        <v>Lower Yukon-Kuskokwim</v>
      </c>
      <c r="V184" s="704" t="str">
        <f t="array" ref="V184">INDEX(UtilityList!K$4:K$251,MATCH('Table 2.5a'!$A184&amp;'Table 2.5a'!$B184,UtilityList!$A$4:$A$251&amp;UtilityList!$C$4:$C$251,0))</f>
        <v>Bethel (CA)</v>
      </c>
      <c r="W184" s="704" t="str">
        <f t="array" ref="W184">INDEX(UtilityList!L$4:L$251,MATCH('Table 2.5a'!$A184&amp;'Table 2.5a'!$B184,UtilityList!$A$4:$A$251&amp;UtilityList!$C$4:$C$251,0))</f>
        <v>Calista</v>
      </c>
      <c r="X184" s="704" t="str">
        <f t="array" ref="X184">INDEX(UtilityList!M$4:M$251,MATCH('Table 2.5a'!$A184&amp;'Table 2.5a'!$B184,UtilityList!$A$4:$A$251&amp;UtilityList!$C$4:$C$251,0))</f>
        <v>SW</v>
      </c>
    </row>
    <row r="185" spans="1:24" customFormat="1" ht="30" x14ac:dyDescent="0.25">
      <c r="A185" s="361" t="s">
        <v>341</v>
      </c>
      <c r="B185" s="654" t="s">
        <v>342</v>
      </c>
      <c r="C185" s="701">
        <v>56.462032275000006</v>
      </c>
      <c r="D185" s="701">
        <v>101.79300000000001</v>
      </c>
      <c r="E185" s="701">
        <v>27.833334000000001</v>
      </c>
      <c r="F185" s="702">
        <v>0.55467500000000003</v>
      </c>
      <c r="G185" s="701">
        <v>26.194526875000001</v>
      </c>
      <c r="H185" s="701">
        <v>47.225000000000001</v>
      </c>
      <c r="I185" s="701">
        <v>4</v>
      </c>
      <c r="J185" s="702">
        <v>0.55467500000000003</v>
      </c>
      <c r="K185" s="701">
        <v>30.208155175000002</v>
      </c>
      <c r="L185" s="701">
        <v>54.460999999999999</v>
      </c>
      <c r="M185" s="701">
        <v>8</v>
      </c>
      <c r="N185" s="702">
        <v>0.55467500000000003</v>
      </c>
      <c r="O185" s="701">
        <v>112.86471432500001</v>
      </c>
      <c r="P185" s="701">
        <f t="shared" si="2"/>
        <v>203.47899999999998</v>
      </c>
      <c r="Q185" s="701">
        <v>39.833334000000001</v>
      </c>
      <c r="R185" s="702">
        <v>0.55467500000000003</v>
      </c>
      <c r="S185" s="658" t="s">
        <v>356</v>
      </c>
      <c r="T185" s="703">
        <f t="array" ref="T185">INDEX(UtilityList!Q$4:Q$251,MATCH('Table 2.5a'!$A185&amp;'Table 2.5a'!$B185,UtilityList!$A$4:$A$251&amp;UtilityList!$C$4:$C$251,0))</f>
        <v>0</v>
      </c>
      <c r="U185" s="704" t="str">
        <f t="array" ref="U185">INDEX(UtilityList!J$4:J$251,MATCH('Table 2.5a'!$A185&amp;'Table 2.5a'!$B185,UtilityList!$A$4:$A$251&amp;UtilityList!$C$4:$C$251,0))</f>
        <v>Bristol Bay</v>
      </c>
      <c r="V185" s="704" t="str">
        <f t="array" ref="V185">INDEX(UtilityList!K$4:K$251,MATCH('Table 2.5a'!$A185&amp;'Table 2.5a'!$B185,UtilityList!$A$4:$A$251&amp;UtilityList!$C$4:$C$251,0))</f>
        <v>Dillingham (CA)</v>
      </c>
      <c r="W185" s="704" t="str">
        <f t="array" ref="W185">INDEX(UtilityList!L$4:L$251,MATCH('Table 2.5a'!$A185&amp;'Table 2.5a'!$B185,UtilityList!$A$4:$A$251&amp;UtilityList!$C$4:$C$251,0))</f>
        <v>Bristol Bay</v>
      </c>
      <c r="X185" s="704" t="str">
        <f t="array" ref="X185">INDEX(UtilityList!M$4:M$251,MATCH('Table 2.5a'!$A185&amp;'Table 2.5a'!$B185,UtilityList!$A$4:$A$251&amp;UtilityList!$C$4:$C$251,0))</f>
        <v>SW</v>
      </c>
    </row>
    <row r="186" spans="1:24" customFormat="1" x14ac:dyDescent="0.25">
      <c r="A186" s="361" t="s">
        <v>343</v>
      </c>
      <c r="B186" s="654" t="s">
        <v>344</v>
      </c>
      <c r="C186" s="701">
        <v>31.322399999999998</v>
      </c>
      <c r="D186" s="701">
        <v>52.204000000000001</v>
      </c>
      <c r="E186" s="701">
        <v>15</v>
      </c>
      <c r="F186" s="702">
        <v>0.6</v>
      </c>
      <c r="G186" s="701">
        <v>67.997399999999999</v>
      </c>
      <c r="H186" s="701">
        <v>113.32899999999999</v>
      </c>
      <c r="I186" s="701">
        <v>11</v>
      </c>
      <c r="J186" s="702">
        <v>0.6</v>
      </c>
      <c r="K186" s="701">
        <v>19.465799999999998</v>
      </c>
      <c r="L186" s="701">
        <v>32.442999999999998</v>
      </c>
      <c r="M186" s="701">
        <v>6</v>
      </c>
      <c r="N186" s="702">
        <v>0.6</v>
      </c>
      <c r="O186" s="701">
        <v>118.7856</v>
      </c>
      <c r="P186" s="701">
        <f t="shared" si="2"/>
        <v>197.976</v>
      </c>
      <c r="Q186" s="701">
        <v>32</v>
      </c>
      <c r="R186" s="702">
        <v>0.6</v>
      </c>
      <c r="S186" s="658" t="s">
        <v>356</v>
      </c>
      <c r="T186" s="703">
        <f t="array" ref="T186">INDEX(UtilityList!Q$4:Q$251,MATCH('Table 2.5a'!$A186&amp;'Table 2.5a'!$B186,UtilityList!$A$4:$A$251&amp;UtilityList!$C$4:$C$251,0))</f>
        <v>0</v>
      </c>
      <c r="U186" s="704" t="str">
        <f t="array" ref="U186">INDEX(UtilityList!J$4:J$251,MATCH('Table 2.5a'!$A186&amp;'Table 2.5a'!$B186,UtilityList!$A$4:$A$251&amp;UtilityList!$C$4:$C$251,0))</f>
        <v>Aleutians</v>
      </c>
      <c r="V186" s="704" t="str">
        <f t="array" ref="V186">INDEX(UtilityList!K$4:K$251,MATCH('Table 2.5a'!$A186&amp;'Table 2.5a'!$B186,UtilityList!$A$4:$A$251&amp;UtilityList!$C$4:$C$251,0))</f>
        <v>Aleutians West (CA)</v>
      </c>
      <c r="W186" s="704" t="str">
        <f t="array" ref="W186">INDEX(UtilityList!L$4:L$251,MATCH('Table 2.5a'!$A186&amp;'Table 2.5a'!$B186,UtilityList!$A$4:$A$251&amp;UtilityList!$C$4:$C$251,0))</f>
        <v>Aleut</v>
      </c>
      <c r="X186" s="704" t="str">
        <f t="array" ref="X186">INDEX(UtilityList!M$4:M$251,MATCH('Table 2.5a'!$A186&amp;'Table 2.5a'!$B186,UtilityList!$A$4:$A$251&amp;UtilityList!$C$4:$C$251,0))</f>
        <v>SW</v>
      </c>
    </row>
    <row r="187" spans="1:24" customFormat="1" ht="30" x14ac:dyDescent="0.25">
      <c r="A187" s="361" t="s">
        <v>537</v>
      </c>
      <c r="B187" s="654" t="s">
        <v>345</v>
      </c>
      <c r="C187" s="701">
        <v>583.73571242844002</v>
      </c>
      <c r="D187" s="701">
        <v>1491.4680000000001</v>
      </c>
      <c r="E187" s="701">
        <v>283.91665999999998</v>
      </c>
      <c r="F187" s="702">
        <v>0.39138332999999997</v>
      </c>
      <c r="G187" s="701">
        <v>747.5362895500499</v>
      </c>
      <c r="H187" s="701">
        <v>1909.9849999999999</v>
      </c>
      <c r="I187" s="701">
        <v>44</v>
      </c>
      <c r="J187" s="702">
        <v>0.39138332999999997</v>
      </c>
      <c r="K187" s="701">
        <v>283.91690386527</v>
      </c>
      <c r="L187" s="701">
        <v>725.41899999999998</v>
      </c>
      <c r="M187" s="701">
        <v>30</v>
      </c>
      <c r="N187" s="702">
        <v>0.39138332999999997</v>
      </c>
      <c r="O187" s="701">
        <v>1615.18890584376</v>
      </c>
      <c r="P187" s="701">
        <f t="shared" si="2"/>
        <v>4126.8720000000003</v>
      </c>
      <c r="Q187" s="701">
        <v>357.91665999999998</v>
      </c>
      <c r="R187" s="702">
        <v>0.39138332999999997</v>
      </c>
      <c r="S187" s="658" t="s">
        <v>356</v>
      </c>
      <c r="T187" s="703">
        <f t="array" ref="T187">INDEX(UtilityList!Q$4:Q$251,MATCH('Table 2.5a'!$A187&amp;'Table 2.5a'!$B187,UtilityList!$A$4:$A$251&amp;UtilityList!$C$4:$C$251,0))</f>
        <v>0</v>
      </c>
      <c r="U187" s="704" t="str">
        <f t="array" ref="U187">INDEX(UtilityList!J$4:J$251,MATCH('Table 2.5a'!$A187&amp;'Table 2.5a'!$B187,UtilityList!$A$4:$A$251&amp;UtilityList!$C$4:$C$251,0))</f>
        <v>Bering Straits</v>
      </c>
      <c r="V187" s="704" t="str">
        <f t="array" ref="V187">INDEX(UtilityList!K$4:K$251,MATCH('Table 2.5a'!$A187&amp;'Table 2.5a'!$B187,UtilityList!$A$4:$A$251&amp;UtilityList!$C$4:$C$251,0))</f>
        <v>Nome (CA)</v>
      </c>
      <c r="W187" s="704" t="str">
        <f t="array" ref="W187">INDEX(UtilityList!L$4:L$251,MATCH('Table 2.5a'!$A187&amp;'Table 2.5a'!$B187,UtilityList!$A$4:$A$251&amp;UtilityList!$C$4:$C$251,0))</f>
        <v>Bering Straits</v>
      </c>
      <c r="X187" s="704" t="str">
        <f t="array" ref="X187">INDEX(UtilityList!M$4:M$251,MATCH('Table 2.5a'!$A187&amp;'Table 2.5a'!$B187,UtilityList!$A$4:$A$251&amp;UtilityList!$C$4:$C$251,0))</f>
        <v>AN</v>
      </c>
    </row>
    <row r="188" spans="1:24" customFormat="1" x14ac:dyDescent="0.25">
      <c r="A188" s="361" t="s">
        <v>637</v>
      </c>
      <c r="B188" s="654" t="s">
        <v>492</v>
      </c>
      <c r="C188" s="701">
        <v>1770.16400299772</v>
      </c>
      <c r="D188" s="701">
        <v>3970.6840000000002</v>
      </c>
      <c r="E188" s="701">
        <v>688.66669000000002</v>
      </c>
      <c r="F188" s="702">
        <v>0.44580832999999997</v>
      </c>
      <c r="G188" s="701">
        <v>15235.311992443068</v>
      </c>
      <c r="H188" s="701">
        <v>34174.578999999998</v>
      </c>
      <c r="I188" s="701">
        <v>181.75</v>
      </c>
      <c r="J188" s="702">
        <v>0.44580832999999997</v>
      </c>
      <c r="K188" s="701">
        <v>1535.6951241091899</v>
      </c>
      <c r="L188" s="701">
        <v>3444.7429999999999</v>
      </c>
      <c r="M188" s="701">
        <v>74.916668000000001</v>
      </c>
      <c r="N188" s="702">
        <v>0.44580832999999997</v>
      </c>
      <c r="O188" s="701">
        <v>18541.171119549977</v>
      </c>
      <c r="P188" s="701">
        <f t="shared" si="2"/>
        <v>41590.006000000001</v>
      </c>
      <c r="Q188" s="701">
        <v>945.33335799999998</v>
      </c>
      <c r="R188" s="702">
        <v>0.44580832999999997</v>
      </c>
      <c r="S188" s="658" t="s">
        <v>356</v>
      </c>
      <c r="T188" s="703">
        <f t="array" ref="T188">INDEX(UtilityList!Q$4:Q$251,MATCH('Table 2.5a'!$A188&amp;'Table 2.5a'!$B188,UtilityList!$A$4:$A$251&amp;UtilityList!$C$4:$C$251,0))</f>
        <v>0</v>
      </c>
      <c r="U188" s="704" t="str">
        <f t="array" ref="U188">INDEX(UtilityList!J$4:J$251,MATCH('Table 2.5a'!$A188&amp;'Table 2.5a'!$B188,UtilityList!$A$4:$A$251&amp;UtilityList!$C$4:$C$251,0))</f>
        <v>Aleutians</v>
      </c>
      <c r="V188" s="704" t="str">
        <f t="array" ref="V188">INDEX(UtilityList!K$4:K$251,MATCH('Table 2.5a'!$A188&amp;'Table 2.5a'!$B188,UtilityList!$A$4:$A$251&amp;UtilityList!$C$4:$C$251,0))</f>
        <v>Aleutians West (CA)</v>
      </c>
      <c r="W188" s="704" t="str">
        <f t="array" ref="W188">INDEX(UtilityList!L$4:L$251,MATCH('Table 2.5a'!$A188&amp;'Table 2.5a'!$B188,UtilityList!$A$4:$A$251&amp;UtilityList!$C$4:$C$251,0))</f>
        <v>Aleut</v>
      </c>
      <c r="X188" s="704" t="str">
        <f t="array" ref="X188">INDEX(UtilityList!M$4:M$251,MATCH('Table 2.5a'!$A188&amp;'Table 2.5a'!$B188,UtilityList!$A$4:$A$251&amp;UtilityList!$C$4:$C$251,0))</f>
        <v>SW</v>
      </c>
    </row>
    <row r="189" spans="1:24" customFormat="1" ht="30" x14ac:dyDescent="0.25">
      <c r="A189" s="361" t="s">
        <v>346</v>
      </c>
      <c r="B189" s="654" t="s">
        <v>347</v>
      </c>
      <c r="C189" s="701">
        <v>199.20480000000001</v>
      </c>
      <c r="D189" s="701">
        <v>249.006</v>
      </c>
      <c r="E189" s="701">
        <v>66.5</v>
      </c>
      <c r="F189" s="702">
        <v>0.8</v>
      </c>
      <c r="G189" s="701">
        <v>91.325600000000009</v>
      </c>
      <c r="H189" s="701">
        <v>114.157</v>
      </c>
      <c r="I189" s="701">
        <v>16</v>
      </c>
      <c r="J189" s="702">
        <v>0.8</v>
      </c>
      <c r="K189" s="701">
        <v>32.348000000000006</v>
      </c>
      <c r="L189" s="701">
        <v>40.435000000000002</v>
      </c>
      <c r="M189" s="701">
        <v>6</v>
      </c>
      <c r="N189" s="702">
        <v>0.8</v>
      </c>
      <c r="O189" s="701">
        <v>322.8784</v>
      </c>
      <c r="P189" s="701">
        <f t="shared" si="2"/>
        <v>403.59800000000001</v>
      </c>
      <c r="Q189" s="701">
        <v>88.5</v>
      </c>
      <c r="R189" s="702">
        <v>0.8</v>
      </c>
      <c r="S189" s="658" t="s">
        <v>356</v>
      </c>
      <c r="T189" s="703">
        <f t="array" ref="T189">INDEX(UtilityList!Q$4:Q$251,MATCH('Table 2.5a'!$A189&amp;'Table 2.5a'!$B189,UtilityList!$A$4:$A$251&amp;UtilityList!$C$4:$C$251,0))</f>
        <v>0</v>
      </c>
      <c r="U189" s="704" t="str">
        <f t="array" ref="U189">INDEX(UtilityList!J$4:J$251,MATCH('Table 2.5a'!$A189&amp;'Table 2.5a'!$B189,UtilityList!$A$4:$A$251&amp;UtilityList!$C$4:$C$251,0))</f>
        <v>Lower Yukon-Kuskokwim</v>
      </c>
      <c r="V189" s="704" t="str">
        <f t="array" ref="V189">INDEX(UtilityList!K$4:K$251,MATCH('Table 2.5a'!$A189&amp;'Table 2.5a'!$B189,UtilityList!$A$4:$A$251&amp;UtilityList!$C$4:$C$251,0))</f>
        <v>Bethel (CA)</v>
      </c>
      <c r="W189" s="704" t="str">
        <f t="array" ref="W189">INDEX(UtilityList!L$4:L$251,MATCH('Table 2.5a'!$A189&amp;'Table 2.5a'!$B189,UtilityList!$A$4:$A$251&amp;UtilityList!$C$4:$C$251,0))</f>
        <v>Calista</v>
      </c>
      <c r="X189" s="704" t="str">
        <f t="array" ref="X189">INDEX(UtilityList!M$4:M$251,MATCH('Table 2.5a'!$A189&amp;'Table 2.5a'!$B189,UtilityList!$A$4:$A$251&amp;UtilityList!$C$4:$C$251,0))</f>
        <v>SW</v>
      </c>
    </row>
    <row r="190" spans="1:24" customFormat="1" x14ac:dyDescent="0.25">
      <c r="A190" s="361" t="s">
        <v>350</v>
      </c>
      <c r="B190" s="654" t="s">
        <v>351</v>
      </c>
      <c r="C190" s="701">
        <v>81.01018705992</v>
      </c>
      <c r="D190" s="701">
        <v>117.976</v>
      </c>
      <c r="E190" s="701">
        <v>66.833336000000003</v>
      </c>
      <c r="F190" s="702">
        <v>0.68666667000000003</v>
      </c>
      <c r="G190" s="701">
        <v>107.87327385699001</v>
      </c>
      <c r="H190" s="701">
        <v>157.09700000000001</v>
      </c>
      <c r="I190" s="701">
        <v>17.833334000000001</v>
      </c>
      <c r="J190" s="702">
        <v>0.68666667000000003</v>
      </c>
      <c r="K190" s="701">
        <v>48.2383335675</v>
      </c>
      <c r="L190" s="701">
        <v>70.25</v>
      </c>
      <c r="M190" s="701">
        <v>12.9999997</v>
      </c>
      <c r="N190" s="702">
        <v>0.68666667000000003</v>
      </c>
      <c r="O190" s="701">
        <v>237.12179448441</v>
      </c>
      <c r="P190" s="701">
        <f t="shared" si="2"/>
        <v>345.32299999999998</v>
      </c>
      <c r="Q190" s="701">
        <v>97.666669700000014</v>
      </c>
      <c r="R190" s="702">
        <v>0.68666667000000003</v>
      </c>
      <c r="S190" s="658" t="s">
        <v>356</v>
      </c>
      <c r="T190" s="703">
        <f t="array" ref="T190">INDEX(UtilityList!Q$4:Q$251,MATCH('Table 2.5a'!$A190&amp;'Table 2.5a'!$B190,UtilityList!$A$4:$A$251&amp;UtilityList!$C$4:$C$251,0))</f>
        <v>0</v>
      </c>
      <c r="U190" s="704" t="str">
        <f t="array" ref="U190">INDEX(UtilityList!J$4:J$251,MATCH('Table 2.5a'!$A190&amp;'Table 2.5a'!$B190,UtilityList!$A$4:$A$251&amp;UtilityList!$C$4:$C$251,0))</f>
        <v>Bering Straits</v>
      </c>
      <c r="V190" s="704" t="str">
        <f t="array" ref="V190">INDEX(UtilityList!K$4:K$251,MATCH('Table 2.5a'!$A190&amp;'Table 2.5a'!$B190,UtilityList!$A$4:$A$251&amp;UtilityList!$C$4:$C$251,0))</f>
        <v>Nome (CA)</v>
      </c>
      <c r="W190" s="704" t="str">
        <f t="array" ref="W190">INDEX(UtilityList!L$4:L$251,MATCH('Table 2.5a'!$A190&amp;'Table 2.5a'!$B190,UtilityList!$A$4:$A$251&amp;UtilityList!$C$4:$C$251,0))</f>
        <v>Bering Straits</v>
      </c>
      <c r="X190" s="704" t="str">
        <f t="array" ref="X190">INDEX(UtilityList!M$4:M$251,MATCH('Table 2.5a'!$A190&amp;'Table 2.5a'!$B190,UtilityList!$A$4:$A$251&amp;UtilityList!$C$4:$C$251,0))</f>
        <v>AN</v>
      </c>
    </row>
    <row r="191" spans="1:24" s="169" customFormat="1" x14ac:dyDescent="0.25">
      <c r="A191" s="361" t="s">
        <v>352</v>
      </c>
      <c r="B191" s="708" t="s">
        <v>353</v>
      </c>
      <c r="C191" s="642">
        <v>1506</v>
      </c>
      <c r="D191" s="642">
        <v>14183</v>
      </c>
      <c r="E191" s="642">
        <v>1050</v>
      </c>
      <c r="F191" s="683">
        <v>0.10618</v>
      </c>
      <c r="G191" s="642">
        <v>2096</v>
      </c>
      <c r="H191" s="642">
        <v>19585</v>
      </c>
      <c r="I191" s="642">
        <v>578</v>
      </c>
      <c r="J191" s="683">
        <v>0.10702</v>
      </c>
      <c r="K191" s="642">
        <v>0</v>
      </c>
      <c r="L191" s="642">
        <v>0</v>
      </c>
      <c r="M191" s="642">
        <v>0</v>
      </c>
      <c r="N191" s="683"/>
      <c r="O191" s="642">
        <v>3602</v>
      </c>
      <c r="P191" s="642">
        <f t="shared" si="2"/>
        <v>33768</v>
      </c>
      <c r="Q191" s="642">
        <v>1628</v>
      </c>
      <c r="R191" s="705">
        <v>0.10666903577351339</v>
      </c>
      <c r="S191" s="707" t="s">
        <v>558</v>
      </c>
      <c r="T191" s="703">
        <f t="array" ref="T191">INDEX(UtilityList!Q$4:Q$251,MATCH('Table 2.5a'!$A191&amp;'Table 2.5a'!$B191,UtilityList!$A$4:$A$251&amp;UtilityList!$C$4:$C$251,0))</f>
        <v>0</v>
      </c>
      <c r="U191" s="704" t="str">
        <f t="array" ref="U191">INDEX(UtilityList!J$4:J$251,MATCH('Table 2.5a'!$A191&amp;'Table 2.5a'!$B191,UtilityList!$A$4:$A$251&amp;UtilityList!$C$4:$C$251,0))</f>
        <v>Southeast</v>
      </c>
      <c r="V191" s="704" t="str">
        <f t="array" ref="V191">INDEX(UtilityList!K$4:K$251,MATCH('Table 2.5a'!$A191&amp;'Table 2.5a'!$B191,UtilityList!$A$4:$A$251&amp;UtilityList!$C$4:$C$251,0))</f>
        <v>Wrangell</v>
      </c>
      <c r="W191" s="704" t="str">
        <f t="array" ref="W191">INDEX(UtilityList!L$4:L$251,MATCH('Table 2.5a'!$A191&amp;'Table 2.5a'!$B191,UtilityList!$A$4:$A$251&amp;UtilityList!$C$4:$C$251,0))</f>
        <v>Sealaska</v>
      </c>
      <c r="X191" s="704" t="str">
        <f t="array" ref="X191">INDEX(UtilityList!M$4:M$251,MATCH('Table 2.5a'!$A191&amp;'Table 2.5a'!$B191,UtilityList!$A$4:$A$251&amp;UtilityList!$C$4:$C$251,0))</f>
        <v>SE</v>
      </c>
    </row>
    <row r="192" spans="1:24" customFormat="1" x14ac:dyDescent="0.25">
      <c r="A192" s="361" t="s">
        <v>354</v>
      </c>
      <c r="B192" s="654" t="s">
        <v>355</v>
      </c>
      <c r="C192" s="701">
        <v>722.99191046768999</v>
      </c>
      <c r="D192" s="701">
        <v>1437.193</v>
      </c>
      <c r="E192" s="701">
        <v>274.58334000000002</v>
      </c>
      <c r="F192" s="702">
        <v>0.50305833</v>
      </c>
      <c r="G192" s="701">
        <v>1680.2867595411899</v>
      </c>
      <c r="H192" s="701">
        <v>3340.143</v>
      </c>
      <c r="I192" s="701">
        <v>85.25</v>
      </c>
      <c r="J192" s="702">
        <v>0.50305833</v>
      </c>
      <c r="K192" s="701">
        <v>597.95122890456003</v>
      </c>
      <c r="L192" s="701">
        <v>1188.6320000000001</v>
      </c>
      <c r="M192" s="701">
        <v>60.166665999999999</v>
      </c>
      <c r="N192" s="702">
        <v>0.50305833</v>
      </c>
      <c r="O192" s="701">
        <v>3001.2298989134401</v>
      </c>
      <c r="P192" s="701">
        <f t="shared" si="2"/>
        <v>5965.9680000000008</v>
      </c>
      <c r="Q192" s="701">
        <v>420.00000600000004</v>
      </c>
      <c r="R192" s="702">
        <v>0.50305833</v>
      </c>
      <c r="S192" s="658" t="s">
        <v>356</v>
      </c>
      <c r="T192" s="703">
        <f t="array" ref="T192">INDEX(UtilityList!Q$4:Q$251,MATCH('Table 2.5a'!$A192&amp;'Table 2.5a'!$B192,UtilityList!$A$4:$A$251&amp;UtilityList!$C$4:$C$251,0))</f>
        <v>0</v>
      </c>
      <c r="U192" s="704" t="str">
        <f t="array" ref="U192">INDEX(UtilityList!J$4:J$251,MATCH('Table 2.5a'!$A192&amp;'Table 2.5a'!$B192,UtilityList!$A$4:$A$251&amp;UtilityList!$C$4:$C$251,0))</f>
        <v>Southeast</v>
      </c>
      <c r="V192" s="704" t="str">
        <f t="array" ref="V192">INDEX(UtilityList!K$4:K$251,MATCH('Table 2.5a'!$A192&amp;'Table 2.5a'!$B192,UtilityList!$A$4:$A$251&amp;UtilityList!$C$4:$C$251,0))</f>
        <v>Yakutat</v>
      </c>
      <c r="W192" s="704" t="str">
        <f t="array" ref="W192">INDEX(UtilityList!L$4:L$251,MATCH('Table 2.5a'!$A192&amp;'Table 2.5a'!$B192,UtilityList!$A$4:$A$251&amp;UtilityList!$C$4:$C$251,0))</f>
        <v>Sealaska</v>
      </c>
      <c r="X192" s="704" t="str">
        <f t="array" ref="X192">INDEX(UtilityList!M$4:M$251,MATCH('Table 2.5a'!$A192&amp;'Table 2.5a'!$B192,UtilityList!$A$4:$A$251&amp;UtilityList!$C$4:$C$251,0))</f>
        <v>SE</v>
      </c>
    </row>
    <row r="193" spans="1:20" customFormat="1" x14ac:dyDescent="0.25">
      <c r="A193" s="103"/>
      <c r="B193" s="103"/>
      <c r="C193" s="23"/>
      <c r="D193" s="73"/>
      <c r="E193" s="24"/>
      <c r="F193" s="24"/>
      <c r="G193" s="23"/>
      <c r="H193" s="73"/>
      <c r="I193" s="24"/>
      <c r="J193" s="24"/>
      <c r="K193" s="23"/>
      <c r="L193" s="73"/>
      <c r="M193" s="23"/>
      <c r="N193" s="23"/>
      <c r="O193" s="24"/>
      <c r="P193" s="24"/>
      <c r="Q193" s="24"/>
      <c r="R193" s="288"/>
      <c r="S193" s="106"/>
      <c r="T193" s="271"/>
    </row>
    <row r="194" spans="1:20" customFormat="1" x14ac:dyDescent="0.25">
      <c r="A194" s="103"/>
      <c r="B194" s="103"/>
      <c r="C194" s="23"/>
      <c r="D194" s="73"/>
      <c r="E194" s="24"/>
      <c r="F194" s="24"/>
      <c r="G194" s="23"/>
      <c r="H194" s="73"/>
      <c r="I194" s="24"/>
      <c r="J194" s="24"/>
      <c r="K194" s="23"/>
      <c r="L194" s="73"/>
      <c r="M194" s="23"/>
      <c r="N194" s="23"/>
      <c r="O194" s="24"/>
      <c r="P194" s="24"/>
      <c r="Q194" s="24"/>
      <c r="R194" s="288"/>
      <c r="S194" s="106"/>
      <c r="T194" s="271"/>
    </row>
    <row r="195" spans="1:20" customFormat="1" x14ac:dyDescent="0.25">
      <c r="A195" s="103"/>
      <c r="B195" s="102"/>
      <c r="C195" s="24"/>
      <c r="D195" s="74"/>
      <c r="E195" s="24"/>
      <c r="F195" s="24"/>
      <c r="G195" s="24"/>
      <c r="H195" s="74"/>
      <c r="I195" s="24"/>
      <c r="J195" s="24"/>
      <c r="K195" s="24"/>
      <c r="L195" s="74"/>
      <c r="M195" s="24"/>
      <c r="N195" s="24"/>
      <c r="O195" s="24"/>
      <c r="P195" s="24"/>
      <c r="Q195" s="24"/>
      <c r="R195" s="288"/>
      <c r="S195" s="106"/>
      <c r="T195" s="279"/>
    </row>
    <row r="196" spans="1:20" customFormat="1" x14ac:dyDescent="0.25">
      <c r="A196" s="103"/>
      <c r="B196" s="104"/>
      <c r="C196" s="23"/>
      <c r="D196" s="73"/>
      <c r="E196" s="24"/>
      <c r="F196" s="24"/>
      <c r="G196" s="23"/>
      <c r="H196" s="73"/>
      <c r="I196" s="24"/>
      <c r="J196" s="24"/>
      <c r="K196" s="23"/>
      <c r="L196" s="73"/>
      <c r="M196" s="23"/>
      <c r="N196" s="23"/>
      <c r="O196" s="24"/>
      <c r="P196" s="24"/>
      <c r="Q196" s="24"/>
      <c r="R196" s="288"/>
      <c r="S196" s="106"/>
      <c r="T196" s="271"/>
    </row>
    <row r="197" spans="1:20" customFormat="1" x14ac:dyDescent="0.25">
      <c r="A197" s="103"/>
      <c r="B197" s="103"/>
      <c r="C197" s="23"/>
      <c r="D197" s="73"/>
      <c r="E197" s="24"/>
      <c r="F197" s="24"/>
      <c r="G197" s="23"/>
      <c r="H197" s="73"/>
      <c r="I197" s="24"/>
      <c r="J197" s="24"/>
      <c r="K197" s="23"/>
      <c r="L197" s="73"/>
      <c r="M197" s="23"/>
      <c r="N197" s="23"/>
      <c r="O197" s="24"/>
      <c r="P197" s="24"/>
      <c r="Q197" s="24"/>
      <c r="R197" s="288"/>
      <c r="S197" s="106"/>
      <c r="T197" s="271"/>
    </row>
    <row r="198" spans="1:20" customFormat="1" x14ac:dyDescent="0.25">
      <c r="A198" s="103"/>
      <c r="B198" s="103"/>
      <c r="C198" s="23"/>
      <c r="D198" s="73"/>
      <c r="E198" s="24"/>
      <c r="F198" s="24"/>
      <c r="G198" s="23"/>
      <c r="H198" s="73"/>
      <c r="I198" s="24"/>
      <c r="J198" s="24"/>
      <c r="K198" s="23"/>
      <c r="L198" s="73"/>
      <c r="M198" s="23"/>
      <c r="N198" s="23"/>
      <c r="O198" s="24"/>
      <c r="P198" s="24"/>
      <c r="Q198" s="24"/>
      <c r="R198" s="288"/>
      <c r="S198" s="106"/>
      <c r="T198" s="271"/>
    </row>
    <row r="199" spans="1:20" customFormat="1" x14ac:dyDescent="0.25">
      <c r="A199" s="103"/>
      <c r="B199" s="104"/>
      <c r="C199" s="23"/>
      <c r="D199" s="73"/>
      <c r="E199" s="24"/>
      <c r="F199" s="24"/>
      <c r="G199" s="23"/>
      <c r="H199" s="73"/>
      <c r="I199" s="24"/>
      <c r="J199" s="24"/>
      <c r="K199" s="23"/>
      <c r="L199" s="73"/>
      <c r="M199" s="23"/>
      <c r="N199" s="23"/>
      <c r="O199" s="24"/>
      <c r="P199" s="24"/>
      <c r="Q199" s="24"/>
      <c r="R199" s="288"/>
      <c r="S199" s="106"/>
      <c r="T199" s="279"/>
    </row>
    <row r="200" spans="1:20" customFormat="1" x14ac:dyDescent="0.25">
      <c r="A200" s="103"/>
      <c r="B200" s="103"/>
      <c r="C200" s="23"/>
      <c r="D200" s="73"/>
      <c r="E200" s="24"/>
      <c r="F200" s="24"/>
      <c r="G200" s="23"/>
      <c r="H200" s="73"/>
      <c r="I200" s="24"/>
      <c r="J200" s="24"/>
      <c r="K200" s="23"/>
      <c r="L200" s="73"/>
      <c r="M200" s="23"/>
      <c r="N200" s="23"/>
      <c r="O200" s="24"/>
      <c r="P200" s="24"/>
      <c r="Q200" s="24"/>
      <c r="R200" s="288"/>
      <c r="S200" s="106"/>
      <c r="T200" s="271"/>
    </row>
    <row r="201" spans="1:20" customFormat="1" x14ac:dyDescent="0.25">
      <c r="A201" s="103"/>
      <c r="B201" s="104"/>
      <c r="C201" s="23"/>
      <c r="D201" s="73"/>
      <c r="E201" s="24"/>
      <c r="F201" s="24"/>
      <c r="G201" s="23"/>
      <c r="H201" s="73"/>
      <c r="I201" s="24"/>
      <c r="J201" s="24"/>
      <c r="K201" s="23"/>
      <c r="L201" s="73"/>
      <c r="M201" s="23"/>
      <c r="N201" s="23"/>
      <c r="O201" s="24"/>
      <c r="P201" s="24"/>
      <c r="Q201" s="24"/>
      <c r="R201" s="288"/>
      <c r="S201" s="106"/>
      <c r="T201" s="278"/>
    </row>
    <row r="202" spans="1:20" customFormat="1" x14ac:dyDescent="0.25">
      <c r="A202" s="103"/>
      <c r="B202" s="103"/>
      <c r="C202" s="23"/>
      <c r="D202" s="73"/>
      <c r="E202" s="24"/>
      <c r="F202" s="24"/>
      <c r="G202" s="23"/>
      <c r="H202" s="73"/>
      <c r="I202" s="24"/>
      <c r="J202" s="24"/>
      <c r="K202" s="23"/>
      <c r="L202" s="73"/>
      <c r="M202" s="23"/>
      <c r="N202" s="23"/>
      <c r="O202" s="24"/>
      <c r="P202" s="24"/>
      <c r="Q202" s="24"/>
      <c r="R202" s="288"/>
      <c r="S202" s="106"/>
      <c r="T202" s="284"/>
    </row>
    <row r="203" spans="1:20" customFormat="1" x14ac:dyDescent="0.25">
      <c r="A203" s="103"/>
      <c r="B203" s="103"/>
      <c r="C203" s="23"/>
      <c r="D203" s="73"/>
      <c r="E203" s="24"/>
      <c r="F203" s="24"/>
      <c r="G203" s="23"/>
      <c r="H203" s="73"/>
      <c r="I203" s="24"/>
      <c r="J203" s="24"/>
      <c r="K203" s="23"/>
      <c r="L203" s="73"/>
      <c r="M203" s="23"/>
      <c r="N203" s="23"/>
      <c r="O203" s="24"/>
      <c r="P203" s="24"/>
      <c r="Q203" s="24"/>
      <c r="R203" s="288"/>
      <c r="S203" s="106"/>
      <c r="T203" s="271"/>
    </row>
    <row r="204" spans="1:20" customFormat="1" x14ac:dyDescent="0.25">
      <c r="A204" s="103"/>
      <c r="B204" s="102"/>
      <c r="C204" s="23"/>
      <c r="D204" s="73"/>
      <c r="E204" s="24"/>
      <c r="F204" s="24"/>
      <c r="G204" s="23"/>
      <c r="H204" s="73"/>
      <c r="I204" s="24"/>
      <c r="J204" s="24"/>
      <c r="K204" s="23"/>
      <c r="L204" s="73"/>
      <c r="M204" s="23"/>
      <c r="N204" s="23"/>
      <c r="O204" s="24"/>
      <c r="P204" s="24"/>
      <c r="Q204" s="24"/>
      <c r="R204" s="288"/>
      <c r="S204" s="113"/>
      <c r="T204" s="271"/>
    </row>
    <row r="205" spans="1:20" customFormat="1" x14ac:dyDescent="0.25">
      <c r="A205" s="103"/>
      <c r="B205" s="103"/>
      <c r="C205" s="23"/>
      <c r="D205" s="73"/>
      <c r="E205" s="24"/>
      <c r="F205" s="24"/>
      <c r="G205" s="23"/>
      <c r="H205" s="73"/>
      <c r="I205" s="24"/>
      <c r="J205" s="24"/>
      <c r="K205" s="23"/>
      <c r="L205" s="73"/>
      <c r="M205" s="23"/>
      <c r="N205" s="23"/>
      <c r="O205" s="24"/>
      <c r="P205" s="24"/>
      <c r="Q205" s="24"/>
      <c r="R205" s="288"/>
      <c r="S205" s="106"/>
      <c r="T205" s="271"/>
    </row>
    <row r="206" spans="1:20" customFormat="1" x14ac:dyDescent="0.25">
      <c r="A206" s="103"/>
      <c r="B206" s="104"/>
      <c r="C206" s="24"/>
      <c r="D206" s="74"/>
      <c r="E206" s="24"/>
      <c r="F206" s="24"/>
      <c r="G206" s="24"/>
      <c r="H206" s="74"/>
      <c r="I206" s="24"/>
      <c r="J206" s="24"/>
      <c r="K206" s="24"/>
      <c r="L206" s="74"/>
      <c r="M206" s="24"/>
      <c r="N206" s="24"/>
      <c r="O206" s="24"/>
      <c r="P206" s="24"/>
      <c r="Q206" s="24"/>
      <c r="R206" s="288"/>
      <c r="S206" s="106"/>
      <c r="T206" s="279"/>
    </row>
    <row r="207" spans="1:20" customFormat="1" x14ac:dyDescent="0.25">
      <c r="A207" s="103"/>
      <c r="B207" s="104"/>
      <c r="C207" s="23"/>
      <c r="D207" s="73"/>
      <c r="E207" s="24"/>
      <c r="F207" s="24"/>
      <c r="G207" s="23"/>
      <c r="H207" s="73"/>
      <c r="I207" s="24"/>
      <c r="J207" s="24"/>
      <c r="K207" s="23"/>
      <c r="L207" s="73"/>
      <c r="M207" s="23"/>
      <c r="N207" s="23"/>
      <c r="O207" s="24"/>
      <c r="P207" s="24"/>
      <c r="Q207" s="24"/>
      <c r="R207" s="288"/>
      <c r="S207" s="106"/>
      <c r="T207" s="271"/>
    </row>
    <row r="208" spans="1:20" customFormat="1" x14ac:dyDescent="0.25">
      <c r="A208" s="103"/>
      <c r="B208" s="107"/>
      <c r="C208" s="23"/>
      <c r="D208" s="73"/>
      <c r="E208" s="24"/>
      <c r="F208" s="24"/>
      <c r="G208" s="23"/>
      <c r="H208" s="73"/>
      <c r="I208" s="24"/>
      <c r="J208" s="24"/>
      <c r="K208" s="23"/>
      <c r="L208" s="73"/>
      <c r="M208" s="23"/>
      <c r="N208" s="23"/>
      <c r="O208" s="24"/>
      <c r="P208" s="24"/>
      <c r="Q208" s="24"/>
      <c r="R208" s="288"/>
      <c r="S208" s="113"/>
      <c r="T208" s="279"/>
    </row>
    <row r="209" spans="1:20" customFormat="1" x14ac:dyDescent="0.25">
      <c r="A209" s="103"/>
      <c r="B209" s="105"/>
      <c r="C209" s="23"/>
      <c r="D209" s="73"/>
      <c r="E209" s="24"/>
      <c r="F209" s="24"/>
      <c r="G209" s="23"/>
      <c r="H209" s="73"/>
      <c r="I209" s="24"/>
      <c r="J209" s="24"/>
      <c r="K209" s="23"/>
      <c r="L209" s="73"/>
      <c r="M209" s="23"/>
      <c r="N209" s="23"/>
      <c r="O209" s="24"/>
      <c r="P209" s="24"/>
      <c r="Q209" s="24"/>
      <c r="R209" s="288"/>
      <c r="S209" s="113"/>
      <c r="T209" s="279"/>
    </row>
    <row r="210" spans="1:20" customFormat="1" x14ac:dyDescent="0.25">
      <c r="A210" s="103"/>
      <c r="B210" s="107"/>
      <c r="C210" s="23"/>
      <c r="D210" s="73"/>
      <c r="E210" s="24"/>
      <c r="F210" s="24"/>
      <c r="G210" s="23"/>
      <c r="H210" s="73"/>
      <c r="I210" s="24"/>
      <c r="J210" s="24"/>
      <c r="K210" s="23"/>
      <c r="L210" s="73"/>
      <c r="M210" s="23"/>
      <c r="N210" s="23"/>
      <c r="O210" s="24"/>
      <c r="P210" s="24"/>
      <c r="Q210" s="24"/>
      <c r="R210" s="288"/>
      <c r="S210" s="113"/>
      <c r="T210" s="279"/>
    </row>
    <row r="211" spans="1:20" customFormat="1" ht="30" customHeight="1" x14ac:dyDescent="0.25">
      <c r="A211" s="111"/>
      <c r="B211" s="111"/>
      <c r="C211" s="10"/>
      <c r="D211" s="72"/>
      <c r="E211" s="10"/>
      <c r="F211" s="10"/>
      <c r="G211" s="10"/>
      <c r="H211" s="72"/>
      <c r="I211" s="10"/>
      <c r="J211" s="10"/>
      <c r="K211" s="10"/>
      <c r="L211" s="76"/>
      <c r="M211" s="42"/>
      <c r="N211" s="42"/>
      <c r="O211" s="10"/>
      <c r="P211" s="10"/>
      <c r="Q211" s="10"/>
      <c r="R211" s="280"/>
      <c r="S211" s="112"/>
      <c r="T211" s="273"/>
    </row>
    <row r="212" spans="1:20" customFormat="1" ht="30" customHeight="1" x14ac:dyDescent="0.25">
      <c r="A212" s="111"/>
      <c r="B212" s="111"/>
      <c r="C212" s="10"/>
      <c r="D212" s="72"/>
      <c r="E212" s="10"/>
      <c r="F212" s="10"/>
      <c r="G212" s="10"/>
      <c r="H212" s="76"/>
      <c r="I212" s="10"/>
      <c r="J212" s="10"/>
      <c r="K212" s="10"/>
      <c r="L212" s="76"/>
      <c r="M212" s="10"/>
      <c r="N212" s="10"/>
      <c r="O212" s="10"/>
      <c r="P212" s="10"/>
      <c r="Q212" s="10"/>
      <c r="R212" s="280"/>
      <c r="S212" s="112"/>
      <c r="T212" s="273"/>
    </row>
    <row r="213" spans="1:20" customFormat="1" ht="30" customHeight="1" x14ac:dyDescent="0.25">
      <c r="A213" s="111"/>
      <c r="B213" s="111"/>
      <c r="C213" s="10"/>
      <c r="D213" s="72"/>
      <c r="E213" s="10"/>
      <c r="F213" s="10"/>
      <c r="G213" s="10"/>
      <c r="H213" s="72"/>
      <c r="I213" s="10"/>
      <c r="J213" s="10"/>
      <c r="K213" s="10"/>
      <c r="L213" s="72"/>
      <c r="M213" s="10"/>
      <c r="N213" s="10"/>
      <c r="O213" s="10"/>
      <c r="P213" s="10"/>
      <c r="Q213" s="10"/>
      <c r="R213" s="280"/>
      <c r="S213" s="112"/>
      <c r="T213" s="273"/>
    </row>
    <row r="214" spans="1:20" customFormat="1" ht="30" customHeight="1" x14ac:dyDescent="0.25">
      <c r="A214" s="111"/>
      <c r="B214" s="111"/>
      <c r="C214" s="10"/>
      <c r="D214" s="72"/>
      <c r="E214" s="10"/>
      <c r="F214" s="10"/>
      <c r="G214" s="10"/>
      <c r="H214" s="72"/>
      <c r="I214" s="10"/>
      <c r="J214" s="10"/>
      <c r="K214" s="10"/>
      <c r="L214" s="72"/>
      <c r="M214" s="10"/>
      <c r="N214" s="10"/>
      <c r="O214" s="10"/>
      <c r="P214" s="10"/>
      <c r="Q214" s="10"/>
      <c r="R214" s="280"/>
      <c r="S214" s="112"/>
      <c r="T214" s="273"/>
    </row>
    <row r="215" spans="1:20" customFormat="1" ht="30" customHeight="1" x14ac:dyDescent="0.25">
      <c r="A215" s="111"/>
      <c r="B215" s="111"/>
      <c r="C215" s="10"/>
      <c r="D215" s="72"/>
      <c r="E215" s="10"/>
      <c r="F215" s="10"/>
      <c r="G215" s="10"/>
      <c r="H215" s="72"/>
      <c r="I215" s="10"/>
      <c r="J215" s="10"/>
      <c r="K215" s="10"/>
      <c r="L215" s="72"/>
      <c r="M215" s="10"/>
      <c r="N215" s="10"/>
      <c r="O215" s="10"/>
      <c r="P215" s="10"/>
      <c r="Q215" s="10"/>
      <c r="R215" s="280"/>
      <c r="S215" s="112"/>
      <c r="T215" s="273"/>
    </row>
    <row r="216" spans="1:20" customFormat="1" ht="30" customHeight="1" x14ac:dyDescent="0.25">
      <c r="A216" s="111"/>
      <c r="B216" s="111"/>
      <c r="C216" s="10"/>
      <c r="D216" s="72"/>
      <c r="E216" s="10"/>
      <c r="F216" s="10"/>
      <c r="G216" s="10"/>
      <c r="H216" s="72"/>
      <c r="I216" s="10"/>
      <c r="J216" s="10"/>
      <c r="K216" s="10"/>
      <c r="L216" s="72"/>
      <c r="M216" s="10"/>
      <c r="N216" s="10"/>
      <c r="O216" s="10"/>
      <c r="P216" s="10"/>
      <c r="Q216" s="10"/>
      <c r="R216" s="280"/>
      <c r="S216" s="112"/>
      <c r="T216" s="273"/>
    </row>
    <row r="217" spans="1:20" customFormat="1" ht="30" customHeight="1" x14ac:dyDescent="0.25">
      <c r="A217" s="111"/>
      <c r="B217" s="111"/>
      <c r="C217" s="10"/>
      <c r="D217" s="72"/>
      <c r="E217" s="10"/>
      <c r="F217" s="10"/>
      <c r="G217" s="10"/>
      <c r="H217" s="72"/>
      <c r="I217" s="10"/>
      <c r="J217" s="10"/>
      <c r="K217" s="10"/>
      <c r="L217" s="72"/>
      <c r="M217" s="10"/>
      <c r="N217" s="10"/>
      <c r="O217" s="10"/>
      <c r="P217" s="10"/>
      <c r="Q217" s="10"/>
      <c r="R217" s="280"/>
      <c r="S217" s="112"/>
      <c r="T217" s="273"/>
    </row>
    <row r="218" spans="1:20" customFormat="1" ht="30" customHeight="1" x14ac:dyDescent="0.25">
      <c r="A218" s="111"/>
      <c r="B218" s="111"/>
      <c r="C218" s="10"/>
      <c r="D218" s="72"/>
      <c r="E218" s="10"/>
      <c r="F218" s="10"/>
      <c r="G218" s="10"/>
      <c r="H218" s="72"/>
      <c r="I218" s="10"/>
      <c r="J218" s="10"/>
      <c r="K218" s="10"/>
      <c r="L218" s="72"/>
      <c r="M218" s="10"/>
      <c r="N218" s="10"/>
      <c r="O218" s="10"/>
      <c r="P218" s="10"/>
      <c r="Q218" s="10"/>
      <c r="R218" s="280"/>
      <c r="S218" s="112"/>
      <c r="T218" s="273"/>
    </row>
    <row r="219" spans="1:20" customFormat="1" ht="30" customHeight="1" x14ac:dyDescent="0.25">
      <c r="A219" s="111"/>
      <c r="B219" s="111"/>
      <c r="C219" s="10"/>
      <c r="D219" s="72"/>
      <c r="E219" s="10"/>
      <c r="F219" s="10"/>
      <c r="G219" s="10"/>
      <c r="H219" s="72"/>
      <c r="I219" s="10"/>
      <c r="J219" s="10"/>
      <c r="K219" s="10"/>
      <c r="L219" s="72"/>
      <c r="M219" s="10"/>
      <c r="N219" s="10"/>
      <c r="O219" s="10"/>
      <c r="P219" s="10"/>
      <c r="Q219" s="10"/>
      <c r="R219" s="280"/>
      <c r="S219" s="112"/>
      <c r="T219" s="273"/>
    </row>
    <row r="220" spans="1:20" customFormat="1" ht="30" customHeight="1" x14ac:dyDescent="0.25">
      <c r="A220" s="111"/>
      <c r="B220" s="111"/>
      <c r="C220" s="10"/>
      <c r="D220" s="72"/>
      <c r="E220" s="10"/>
      <c r="F220" s="10"/>
      <c r="G220" s="10"/>
      <c r="H220" s="72"/>
      <c r="I220" s="10"/>
      <c r="J220" s="10"/>
      <c r="K220" s="10"/>
      <c r="L220" s="72"/>
      <c r="M220" s="10"/>
      <c r="N220" s="10"/>
      <c r="O220" s="10"/>
      <c r="P220" s="10"/>
      <c r="Q220" s="10"/>
      <c r="R220" s="280"/>
      <c r="S220" s="112"/>
      <c r="T220" s="273"/>
    </row>
    <row r="221" spans="1:20" customFormat="1" ht="30" customHeight="1" x14ac:dyDescent="0.25">
      <c r="A221" s="111"/>
      <c r="B221" s="111"/>
      <c r="C221" s="10"/>
      <c r="D221" s="72"/>
      <c r="E221" s="10"/>
      <c r="F221" s="10"/>
      <c r="G221" s="10"/>
      <c r="H221" s="72"/>
      <c r="I221" s="10"/>
      <c r="J221" s="10"/>
      <c r="K221" s="10"/>
      <c r="L221" s="72"/>
      <c r="M221" s="10"/>
      <c r="N221" s="10"/>
      <c r="O221" s="10"/>
      <c r="P221" s="10"/>
      <c r="Q221" s="10"/>
      <c r="R221" s="280"/>
      <c r="S221" s="112"/>
      <c r="T221" s="273"/>
    </row>
    <row r="222" spans="1:20" customFormat="1" ht="30" customHeight="1" x14ac:dyDescent="0.25">
      <c r="A222" s="111"/>
      <c r="B222" s="111"/>
      <c r="C222" s="10"/>
      <c r="D222" s="72"/>
      <c r="E222" s="10"/>
      <c r="F222" s="10"/>
      <c r="G222" s="10"/>
      <c r="H222" s="72"/>
      <c r="I222" s="10"/>
      <c r="J222" s="10"/>
      <c r="K222" s="10"/>
      <c r="L222" s="72"/>
      <c r="M222" s="10"/>
      <c r="N222" s="10"/>
      <c r="O222" s="10"/>
      <c r="P222" s="10"/>
      <c r="Q222" s="10"/>
      <c r="R222" s="280"/>
      <c r="S222" s="112"/>
      <c r="T222" s="273"/>
    </row>
    <row r="223" spans="1:20" customFormat="1" ht="30" customHeight="1" x14ac:dyDescent="0.25">
      <c r="A223" s="111"/>
      <c r="B223" s="111"/>
      <c r="C223" s="10"/>
      <c r="D223" s="72"/>
      <c r="E223" s="10"/>
      <c r="F223" s="10"/>
      <c r="G223" s="10"/>
      <c r="H223" s="72"/>
      <c r="I223" s="10"/>
      <c r="J223" s="10"/>
      <c r="K223" s="10"/>
      <c r="L223" s="72"/>
      <c r="M223" s="10"/>
      <c r="N223" s="10"/>
      <c r="O223" s="10"/>
      <c r="P223" s="10"/>
      <c r="Q223" s="10"/>
      <c r="R223" s="280"/>
      <c r="S223" s="112"/>
      <c r="T223" s="273"/>
    </row>
    <row r="224" spans="1:20" customFormat="1" ht="30" customHeight="1" x14ac:dyDescent="0.25">
      <c r="A224" s="111"/>
      <c r="B224" s="111"/>
      <c r="C224" s="10"/>
      <c r="D224" s="72"/>
      <c r="E224" s="10"/>
      <c r="F224" s="10"/>
      <c r="G224" s="10"/>
      <c r="H224" s="72"/>
      <c r="I224" s="10"/>
      <c r="J224" s="10"/>
      <c r="K224" s="10"/>
      <c r="L224" s="72"/>
      <c r="M224" s="10"/>
      <c r="N224" s="10"/>
      <c r="O224" s="10"/>
      <c r="P224" s="10"/>
      <c r="Q224" s="10"/>
      <c r="R224" s="280"/>
      <c r="S224" s="112"/>
      <c r="T224" s="273"/>
    </row>
    <row r="225" spans="1:20" customFormat="1" ht="30" customHeight="1" x14ac:dyDescent="0.25">
      <c r="A225" s="111"/>
      <c r="B225" s="111"/>
      <c r="C225" s="10"/>
      <c r="D225" s="72"/>
      <c r="E225" s="10"/>
      <c r="F225" s="10"/>
      <c r="G225" s="10"/>
      <c r="H225" s="72"/>
      <c r="I225" s="10"/>
      <c r="J225" s="10"/>
      <c r="K225" s="10"/>
      <c r="L225" s="72"/>
      <c r="M225" s="10"/>
      <c r="N225" s="10"/>
      <c r="O225" s="10"/>
      <c r="P225" s="10"/>
      <c r="Q225" s="10"/>
      <c r="R225" s="280"/>
      <c r="S225" s="112"/>
      <c r="T225" s="273"/>
    </row>
    <row r="226" spans="1:20" customFormat="1" ht="30" customHeight="1" x14ac:dyDescent="0.25">
      <c r="A226" s="111"/>
      <c r="B226" s="111"/>
      <c r="C226" s="10"/>
      <c r="D226" s="72"/>
      <c r="E226" s="10"/>
      <c r="F226" s="10"/>
      <c r="G226" s="10"/>
      <c r="H226" s="72"/>
      <c r="I226" s="10"/>
      <c r="J226" s="10"/>
      <c r="K226" s="10"/>
      <c r="L226" s="72"/>
      <c r="M226" s="10"/>
      <c r="N226" s="10"/>
      <c r="O226" s="10"/>
      <c r="P226" s="10"/>
      <c r="Q226" s="10"/>
      <c r="R226" s="280"/>
      <c r="S226" s="112"/>
      <c r="T226" s="273"/>
    </row>
    <row r="227" spans="1:20" customFormat="1" ht="30" customHeight="1" x14ac:dyDescent="0.25">
      <c r="A227" s="111"/>
      <c r="B227" s="111"/>
      <c r="C227" s="10"/>
      <c r="D227" s="72"/>
      <c r="E227" s="10"/>
      <c r="F227" s="10"/>
      <c r="G227" s="10"/>
      <c r="H227" s="72"/>
      <c r="I227" s="10"/>
      <c r="J227" s="10"/>
      <c r="K227" s="10"/>
      <c r="L227" s="72"/>
      <c r="M227" s="10"/>
      <c r="N227" s="10"/>
      <c r="O227" s="10"/>
      <c r="P227" s="10"/>
      <c r="Q227" s="10"/>
      <c r="R227" s="280"/>
      <c r="S227" s="112"/>
      <c r="T227" s="273"/>
    </row>
    <row r="228" spans="1:20" customFormat="1" ht="30" customHeight="1" x14ac:dyDescent="0.25">
      <c r="A228" s="111"/>
      <c r="B228" s="111"/>
      <c r="C228" s="10"/>
      <c r="D228" s="72"/>
      <c r="E228" s="10"/>
      <c r="F228" s="10"/>
      <c r="G228" s="10"/>
      <c r="H228" s="72"/>
      <c r="I228" s="10"/>
      <c r="J228" s="10"/>
      <c r="K228" s="10"/>
      <c r="L228" s="72"/>
      <c r="M228" s="10"/>
      <c r="N228" s="10"/>
      <c r="O228" s="10"/>
      <c r="P228" s="10"/>
      <c r="Q228" s="10"/>
      <c r="R228" s="280"/>
      <c r="S228" s="112"/>
      <c r="T228" s="273"/>
    </row>
    <row r="229" spans="1:20" customFormat="1" ht="30" customHeight="1" x14ac:dyDescent="0.25">
      <c r="A229" s="111"/>
      <c r="B229" s="111"/>
      <c r="C229" s="10"/>
      <c r="D229" s="72"/>
      <c r="E229" s="10"/>
      <c r="F229" s="10"/>
      <c r="G229" s="10"/>
      <c r="H229" s="72"/>
      <c r="I229" s="10"/>
      <c r="J229" s="10"/>
      <c r="K229" s="10"/>
      <c r="L229" s="72"/>
      <c r="M229" s="10"/>
      <c r="N229" s="10"/>
      <c r="O229" s="10"/>
      <c r="P229" s="10"/>
      <c r="Q229" s="10"/>
      <c r="R229" s="280"/>
      <c r="S229" s="112"/>
      <c r="T229" s="273"/>
    </row>
    <row r="230" spans="1:20" customFormat="1" ht="30" customHeight="1" x14ac:dyDescent="0.25">
      <c r="A230" s="111"/>
      <c r="B230" s="111"/>
      <c r="C230" s="10"/>
      <c r="D230" s="72"/>
      <c r="E230" s="10"/>
      <c r="F230" s="10"/>
      <c r="G230" s="10"/>
      <c r="H230" s="72"/>
      <c r="I230" s="10"/>
      <c r="J230" s="10"/>
      <c r="K230" s="10"/>
      <c r="L230" s="72"/>
      <c r="M230" s="10"/>
      <c r="N230" s="10"/>
      <c r="O230" s="10"/>
      <c r="P230" s="10"/>
      <c r="Q230" s="10"/>
      <c r="R230" s="280"/>
      <c r="S230" s="112"/>
      <c r="T230" s="273"/>
    </row>
    <row r="231" spans="1:20" customFormat="1" ht="30" customHeight="1" x14ac:dyDescent="0.25">
      <c r="A231" s="111"/>
      <c r="B231" s="111"/>
      <c r="C231" s="10"/>
      <c r="D231" s="72"/>
      <c r="E231" s="10"/>
      <c r="F231" s="10"/>
      <c r="G231" s="10"/>
      <c r="H231" s="72"/>
      <c r="I231" s="10"/>
      <c r="J231" s="10"/>
      <c r="K231" s="10"/>
      <c r="L231" s="72"/>
      <c r="M231" s="10"/>
      <c r="N231" s="10"/>
      <c r="O231" s="10"/>
      <c r="P231" s="10"/>
      <c r="Q231" s="10"/>
      <c r="R231" s="280"/>
      <c r="S231" s="112"/>
      <c r="T231" s="273"/>
    </row>
    <row r="232" spans="1:20" customFormat="1" ht="30" customHeight="1" x14ac:dyDescent="0.25">
      <c r="A232" s="111"/>
      <c r="B232" s="111"/>
      <c r="C232" s="10"/>
      <c r="D232" s="72"/>
      <c r="E232" s="10"/>
      <c r="F232" s="10"/>
      <c r="G232" s="10"/>
      <c r="H232" s="72"/>
      <c r="I232" s="10"/>
      <c r="J232" s="10"/>
      <c r="K232" s="10"/>
      <c r="L232" s="72"/>
      <c r="M232" s="10"/>
      <c r="N232" s="10"/>
      <c r="O232" s="10"/>
      <c r="P232" s="10"/>
      <c r="Q232" s="10"/>
      <c r="R232" s="280"/>
      <c r="S232" s="112"/>
      <c r="T232" s="273"/>
    </row>
    <row r="233" spans="1:20" customFormat="1" ht="30" customHeight="1" x14ac:dyDescent="0.25">
      <c r="A233" s="111"/>
      <c r="B233" s="111"/>
      <c r="C233" s="10"/>
      <c r="D233" s="72"/>
      <c r="E233" s="10"/>
      <c r="F233" s="10"/>
      <c r="G233" s="10"/>
      <c r="H233" s="72"/>
      <c r="I233" s="10"/>
      <c r="J233" s="10"/>
      <c r="K233" s="10"/>
      <c r="L233" s="72"/>
      <c r="M233" s="10"/>
      <c r="N233" s="10"/>
      <c r="O233" s="10"/>
      <c r="P233" s="10"/>
      <c r="Q233" s="10"/>
      <c r="R233" s="280"/>
      <c r="S233" s="112"/>
      <c r="T233" s="273"/>
    </row>
    <row r="234" spans="1:20" customFormat="1" ht="30" customHeight="1" x14ac:dyDescent="0.25">
      <c r="A234" s="111"/>
      <c r="B234" s="111"/>
      <c r="C234" s="10"/>
      <c r="D234" s="72"/>
      <c r="E234" s="10"/>
      <c r="F234" s="10"/>
      <c r="G234" s="10"/>
      <c r="H234" s="72"/>
      <c r="I234" s="10"/>
      <c r="J234" s="10"/>
      <c r="K234" s="10"/>
      <c r="L234" s="72"/>
      <c r="M234" s="10"/>
      <c r="N234" s="10"/>
      <c r="O234" s="10"/>
      <c r="P234" s="10"/>
      <c r="Q234" s="10"/>
      <c r="R234" s="280"/>
      <c r="S234" s="112"/>
      <c r="T234" s="273"/>
    </row>
    <row r="235" spans="1:20" customFormat="1" ht="30" customHeight="1" x14ac:dyDescent="0.25">
      <c r="A235" s="111"/>
      <c r="B235" s="111"/>
      <c r="C235" s="10"/>
      <c r="D235" s="72"/>
      <c r="E235" s="10"/>
      <c r="F235" s="10"/>
      <c r="G235" s="10"/>
      <c r="H235" s="72"/>
      <c r="I235" s="10"/>
      <c r="J235" s="10"/>
      <c r="K235" s="10"/>
      <c r="L235" s="72"/>
      <c r="M235" s="10"/>
      <c r="N235" s="10"/>
      <c r="O235" s="10"/>
      <c r="P235" s="10"/>
      <c r="Q235" s="10"/>
      <c r="R235" s="280"/>
      <c r="S235" s="112"/>
      <c r="T235" s="273"/>
    </row>
    <row r="236" spans="1:20" customFormat="1" ht="30" customHeight="1" x14ac:dyDescent="0.25">
      <c r="A236" s="111"/>
      <c r="B236" s="111"/>
      <c r="C236" s="10"/>
      <c r="D236" s="72"/>
      <c r="E236" s="10"/>
      <c r="F236" s="10"/>
      <c r="G236" s="10"/>
      <c r="H236" s="72"/>
      <c r="I236" s="10"/>
      <c r="J236" s="10"/>
      <c r="K236" s="10"/>
      <c r="L236" s="72"/>
      <c r="M236" s="10"/>
      <c r="N236" s="10"/>
      <c r="O236" s="10"/>
      <c r="P236" s="10"/>
      <c r="Q236" s="10"/>
      <c r="R236" s="280"/>
      <c r="S236" s="112"/>
      <c r="T236" s="273"/>
    </row>
    <row r="237" spans="1:20" customFormat="1" ht="30" customHeight="1" x14ac:dyDescent="0.25">
      <c r="A237" s="111"/>
      <c r="B237" s="111"/>
      <c r="C237" s="10"/>
      <c r="D237" s="72"/>
      <c r="E237" s="10"/>
      <c r="F237" s="10"/>
      <c r="G237" s="10"/>
      <c r="H237" s="72"/>
      <c r="I237" s="10"/>
      <c r="J237" s="10"/>
      <c r="K237" s="10"/>
      <c r="L237" s="72"/>
      <c r="M237" s="10"/>
      <c r="N237" s="10"/>
      <c r="O237" s="10"/>
      <c r="P237" s="10"/>
      <c r="Q237" s="10"/>
      <c r="R237" s="280"/>
      <c r="S237" s="112"/>
      <c r="T237" s="273"/>
    </row>
    <row r="238" spans="1:20" customFormat="1" ht="30" customHeight="1" x14ac:dyDescent="0.25">
      <c r="A238" s="111"/>
      <c r="B238" s="111"/>
      <c r="C238" s="10"/>
      <c r="D238" s="72"/>
      <c r="E238" s="10"/>
      <c r="F238" s="10"/>
      <c r="G238" s="10"/>
      <c r="H238" s="72"/>
      <c r="I238" s="10"/>
      <c r="J238" s="10"/>
      <c r="K238" s="10"/>
      <c r="L238" s="72"/>
      <c r="M238" s="10"/>
      <c r="N238" s="10"/>
      <c r="O238" s="10"/>
      <c r="P238" s="10"/>
      <c r="Q238" s="10"/>
      <c r="R238" s="280"/>
      <c r="S238" s="112"/>
      <c r="T238" s="273"/>
    </row>
    <row r="239" spans="1:20" customFormat="1" ht="30" customHeight="1" x14ac:dyDescent="0.25">
      <c r="A239" s="111"/>
      <c r="B239" s="111"/>
      <c r="C239" s="10"/>
      <c r="D239" s="72"/>
      <c r="E239" s="10"/>
      <c r="F239" s="10"/>
      <c r="G239" s="10"/>
      <c r="H239" s="72"/>
      <c r="I239" s="10"/>
      <c r="J239" s="10"/>
      <c r="K239" s="10"/>
      <c r="L239" s="72"/>
      <c r="M239" s="10"/>
      <c r="N239" s="10"/>
      <c r="O239" s="10"/>
      <c r="P239" s="10"/>
      <c r="Q239" s="10"/>
      <c r="R239" s="280"/>
      <c r="S239" s="112"/>
      <c r="T239" s="273"/>
    </row>
    <row r="240" spans="1:20" customFormat="1" ht="30" customHeight="1" x14ac:dyDescent="0.25">
      <c r="A240" s="111"/>
      <c r="B240" s="111"/>
      <c r="C240" s="10"/>
      <c r="D240" s="72"/>
      <c r="E240" s="10"/>
      <c r="F240" s="10"/>
      <c r="G240" s="10"/>
      <c r="H240" s="72"/>
      <c r="I240" s="10"/>
      <c r="J240" s="10"/>
      <c r="K240" s="10"/>
      <c r="L240" s="72"/>
      <c r="M240" s="10"/>
      <c r="N240" s="10"/>
      <c r="O240" s="10"/>
      <c r="P240" s="10"/>
      <c r="Q240" s="10"/>
      <c r="R240" s="280"/>
      <c r="S240" s="112"/>
      <c r="T240" s="273"/>
    </row>
    <row r="241" spans="1:20" customFormat="1" ht="30" customHeight="1" x14ac:dyDescent="0.25">
      <c r="A241" s="111"/>
      <c r="B241" s="111"/>
      <c r="C241" s="10"/>
      <c r="D241" s="72"/>
      <c r="E241" s="10"/>
      <c r="F241" s="10"/>
      <c r="G241" s="10"/>
      <c r="H241" s="72"/>
      <c r="I241" s="10"/>
      <c r="J241" s="10"/>
      <c r="K241" s="10"/>
      <c r="L241" s="72"/>
      <c r="M241" s="10"/>
      <c r="N241" s="10"/>
      <c r="O241" s="10"/>
      <c r="P241" s="10"/>
      <c r="Q241" s="10"/>
      <c r="R241" s="280"/>
      <c r="S241" s="112"/>
      <c r="T241" s="273"/>
    </row>
    <row r="242" spans="1:20" customFormat="1" ht="30" customHeight="1" x14ac:dyDescent="0.25">
      <c r="A242" s="111"/>
      <c r="B242" s="111"/>
      <c r="C242" s="10"/>
      <c r="D242" s="72"/>
      <c r="E242" s="10"/>
      <c r="F242" s="10"/>
      <c r="G242" s="10"/>
      <c r="H242" s="72"/>
      <c r="I242" s="10"/>
      <c r="J242" s="10"/>
      <c r="K242" s="10"/>
      <c r="L242" s="72"/>
      <c r="M242" s="10"/>
      <c r="N242" s="10"/>
      <c r="O242" s="10"/>
      <c r="P242" s="10"/>
      <c r="Q242" s="10"/>
      <c r="R242" s="280"/>
      <c r="S242" s="112"/>
      <c r="T242" s="273"/>
    </row>
    <row r="243" spans="1:20" customFormat="1" ht="30" customHeight="1" x14ac:dyDescent="0.25">
      <c r="A243" s="111"/>
      <c r="B243" s="111"/>
      <c r="C243" s="10"/>
      <c r="D243" s="72"/>
      <c r="E243" s="10"/>
      <c r="F243" s="10"/>
      <c r="G243" s="10"/>
      <c r="H243" s="72"/>
      <c r="I243" s="10"/>
      <c r="J243" s="10"/>
      <c r="K243" s="10"/>
      <c r="L243" s="72"/>
      <c r="M243" s="10"/>
      <c r="N243" s="10"/>
      <c r="O243" s="10"/>
      <c r="P243" s="10"/>
      <c r="Q243" s="10"/>
      <c r="R243" s="280"/>
      <c r="S243" s="112"/>
      <c r="T243" s="273"/>
    </row>
    <row r="244" spans="1:20" customFormat="1" ht="30" customHeight="1" x14ac:dyDescent="0.25">
      <c r="A244" s="111"/>
      <c r="B244" s="111"/>
      <c r="C244" s="10"/>
      <c r="D244" s="72"/>
      <c r="E244" s="10"/>
      <c r="F244" s="10"/>
      <c r="G244" s="10"/>
      <c r="H244" s="72"/>
      <c r="I244" s="10"/>
      <c r="J244" s="10"/>
      <c r="K244" s="10"/>
      <c r="L244" s="72"/>
      <c r="M244" s="10"/>
      <c r="N244" s="10"/>
      <c r="O244" s="10"/>
      <c r="P244" s="10"/>
      <c r="Q244" s="10"/>
      <c r="R244" s="280"/>
      <c r="S244" s="112"/>
      <c r="T244" s="273"/>
    </row>
    <row r="245" spans="1:20" customFormat="1" ht="30" customHeight="1" x14ac:dyDescent="0.25">
      <c r="A245" s="111"/>
      <c r="B245" s="111"/>
      <c r="C245" s="10"/>
      <c r="D245" s="72"/>
      <c r="E245" s="10"/>
      <c r="F245" s="10"/>
      <c r="G245" s="10"/>
      <c r="H245" s="72"/>
      <c r="I245" s="10"/>
      <c r="J245" s="10"/>
      <c r="K245" s="10"/>
      <c r="L245" s="72"/>
      <c r="M245" s="10"/>
      <c r="N245" s="10"/>
      <c r="O245" s="10"/>
      <c r="P245" s="10"/>
      <c r="Q245" s="10"/>
      <c r="R245" s="280"/>
      <c r="S245" s="112"/>
      <c r="T245" s="273"/>
    </row>
    <row r="246" spans="1:20" customFormat="1" ht="30" customHeight="1" x14ac:dyDescent="0.25">
      <c r="A246" s="111"/>
      <c r="B246" s="111"/>
      <c r="C246" s="10"/>
      <c r="D246" s="72"/>
      <c r="E246" s="10"/>
      <c r="F246" s="10"/>
      <c r="G246" s="10"/>
      <c r="H246" s="72"/>
      <c r="I246" s="10"/>
      <c r="J246" s="10"/>
      <c r="K246" s="10"/>
      <c r="L246" s="72"/>
      <c r="M246" s="10"/>
      <c r="N246" s="10"/>
      <c r="O246" s="10"/>
      <c r="P246" s="10"/>
      <c r="Q246" s="10"/>
      <c r="R246" s="280"/>
      <c r="S246" s="112"/>
      <c r="T246" s="273"/>
    </row>
    <row r="247" spans="1:20" customFormat="1" ht="30" customHeight="1" x14ac:dyDescent="0.25">
      <c r="A247" s="111"/>
      <c r="B247" s="111"/>
      <c r="C247" s="10"/>
      <c r="D247" s="72"/>
      <c r="E247" s="10"/>
      <c r="F247" s="10"/>
      <c r="G247" s="10"/>
      <c r="H247" s="72"/>
      <c r="I247" s="10"/>
      <c r="J247" s="10"/>
      <c r="K247" s="10"/>
      <c r="L247" s="72"/>
      <c r="M247" s="10"/>
      <c r="N247" s="10"/>
      <c r="O247" s="10"/>
      <c r="P247" s="10"/>
      <c r="Q247" s="10"/>
      <c r="R247" s="280"/>
      <c r="S247" s="112"/>
      <c r="T247" s="273"/>
    </row>
    <row r="248" spans="1:20" customFormat="1" ht="30" customHeight="1" x14ac:dyDescent="0.25">
      <c r="A248" s="111"/>
      <c r="B248" s="111"/>
      <c r="C248" s="10"/>
      <c r="D248" s="72"/>
      <c r="E248" s="10"/>
      <c r="F248" s="10"/>
      <c r="G248" s="10"/>
      <c r="H248" s="72"/>
      <c r="I248" s="10"/>
      <c r="J248" s="10"/>
      <c r="K248" s="10"/>
      <c r="L248" s="72"/>
      <c r="M248" s="10"/>
      <c r="N248" s="10"/>
      <c r="O248" s="10"/>
      <c r="P248" s="10"/>
      <c r="Q248" s="10"/>
      <c r="R248" s="280"/>
      <c r="S248" s="112"/>
      <c r="T248" s="273"/>
    </row>
    <row r="249" spans="1:20" customFormat="1" ht="30" customHeight="1" x14ac:dyDescent="0.25">
      <c r="A249" s="111"/>
      <c r="B249" s="111"/>
      <c r="C249" s="10"/>
      <c r="D249" s="72"/>
      <c r="E249" s="10"/>
      <c r="F249" s="10"/>
      <c r="G249" s="10"/>
      <c r="H249" s="72"/>
      <c r="I249" s="10"/>
      <c r="J249" s="10"/>
      <c r="K249" s="10"/>
      <c r="L249" s="72"/>
      <c r="M249" s="10"/>
      <c r="N249" s="10"/>
      <c r="O249" s="10"/>
      <c r="P249" s="10"/>
      <c r="Q249" s="10"/>
      <c r="R249" s="280"/>
      <c r="S249" s="112"/>
      <c r="T249" s="273"/>
    </row>
    <row r="250" spans="1:20" customFormat="1" ht="30" customHeight="1" x14ac:dyDescent="0.25">
      <c r="A250" s="111"/>
      <c r="B250" s="111"/>
      <c r="C250" s="10"/>
      <c r="D250" s="72"/>
      <c r="E250" s="10"/>
      <c r="F250" s="10"/>
      <c r="G250" s="10"/>
      <c r="H250" s="72"/>
      <c r="I250" s="10"/>
      <c r="J250" s="10"/>
      <c r="K250" s="10"/>
      <c r="L250" s="72"/>
      <c r="M250" s="10"/>
      <c r="N250" s="10"/>
      <c r="O250" s="10"/>
      <c r="P250" s="10"/>
      <c r="Q250" s="10"/>
      <c r="R250" s="280"/>
      <c r="S250" s="112"/>
      <c r="T250" s="273"/>
    </row>
    <row r="251" spans="1:20" customFormat="1" ht="30" customHeight="1" x14ac:dyDescent="0.25">
      <c r="A251" s="111"/>
      <c r="B251" s="111"/>
      <c r="C251" s="10"/>
      <c r="D251" s="72"/>
      <c r="E251" s="10"/>
      <c r="F251" s="10"/>
      <c r="G251" s="10"/>
      <c r="H251" s="72"/>
      <c r="I251" s="10"/>
      <c r="J251" s="10"/>
      <c r="K251" s="10"/>
      <c r="L251" s="72"/>
      <c r="M251" s="10"/>
      <c r="N251" s="10"/>
      <c r="O251" s="10"/>
      <c r="P251" s="10"/>
      <c r="Q251" s="10"/>
      <c r="R251" s="280"/>
      <c r="S251" s="112"/>
      <c r="T251" s="273"/>
    </row>
    <row r="252" spans="1:20" customFormat="1" ht="30" customHeight="1" x14ac:dyDescent="0.25">
      <c r="A252" s="111"/>
      <c r="B252" s="111"/>
      <c r="C252" s="10"/>
      <c r="D252" s="72"/>
      <c r="E252" s="10"/>
      <c r="F252" s="10"/>
      <c r="G252" s="10"/>
      <c r="H252" s="72"/>
      <c r="I252" s="10"/>
      <c r="J252" s="10"/>
      <c r="K252" s="10"/>
      <c r="L252" s="72"/>
      <c r="M252" s="10"/>
      <c r="N252" s="10"/>
      <c r="O252" s="10"/>
      <c r="P252" s="10"/>
      <c r="Q252" s="10"/>
      <c r="R252" s="280"/>
      <c r="S252" s="112"/>
      <c r="T252" s="273"/>
    </row>
    <row r="253" spans="1:20" customFormat="1" ht="30" customHeight="1" x14ac:dyDescent="0.25">
      <c r="A253" s="111"/>
      <c r="B253" s="111"/>
      <c r="C253" s="10"/>
      <c r="D253" s="72"/>
      <c r="E253" s="10"/>
      <c r="F253" s="10"/>
      <c r="G253" s="10"/>
      <c r="H253" s="72"/>
      <c r="I253" s="10"/>
      <c r="J253" s="10"/>
      <c r="K253" s="10"/>
      <c r="L253" s="72"/>
      <c r="M253" s="10"/>
      <c r="N253" s="10"/>
      <c r="O253" s="10"/>
      <c r="P253" s="10"/>
      <c r="Q253" s="10"/>
      <c r="R253" s="280"/>
      <c r="S253" s="112"/>
      <c r="T253" s="273"/>
    </row>
    <row r="254" spans="1:20" customFormat="1" ht="24.95" customHeight="1" x14ac:dyDescent="0.25">
      <c r="A254" s="111"/>
      <c r="B254" s="111"/>
      <c r="C254" s="10"/>
      <c r="D254" s="72"/>
      <c r="E254" s="10"/>
      <c r="F254" s="10"/>
      <c r="G254" s="10"/>
      <c r="H254" s="72"/>
      <c r="I254" s="10"/>
      <c r="J254" s="10"/>
      <c r="K254" s="10"/>
      <c r="L254" s="72"/>
      <c r="M254" s="10"/>
      <c r="N254" s="10"/>
      <c r="O254" s="10"/>
      <c r="P254" s="10"/>
      <c r="Q254" s="10"/>
      <c r="R254" s="280"/>
      <c r="S254" s="112"/>
      <c r="T254" s="273"/>
    </row>
    <row r="255" spans="1:20" customFormat="1" ht="24.95" customHeight="1" x14ac:dyDescent="0.25">
      <c r="A255" s="111"/>
      <c r="B255" s="111"/>
      <c r="C255" s="10"/>
      <c r="D255" s="72"/>
      <c r="E255" s="10"/>
      <c r="F255" s="10"/>
      <c r="G255" s="10"/>
      <c r="H255" s="72"/>
      <c r="I255" s="10"/>
      <c r="J255" s="10"/>
      <c r="K255" s="10"/>
      <c r="L255" s="72"/>
      <c r="M255" s="10"/>
      <c r="N255" s="10"/>
      <c r="O255" s="10"/>
      <c r="P255" s="10"/>
      <c r="Q255" s="10"/>
      <c r="R255" s="280"/>
      <c r="S255" s="112"/>
      <c r="T255" s="273"/>
    </row>
    <row r="256" spans="1:20" customFormat="1" ht="24.95" customHeight="1" x14ac:dyDescent="0.25">
      <c r="A256" s="111"/>
      <c r="B256" s="111"/>
      <c r="C256" s="10"/>
      <c r="D256" s="72"/>
      <c r="E256" s="10"/>
      <c r="F256" s="10"/>
      <c r="G256" s="10"/>
      <c r="H256" s="72"/>
      <c r="I256" s="10"/>
      <c r="J256" s="10"/>
      <c r="K256" s="10"/>
      <c r="L256" s="72"/>
      <c r="M256" s="10"/>
      <c r="N256" s="10"/>
      <c r="O256" s="10"/>
      <c r="P256" s="10"/>
      <c r="Q256" s="10"/>
      <c r="R256" s="280"/>
      <c r="S256" s="112"/>
      <c r="T256" s="273"/>
    </row>
    <row r="257" spans="1:20" customFormat="1" ht="24.95" customHeight="1" x14ac:dyDescent="0.25">
      <c r="A257" s="111"/>
      <c r="B257" s="111"/>
      <c r="C257" s="10"/>
      <c r="D257" s="72"/>
      <c r="E257" s="10"/>
      <c r="F257" s="10"/>
      <c r="G257" s="10"/>
      <c r="H257" s="72"/>
      <c r="I257" s="10"/>
      <c r="J257" s="10"/>
      <c r="K257" s="10"/>
      <c r="L257" s="72"/>
      <c r="M257" s="10"/>
      <c r="N257" s="10"/>
      <c r="O257" s="10"/>
      <c r="P257" s="10"/>
      <c r="Q257" s="10"/>
      <c r="R257" s="280"/>
      <c r="S257" s="112"/>
      <c r="T257" s="273"/>
    </row>
    <row r="258" spans="1:20" customFormat="1" ht="24.95" customHeight="1" x14ac:dyDescent="0.25">
      <c r="A258" s="111"/>
      <c r="B258" s="111"/>
      <c r="C258" s="10"/>
      <c r="D258" s="72"/>
      <c r="E258" s="10"/>
      <c r="F258" s="10"/>
      <c r="G258" s="10"/>
      <c r="H258" s="72"/>
      <c r="I258" s="10"/>
      <c r="J258" s="10"/>
      <c r="K258" s="10"/>
      <c r="L258" s="72"/>
      <c r="M258" s="10"/>
      <c r="N258" s="10"/>
      <c r="O258" s="10"/>
      <c r="P258" s="10"/>
      <c r="Q258" s="10"/>
      <c r="R258" s="280"/>
      <c r="S258" s="112"/>
      <c r="T258" s="273"/>
    </row>
    <row r="259" spans="1:20" customFormat="1" ht="24.95" customHeight="1" x14ac:dyDescent="0.25">
      <c r="A259" s="111"/>
      <c r="B259" s="111"/>
      <c r="C259" s="10"/>
      <c r="D259" s="72"/>
      <c r="E259" s="10"/>
      <c r="F259" s="10"/>
      <c r="G259" s="10"/>
      <c r="H259" s="72"/>
      <c r="I259" s="10"/>
      <c r="J259" s="10"/>
      <c r="K259" s="10"/>
      <c r="L259" s="72"/>
      <c r="M259" s="10"/>
      <c r="N259" s="10"/>
      <c r="O259" s="10"/>
      <c r="P259" s="10"/>
      <c r="Q259" s="10"/>
      <c r="R259" s="280"/>
      <c r="S259" s="112"/>
      <c r="T259" s="273"/>
    </row>
    <row r="260" spans="1:20" customFormat="1" ht="24.95" customHeight="1" x14ac:dyDescent="0.25">
      <c r="A260" s="111"/>
      <c r="B260" s="111"/>
      <c r="C260" s="10"/>
      <c r="D260" s="72"/>
      <c r="E260" s="10"/>
      <c r="F260" s="10"/>
      <c r="G260" s="10"/>
      <c r="H260" s="72"/>
      <c r="I260" s="10"/>
      <c r="J260" s="10"/>
      <c r="K260" s="10"/>
      <c r="L260" s="72"/>
      <c r="M260" s="10"/>
      <c r="N260" s="10"/>
      <c r="O260" s="10"/>
      <c r="P260" s="10"/>
      <c r="Q260" s="10"/>
      <c r="R260" s="280"/>
      <c r="S260" s="112"/>
      <c r="T260" s="273"/>
    </row>
    <row r="261" spans="1:20" customFormat="1" ht="24.95" customHeight="1" x14ac:dyDescent="0.25">
      <c r="A261" s="111"/>
      <c r="B261" s="111"/>
      <c r="C261" s="10"/>
      <c r="D261" s="72"/>
      <c r="E261" s="10"/>
      <c r="F261" s="10"/>
      <c r="G261" s="10"/>
      <c r="H261" s="72"/>
      <c r="I261" s="10"/>
      <c r="J261" s="10"/>
      <c r="K261" s="10"/>
      <c r="L261" s="72"/>
      <c r="M261" s="10"/>
      <c r="N261" s="10"/>
      <c r="O261" s="10"/>
      <c r="P261" s="10"/>
      <c r="Q261" s="10"/>
      <c r="R261" s="280"/>
      <c r="S261" s="112"/>
      <c r="T261" s="273"/>
    </row>
    <row r="262" spans="1:20" customFormat="1" ht="24.95" customHeight="1" x14ac:dyDescent="0.25">
      <c r="A262" s="111"/>
      <c r="B262" s="111"/>
      <c r="C262" s="10"/>
      <c r="D262" s="72"/>
      <c r="E262" s="10"/>
      <c r="F262" s="10"/>
      <c r="G262" s="10"/>
      <c r="H262" s="72"/>
      <c r="I262" s="10"/>
      <c r="J262" s="10"/>
      <c r="K262" s="10"/>
      <c r="L262" s="72"/>
      <c r="M262" s="10"/>
      <c r="N262" s="10"/>
      <c r="O262" s="10"/>
      <c r="P262" s="10"/>
      <c r="Q262" s="10"/>
      <c r="R262" s="280"/>
      <c r="S262" s="112"/>
      <c r="T262" s="273"/>
    </row>
  </sheetData>
  <autoFilter ref="A7:X192"/>
  <sortState ref="A7:Z191">
    <sortCondition ref="S7:S191"/>
    <sortCondition ref="A7:A191"/>
    <sortCondition ref="B7:B191"/>
  </sortState>
  <mergeCells count="8">
    <mergeCell ref="C6:F6"/>
    <mergeCell ref="G6:J6"/>
    <mergeCell ref="A5:X5"/>
    <mergeCell ref="A1:X1"/>
    <mergeCell ref="A4:X4"/>
    <mergeCell ref="A3:X3"/>
    <mergeCell ref="O6:R6"/>
    <mergeCell ref="A2:X2"/>
  </mergeCells>
  <printOptions gridLines="1"/>
  <pageMargins left="0.7" right="0.7" top="0.25" bottom="0.25" header="0.3" footer="0.3"/>
  <pageSetup scale="4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249977111117893"/>
    <pageSetUpPr fitToPage="1"/>
  </sheetPr>
  <dimension ref="A1:Q260"/>
  <sheetViews>
    <sheetView showGridLines="0" zoomScale="90" zoomScaleNormal="90" workbookViewId="0">
      <pane xSplit="2" ySplit="6" topLeftCell="C7" activePane="bottomRight" state="frozen"/>
      <selection activeCell="I19" sqref="I19"/>
      <selection pane="topRight" activeCell="I19" sqref="I19"/>
      <selection pane="bottomLeft" activeCell="I19" sqref="I19"/>
      <selection pane="bottomRight" activeCell="D6" sqref="D6"/>
    </sheetView>
  </sheetViews>
  <sheetFormatPr defaultRowHeight="15" x14ac:dyDescent="0.2"/>
  <cols>
    <col min="1" max="1" width="20.7109375" style="277" customWidth="1"/>
    <col min="2" max="2" width="33.5703125" style="277" bestFit="1" customWidth="1"/>
    <col min="3" max="3" width="11.42578125" style="289" customWidth="1"/>
    <col min="4" max="4" width="11.5703125" style="289" customWidth="1"/>
    <col min="5" max="11" width="10.7109375" style="289" customWidth="1"/>
    <col min="12" max="12" width="10.7109375" style="278" customWidth="1"/>
    <col min="13" max="13" width="25.28515625" style="283" customWidth="1"/>
    <col min="14" max="14" width="28.28515625" style="268" bestFit="1" customWidth="1"/>
    <col min="15" max="15" width="25.5703125" style="268" bestFit="1" customWidth="1"/>
    <col min="16" max="16" width="18.140625" style="268" bestFit="1" customWidth="1"/>
    <col min="17" max="17" width="7.140625" style="268" bestFit="1" customWidth="1"/>
    <col min="18" max="16384" width="9.140625" style="268"/>
  </cols>
  <sheetData>
    <row r="1" spans="1:17" x14ac:dyDescent="0.2">
      <c r="A1" s="886" t="s">
        <v>636</v>
      </c>
      <c r="B1" s="886"/>
      <c r="C1" s="886"/>
      <c r="D1" s="886"/>
      <c r="E1" s="886"/>
      <c r="F1" s="886"/>
      <c r="G1" s="886"/>
      <c r="H1" s="886"/>
      <c r="I1" s="886"/>
      <c r="J1" s="886"/>
      <c r="K1" s="886"/>
      <c r="L1" s="886"/>
      <c r="M1" s="886"/>
      <c r="N1" s="886"/>
      <c r="O1" s="886"/>
      <c r="P1" s="886"/>
      <c r="Q1" s="886"/>
    </row>
    <row r="2" spans="1:17" ht="30.75" customHeight="1" x14ac:dyDescent="0.2">
      <c r="A2" s="886" t="s">
        <v>1043</v>
      </c>
      <c r="B2" s="886"/>
      <c r="C2" s="886"/>
      <c r="D2" s="886"/>
      <c r="E2" s="886"/>
      <c r="F2" s="886"/>
      <c r="G2" s="886"/>
      <c r="H2" s="886"/>
      <c r="I2" s="886"/>
      <c r="J2" s="886"/>
      <c r="K2" s="886"/>
      <c r="L2" s="886"/>
      <c r="M2" s="886"/>
      <c r="N2" s="886"/>
      <c r="O2" s="886"/>
      <c r="P2" s="886"/>
      <c r="Q2" s="886"/>
    </row>
    <row r="3" spans="1:17" x14ac:dyDescent="0.2">
      <c r="A3" s="886" t="s">
        <v>629</v>
      </c>
      <c r="B3" s="886"/>
      <c r="C3" s="886"/>
      <c r="D3" s="886"/>
      <c r="E3" s="886"/>
      <c r="F3" s="886"/>
      <c r="G3" s="886"/>
      <c r="H3" s="886"/>
      <c r="I3" s="886"/>
      <c r="J3" s="886"/>
      <c r="K3" s="886"/>
      <c r="L3" s="886"/>
      <c r="M3" s="886"/>
      <c r="N3" s="886"/>
      <c r="O3" s="886"/>
      <c r="P3" s="886"/>
      <c r="Q3" s="886"/>
    </row>
    <row r="4" spans="1:17" s="188" customFormat="1" ht="15.75" customHeight="1" thickBot="1" x14ac:dyDescent="0.3">
      <c r="A4" s="899" t="s">
        <v>1146</v>
      </c>
      <c r="B4" s="899"/>
      <c r="C4" s="899"/>
      <c r="D4" s="899"/>
      <c r="E4" s="899"/>
      <c r="F4" s="899"/>
      <c r="G4" s="899"/>
      <c r="H4" s="899"/>
      <c r="I4" s="899"/>
      <c r="J4" s="899"/>
      <c r="K4" s="899"/>
      <c r="L4" s="899"/>
      <c r="M4" s="899"/>
      <c r="N4" s="899"/>
      <c r="O4" s="899"/>
      <c r="P4" s="899"/>
      <c r="Q4" s="899"/>
    </row>
    <row r="5" spans="1:17" s="269" customFormat="1" ht="30" customHeight="1" thickBot="1" x14ac:dyDescent="0.3">
      <c r="A5" s="295"/>
      <c r="B5" s="295"/>
      <c r="C5" s="900" t="s">
        <v>11</v>
      </c>
      <c r="D5" s="901"/>
      <c r="E5" s="902"/>
      <c r="F5" s="900" t="s">
        <v>12</v>
      </c>
      <c r="G5" s="901"/>
      <c r="H5" s="902"/>
      <c r="I5" s="900" t="s">
        <v>13</v>
      </c>
      <c r="J5" s="901"/>
      <c r="K5" s="902"/>
      <c r="L5" s="296"/>
      <c r="M5" s="247"/>
      <c r="N5" s="297"/>
      <c r="O5" s="297"/>
      <c r="P5" s="297"/>
      <c r="Q5" s="297"/>
    </row>
    <row r="6" spans="1:17" s="269" customFormat="1" ht="48" customHeight="1" thickBot="1" x14ac:dyDescent="0.3">
      <c r="A6" s="161" t="s">
        <v>542</v>
      </c>
      <c r="B6" s="77" t="s">
        <v>543</v>
      </c>
      <c r="C6" s="79" t="s">
        <v>1010</v>
      </c>
      <c r="D6" s="79" t="s">
        <v>630</v>
      </c>
      <c r="E6" s="79" t="s">
        <v>544</v>
      </c>
      <c r="F6" s="79" t="s">
        <v>1010</v>
      </c>
      <c r="G6" s="79" t="s">
        <v>630</v>
      </c>
      <c r="H6" s="79" t="s">
        <v>544</v>
      </c>
      <c r="I6" s="79" t="s">
        <v>1010</v>
      </c>
      <c r="J6" s="79" t="s">
        <v>630</v>
      </c>
      <c r="K6" s="80" t="s">
        <v>544</v>
      </c>
      <c r="L6" s="96" t="s">
        <v>4</v>
      </c>
      <c r="M6" s="96" t="s">
        <v>20</v>
      </c>
      <c r="N6" s="255" t="s">
        <v>5</v>
      </c>
      <c r="O6" s="255" t="s">
        <v>6</v>
      </c>
      <c r="P6" s="255" t="s">
        <v>552</v>
      </c>
      <c r="Q6" s="137" t="s">
        <v>553</v>
      </c>
    </row>
    <row r="7" spans="1:17" s="285" customFormat="1" ht="30" x14ac:dyDescent="0.25">
      <c r="A7" s="100" t="s">
        <v>29</v>
      </c>
      <c r="B7" s="140" t="s">
        <v>30</v>
      </c>
      <c r="C7" s="298">
        <f t="array" ref="C7">IFERROR((INDEX('Table 2.5a'!$D$8:$D$192,MATCH('Table 2.5b'!$A7&amp;'Table 2.5b'!$B7,'Table 2.5a'!$A$8:$A$192&amp;'Table 2.5a'!$B$8:$B$192,0))/INDEX('Table 2.5a'!$E$8:$E$192,MATCH('Table 2.5b'!$A7&amp;'Table 2.5b'!$B7,'Table 2.5a'!$A$8:$A$192&amp;'Table 2.5a'!$B$8:$B$192,0)))*1000, "")</f>
        <v>3738.0876046328262</v>
      </c>
      <c r="D7" s="298">
        <f t="array" ref="D7">IFERROR((INDEX('Table 2.5a'!$C$8:$C$192,MATCH('Table 2.5b'!$A7&amp;'Table 2.5b'!$B7,'Table 2.5a'!$A$8:$A$192&amp;'Table 2.5a'!$B$8:$B$192,0))/INDEX('Table 2.5a'!$E$8:$E$192,MATCH('Table 2.5b'!$A7&amp;'Table 2.5b'!$B7,'Table 2.5a'!$A$8:$A$192&amp;'Table 2.5a'!$B$8:$B$192,0)))*1000, "")</f>
        <v>2261.5430008028598</v>
      </c>
      <c r="E7" s="162">
        <f t="array" ref="E7">IFERROR(INDEX('Table 2.5a'!$C$8:$C$192,MATCH('Table 2.5b'!$A7&amp;'Table 2.5b'!$B7,'Table 2.5a'!$A$8:$A$192&amp;'Table 2.5a'!$B$8:$B$192,0))/INDEX('Table 2.5a'!$D$8:$D$192,MATCH('Table 2.5b'!$A7&amp;'Table 2.5b'!$B7,'Table 2.5a'!$A$8:$A$192&amp;'Table 2.5a'!$B$8:$B$192,0)),"")</f>
        <v>0.60499999999999998</v>
      </c>
      <c r="F7" s="298">
        <f t="array" ref="F7">IFERROR((INDEX('Table 2.5a'!$H$8:$H$192,MATCH('Table 2.5b'!$A7&amp;'Table 2.5b'!$B7,'Table 2.5a'!$A$8:$A$192&amp;'Table 2.5a'!$B$8:$B$192,0))/INDEX('Table 2.5a'!$I$8:$I$192,MATCH('Table 2.5b'!$A7&amp;'Table 2.5b'!$B7,'Table 2.5a'!$A$8:$A$192&amp;'Table 2.5a'!$B$8:$B$192,0)))*1000, "")</f>
        <v>8260.6741573033723</v>
      </c>
      <c r="G7" s="298">
        <f t="array" ref="G7">IFERROR((INDEX('Table 2.5a'!$G$8:$G$192,MATCH('Table 2.5b'!$A7&amp;'Table 2.5b'!$B7,'Table 2.5a'!$A$8:$A$192&amp;'Table 2.5a'!$B$8:$B$192,0))/INDEX('Table 2.5a'!$I$8:$I$192,MATCH('Table 2.5b'!$A7&amp;'Table 2.5b'!$B7,'Table 2.5a'!$A$8:$A$192&amp;'Table 2.5a'!$B$8:$B$192,0)))*1000, "")</f>
        <v>4997.7078651685397</v>
      </c>
      <c r="H7" s="162">
        <f t="array" ref="H7">IFERROR(INDEX('Table 2.5a'!$G$8:$G$192,MATCH('Table 2.5b'!$A7&amp;'Table 2.5b'!$B7,'Table 2.5a'!$A$8:$A$192&amp;'Table 2.5a'!$B$8:$B$192,0))/INDEX('Table 2.5a'!$H$8:$H$192,MATCH('Table 2.5b'!$A7&amp;'Table 2.5b'!$B7,'Table 2.5a'!$A$8:$A$192&amp;'Table 2.5a'!$B$8:$B$192,0)),"")</f>
        <v>0.60499999999999998</v>
      </c>
      <c r="I7" s="298">
        <f t="array" ref="I7">IFERROR((INDEX('Table 2.5a'!$L$8:$L$192,MATCH('Table 2.5b'!$A7&amp;'Table 2.5b'!$B7,'Table 2.5a'!$A$8:$A$192&amp;'Table 2.5a'!$B$8:$B$192,0))/INDEX('Table 2.5a'!$I$8:$I$192,MATCH('Table 2.5b'!$A7&amp;'Table 2.5b'!$B7,'Table 2.5a'!$A$8:$A$192&amp;'Table 2.5a'!$B$8:$B$192,0)))*1000, "")</f>
        <v>32167.91011235955</v>
      </c>
      <c r="J7" s="298">
        <f t="array" ref="J7">IFERROR((INDEX('Table 2.5a'!$K$8:$K$192,MATCH('Table 2.5b'!$A7&amp;'Table 2.5b'!$B7,'Table 2.5a'!$A$8:$A$192&amp;'Table 2.5a'!$B$8:$B$192,0))/INDEX('Table 2.5a'!$I$8:$I$192,MATCH('Table 2.5b'!$A7&amp;'Table 2.5b'!$B7,'Table 2.5a'!$A$8:$A$192&amp;'Table 2.5a'!$B$8:$B$192,0)))*1000, "")</f>
        <v>19461.585617977526</v>
      </c>
      <c r="K7" s="162">
        <f t="array" ref="K7">IFERROR(INDEX('Table 2.5a'!$I$8:$I$192,MATCH('Table 2.5b'!$A7&amp;'Table 2.5b'!$B7,'Table 2.5a'!$A$8:$A$192&amp;'Table 2.5a'!$B$8:$B$192,0))/INDEX('Table 2.5a'!$L$8:$L$192,MATCH('Table 2.5b'!$A7&amp;'Table 2.5b'!$B7,'Table 2.5a'!$A$8:$A$192&amp;'Table 2.5a'!$B$8:$B$192,0)),"")</f>
        <v>3.1086881196418791E-2</v>
      </c>
      <c r="L7" s="173" t="s">
        <v>356</v>
      </c>
      <c r="M7" s="369">
        <f t="array" ref="M7">INDEX(UtilityList!Q$4:Q$251,MATCH('Table 2.5b'!$A7&amp;'Table 2.5b'!$B7,UtilityList!$A$4:$A$251&amp;UtilityList!$C$4:$C$251,0))</f>
        <v>0</v>
      </c>
      <c r="N7" s="369" t="str">
        <f t="array" ref="N7">INDEX(UtilityList!J$4:J$251,MATCH('Table 2.5b'!$A7&amp;'Table 2.5b'!$B7,UtilityList!$A$4:$A$251&amp;UtilityList!$C$4:$C$251,0))</f>
        <v>Lower Yukon-Kuskokwim</v>
      </c>
      <c r="O7" s="369" t="str">
        <f t="array" ref="O7">INDEX(UtilityList!K$4:K$251,MATCH('Table 2.5b'!$A7&amp;'Table 2.5b'!$B7,UtilityList!$A$4:$A$251&amp;UtilityList!$C$4:$C$251,0))</f>
        <v>Bethel (CA)</v>
      </c>
      <c r="P7" s="369" t="str">
        <f t="array" ref="P7">INDEX(UtilityList!L$4:L$251,MATCH('Table 2.5b'!$A7&amp;'Table 2.5b'!$B7,UtilityList!$A$4:$A$251&amp;UtilityList!$C$4:$C$251,0))</f>
        <v>Calista</v>
      </c>
      <c r="Q7" s="369" t="str">
        <f t="array" ref="Q7">INDEX(UtilityList!M$4:M$251,MATCH('Table 2.5b'!$A7&amp;'Table 2.5b'!$B7,UtilityList!$A$4:$A$251&amp;UtilityList!$C$4:$C$251,0))</f>
        <v>SW</v>
      </c>
    </row>
    <row r="8" spans="1:17" s="285" customFormat="1" x14ac:dyDescent="0.25">
      <c r="A8" s="361" t="s">
        <v>31</v>
      </c>
      <c r="B8" s="654" t="s">
        <v>32</v>
      </c>
      <c r="C8" s="655">
        <f t="array" ref="C8">IFERROR((INDEX('Table 2.5a'!$D$8:$D$192,MATCH('Table 2.5b'!A8&amp;'Table 2.5b'!B8,'Table 2.5a'!$A$8:$A$192&amp;'Table 2.5a'!$B$8:$B$192,0))/INDEX('Table 2.5a'!$E$8:$E$192,MATCH('Table 2.5b'!A8&amp;'Table 2.5b'!B8,'Table 2.5a'!$A$8:$A$192&amp;'Table 2.5a'!$B$8:$B$192,0)))*1000, "")</f>
        <v>3115.75</v>
      </c>
      <c r="D8" s="655">
        <f t="array" ref="D8">IFERROR((INDEX('Table 2.5a'!$C$8:$C$192,MATCH('Table 2.5b'!A8&amp;'Table 2.5b'!B8,'Table 2.5a'!$A$8:$A$192&amp;'Table 2.5a'!$B$8:$B$192,0))/INDEX('Table 2.5a'!$E$8:$E$192,MATCH('Table 2.5b'!A8&amp;'Table 2.5b'!B8,'Table 2.5a'!$A$8:$A$192&amp;'Table 2.5a'!$B$8:$B$192,0)))*1000, "")</f>
        <v>1962.9225000000001</v>
      </c>
      <c r="E8" s="705">
        <f t="array" ref="E8">IFERROR(INDEX('Table 2.5a'!$C$8:$C$192,MATCH('Table 2.5b'!$A8&amp;'Table 2.5b'!$B8,'Table 2.5a'!$A$8:$A$192&amp;'Table 2.5a'!$B$8:$B$192,0))/INDEX('Table 2.5a'!$D$8:$D$192,MATCH('Table 2.5b'!$A8&amp;'Table 2.5b'!$B8,'Table 2.5a'!$A$8:$A$192&amp;'Table 2.5a'!$B$8:$B$192,0)),"")</f>
        <v>0.63</v>
      </c>
      <c r="F8" s="655">
        <f t="array" ref="F8">IFERROR((INDEX('Table 2.5a'!$H$8:$H$192,MATCH('Table 2.5b'!$A8&amp;'Table 2.5b'!$B8,'Table 2.5a'!$A$8:$A$192&amp;'Table 2.5a'!$B$8:$B$192,0))/INDEX('Table 2.5a'!$I$8:$I$192,MATCH('Table 2.5b'!$A8&amp;'Table 2.5b'!$B8,'Table 2.5a'!$A$8:$A$192&amp;'Table 2.5a'!$B$8:$B$192,0)))*1000, "")</f>
        <v>27778.584893900785</v>
      </c>
      <c r="G8" s="655">
        <f t="array" ref="G8">IFERROR((INDEX('Table 2.5a'!$G$8:$G$192,MATCH('Table 2.5b'!$A8&amp;'Table 2.5b'!$B8,'Table 2.5a'!$A$8:$A$192&amp;'Table 2.5a'!$B$8:$B$192,0))/INDEX('Table 2.5a'!$I$8:$I$192,MATCH('Table 2.5b'!$A8&amp;'Table 2.5b'!$B8,'Table 2.5a'!$A$8:$A$192&amp;'Table 2.5a'!$B$8:$B$192,0)))*1000, "")</f>
        <v>17500.508483157493</v>
      </c>
      <c r="H8" s="705">
        <f t="array" ref="H8">IFERROR(INDEX('Table 2.5a'!$G$8:$G$192,MATCH('Table 2.5b'!$A8&amp;'Table 2.5b'!$B8,'Table 2.5a'!$A$8:$A$192&amp;'Table 2.5a'!$B$8:$B$192,0))/INDEX('Table 2.5a'!$H$8:$H$192,MATCH('Table 2.5b'!$A8&amp;'Table 2.5b'!$B8,'Table 2.5a'!$A$8:$A$192&amp;'Table 2.5a'!$B$8:$B$192,0)),"")</f>
        <v>0.63</v>
      </c>
      <c r="I8" s="655">
        <f t="array" ref="I8">IFERROR((INDEX('Table 2.5a'!$L$8:$L$192,MATCH('Table 2.5b'!$A8&amp;'Table 2.5b'!$B8,'Table 2.5a'!$A$8:$A$192&amp;'Table 2.5a'!$B$8:$B$192,0))/INDEX('Table 2.5a'!$I$8:$I$192,MATCH('Table 2.5b'!$A8&amp;'Table 2.5b'!$B8,'Table 2.5a'!$A$8:$A$192&amp;'Table 2.5a'!$B$8:$B$192,0)))*1000, "")</f>
        <v>9518.0901015301151</v>
      </c>
      <c r="J8" s="655">
        <f t="array" ref="J8">IFERROR((INDEX('Table 2.5a'!$K$8:$K$192,MATCH('Table 2.5b'!$A8&amp;'Table 2.5b'!$B8,'Table 2.5a'!$A$8:$A$192&amp;'Table 2.5a'!$B$8:$B$192,0))/INDEX('Table 2.5a'!$I$8:$I$192,MATCH('Table 2.5b'!$A8&amp;'Table 2.5b'!$B8,'Table 2.5a'!$A$8:$A$192&amp;'Table 2.5a'!$B$8:$B$192,0)))*1000, "")</f>
        <v>5996.3967639639732</v>
      </c>
      <c r="K8" s="705">
        <f t="array" ref="K8">IFERROR(INDEX('Table 2.5a'!$I$8:$I$192,MATCH('Table 2.5b'!$A8&amp;'Table 2.5b'!$B8,'Table 2.5a'!$A$8:$A$192&amp;'Table 2.5a'!$B$8:$B$192,0))/INDEX('Table 2.5a'!$L$8:$L$192,MATCH('Table 2.5b'!$A8&amp;'Table 2.5b'!$B8,'Table 2.5a'!$A$8:$A$192&amp;'Table 2.5a'!$B$8:$B$192,0)),"")</f>
        <v>0.10506309452137266</v>
      </c>
      <c r="L8" s="658" t="s">
        <v>356</v>
      </c>
      <c r="M8" s="709">
        <f t="array" ref="M8">INDEX(UtilityList!Q$4:Q$251,MATCH('Table 2.5b'!$A8&amp;'Table 2.5b'!$B8,UtilityList!$A$4:$A$251&amp;UtilityList!$C$4:$C$251,0))</f>
        <v>0</v>
      </c>
      <c r="N8" s="709" t="str">
        <f t="array" ref="N8">INDEX(UtilityList!J$4:J$251,MATCH('Table 2.5b'!$A8&amp;'Table 2.5b'!$B8,UtilityList!$A$4:$A$251&amp;UtilityList!$C$4:$C$251,0))</f>
        <v>Lower Yukon-Kuskokwim</v>
      </c>
      <c r="O8" s="709" t="str">
        <f t="array" ref="O8">INDEX(UtilityList!K$4:K$251,MATCH('Table 2.5b'!$A8&amp;'Table 2.5b'!$B8,UtilityList!$A$4:$A$251&amp;UtilityList!$C$4:$C$251,0))</f>
        <v>Bethel (CA)</v>
      </c>
      <c r="P8" s="709" t="str">
        <f t="array" ref="P8">INDEX(UtilityList!L$4:L$251,MATCH('Table 2.5b'!$A8&amp;'Table 2.5b'!$B8,UtilityList!$A$4:$A$251&amp;UtilityList!$C$4:$C$251,0))</f>
        <v>Calista</v>
      </c>
      <c r="Q8" s="709" t="str">
        <f t="array" ref="Q8">INDEX(UtilityList!M$4:M$251,MATCH('Table 2.5b'!$A8&amp;'Table 2.5b'!$B8,UtilityList!$A$4:$A$251&amp;UtilityList!$C$4:$C$251,0))</f>
        <v>SW</v>
      </c>
    </row>
    <row r="9" spans="1:17" s="154" customFormat="1" x14ac:dyDescent="0.25">
      <c r="A9" s="361" t="s">
        <v>33</v>
      </c>
      <c r="B9" s="654" t="s">
        <v>34</v>
      </c>
      <c r="C9" s="655">
        <f t="array" ref="C9">IFERROR((INDEX('Table 2.5a'!$D$8:$D$192,MATCH('Table 2.5b'!A9&amp;'Table 2.5b'!B9,'Table 2.5a'!$A$8:$A$192&amp;'Table 2.5a'!$B$8:$B$192,0))/INDEX('Table 2.5a'!$E$8:$E$192,MATCH('Table 2.5b'!A9&amp;'Table 2.5b'!B9,'Table 2.5a'!$A$8:$A$192&amp;'Table 2.5a'!$B$8:$B$192,0)))*1000, "")</f>
        <v>5028.8292682926822</v>
      </c>
      <c r="D9" s="655">
        <f t="array" ref="D9">IFERROR((INDEX('Table 2.5a'!$C$8:$C$192,MATCH('Table 2.5b'!A9&amp;'Table 2.5b'!B9,'Table 2.5a'!$A$8:$A$192&amp;'Table 2.5a'!$B$8:$B$192,0))/INDEX('Table 2.5a'!$E$8:$E$192,MATCH('Table 2.5b'!A9&amp;'Table 2.5b'!B9,'Table 2.5a'!$A$8:$A$192&amp;'Table 2.5a'!$B$8:$B$192,0)))*1000, "")</f>
        <v>1624.3118536585364</v>
      </c>
      <c r="E9" s="705">
        <f t="array" ref="E9">IFERROR(INDEX('Table 2.5a'!$C$8:$C$192,MATCH('Table 2.5b'!$A9&amp;'Table 2.5b'!$B9,'Table 2.5a'!$A$8:$A$192&amp;'Table 2.5a'!$B$8:$B$192,0))/INDEX('Table 2.5a'!$D$8:$D$192,MATCH('Table 2.5b'!$A9&amp;'Table 2.5b'!$B9,'Table 2.5a'!$A$8:$A$192&amp;'Table 2.5a'!$B$8:$B$192,0)),"")</f>
        <v>0.32300000000000001</v>
      </c>
      <c r="F9" s="655">
        <f t="array" ref="F9">IFERROR((INDEX('Table 2.5a'!$H$8:$H$192,MATCH('Table 2.5b'!$A9&amp;'Table 2.5b'!$B9,'Table 2.5a'!$A$8:$A$192&amp;'Table 2.5a'!$B$8:$B$192,0))/INDEX('Table 2.5a'!$I$8:$I$192,MATCH('Table 2.5b'!$A9&amp;'Table 2.5b'!$B9,'Table 2.5a'!$A$8:$A$192&amp;'Table 2.5a'!$B$8:$B$192,0)))*1000, "")</f>
        <v>11480.294117647059</v>
      </c>
      <c r="G9" s="655">
        <f t="array" ref="G9">IFERROR((INDEX('Table 2.5a'!$G$8:$G$192,MATCH('Table 2.5b'!$A9&amp;'Table 2.5b'!$B9,'Table 2.5a'!$A$8:$A$192&amp;'Table 2.5a'!$B$8:$B$192,0))/INDEX('Table 2.5a'!$I$8:$I$192,MATCH('Table 2.5b'!$A9&amp;'Table 2.5b'!$B9,'Table 2.5a'!$A$8:$A$192&amp;'Table 2.5a'!$B$8:$B$192,0)))*1000, "")</f>
        <v>3708.1349999999998</v>
      </c>
      <c r="H9" s="705">
        <f t="array" ref="H9">IFERROR(INDEX('Table 2.5a'!$G$8:$G$192,MATCH('Table 2.5b'!$A9&amp;'Table 2.5b'!$B9,'Table 2.5a'!$A$8:$A$192&amp;'Table 2.5a'!$B$8:$B$192,0))/INDEX('Table 2.5a'!$H$8:$H$192,MATCH('Table 2.5b'!$A9&amp;'Table 2.5b'!$B9,'Table 2.5a'!$A$8:$A$192&amp;'Table 2.5a'!$B$8:$B$192,0)),"")</f>
        <v>0.32300000000000001</v>
      </c>
      <c r="I9" s="655">
        <f t="array" ref="I9">IFERROR((INDEX('Table 2.5a'!$L$8:$L$192,MATCH('Table 2.5b'!$A9&amp;'Table 2.5b'!$B9,'Table 2.5a'!$A$8:$A$192&amp;'Table 2.5a'!$B$8:$B$192,0))/INDEX('Table 2.5a'!$I$8:$I$192,MATCH('Table 2.5b'!$A9&amp;'Table 2.5b'!$B9,'Table 2.5a'!$A$8:$A$192&amp;'Table 2.5a'!$B$8:$B$192,0)))*1000, "")</f>
        <v>5611.6470588235288</v>
      </c>
      <c r="J9" s="655">
        <f t="array" ref="J9">IFERROR((INDEX('Table 2.5a'!$K$8:$K$192,MATCH('Table 2.5b'!$A9&amp;'Table 2.5b'!$B9,'Table 2.5a'!$A$8:$A$192&amp;'Table 2.5a'!$B$8:$B$192,0))/INDEX('Table 2.5a'!$I$8:$I$192,MATCH('Table 2.5b'!$A9&amp;'Table 2.5b'!$B9,'Table 2.5a'!$A$8:$A$192&amp;'Table 2.5a'!$B$8:$B$192,0)))*1000, "")</f>
        <v>1812.5619999999999</v>
      </c>
      <c r="K9" s="705">
        <f t="array" ref="K9">IFERROR(INDEX('Table 2.5a'!$I$8:$I$192,MATCH('Table 2.5b'!$A9&amp;'Table 2.5b'!$B9,'Table 2.5a'!$A$8:$A$192&amp;'Table 2.5a'!$B$8:$B$192,0))/INDEX('Table 2.5a'!$L$8:$L$192,MATCH('Table 2.5b'!$A9&amp;'Table 2.5b'!$B9,'Table 2.5a'!$A$8:$A$192&amp;'Table 2.5a'!$B$8:$B$192,0)),"")</f>
        <v>0.17820080085536386</v>
      </c>
      <c r="L9" s="658" t="s">
        <v>356</v>
      </c>
      <c r="M9" s="709">
        <f t="array" ref="M9">INDEX(UtilityList!Q$4:Q$251,MATCH('Table 2.5b'!$A9&amp;'Table 2.5b'!$B9,UtilityList!$A$4:$A$251&amp;UtilityList!$C$4:$C$251,0))</f>
        <v>0</v>
      </c>
      <c r="N9" s="709" t="str">
        <f t="array" ref="N9">INDEX(UtilityList!J$4:J$251,MATCH('Table 2.5b'!$A9&amp;'Table 2.5b'!$B9,UtilityList!$A$4:$A$251&amp;UtilityList!$C$4:$C$251,0))</f>
        <v>Aleutians</v>
      </c>
      <c r="O9" s="709" t="str">
        <f t="array" ref="O9">INDEX(UtilityList!K$4:K$251,MATCH('Table 2.5b'!$A9&amp;'Table 2.5b'!$B9,UtilityList!$A$4:$A$251&amp;UtilityList!$C$4:$C$251,0))</f>
        <v>Aleutians East</v>
      </c>
      <c r="P9" s="709" t="str">
        <f t="array" ref="P9">INDEX(UtilityList!L$4:L$251,MATCH('Table 2.5b'!$A9&amp;'Table 2.5b'!$B9,UtilityList!$A$4:$A$251&amp;UtilityList!$C$4:$C$251,0))</f>
        <v>Aleut</v>
      </c>
      <c r="Q9" s="709" t="str">
        <f t="array" ref="Q9">INDEX(UtilityList!M$4:M$251,MATCH('Table 2.5b'!$A9&amp;'Table 2.5b'!$B9,UtilityList!$A$4:$A$251&amp;UtilityList!$C$4:$C$251,0))</f>
        <v>SW</v>
      </c>
    </row>
    <row r="10" spans="1:17" s="201" customFormat="1" ht="30" x14ac:dyDescent="0.25">
      <c r="A10" s="352" t="s">
        <v>523</v>
      </c>
      <c r="B10" s="352" t="s">
        <v>36</v>
      </c>
      <c r="C10" s="655">
        <f t="array" ref="C10">IFERROR((INDEX('Table 2.5a'!$D$8:$D$192,MATCH('Table 2.5b'!A10&amp;'Table 2.5b'!B10,'Table 2.5a'!$A$8:$A$192&amp;'Table 2.5a'!$B$8:$B$192,0))/INDEX('Table 2.5a'!$E$8:$E$192,MATCH('Table 2.5b'!A10&amp;'Table 2.5b'!B10,'Table 2.5a'!$A$8:$A$192&amp;'Table 2.5a'!$B$8:$B$192,0)))*1000, "")</f>
        <v>10109.521745412512</v>
      </c>
      <c r="D10" s="655">
        <f t="array" ref="D10">IFERROR((INDEX('Table 2.5a'!$C$8:$C$192,MATCH('Table 2.5b'!A10&amp;'Table 2.5b'!B10,'Table 2.5a'!$A$8:$A$192&amp;'Table 2.5a'!$B$8:$B$192,0))/INDEX('Table 2.5a'!$E$8:$E$192,MATCH('Table 2.5b'!A10&amp;'Table 2.5b'!B10,'Table 2.5a'!$A$8:$A$192&amp;'Table 2.5a'!$B$8:$B$192,0)))*1000, "")</f>
        <v>1223.161392862303</v>
      </c>
      <c r="E10" s="705">
        <f t="array" ref="E10">IFERROR(INDEX('Table 2.5a'!$C$8:$C$192,MATCH('Table 2.5b'!$A10&amp;'Table 2.5b'!$B10,'Table 2.5a'!$A$8:$A$192&amp;'Table 2.5a'!$B$8:$B$192,0))/INDEX('Table 2.5a'!$D$8:$D$192,MATCH('Table 2.5b'!$A10&amp;'Table 2.5b'!$B10,'Table 2.5a'!$A$8:$A$192&amp;'Table 2.5a'!$B$8:$B$192,0)),"")</f>
        <v>0.12099102446832838</v>
      </c>
      <c r="F10" s="655">
        <f t="array" ref="F10">IFERROR((INDEX('Table 2.5a'!$H$8:$H$192,MATCH('Table 2.5b'!$A10&amp;'Table 2.5b'!$B10,'Table 2.5a'!$A$8:$A$192&amp;'Table 2.5a'!$B$8:$B$192,0))/INDEX('Table 2.5a'!$I$8:$I$192,MATCH('Table 2.5b'!$A10&amp;'Table 2.5b'!$B10,'Table 2.5a'!$A$8:$A$192&amp;'Table 2.5a'!$B$8:$B$192,0)))*1000, "")</f>
        <v>58399.35364727609</v>
      </c>
      <c r="G10" s="655">
        <f t="array" ref="G10">IFERROR((INDEX('Table 2.5a'!$G$8:$G$192,MATCH('Table 2.5b'!$A10&amp;'Table 2.5b'!$B10,'Table 2.5a'!$A$8:$A$192&amp;'Table 2.5a'!$B$8:$B$192,0))/INDEX('Table 2.5a'!$I$8:$I$192,MATCH('Table 2.5b'!$A10&amp;'Table 2.5b'!$B10,'Table 2.5a'!$A$8:$A$192&amp;'Table 2.5a'!$B$8:$B$192,0)))*1000, "")</f>
        <v>5873.037857802401</v>
      </c>
      <c r="H10" s="705">
        <f t="array" ref="H10">IFERROR(INDEX('Table 2.5a'!$G$8:$G$192,MATCH('Table 2.5b'!$A10&amp;'Table 2.5b'!$B10,'Table 2.5a'!$A$8:$A$192&amp;'Table 2.5a'!$B$8:$B$192,0))/INDEX('Table 2.5a'!$H$8:$H$192,MATCH('Table 2.5b'!$A10&amp;'Table 2.5b'!$B10,'Table 2.5a'!$A$8:$A$192&amp;'Table 2.5a'!$B$8:$B$192,0)),"")</f>
        <v>0.1005668297850474</v>
      </c>
      <c r="I10" s="655">
        <f t="array" ref="I10">IFERROR((INDEX('Table 2.5a'!$L$8:$L$192,MATCH('Table 2.5b'!$A10&amp;'Table 2.5b'!$B10,'Table 2.5a'!$A$8:$A$192&amp;'Table 2.5a'!$B$8:$B$192,0))/INDEX('Table 2.5a'!$I$8:$I$192,MATCH('Table 2.5b'!$A10&amp;'Table 2.5b'!$B10,'Table 2.5a'!$A$8:$A$192&amp;'Table 2.5a'!$B$8:$B$192,0)))*1000, "")</f>
        <v>45374.422899353645</v>
      </c>
      <c r="J10" s="655">
        <f t="array" ref="J10">IFERROR((INDEX('Table 2.5a'!$K$8:$K$192,MATCH('Table 2.5b'!$A10&amp;'Table 2.5b'!$B10,'Table 2.5a'!$A$8:$A$192&amp;'Table 2.5a'!$B$8:$B$192,0))/INDEX('Table 2.5a'!$I$8:$I$192,MATCH('Table 2.5b'!$A10&amp;'Table 2.5b'!$B10,'Table 2.5a'!$A$8:$A$192&amp;'Table 2.5a'!$B$8:$B$192,0)))*1000, "")</f>
        <v>4281.1634349030473</v>
      </c>
      <c r="K10" s="705">
        <f t="array" ref="K10">IFERROR(INDEX('Table 2.5a'!$I$8:$I$192,MATCH('Table 2.5b'!$A10&amp;'Table 2.5b'!$B10,'Table 2.5a'!$A$8:$A$192&amp;'Table 2.5a'!$B$8:$B$192,0))/INDEX('Table 2.5a'!$L$8:$L$192,MATCH('Table 2.5b'!$A10&amp;'Table 2.5b'!$B10,'Table 2.5a'!$A$8:$A$192&amp;'Table 2.5a'!$B$8:$B$192,0)),"")</f>
        <v>2.2038847793571494E-2</v>
      </c>
      <c r="L10" s="706" t="s">
        <v>558</v>
      </c>
      <c r="M10" s="709">
        <f t="array" ref="M10">INDEX(UtilityList!Q$4:Q$251,MATCH('Table 2.5b'!$A10&amp;'Table 2.5b'!$B10,UtilityList!$A$4:$A$251&amp;UtilityList!$C$4:$C$251,0))</f>
        <v>0</v>
      </c>
      <c r="N10" s="709" t="str">
        <f t="array" ref="N10">INDEX(UtilityList!J$4:J$251,MATCH('Table 2.5b'!$A10&amp;'Table 2.5b'!$B10,UtilityList!$A$4:$A$251&amp;UtilityList!$C$4:$C$251,0))</f>
        <v>Southeast</v>
      </c>
      <c r="O10" s="709" t="str">
        <f t="array" ref="O10">INDEX(UtilityList!K$4:K$251,MATCH('Table 2.5b'!$A10&amp;'Table 2.5b'!$B10,UtilityList!$A$4:$A$251&amp;UtilityList!$C$4:$C$251,0))</f>
        <v>Juneau</v>
      </c>
      <c r="P10" s="709" t="str">
        <f t="array" ref="P10">INDEX(UtilityList!L$4:L$251,MATCH('Table 2.5b'!$A10&amp;'Table 2.5b'!$B10,UtilityList!$A$4:$A$251&amp;UtilityList!$C$4:$C$251,0))</f>
        <v>Sealaska</v>
      </c>
      <c r="Q10" s="709" t="str">
        <f t="array" ref="Q10">INDEX(UtilityList!M$4:M$251,MATCH('Table 2.5b'!$A10&amp;'Table 2.5b'!$B10,UtilityList!$A$4:$A$251&amp;UtilityList!$C$4:$C$251,0))</f>
        <v>SE</v>
      </c>
    </row>
    <row r="11" spans="1:17" s="154" customFormat="1" ht="45" x14ac:dyDescent="0.25">
      <c r="A11" s="352" t="s">
        <v>43</v>
      </c>
      <c r="B11" s="664" t="s">
        <v>678</v>
      </c>
      <c r="C11" s="655">
        <f t="array" ref="C11">IFERROR((INDEX('Table 2.5a'!$D$8:$D$192,MATCH('Table 2.5b'!A11&amp;'Table 2.5b'!B11,'Table 2.5a'!$A$8:$A$192&amp;'Table 2.5a'!$B$8:$B$192,0))/INDEX('Table 2.5a'!$E$8:$E$192,MATCH('Table 2.5b'!A11&amp;'Table 2.5b'!B11,'Table 2.5a'!$A$8:$A$192&amp;'Table 2.5a'!$B$8:$B$192,0)))*1000, "")</f>
        <v>2871.6465103786613</v>
      </c>
      <c r="D11" s="655">
        <f t="array" ref="D11">IFERROR((INDEX('Table 2.5a'!$C$8:$C$192,MATCH('Table 2.5b'!A11&amp;'Table 2.5b'!B11,'Table 2.5a'!$A$8:$A$192&amp;'Table 2.5a'!$B$8:$B$192,0))/INDEX('Table 2.5a'!$E$8:$E$192,MATCH('Table 2.5b'!A11&amp;'Table 2.5b'!B11,'Table 2.5a'!$A$8:$A$192&amp;'Table 2.5a'!$B$8:$B$192,0)))*1000, "")</f>
        <v>2466.6725612525106</v>
      </c>
      <c r="E11" s="705">
        <f t="array" ref="E11">IFERROR(INDEX('Table 2.5a'!$C$8:$C$192,MATCH('Table 2.5b'!$A11&amp;'Table 2.5b'!$B11,'Table 2.5a'!$A$8:$A$192&amp;'Table 2.5a'!$B$8:$B$192,0))/INDEX('Table 2.5a'!$D$8:$D$192,MATCH('Table 2.5b'!$A11&amp;'Table 2.5b'!$B11,'Table 2.5a'!$A$8:$A$192&amp;'Table 2.5a'!$B$8:$B$192,0)),"")</f>
        <v>0.85897500000000004</v>
      </c>
      <c r="F11" s="655">
        <f t="array" ref="F11">IFERROR((INDEX('Table 2.5a'!$H$8:$H$192,MATCH('Table 2.5b'!$A11&amp;'Table 2.5b'!$B11,'Table 2.5a'!$A$8:$A$192&amp;'Table 2.5a'!$B$8:$B$192,0))/INDEX('Table 2.5a'!$I$8:$I$192,MATCH('Table 2.5b'!$A11&amp;'Table 2.5b'!$B11,'Table 2.5a'!$A$8:$A$192&amp;'Table 2.5a'!$B$8:$B$192,0)))*1000, "")</f>
        <v>8660.1252498609774</v>
      </c>
      <c r="G11" s="655">
        <f t="array" ref="G11">IFERROR((INDEX('Table 2.5a'!$G$8:$G$192,MATCH('Table 2.5b'!$A11&amp;'Table 2.5b'!$B11,'Table 2.5a'!$A$8:$A$192&amp;'Table 2.5a'!$B$8:$B$192,0))/INDEX('Table 2.5a'!$I$8:$I$192,MATCH('Table 2.5b'!$A11&amp;'Table 2.5b'!$B11,'Table 2.5a'!$A$8:$A$192&amp;'Table 2.5a'!$B$8:$B$192,0)))*1000, "")</f>
        <v>7438.8310864993337</v>
      </c>
      <c r="H11" s="705">
        <f t="array" ref="H11">IFERROR(INDEX('Table 2.5a'!$G$8:$G$192,MATCH('Table 2.5b'!$A11&amp;'Table 2.5b'!$B11,'Table 2.5a'!$A$8:$A$192&amp;'Table 2.5a'!$B$8:$B$192,0))/INDEX('Table 2.5a'!$H$8:$H$192,MATCH('Table 2.5b'!$A11&amp;'Table 2.5b'!$B11,'Table 2.5a'!$A$8:$A$192&amp;'Table 2.5a'!$B$8:$B$192,0)),"")</f>
        <v>0.85897500000000004</v>
      </c>
      <c r="I11" s="655">
        <f t="array" ref="I11">IFERROR((INDEX('Table 2.5a'!$L$8:$L$192,MATCH('Table 2.5b'!$A11&amp;'Table 2.5b'!$B11,'Table 2.5a'!$A$8:$A$192&amp;'Table 2.5a'!$B$8:$B$192,0))/INDEX('Table 2.5a'!$I$8:$I$192,MATCH('Table 2.5b'!$A11&amp;'Table 2.5b'!$B11,'Table 2.5a'!$A$8:$A$192&amp;'Table 2.5a'!$B$8:$B$192,0)))*1000, "")</f>
        <v>12051.927818764922</v>
      </c>
      <c r="J11" s="655">
        <f t="array" ref="J11">IFERROR((INDEX('Table 2.5a'!$K$8:$K$192,MATCH('Table 2.5b'!$A11&amp;'Table 2.5b'!$B11,'Table 2.5a'!$A$8:$A$192&amp;'Table 2.5a'!$B$8:$B$192,0))/INDEX('Table 2.5a'!$I$8:$I$192,MATCH('Table 2.5b'!$A11&amp;'Table 2.5b'!$B11,'Table 2.5a'!$A$8:$A$192&amp;'Table 2.5a'!$B$8:$B$192,0)))*1000, "")</f>
        <v>10352.304698123598</v>
      </c>
      <c r="K11" s="705">
        <f t="array" ref="K11">IFERROR(INDEX('Table 2.5a'!$I$8:$I$192,MATCH('Table 2.5b'!$A11&amp;'Table 2.5b'!$B11,'Table 2.5a'!$A$8:$A$192&amp;'Table 2.5a'!$B$8:$B$192,0))/INDEX('Table 2.5a'!$L$8:$L$192,MATCH('Table 2.5b'!$A11&amp;'Table 2.5b'!$B11,'Table 2.5a'!$A$8:$A$192&amp;'Table 2.5a'!$B$8:$B$192,0)),"")</f>
        <v>8.2974277230817323E-2</v>
      </c>
      <c r="L11" s="662" t="s">
        <v>356</v>
      </c>
      <c r="M11" s="709" t="str">
        <f t="array" ref="M11">INDEX(UtilityList!Q$4:Q$251,MATCH('Table 2.5b'!$A11&amp;'Table 2.5b'!$B11,UtilityList!$A$4:$A$251&amp;UtilityList!$C$4:$C$251,0))</f>
        <v>Provides power to Alatna via intertie. Data includes Alatna's information.</v>
      </c>
      <c r="N11" s="709" t="str">
        <f t="array" ref="N11">INDEX(UtilityList!J$4:J$251,MATCH('Table 2.5b'!$A11&amp;'Table 2.5b'!$B11,UtilityList!$A$4:$A$251&amp;UtilityList!$C$4:$C$251,0))</f>
        <v>Yukon-Koyukuk/Upper Tanana</v>
      </c>
      <c r="O11" s="709" t="str">
        <f t="array" ref="O11">INDEX(UtilityList!K$4:K$251,MATCH('Table 2.5b'!$A11&amp;'Table 2.5b'!$B11,UtilityList!$A$4:$A$251&amp;UtilityList!$C$4:$C$251,0))</f>
        <v>Yukon-Koyukuk (CA)</v>
      </c>
      <c r="P11" s="709" t="str">
        <f t="array" ref="P11">INDEX(UtilityList!L$4:L$251,MATCH('Table 2.5b'!$A11&amp;'Table 2.5b'!$B11,UtilityList!$A$4:$A$251&amp;UtilityList!$C$4:$C$251,0))</f>
        <v>Doyon</v>
      </c>
      <c r="Q11" s="709" t="str">
        <f t="array" ref="Q11">INDEX(UtilityList!M$4:M$251,MATCH('Table 2.5b'!$A11&amp;'Table 2.5b'!$B11,UtilityList!$A$4:$A$251&amp;UtilityList!$C$4:$C$251,0))</f>
        <v>YU</v>
      </c>
    </row>
    <row r="12" spans="1:17" s="153" customFormat="1" ht="60" x14ac:dyDescent="0.25">
      <c r="A12" s="352" t="s">
        <v>43</v>
      </c>
      <c r="B12" s="664" t="s">
        <v>680</v>
      </c>
      <c r="C12" s="655">
        <f t="array" ref="C12">IFERROR((INDEX('Table 2.5a'!$D$8:$D$192,MATCH('Table 2.5b'!A12&amp;'Table 2.5b'!B12,'Table 2.5a'!$A$8:$A$192&amp;'Table 2.5a'!$B$8:$B$192,0))/INDEX('Table 2.5a'!$E$8:$E$192,MATCH('Table 2.5b'!A12&amp;'Table 2.5b'!B12,'Table 2.5a'!$A$8:$A$192&amp;'Table 2.5a'!$B$8:$B$192,0)))*1000, "")</f>
        <v>3873.333333333333</v>
      </c>
      <c r="D12" s="655">
        <f t="array" ref="D12">IFERROR((INDEX('Table 2.5a'!$C$8:$C$192,MATCH('Table 2.5b'!A12&amp;'Table 2.5b'!B12,'Table 2.5a'!$A$8:$A$192&amp;'Table 2.5a'!$B$8:$B$192,0))/INDEX('Table 2.5a'!$E$8:$E$192,MATCH('Table 2.5b'!A12&amp;'Table 2.5b'!B12,'Table 2.5a'!$A$8:$A$192&amp;'Table 2.5a'!$B$8:$B$192,0)))*1000, "")</f>
        <v>2460.3413333333328</v>
      </c>
      <c r="E12" s="705">
        <f t="array" ref="E12">IFERROR(INDEX('Table 2.5a'!$C$8:$C$192,MATCH('Table 2.5b'!$A12&amp;'Table 2.5b'!$B12,'Table 2.5a'!$A$8:$A$192&amp;'Table 2.5a'!$B$8:$B$192,0))/INDEX('Table 2.5a'!$D$8:$D$192,MATCH('Table 2.5b'!$A12&amp;'Table 2.5b'!$B12,'Table 2.5a'!$A$8:$A$192&amp;'Table 2.5a'!$B$8:$B$192,0)),"")</f>
        <v>0.63519999999999999</v>
      </c>
      <c r="F12" s="655">
        <f t="array" ref="F12">IFERROR((INDEX('Table 2.5a'!$H$8:$H$192,MATCH('Table 2.5b'!$A12&amp;'Table 2.5b'!$B12,'Table 2.5a'!$A$8:$A$192&amp;'Table 2.5a'!$B$8:$B$192,0))/INDEX('Table 2.5a'!$I$8:$I$192,MATCH('Table 2.5b'!$A12&amp;'Table 2.5b'!$B12,'Table 2.5a'!$A$8:$A$192&amp;'Table 2.5a'!$B$8:$B$192,0)))*1000, "")</f>
        <v>6192.5952460362059</v>
      </c>
      <c r="G12" s="655">
        <f t="array" ref="G12">IFERROR((INDEX('Table 2.5a'!$G$8:$G$192,MATCH('Table 2.5b'!$A12&amp;'Table 2.5b'!$B12,'Table 2.5a'!$A$8:$A$192&amp;'Table 2.5a'!$B$8:$B$192,0))/INDEX('Table 2.5a'!$I$8:$I$192,MATCH('Table 2.5b'!$A12&amp;'Table 2.5b'!$B12,'Table 2.5a'!$A$8:$A$192&amp;'Table 2.5a'!$B$8:$B$192,0)))*1000, "")</f>
        <v>3933.5365002821986</v>
      </c>
      <c r="H12" s="705">
        <f t="array" ref="H12">IFERROR(INDEX('Table 2.5a'!$G$8:$G$192,MATCH('Table 2.5b'!$A12&amp;'Table 2.5b'!$B12,'Table 2.5a'!$A$8:$A$192&amp;'Table 2.5a'!$B$8:$B$192,0))/INDEX('Table 2.5a'!$H$8:$H$192,MATCH('Table 2.5b'!$A12&amp;'Table 2.5b'!$B12,'Table 2.5a'!$A$8:$A$192&amp;'Table 2.5a'!$B$8:$B$192,0)),"")</f>
        <v>0.63519999999999999</v>
      </c>
      <c r="I12" s="655">
        <f t="array" ref="I12">IFERROR((INDEX('Table 2.5a'!$L$8:$L$192,MATCH('Table 2.5b'!$A12&amp;'Table 2.5b'!$B12,'Table 2.5a'!$A$8:$A$192&amp;'Table 2.5a'!$B$8:$B$192,0))/INDEX('Table 2.5a'!$I$8:$I$192,MATCH('Table 2.5b'!$A12&amp;'Table 2.5b'!$B12,'Table 2.5a'!$A$8:$A$192&amp;'Table 2.5a'!$B$8:$B$192,0)))*1000, "")</f>
        <v>33608.728383759611</v>
      </c>
      <c r="J12" s="655">
        <f t="array" ref="J12">IFERROR((INDEX('Table 2.5a'!$K$8:$K$192,MATCH('Table 2.5b'!$A12&amp;'Table 2.5b'!$B12,'Table 2.5a'!$A$8:$A$192&amp;'Table 2.5a'!$B$8:$B$192,0))/INDEX('Table 2.5a'!$I$8:$I$192,MATCH('Table 2.5b'!$A12&amp;'Table 2.5b'!$B12,'Table 2.5a'!$A$8:$A$192&amp;'Table 2.5a'!$B$8:$B$192,0)))*1000, "")</f>
        <v>21348.26426936411</v>
      </c>
      <c r="K12" s="705">
        <f t="array" ref="K12">IFERROR(INDEX('Table 2.5a'!$I$8:$I$192,MATCH('Table 2.5b'!$A12&amp;'Table 2.5b'!$B12,'Table 2.5a'!$A$8:$A$192&amp;'Table 2.5a'!$B$8:$B$192,0))/INDEX('Table 2.5a'!$L$8:$L$192,MATCH('Table 2.5b'!$A12&amp;'Table 2.5b'!$B12,'Table 2.5a'!$A$8:$A$192&amp;'Table 2.5a'!$B$8:$B$192,0)),"")</f>
        <v>2.9754175420787989E-2</v>
      </c>
      <c r="L12" s="662" t="s">
        <v>356</v>
      </c>
      <c r="M12" s="709" t="str">
        <f t="array" ref="M12">INDEX(UtilityList!Q$4:Q$251,MATCH('Table 2.5b'!$A12&amp;'Table 2.5b'!$B12,UtilityList!$A$4:$A$251&amp;UtilityList!$C$4:$C$251,0))</f>
        <v>Provides power to Evansville via intertie. Data includes Evansville's information.</v>
      </c>
      <c r="N12" s="709" t="str">
        <f t="array" ref="N12">INDEX(UtilityList!J$4:J$251,MATCH('Table 2.5b'!$A12&amp;'Table 2.5b'!$B12,UtilityList!$A$4:$A$251&amp;UtilityList!$C$4:$C$251,0))</f>
        <v>Yukon-Koyukuk/Upper Tanana</v>
      </c>
      <c r="O12" s="709" t="str">
        <f t="array" ref="O12">INDEX(UtilityList!K$4:K$251,MATCH('Table 2.5b'!$A12&amp;'Table 2.5b'!$B12,UtilityList!$A$4:$A$251&amp;UtilityList!$C$4:$C$251,0))</f>
        <v>Yukon-Koyukuk (CA)</v>
      </c>
      <c r="P12" s="709" t="str">
        <f t="array" ref="P12">INDEX(UtilityList!L$4:L$251,MATCH('Table 2.5b'!$A12&amp;'Table 2.5b'!$B12,UtilityList!$A$4:$A$251&amp;UtilityList!$C$4:$C$251,0))</f>
        <v>Doyon</v>
      </c>
      <c r="Q12" s="709" t="str">
        <f t="array" ref="Q12">INDEX(UtilityList!M$4:M$251,MATCH('Table 2.5b'!$A12&amp;'Table 2.5b'!$B12,UtilityList!$A$4:$A$251&amp;UtilityList!$C$4:$C$251,0))</f>
        <v>YU</v>
      </c>
    </row>
    <row r="13" spans="1:17" s="153" customFormat="1" ht="30" x14ac:dyDescent="0.25">
      <c r="A13" s="352" t="s">
        <v>43</v>
      </c>
      <c r="B13" s="664" t="s">
        <v>46</v>
      </c>
      <c r="C13" s="655">
        <f t="array" ref="C13">IFERROR((INDEX('Table 2.5a'!$D$8:$D$192,MATCH('Table 2.5b'!A13&amp;'Table 2.5b'!B13,'Table 2.5a'!$A$8:$A$192&amp;'Table 2.5a'!$B$8:$B$192,0))/INDEX('Table 2.5a'!$E$8:$E$192,MATCH('Table 2.5b'!A13&amp;'Table 2.5b'!B13,'Table 2.5a'!$A$8:$A$192&amp;'Table 2.5a'!$B$8:$B$192,0)))*1000, "")</f>
        <v>3329.9999078200717</v>
      </c>
      <c r="D13" s="655">
        <f t="array" ref="D13">IFERROR((INDEX('Table 2.5a'!$C$8:$C$192,MATCH('Table 2.5b'!A13&amp;'Table 2.5b'!B13,'Table 2.5a'!$A$8:$A$192&amp;'Table 2.5a'!$B$8:$B$192,0))/INDEX('Table 2.5a'!$E$8:$E$192,MATCH('Table 2.5b'!A13&amp;'Table 2.5b'!B13,'Table 2.5a'!$A$8:$A$192&amp;'Table 2.5a'!$B$8:$B$192,0)))*1000, "")</f>
        <v>2236.3724269934974</v>
      </c>
      <c r="E13" s="705">
        <f t="array" ref="E13">IFERROR(INDEX('Table 2.5a'!$C$8:$C$192,MATCH('Table 2.5b'!$A13&amp;'Table 2.5b'!$B13,'Table 2.5a'!$A$8:$A$192&amp;'Table 2.5a'!$B$8:$B$192,0))/INDEX('Table 2.5a'!$D$8:$D$192,MATCH('Table 2.5b'!$A13&amp;'Table 2.5b'!$B13,'Table 2.5a'!$A$8:$A$192&amp;'Table 2.5a'!$B$8:$B$192,0)),"")</f>
        <v>0.67158333000000003</v>
      </c>
      <c r="F13" s="655">
        <f t="array" ref="F13">IFERROR((INDEX('Table 2.5a'!$H$8:$H$192,MATCH('Table 2.5b'!$A13&amp;'Table 2.5b'!$B13,'Table 2.5a'!$A$8:$A$192&amp;'Table 2.5a'!$B$8:$B$192,0))/INDEX('Table 2.5a'!$I$8:$I$192,MATCH('Table 2.5b'!$A13&amp;'Table 2.5b'!$B13,'Table 2.5a'!$A$8:$A$192&amp;'Table 2.5a'!$B$8:$B$192,0)))*1000, "")</f>
        <v>9689.7752422443828</v>
      </c>
      <c r="G13" s="655">
        <f t="array" ref="G13">IFERROR((INDEX('Table 2.5a'!$G$8:$G$192,MATCH('Table 2.5b'!$A13&amp;'Table 2.5b'!$B13,'Table 2.5a'!$A$8:$A$192&amp;'Table 2.5a'!$B$8:$B$192,0))/INDEX('Table 2.5a'!$I$8:$I$192,MATCH('Table 2.5b'!$A13&amp;'Table 2.5b'!$B13,'Table 2.5a'!$A$8:$A$192&amp;'Table 2.5a'!$B$8:$B$192,0)))*1000, "")</f>
        <v>6507.4915241380386</v>
      </c>
      <c r="H13" s="705">
        <f t="array" ref="H13">IFERROR(INDEX('Table 2.5a'!$G$8:$G$192,MATCH('Table 2.5b'!$A13&amp;'Table 2.5b'!$B13,'Table 2.5a'!$A$8:$A$192&amp;'Table 2.5a'!$B$8:$B$192,0))/INDEX('Table 2.5a'!$H$8:$H$192,MATCH('Table 2.5b'!$A13&amp;'Table 2.5b'!$B13,'Table 2.5a'!$A$8:$A$192&amp;'Table 2.5a'!$B$8:$B$192,0)),"")</f>
        <v>0.67158333000000003</v>
      </c>
      <c r="I13" s="655">
        <f t="array" ref="I13">IFERROR((INDEX('Table 2.5a'!$L$8:$L$192,MATCH('Table 2.5b'!$A13&amp;'Table 2.5b'!$B13,'Table 2.5a'!$A$8:$A$192&amp;'Table 2.5a'!$B$8:$B$192,0))/INDEX('Table 2.5a'!$I$8:$I$192,MATCH('Table 2.5b'!$A13&amp;'Table 2.5b'!$B13,'Table 2.5a'!$A$8:$A$192&amp;'Table 2.5a'!$B$8:$B$192,0)))*1000, "")</f>
        <v>4392.9001098225035</v>
      </c>
      <c r="J13" s="655">
        <f t="array" ref="J13">IFERROR((INDEX('Table 2.5a'!$K$8:$K$192,MATCH('Table 2.5b'!$A13&amp;'Table 2.5b'!$B13,'Table 2.5a'!$A$8:$A$192&amp;'Table 2.5a'!$B$8:$B$192,0))/INDEX('Table 2.5a'!$I$8:$I$192,MATCH('Table 2.5b'!$A13&amp;'Table 2.5b'!$B13,'Table 2.5a'!$A$8:$A$192&amp;'Table 2.5a'!$B$8:$B$192,0)))*1000, "")</f>
        <v>2950.1984841119624</v>
      </c>
      <c r="K13" s="705">
        <f t="array" ref="K13">IFERROR(INDEX('Table 2.5a'!$I$8:$I$192,MATCH('Table 2.5b'!$A13&amp;'Table 2.5b'!$B13,'Table 2.5a'!$A$8:$A$192&amp;'Table 2.5a'!$B$8:$B$192,0))/INDEX('Table 2.5a'!$L$8:$L$192,MATCH('Table 2.5b'!$A13&amp;'Table 2.5b'!$B13,'Table 2.5a'!$A$8:$A$192&amp;'Table 2.5a'!$B$8:$B$192,0)),"")</f>
        <v>0.22764004985317216</v>
      </c>
      <c r="L13" s="662" t="s">
        <v>356</v>
      </c>
      <c r="M13" s="709" t="str">
        <f t="array" ref="M13">INDEX(UtilityList!Q$4:Q$251,MATCH('Table 2.5b'!$A13&amp;'Table 2.5b'!$B13,UtilityList!$A$4:$A$251&amp;UtilityList!$C$4:$C$251,0))</f>
        <v>Receives power from Slana via intertie.</v>
      </c>
      <c r="N13" s="709" t="str">
        <f t="array" ref="N13">INDEX(UtilityList!J$4:J$251,MATCH('Table 2.5b'!$A13&amp;'Table 2.5b'!$B13,UtilityList!$A$4:$A$251&amp;UtilityList!$C$4:$C$251,0))</f>
        <v>Copper River/Chugach</v>
      </c>
      <c r="O13" s="709" t="str">
        <f t="array" ref="O13">INDEX(UtilityList!K$4:K$251,MATCH('Table 2.5b'!$A13&amp;'Table 2.5b'!$B13,UtilityList!$A$4:$A$251&amp;UtilityList!$C$4:$C$251,0))</f>
        <v>Valdez-Cordova (CA)</v>
      </c>
      <c r="P13" s="709" t="str">
        <f t="array" ref="P13">INDEX(UtilityList!L$4:L$251,MATCH('Table 2.5b'!$A13&amp;'Table 2.5b'!$B13,UtilityList!$A$4:$A$251&amp;UtilityList!$C$4:$C$251,0))</f>
        <v>Ahtna</v>
      </c>
      <c r="Q13" s="709" t="str">
        <f t="array" ref="Q13">INDEX(UtilityList!M$4:M$251,MATCH('Table 2.5b'!$A13&amp;'Table 2.5b'!$B13,UtilityList!$A$4:$A$251&amp;UtilityList!$C$4:$C$251,0))</f>
        <v>YU</v>
      </c>
    </row>
    <row r="14" spans="1:17" s="153" customFormat="1" ht="45" x14ac:dyDescent="0.25">
      <c r="A14" s="352" t="s">
        <v>43</v>
      </c>
      <c r="B14" s="664" t="s">
        <v>47</v>
      </c>
      <c r="C14" s="655">
        <f t="array" ref="C14">IFERROR((INDEX('Table 2.5a'!$D$8:$D$192,MATCH('Table 2.5b'!A14&amp;'Table 2.5b'!B14,'Table 2.5a'!$A$8:$A$192&amp;'Table 2.5a'!$B$8:$B$192,0))/INDEX('Table 2.5a'!$E$8:$E$192,MATCH('Table 2.5b'!A14&amp;'Table 2.5b'!B14,'Table 2.5a'!$A$8:$A$192&amp;'Table 2.5a'!$B$8:$B$192,0)))*1000, "")</f>
        <v>3620.1441445164692</v>
      </c>
      <c r="D14" s="655">
        <f t="array" ref="D14">IFERROR((INDEX('Table 2.5a'!$C$8:$C$192,MATCH('Table 2.5b'!A14&amp;'Table 2.5b'!B14,'Table 2.5a'!$A$8:$A$192&amp;'Table 2.5a'!$B$8:$B$192,0))/INDEX('Table 2.5a'!$E$8:$E$192,MATCH('Table 2.5b'!A14&amp;'Table 2.5b'!B14,'Table 2.5a'!$A$8:$A$192&amp;'Table 2.5a'!$B$8:$B$192,0)))*1000, "")</f>
        <v>1689.2196056342736</v>
      </c>
      <c r="E14" s="705">
        <f t="array" ref="E14">IFERROR(INDEX('Table 2.5a'!$C$8:$C$192,MATCH('Table 2.5b'!$A14&amp;'Table 2.5b'!$B14,'Table 2.5a'!$A$8:$A$192&amp;'Table 2.5a'!$B$8:$B$192,0))/INDEX('Table 2.5a'!$D$8:$D$192,MATCH('Table 2.5b'!$A14&amp;'Table 2.5b'!$B14,'Table 2.5a'!$A$8:$A$192&amp;'Table 2.5a'!$B$8:$B$192,0)),"")</f>
        <v>0.46661667000000001</v>
      </c>
      <c r="F14" s="655">
        <f t="array" ref="F14">IFERROR((INDEX('Table 2.5a'!$H$8:$H$192,MATCH('Table 2.5b'!$A14&amp;'Table 2.5b'!$B14,'Table 2.5a'!$A$8:$A$192&amp;'Table 2.5a'!$B$8:$B$192,0))/INDEX('Table 2.5a'!$I$8:$I$192,MATCH('Table 2.5b'!$A14&amp;'Table 2.5b'!$B14,'Table 2.5a'!$A$8:$A$192&amp;'Table 2.5a'!$B$8:$B$192,0)))*1000, "")</f>
        <v>3799.5772297046224</v>
      </c>
      <c r="G14" s="655">
        <f t="array" ref="G14">IFERROR((INDEX('Table 2.5a'!$G$8:$G$192,MATCH('Table 2.5b'!$A14&amp;'Table 2.5b'!$B14,'Table 2.5a'!$A$8:$A$192&amp;'Table 2.5a'!$B$8:$B$192,0))/INDEX('Table 2.5a'!$I$8:$I$192,MATCH('Table 2.5b'!$A14&amp;'Table 2.5b'!$B14,'Table 2.5a'!$A$8:$A$192&amp;'Table 2.5a'!$B$8:$B$192,0)))*1000, "")</f>
        <v>1772.946074332596</v>
      </c>
      <c r="H14" s="705">
        <f t="array" ref="H14">IFERROR(INDEX('Table 2.5a'!$G$8:$G$192,MATCH('Table 2.5b'!$A14&amp;'Table 2.5b'!$B14,'Table 2.5a'!$A$8:$A$192&amp;'Table 2.5a'!$B$8:$B$192,0))/INDEX('Table 2.5a'!$H$8:$H$192,MATCH('Table 2.5b'!$A14&amp;'Table 2.5b'!$B14,'Table 2.5a'!$A$8:$A$192&amp;'Table 2.5a'!$B$8:$B$192,0)),"")</f>
        <v>0.46661667000000001</v>
      </c>
      <c r="I14" s="655">
        <f t="array" ref="I14">IFERROR((INDEX('Table 2.5a'!$L$8:$L$192,MATCH('Table 2.5b'!$A14&amp;'Table 2.5b'!$B14,'Table 2.5a'!$A$8:$A$192&amp;'Table 2.5a'!$B$8:$B$192,0))/INDEX('Table 2.5a'!$I$8:$I$192,MATCH('Table 2.5b'!$A14&amp;'Table 2.5b'!$B14,'Table 2.5a'!$A$8:$A$192&amp;'Table 2.5a'!$B$8:$B$192,0)))*1000, "")</f>
        <v>4800.6858240156771</v>
      </c>
      <c r="J14" s="655">
        <f t="array" ref="J14">IFERROR((INDEX('Table 2.5a'!$K$8:$K$192,MATCH('Table 2.5b'!$A14&amp;'Table 2.5b'!$B14,'Table 2.5a'!$A$8:$A$192&amp;'Table 2.5a'!$B$8:$B$192,0))/INDEX('Table 2.5a'!$I$8:$I$192,MATCH('Table 2.5b'!$A14&amp;'Table 2.5b'!$B14,'Table 2.5a'!$A$8:$A$192&amp;'Table 2.5a'!$B$8:$B$192,0)))*1000, "")</f>
        <v>2240.0800329184012</v>
      </c>
      <c r="K14" s="705">
        <f t="array" ref="K14">IFERROR(INDEX('Table 2.5a'!$I$8:$I$192,MATCH('Table 2.5b'!$A14&amp;'Table 2.5b'!$B14,'Table 2.5a'!$A$8:$A$192&amp;'Table 2.5a'!$B$8:$B$192,0))/INDEX('Table 2.5a'!$L$8:$L$192,MATCH('Table 2.5b'!$A14&amp;'Table 2.5b'!$B14,'Table 2.5a'!$A$8:$A$192&amp;'Table 2.5a'!$B$8:$B$192,0)),"")</f>
        <v>0.20830357091844021</v>
      </c>
      <c r="L14" s="662" t="s">
        <v>356</v>
      </c>
      <c r="M14" s="709" t="str">
        <f t="array" ref="M14">INDEX(UtilityList!Q$4:Q$251,MATCH('Table 2.5b'!$A14&amp;'Table 2.5b'!$B14,UtilityList!$A$4:$A$251&amp;UtilityList!$C$4:$C$251,0))</f>
        <v>Part of the Alaska Power Company's grid on Prince of Wales Island.</v>
      </c>
      <c r="N14" s="709" t="str">
        <f t="array" ref="N14">INDEX(UtilityList!J$4:J$251,MATCH('Table 2.5b'!$A14&amp;'Table 2.5b'!$B14,UtilityList!$A$4:$A$251&amp;UtilityList!$C$4:$C$251,0))</f>
        <v>Southeast</v>
      </c>
      <c r="O14" s="709" t="str">
        <f t="array" ref="O14">INDEX(UtilityList!K$4:K$251,MATCH('Table 2.5b'!$A14&amp;'Table 2.5b'!$B14,UtilityList!$A$4:$A$251&amp;UtilityList!$C$4:$C$251,0))</f>
        <v>Prince of Wales-Hyder (CA)</v>
      </c>
      <c r="P14" s="709" t="str">
        <f t="array" ref="P14">INDEX(UtilityList!L$4:L$251,MATCH('Table 2.5b'!$A14&amp;'Table 2.5b'!$B14,UtilityList!$A$4:$A$251&amp;UtilityList!$C$4:$C$251,0))</f>
        <v>Sealaska</v>
      </c>
      <c r="Q14" s="709" t="str">
        <f t="array" ref="Q14">INDEX(UtilityList!M$4:M$251,MATCH('Table 2.5b'!$A14&amp;'Table 2.5b'!$B14,UtilityList!$A$4:$A$251&amp;UtilityList!$C$4:$C$251,0))</f>
        <v>SE</v>
      </c>
    </row>
    <row r="15" spans="1:17" s="153" customFormat="1" ht="60" x14ac:dyDescent="0.25">
      <c r="A15" s="352" t="s">
        <v>43</v>
      </c>
      <c r="B15" s="664" t="s">
        <v>48</v>
      </c>
      <c r="C15" s="655">
        <f t="array" ref="C15">IFERROR((INDEX('Table 2.5a'!$D$8:$D$192,MATCH('Table 2.5b'!A15&amp;'Table 2.5b'!B15,'Table 2.5a'!$A$8:$A$192&amp;'Table 2.5a'!$B$8:$B$192,0))/INDEX('Table 2.5a'!$E$8:$E$192,MATCH('Table 2.5b'!A15&amp;'Table 2.5b'!B15,'Table 2.5a'!$A$8:$A$192&amp;'Table 2.5a'!$B$8:$B$192,0)))*1000, "")</f>
        <v>5830.7272033574964</v>
      </c>
      <c r="D15" s="655">
        <f t="array" ref="D15">IFERROR((INDEX('Table 2.5a'!$C$8:$C$192,MATCH('Table 2.5b'!A15&amp;'Table 2.5b'!B15,'Table 2.5a'!$A$8:$A$192&amp;'Table 2.5a'!$B$8:$B$192,0))/INDEX('Table 2.5a'!$E$8:$E$192,MATCH('Table 2.5b'!A15&amp;'Table 2.5b'!B15,'Table 2.5a'!$A$8:$A$192&amp;'Table 2.5a'!$B$8:$B$192,0)))*1000, "")</f>
        <v>1400.7836406490346</v>
      </c>
      <c r="E15" s="705">
        <f t="array" ref="E15">IFERROR(INDEX('Table 2.5a'!$C$8:$C$192,MATCH('Table 2.5b'!$A15&amp;'Table 2.5b'!$B15,'Table 2.5a'!$A$8:$A$192&amp;'Table 2.5a'!$B$8:$B$192,0))/INDEX('Table 2.5a'!$D$8:$D$192,MATCH('Table 2.5b'!$A15&amp;'Table 2.5b'!$B15,'Table 2.5a'!$A$8:$A$192&amp;'Table 2.5a'!$B$8:$B$192,0)),"")</f>
        <v>0.24024166999999999</v>
      </c>
      <c r="F15" s="655">
        <f t="array" ref="F15">IFERROR((INDEX('Table 2.5a'!$H$8:$H$192,MATCH('Table 2.5b'!$A15&amp;'Table 2.5b'!$B15,'Table 2.5a'!$A$8:$A$192&amp;'Table 2.5a'!$B$8:$B$192,0))/INDEX('Table 2.5a'!$I$8:$I$192,MATCH('Table 2.5b'!$A15&amp;'Table 2.5b'!$B15,'Table 2.5a'!$A$8:$A$192&amp;'Table 2.5a'!$B$8:$B$192,0)))*1000, "")</f>
        <v>19213.375081600345</v>
      </c>
      <c r="G15" s="655">
        <f t="array" ref="G15">IFERROR((INDEX('Table 2.5a'!$G$8:$G$192,MATCH('Table 2.5b'!$A15&amp;'Table 2.5b'!$B15,'Table 2.5a'!$A$8:$A$192&amp;'Table 2.5a'!$B$8:$B$192,0))/INDEX('Table 2.5a'!$I$8:$I$192,MATCH('Table 2.5b'!$A15&amp;'Table 2.5b'!$B15,'Table 2.5a'!$A$8:$A$192&amp;'Table 2.5a'!$B$8:$B$192,0)))*1000, "")</f>
        <v>4615.8533159400522</v>
      </c>
      <c r="H15" s="705">
        <f t="array" ref="H15">IFERROR(INDEX('Table 2.5a'!$G$8:$G$192,MATCH('Table 2.5b'!$A15&amp;'Table 2.5b'!$B15,'Table 2.5a'!$A$8:$A$192&amp;'Table 2.5a'!$B$8:$B$192,0))/INDEX('Table 2.5a'!$H$8:$H$192,MATCH('Table 2.5b'!$A15&amp;'Table 2.5b'!$B15,'Table 2.5a'!$A$8:$A$192&amp;'Table 2.5a'!$B$8:$B$192,0)),"")</f>
        <v>0.24024166999999999</v>
      </c>
      <c r="I15" s="655">
        <f t="array" ref="I15">IFERROR((INDEX('Table 2.5a'!$L$8:$L$192,MATCH('Table 2.5b'!$A15&amp;'Table 2.5b'!$B15,'Table 2.5a'!$A$8:$A$192&amp;'Table 2.5a'!$B$8:$B$192,0))/INDEX('Table 2.5a'!$I$8:$I$192,MATCH('Table 2.5b'!$A15&amp;'Table 2.5b'!$B15,'Table 2.5a'!$A$8:$A$192&amp;'Table 2.5a'!$B$8:$B$192,0)))*1000, "")</f>
        <v>7511.3554863298586</v>
      </c>
      <c r="J15" s="655">
        <f t="array" ref="J15">IFERROR((INDEX('Table 2.5a'!$K$8:$K$192,MATCH('Table 2.5b'!$A15&amp;'Table 2.5b'!$B15,'Table 2.5a'!$A$8:$A$192&amp;'Table 2.5a'!$B$8:$B$192,0))/INDEX('Table 2.5a'!$I$8:$I$192,MATCH('Table 2.5b'!$A15&amp;'Table 2.5b'!$B15,'Table 2.5a'!$A$8:$A$192&amp;'Table 2.5a'!$B$8:$B$192,0)))*1000, "")</f>
        <v>1804.5405859995474</v>
      </c>
      <c r="K15" s="705">
        <f t="array" ref="K15">IFERROR(INDEX('Table 2.5a'!$I$8:$I$192,MATCH('Table 2.5b'!$A15&amp;'Table 2.5b'!$B15,'Table 2.5a'!$A$8:$A$192&amp;'Table 2.5a'!$B$8:$B$192,0))/INDEX('Table 2.5a'!$L$8:$L$192,MATCH('Table 2.5b'!$A15&amp;'Table 2.5b'!$B15,'Table 2.5a'!$A$8:$A$192&amp;'Table 2.5a'!$B$8:$B$192,0)),"")</f>
        <v>0.13313176321103828</v>
      </c>
      <c r="L15" s="662" t="s">
        <v>356</v>
      </c>
      <c r="M15" s="709" t="str">
        <f t="array" ref="M15">INDEX(UtilityList!Q$4:Q$251,MATCH('Table 2.5b'!$A15&amp;'Table 2.5b'!$B15,UtilityList!$A$4:$A$251&amp;UtilityList!$C$4:$C$251,0))</f>
        <v>Provides power to Hollis, Klawock, Thorne Bay/Kasaan and Hydaburg via intertie.</v>
      </c>
      <c r="N15" s="709" t="str">
        <f t="array" ref="N15">INDEX(UtilityList!J$4:J$251,MATCH('Table 2.5b'!$A15&amp;'Table 2.5b'!$B15,UtilityList!$A$4:$A$251&amp;UtilityList!$C$4:$C$251,0))</f>
        <v>Southeast</v>
      </c>
      <c r="O15" s="709" t="str">
        <f t="array" ref="O15">INDEX(UtilityList!K$4:K$251,MATCH('Table 2.5b'!$A15&amp;'Table 2.5b'!$B15,UtilityList!$A$4:$A$251&amp;UtilityList!$C$4:$C$251,0))</f>
        <v>Prince of Wales-Hyder (CA)</v>
      </c>
      <c r="P15" s="709" t="str">
        <f t="array" ref="P15">INDEX(UtilityList!L$4:L$251,MATCH('Table 2.5b'!$A15&amp;'Table 2.5b'!$B15,UtilityList!$A$4:$A$251&amp;UtilityList!$C$4:$C$251,0))</f>
        <v>Sealaska</v>
      </c>
      <c r="Q15" s="709" t="str">
        <f t="array" ref="Q15">INDEX(UtilityList!M$4:M$251,MATCH('Table 2.5b'!$A15&amp;'Table 2.5b'!$B15,UtilityList!$A$4:$A$251&amp;UtilityList!$C$4:$C$251,0))</f>
        <v>SE</v>
      </c>
    </row>
    <row r="16" spans="1:17" s="153" customFormat="1" ht="90" x14ac:dyDescent="0.25">
      <c r="A16" s="352" t="s">
        <v>43</v>
      </c>
      <c r="B16" s="664" t="s">
        <v>684</v>
      </c>
      <c r="C16" s="655">
        <f t="array" ref="C16">IFERROR((INDEX('Table 2.5a'!$D$8:$D$192,MATCH('Table 2.5b'!A16&amp;'Table 2.5b'!B16,'Table 2.5a'!$A$8:$A$192&amp;'Table 2.5a'!$B$8:$B$192,0))/INDEX('Table 2.5a'!$E$8:$E$192,MATCH('Table 2.5b'!A16&amp;'Table 2.5b'!B16,'Table 2.5a'!$A$8:$A$192&amp;'Table 2.5a'!$B$8:$B$192,0)))*1000, "")</f>
        <v>4099.7551020408164</v>
      </c>
      <c r="D16" s="655">
        <f t="array" ref="D16">IFERROR((INDEX('Table 2.5a'!$C$8:$C$192,MATCH('Table 2.5b'!A16&amp;'Table 2.5b'!B16,'Table 2.5a'!$A$8:$A$192&amp;'Table 2.5a'!$B$8:$B$192,0))/INDEX('Table 2.5a'!$E$8:$E$192,MATCH('Table 2.5b'!A16&amp;'Table 2.5b'!B16,'Table 2.5a'!$A$8:$A$192&amp;'Table 2.5a'!$B$8:$B$192,0)))*1000, "")</f>
        <v>2010.5882449583671</v>
      </c>
      <c r="E16" s="705">
        <f t="array" ref="E16">IFERROR(INDEX('Table 2.5a'!$C$8:$C$192,MATCH('Table 2.5b'!$A16&amp;'Table 2.5b'!$B16,'Table 2.5a'!$A$8:$A$192&amp;'Table 2.5a'!$B$8:$B$192,0))/INDEX('Table 2.5a'!$D$8:$D$192,MATCH('Table 2.5b'!$A16&amp;'Table 2.5b'!$B16,'Table 2.5a'!$A$8:$A$192&amp;'Table 2.5a'!$B$8:$B$192,0)),"")</f>
        <v>0.49041667</v>
      </c>
      <c r="F16" s="655">
        <f t="array" ref="F16">IFERROR((INDEX('Table 2.5a'!$H$8:$H$192,MATCH('Table 2.5b'!$A16&amp;'Table 2.5b'!$B16,'Table 2.5a'!$A$8:$A$192&amp;'Table 2.5a'!$B$8:$B$192,0))/INDEX('Table 2.5a'!$I$8:$I$192,MATCH('Table 2.5b'!$A16&amp;'Table 2.5b'!$B16,'Table 2.5a'!$A$8:$A$192&amp;'Table 2.5a'!$B$8:$B$192,0)))*1000, "")</f>
        <v>7110.1410091731523</v>
      </c>
      <c r="G16" s="655">
        <f t="array" ref="G16">IFERROR((INDEX('Table 2.5a'!$G$8:$G$192,MATCH('Table 2.5b'!$A16&amp;'Table 2.5b'!$B16,'Table 2.5a'!$A$8:$A$192&amp;'Table 2.5a'!$B$8:$B$192,0))/INDEX('Table 2.5a'!$I$8:$I$192,MATCH('Table 2.5b'!$A16&amp;'Table 2.5b'!$B16,'Table 2.5a'!$A$8:$A$192&amp;'Table 2.5a'!$B$8:$B$192,0)))*1000, "")</f>
        <v>3486.9316769491375</v>
      </c>
      <c r="H16" s="705">
        <f t="array" ref="H16">IFERROR(INDEX('Table 2.5a'!$G$8:$G$192,MATCH('Table 2.5b'!$A16&amp;'Table 2.5b'!$B16,'Table 2.5a'!$A$8:$A$192&amp;'Table 2.5a'!$B$8:$B$192,0))/INDEX('Table 2.5a'!$H$8:$H$192,MATCH('Table 2.5b'!$A16&amp;'Table 2.5b'!$B16,'Table 2.5a'!$A$8:$A$192&amp;'Table 2.5a'!$B$8:$B$192,0)),"")</f>
        <v>0.49041667</v>
      </c>
      <c r="I16" s="655">
        <f t="array" ref="I16">IFERROR((INDEX('Table 2.5a'!$L$8:$L$192,MATCH('Table 2.5b'!$A16&amp;'Table 2.5b'!$B16,'Table 2.5a'!$A$8:$A$192&amp;'Table 2.5a'!$B$8:$B$192,0))/INDEX('Table 2.5a'!$I$8:$I$192,MATCH('Table 2.5b'!$A16&amp;'Table 2.5b'!$B16,'Table 2.5a'!$A$8:$A$192&amp;'Table 2.5a'!$B$8:$B$192,0)))*1000, "")</f>
        <v>10377.529167587549</v>
      </c>
      <c r="J16" s="655">
        <f t="array" ref="J16">IFERROR((INDEX('Table 2.5a'!$K$8:$K$192,MATCH('Table 2.5b'!$A16&amp;'Table 2.5b'!$B16,'Table 2.5a'!$A$8:$A$192&amp;'Table 2.5a'!$B$8:$B$192,0))/INDEX('Table 2.5a'!$I$8:$I$192,MATCH('Table 2.5b'!$A16&amp;'Table 2.5b'!$B16,'Table 2.5a'!$A$8:$A$192&amp;'Table 2.5a'!$B$8:$B$192,0)))*1000, "")</f>
        <v>5089.3132971961568</v>
      </c>
      <c r="K16" s="705">
        <f t="array" ref="K16">IFERROR(INDEX('Table 2.5a'!$I$8:$I$192,MATCH('Table 2.5b'!$A16&amp;'Table 2.5b'!$B16,'Table 2.5a'!$A$8:$A$192&amp;'Table 2.5a'!$B$8:$B$192,0))/INDEX('Table 2.5a'!$L$8:$L$192,MATCH('Table 2.5b'!$A16&amp;'Table 2.5b'!$B16,'Table 2.5a'!$A$8:$A$192&amp;'Table 2.5a'!$B$8:$B$192,0)),"")</f>
        <v>9.6362051491344428E-2</v>
      </c>
      <c r="L16" s="662" t="s">
        <v>356</v>
      </c>
      <c r="M16" s="709" t="str">
        <f t="array" ref="M16">INDEX(UtilityList!Q$4:Q$251,MATCH('Table 2.5b'!$A16&amp;'Table 2.5b'!$B16,UtilityList!$A$4:$A$251&amp;UtilityList!$C$4:$C$251,0))</f>
        <v>Receives power form Tok via intertie. Dot Lake's data includes Dot Lake Village's information. For fuel use and cost information, please refer to Tok.</v>
      </c>
      <c r="N16" s="709" t="str">
        <f t="array" ref="N16">INDEX(UtilityList!J$4:J$251,MATCH('Table 2.5b'!$A16&amp;'Table 2.5b'!$B16,UtilityList!$A$4:$A$251&amp;UtilityList!$C$4:$C$251,0))</f>
        <v>Yukon-Koyukuk/Upper Tanana</v>
      </c>
      <c r="O16" s="709" t="str">
        <f t="array" ref="O16">INDEX(UtilityList!K$4:K$251,MATCH('Table 2.5b'!$A16&amp;'Table 2.5b'!$B16,UtilityList!$A$4:$A$251&amp;UtilityList!$C$4:$C$251,0))</f>
        <v>Southeast Fairbanks (CA)</v>
      </c>
      <c r="P16" s="709" t="str">
        <f t="array" ref="P16">INDEX(UtilityList!L$4:L$251,MATCH('Table 2.5b'!$A16&amp;'Table 2.5b'!$B16,UtilityList!$A$4:$A$251&amp;UtilityList!$C$4:$C$251,0))</f>
        <v>Doyon</v>
      </c>
      <c r="Q16" s="709" t="str">
        <f t="array" ref="Q16">INDEX(UtilityList!M$4:M$251,MATCH('Table 2.5b'!$A16&amp;'Table 2.5b'!$B16,UtilityList!$A$4:$A$251&amp;UtilityList!$C$4:$C$251,0))</f>
        <v>YU</v>
      </c>
    </row>
    <row r="17" spans="1:17" s="153" customFormat="1" ht="60" x14ac:dyDescent="0.25">
      <c r="A17" s="352" t="s">
        <v>43</v>
      </c>
      <c r="B17" s="664" t="s">
        <v>686</v>
      </c>
      <c r="C17" s="655">
        <f t="array" ref="C17">IFERROR((INDEX('Table 2.5a'!$D$8:$D$192,MATCH('Table 2.5b'!A17&amp;'Table 2.5b'!B17,'Table 2.5a'!$A$8:$A$192&amp;'Table 2.5a'!$B$8:$B$192,0))/INDEX('Table 2.5a'!$E$8:$E$192,MATCH('Table 2.5b'!A17&amp;'Table 2.5b'!B17,'Table 2.5a'!$A$8:$A$192&amp;'Table 2.5a'!$B$8:$B$192,0)))*1000, "")</f>
        <v>2562.279245283019</v>
      </c>
      <c r="D17" s="655">
        <f t="array" ref="D17">IFERROR((INDEX('Table 2.5a'!$C$8:$C$192,MATCH('Table 2.5b'!A17&amp;'Table 2.5b'!B17,'Table 2.5a'!$A$8:$A$192&amp;'Table 2.5a'!$B$8:$B$192,0))/INDEX('Table 2.5a'!$E$8:$E$192,MATCH('Table 2.5b'!A17&amp;'Table 2.5b'!B17,'Table 2.5a'!$A$8:$A$192&amp;'Table 2.5a'!$B$8:$B$192,0)))*1000, "")</f>
        <v>1523.5312392452831</v>
      </c>
      <c r="E17" s="705">
        <f t="array" ref="E17">IFERROR(INDEX('Table 2.5a'!$C$8:$C$192,MATCH('Table 2.5b'!$A17&amp;'Table 2.5b'!$B17,'Table 2.5a'!$A$8:$A$192&amp;'Table 2.5a'!$B$8:$B$192,0))/INDEX('Table 2.5a'!$D$8:$D$192,MATCH('Table 2.5b'!$A17&amp;'Table 2.5b'!$B17,'Table 2.5a'!$A$8:$A$192&amp;'Table 2.5a'!$B$8:$B$192,0)),"")</f>
        <v>0.59460000000000002</v>
      </c>
      <c r="F17" s="655">
        <f t="array" ref="F17">IFERROR((INDEX('Table 2.5a'!$H$8:$H$192,MATCH('Table 2.5b'!$A17&amp;'Table 2.5b'!$B17,'Table 2.5a'!$A$8:$A$192&amp;'Table 2.5a'!$B$8:$B$192,0))/INDEX('Table 2.5a'!$I$8:$I$192,MATCH('Table 2.5b'!$A17&amp;'Table 2.5b'!$B17,'Table 2.5a'!$A$8:$A$192&amp;'Table 2.5a'!$B$8:$B$192,0)))*1000, "")</f>
        <v>5989.7948717948721</v>
      </c>
      <c r="G17" s="655">
        <f t="array" ref="G17">IFERROR((INDEX('Table 2.5a'!$G$8:$G$192,MATCH('Table 2.5b'!$A17&amp;'Table 2.5b'!$B17,'Table 2.5a'!$A$8:$A$192&amp;'Table 2.5a'!$B$8:$B$192,0))/INDEX('Table 2.5a'!$I$8:$I$192,MATCH('Table 2.5b'!$A17&amp;'Table 2.5b'!$B17,'Table 2.5a'!$A$8:$A$192&amp;'Table 2.5a'!$B$8:$B$192,0)))*1000, "")</f>
        <v>3561.5320307692309</v>
      </c>
      <c r="H17" s="705">
        <f t="array" ref="H17">IFERROR(INDEX('Table 2.5a'!$G$8:$G$192,MATCH('Table 2.5b'!$A17&amp;'Table 2.5b'!$B17,'Table 2.5a'!$A$8:$A$192&amp;'Table 2.5a'!$B$8:$B$192,0))/INDEX('Table 2.5a'!$H$8:$H$192,MATCH('Table 2.5b'!$A17&amp;'Table 2.5b'!$B17,'Table 2.5a'!$A$8:$A$192&amp;'Table 2.5a'!$B$8:$B$192,0)),"")</f>
        <v>0.59460000000000002</v>
      </c>
      <c r="I17" s="655">
        <f t="array" ref="I17">IFERROR((INDEX('Table 2.5a'!$L$8:$L$192,MATCH('Table 2.5b'!$A17&amp;'Table 2.5b'!$B17,'Table 2.5a'!$A$8:$A$192&amp;'Table 2.5a'!$B$8:$B$192,0))/INDEX('Table 2.5a'!$I$8:$I$192,MATCH('Table 2.5b'!$A17&amp;'Table 2.5b'!$B17,'Table 2.5a'!$A$8:$A$192&amp;'Table 2.5a'!$B$8:$B$192,0)))*1000, "")</f>
        <v>10936.76923076923</v>
      </c>
      <c r="J17" s="655">
        <f t="array" ref="J17">IFERROR((INDEX('Table 2.5a'!$K$8:$K$192,MATCH('Table 2.5b'!$A17&amp;'Table 2.5b'!$B17,'Table 2.5a'!$A$8:$A$192&amp;'Table 2.5a'!$B$8:$B$192,0))/INDEX('Table 2.5a'!$I$8:$I$192,MATCH('Table 2.5b'!$A17&amp;'Table 2.5b'!$B17,'Table 2.5a'!$A$8:$A$192&amp;'Table 2.5a'!$B$8:$B$192,0)))*1000, "")</f>
        <v>6503.0029846153848</v>
      </c>
      <c r="K17" s="705">
        <f t="array" ref="K17">IFERROR(INDEX('Table 2.5a'!$I$8:$I$192,MATCH('Table 2.5b'!$A17&amp;'Table 2.5b'!$B17,'Table 2.5a'!$A$8:$A$192&amp;'Table 2.5a'!$B$8:$B$192,0))/INDEX('Table 2.5a'!$L$8:$L$192,MATCH('Table 2.5b'!$A17&amp;'Table 2.5b'!$B17,'Table 2.5a'!$A$8:$A$192&amp;'Table 2.5a'!$B$8:$B$192,0)),"")</f>
        <v>9.1434680470958943E-2</v>
      </c>
      <c r="L17" s="662" t="s">
        <v>356</v>
      </c>
      <c r="M17" s="709" t="str">
        <f t="array" ref="M17">INDEX(UtilityList!Q$4:Q$251,MATCH('Table 2.5b'!$A17&amp;'Table 2.5b'!$B17,UtilityList!$A$4:$A$251&amp;UtilityList!$C$4:$C$251,0))</f>
        <v>Provides power to Eagle Village via intertie. Data includes Eagle Village's information.</v>
      </c>
      <c r="N17" s="709" t="str">
        <f t="array" ref="N17">INDEX(UtilityList!J$4:J$251,MATCH('Table 2.5b'!$A17&amp;'Table 2.5b'!$B17,UtilityList!$A$4:$A$251&amp;UtilityList!$C$4:$C$251,0))</f>
        <v>Yukon-Koyukuk/Upper Tanana</v>
      </c>
      <c r="O17" s="709" t="str">
        <f t="array" ref="O17">INDEX(UtilityList!K$4:K$251,MATCH('Table 2.5b'!$A17&amp;'Table 2.5b'!$B17,UtilityList!$A$4:$A$251&amp;UtilityList!$C$4:$C$251,0))</f>
        <v>Southeast Fairbanks (CA)</v>
      </c>
      <c r="P17" s="709" t="str">
        <f t="array" ref="P17">INDEX(UtilityList!L$4:L$251,MATCH('Table 2.5b'!$A17&amp;'Table 2.5b'!$B17,UtilityList!$A$4:$A$251&amp;UtilityList!$C$4:$C$251,0))</f>
        <v>Doyon</v>
      </c>
      <c r="Q17" s="709" t="str">
        <f t="array" ref="Q17">INDEX(UtilityList!M$4:M$251,MATCH('Table 2.5b'!$A17&amp;'Table 2.5b'!$B17,UtilityList!$A$4:$A$251&amp;UtilityList!$C$4:$C$251,0))</f>
        <v>YU</v>
      </c>
    </row>
    <row r="18" spans="1:17" s="153" customFormat="1" ht="30" x14ac:dyDescent="0.25">
      <c r="A18" s="352" t="s">
        <v>43</v>
      </c>
      <c r="B18" s="664" t="s">
        <v>651</v>
      </c>
      <c r="C18" s="655" t="str">
        <f t="array" ref="C18">IFERROR((INDEX('Table 2.5a'!$D$8:$D$192,MATCH('Table 2.5b'!A18&amp;'Table 2.5b'!B18,'Table 2.5a'!$A$8:$A$192&amp;'Table 2.5a'!$B$8:$B$192,0))/INDEX('Table 2.5a'!$E$8:$E$192,MATCH('Table 2.5b'!A18&amp;'Table 2.5b'!B18,'Table 2.5a'!$A$8:$A$192&amp;'Table 2.5a'!$B$8:$B$192,0)))*1000, "")</f>
        <v/>
      </c>
      <c r="D18" s="655" t="str">
        <f t="array" ref="D18">IFERROR((INDEX('Table 2.5a'!$C$8:$C$192,MATCH('Table 2.5b'!A18&amp;'Table 2.5b'!B18,'Table 2.5a'!$A$8:$A$192&amp;'Table 2.5a'!$B$8:$B$192,0))/INDEX('Table 2.5a'!$E$8:$E$192,MATCH('Table 2.5b'!A18&amp;'Table 2.5b'!B18,'Table 2.5a'!$A$8:$A$192&amp;'Table 2.5a'!$B$8:$B$192,0)))*1000, "")</f>
        <v/>
      </c>
      <c r="E18" s="705" t="str">
        <f t="array" ref="E18">IFERROR(INDEX('Table 2.5a'!$C$8:$C$192,MATCH('Table 2.5b'!$A18&amp;'Table 2.5b'!$B18,'Table 2.5a'!$A$8:$A$192&amp;'Table 2.5a'!$B$8:$B$192,0))/INDEX('Table 2.5a'!$D$8:$D$192,MATCH('Table 2.5b'!$A18&amp;'Table 2.5b'!$B18,'Table 2.5a'!$A$8:$A$192&amp;'Table 2.5a'!$B$8:$B$192,0)),"")</f>
        <v/>
      </c>
      <c r="F18" s="655" t="str">
        <f t="array" ref="F18">IFERROR((INDEX('Table 2.5a'!$H$8:$H$192,MATCH('Table 2.5b'!$A18&amp;'Table 2.5b'!$B18,'Table 2.5a'!$A$8:$A$192&amp;'Table 2.5a'!$B$8:$B$192,0))/INDEX('Table 2.5a'!$I$8:$I$192,MATCH('Table 2.5b'!$A18&amp;'Table 2.5b'!$B18,'Table 2.5a'!$A$8:$A$192&amp;'Table 2.5a'!$B$8:$B$192,0)))*1000, "")</f>
        <v/>
      </c>
      <c r="G18" s="655" t="str">
        <f t="array" ref="G18">IFERROR((INDEX('Table 2.5a'!$G$8:$G$192,MATCH('Table 2.5b'!$A18&amp;'Table 2.5b'!$B18,'Table 2.5a'!$A$8:$A$192&amp;'Table 2.5a'!$B$8:$B$192,0))/INDEX('Table 2.5a'!$I$8:$I$192,MATCH('Table 2.5b'!$A18&amp;'Table 2.5b'!$B18,'Table 2.5a'!$A$8:$A$192&amp;'Table 2.5a'!$B$8:$B$192,0)))*1000, "")</f>
        <v/>
      </c>
      <c r="H18" s="705" t="str">
        <f t="array" ref="H18">IFERROR(INDEX('Table 2.5a'!$G$8:$G$192,MATCH('Table 2.5b'!$A18&amp;'Table 2.5b'!$B18,'Table 2.5a'!$A$8:$A$192&amp;'Table 2.5a'!$B$8:$B$192,0))/INDEX('Table 2.5a'!$H$8:$H$192,MATCH('Table 2.5b'!$A18&amp;'Table 2.5b'!$B18,'Table 2.5a'!$A$8:$A$192&amp;'Table 2.5a'!$B$8:$B$192,0)),"")</f>
        <v/>
      </c>
      <c r="I18" s="655" t="str">
        <f t="array" ref="I18">IFERROR((INDEX('Table 2.5a'!$L$8:$L$192,MATCH('Table 2.5b'!$A18&amp;'Table 2.5b'!$B18,'Table 2.5a'!$A$8:$A$192&amp;'Table 2.5a'!$B$8:$B$192,0))/INDEX('Table 2.5a'!$I$8:$I$192,MATCH('Table 2.5b'!$A18&amp;'Table 2.5b'!$B18,'Table 2.5a'!$A$8:$A$192&amp;'Table 2.5a'!$B$8:$B$192,0)))*1000, "")</f>
        <v/>
      </c>
      <c r="J18" s="655" t="str">
        <f t="array" ref="J18">IFERROR((INDEX('Table 2.5a'!$K$8:$K$192,MATCH('Table 2.5b'!$A18&amp;'Table 2.5b'!$B18,'Table 2.5a'!$A$8:$A$192&amp;'Table 2.5a'!$B$8:$B$192,0))/INDEX('Table 2.5a'!$I$8:$I$192,MATCH('Table 2.5b'!$A18&amp;'Table 2.5b'!$B18,'Table 2.5a'!$A$8:$A$192&amp;'Table 2.5a'!$B$8:$B$192,0)))*1000, "")</f>
        <v/>
      </c>
      <c r="K18" s="705" t="str">
        <f t="array" ref="K18">IFERROR(INDEX('Table 2.5a'!$I$8:$I$192,MATCH('Table 2.5b'!$A18&amp;'Table 2.5b'!$B18,'Table 2.5a'!$A$8:$A$192&amp;'Table 2.5a'!$B$8:$B$192,0))/INDEX('Table 2.5a'!$L$8:$L$192,MATCH('Table 2.5b'!$A18&amp;'Table 2.5b'!$B18,'Table 2.5a'!$A$8:$A$192&amp;'Table 2.5a'!$B$8:$B$192,0)),"")</f>
        <v/>
      </c>
      <c r="L18" s="662" t="s">
        <v>356</v>
      </c>
      <c r="M18" s="709" t="e">
        <f t="array" ref="M18">INDEX(UtilityList!Q$4:Q$251,MATCH('Table 2.5b'!$A18&amp;'Table 2.5b'!$B18,UtilityList!$A$4:$A$251&amp;UtilityList!$C$4:$C$251,0))</f>
        <v>#N/A</v>
      </c>
      <c r="N18" s="709" t="e">
        <f t="array" ref="N18">INDEX(UtilityList!J$4:J$251,MATCH('Table 2.5b'!$A18&amp;'Table 2.5b'!$B18,UtilityList!$A$4:$A$251&amp;UtilityList!$C$4:$C$251,0))</f>
        <v>#N/A</v>
      </c>
      <c r="O18" s="709" t="e">
        <f t="array" ref="O18">INDEX(UtilityList!K$4:K$251,MATCH('Table 2.5b'!$A18&amp;'Table 2.5b'!$B18,UtilityList!$A$4:$A$251&amp;UtilityList!$C$4:$C$251,0))</f>
        <v>#N/A</v>
      </c>
      <c r="P18" s="709" t="e">
        <f t="array" ref="P18">INDEX(UtilityList!L$4:L$251,MATCH('Table 2.5b'!$A18&amp;'Table 2.5b'!$B18,UtilityList!$A$4:$A$251&amp;UtilityList!$C$4:$C$251,0))</f>
        <v>#N/A</v>
      </c>
      <c r="Q18" s="709" t="e">
        <f t="array" ref="Q18">INDEX(UtilityList!M$4:M$251,MATCH('Table 2.5b'!$A18&amp;'Table 2.5b'!$B18,UtilityList!$A$4:$A$251&amp;UtilityList!$C$4:$C$251,0))</f>
        <v>#N/A</v>
      </c>
    </row>
    <row r="19" spans="1:17" s="153" customFormat="1" ht="30" x14ac:dyDescent="0.25">
      <c r="A19" s="352" t="s">
        <v>43</v>
      </c>
      <c r="B19" s="664" t="s">
        <v>51</v>
      </c>
      <c r="C19" s="655">
        <f t="array" ref="C19">IFERROR((INDEX('Table 2.5a'!$D$8:$D$192,MATCH('Table 2.5b'!A19&amp;'Table 2.5b'!B19,'Table 2.5a'!$A$8:$A$192&amp;'Table 2.5a'!$B$8:$B$192,0))/INDEX('Table 2.5a'!$E$8:$E$192,MATCH('Table 2.5b'!A19&amp;'Table 2.5b'!B19,'Table 2.5a'!$A$8:$A$192&amp;'Table 2.5a'!$B$8:$B$192,0)))*1000, "")</f>
        <v>3370.75</v>
      </c>
      <c r="D19" s="655">
        <f t="array" ref="D19">IFERROR((INDEX('Table 2.5a'!$C$8:$C$192,MATCH('Table 2.5b'!A19&amp;'Table 2.5b'!B19,'Table 2.5a'!$A$8:$A$192&amp;'Table 2.5a'!$B$8:$B$192,0))/INDEX('Table 2.5a'!$E$8:$E$192,MATCH('Table 2.5b'!A19&amp;'Table 2.5b'!B19,'Table 2.5a'!$A$8:$A$192&amp;'Table 2.5a'!$B$8:$B$192,0)))*1000, "")</f>
        <v>2786.3181404025004</v>
      </c>
      <c r="E19" s="705">
        <f t="array" ref="E19">IFERROR(INDEX('Table 2.5a'!$C$8:$C$192,MATCH('Table 2.5b'!$A19&amp;'Table 2.5b'!$B19,'Table 2.5a'!$A$8:$A$192&amp;'Table 2.5a'!$B$8:$B$192,0))/INDEX('Table 2.5a'!$D$8:$D$192,MATCH('Table 2.5b'!$A19&amp;'Table 2.5b'!$B19,'Table 2.5a'!$A$8:$A$192&amp;'Table 2.5a'!$B$8:$B$192,0)),"")</f>
        <v>0.82661667000000005</v>
      </c>
      <c r="F19" s="655">
        <f t="array" ref="F19">IFERROR((INDEX('Table 2.5a'!$H$8:$H$192,MATCH('Table 2.5b'!$A19&amp;'Table 2.5b'!$B19,'Table 2.5a'!$A$8:$A$192&amp;'Table 2.5a'!$B$8:$B$192,0))/INDEX('Table 2.5a'!$I$8:$I$192,MATCH('Table 2.5b'!$A19&amp;'Table 2.5b'!$B19,'Table 2.5a'!$A$8:$A$192&amp;'Table 2.5a'!$B$8:$B$192,0)))*1000, "")</f>
        <v>4565.3645984620098</v>
      </c>
      <c r="G19" s="655">
        <f t="array" ref="G19">IFERROR((INDEX('Table 2.5a'!$G$8:$G$192,MATCH('Table 2.5b'!$A19&amp;'Table 2.5b'!$B19,'Table 2.5a'!$A$8:$A$192&amp;'Table 2.5a'!$B$8:$B$192,0))/INDEX('Table 2.5a'!$I$8:$I$192,MATCH('Table 2.5b'!$A19&amp;'Table 2.5b'!$B19,'Table 2.5a'!$A$8:$A$192&amp;'Table 2.5a'!$B$8:$B$192,0)))*1000, "")</f>
        <v>3773.8064817165537</v>
      </c>
      <c r="H19" s="705">
        <f t="array" ref="H19">IFERROR(INDEX('Table 2.5a'!$G$8:$G$192,MATCH('Table 2.5b'!$A19&amp;'Table 2.5b'!$B19,'Table 2.5a'!$A$8:$A$192&amp;'Table 2.5a'!$B$8:$B$192,0))/INDEX('Table 2.5a'!$H$8:$H$192,MATCH('Table 2.5b'!$A19&amp;'Table 2.5b'!$B19,'Table 2.5a'!$A$8:$A$192&amp;'Table 2.5a'!$B$8:$B$192,0)),"")</f>
        <v>0.82661667000000005</v>
      </c>
      <c r="I19" s="655">
        <f t="array" ref="I19">IFERROR((INDEX('Table 2.5a'!$L$8:$L$192,MATCH('Table 2.5b'!$A19&amp;'Table 2.5b'!$B19,'Table 2.5a'!$A$8:$A$192&amp;'Table 2.5a'!$B$8:$B$192,0))/INDEX('Table 2.5a'!$I$8:$I$192,MATCH('Table 2.5b'!$A19&amp;'Table 2.5b'!$B19,'Table 2.5a'!$A$8:$A$192&amp;'Table 2.5a'!$B$8:$B$192,0)))*1000, "")</f>
        <v>1729.5529004811081</v>
      </c>
      <c r="J19" s="655">
        <f t="array" ref="J19">IFERROR((INDEX('Table 2.5a'!$K$8:$K$192,MATCH('Table 2.5b'!$A19&amp;'Table 2.5b'!$B19,'Table 2.5a'!$A$8:$A$192&amp;'Table 2.5a'!$B$8:$B$192,0))/INDEX('Table 2.5a'!$I$8:$I$192,MATCH('Table 2.5b'!$A19&amp;'Table 2.5b'!$B19,'Table 2.5a'!$A$8:$A$192&amp;'Table 2.5a'!$B$8:$B$192,0)))*1000, "")</f>
        <v>1429.6772591845349</v>
      </c>
      <c r="K19" s="705">
        <f t="array" ref="K19">IFERROR(INDEX('Table 2.5a'!$I$8:$I$192,MATCH('Table 2.5b'!$A19&amp;'Table 2.5b'!$B19,'Table 2.5a'!$A$8:$A$192&amp;'Table 2.5a'!$B$8:$B$192,0))/INDEX('Table 2.5a'!$L$8:$L$192,MATCH('Table 2.5b'!$A19&amp;'Table 2.5b'!$B19,'Table 2.5a'!$A$8:$A$192&amp;'Table 2.5a'!$B$8:$B$192,0)),"")</f>
        <v>0.57818410741980253</v>
      </c>
      <c r="L19" s="662" t="s">
        <v>356</v>
      </c>
      <c r="M19" s="709">
        <f t="array" ref="M19">INDEX(UtilityList!Q$4:Q$251,MATCH('Table 2.5b'!$A19&amp;'Table 2.5b'!$B19,UtilityList!$A$4:$A$251&amp;UtilityList!$C$4:$C$251,0))</f>
        <v>0</v>
      </c>
      <c r="N19" s="709" t="str">
        <f t="array" ref="N19">INDEX(UtilityList!J$4:J$251,MATCH('Table 2.5b'!$A19&amp;'Table 2.5b'!$B19,UtilityList!$A$4:$A$251&amp;UtilityList!$C$4:$C$251,0))</f>
        <v>Yukon-Koyukuk/Upper Tanana</v>
      </c>
      <c r="O19" s="709" t="str">
        <f t="array" ref="O19">INDEX(UtilityList!K$4:K$251,MATCH('Table 2.5b'!$A19&amp;'Table 2.5b'!$B19,UtilityList!$A$4:$A$251&amp;UtilityList!$C$4:$C$251,0))</f>
        <v>Southeast Fairbanks (CA)</v>
      </c>
      <c r="P19" s="709" t="str">
        <f t="array" ref="P19">INDEX(UtilityList!L$4:L$251,MATCH('Table 2.5b'!$A19&amp;'Table 2.5b'!$B19,UtilityList!$A$4:$A$251&amp;UtilityList!$C$4:$C$251,0))</f>
        <v>Doyon</v>
      </c>
      <c r="Q19" s="709" t="str">
        <f t="array" ref="Q19">INDEX(UtilityList!M$4:M$251,MATCH('Table 2.5b'!$A19&amp;'Table 2.5b'!$B19,UtilityList!$A$4:$A$251&amp;UtilityList!$C$4:$C$251,0))</f>
        <v>YU</v>
      </c>
    </row>
    <row r="20" spans="1:17" s="153" customFormat="1" ht="75" x14ac:dyDescent="0.25">
      <c r="A20" s="352" t="s">
        <v>43</v>
      </c>
      <c r="B20" s="664" t="s">
        <v>52</v>
      </c>
      <c r="C20" s="655">
        <f t="array" ref="C20">IFERROR((INDEX('Table 2.5a'!$D$8:$D$192,MATCH('Table 2.5b'!A20&amp;'Table 2.5b'!B20,'Table 2.5a'!$A$8:$A$192&amp;'Table 2.5a'!$B$8:$B$192,0))/INDEX('Table 2.5a'!$E$8:$E$192,MATCH('Table 2.5b'!A20&amp;'Table 2.5b'!B20,'Table 2.5a'!$A$8:$A$192&amp;'Table 2.5a'!$B$8:$B$192,0)))*1000, "")</f>
        <v>5028.2013131803469</v>
      </c>
      <c r="D20" s="655">
        <f t="array" ref="D20">IFERROR((INDEX('Table 2.5a'!$C$8:$C$192,MATCH('Table 2.5b'!A20&amp;'Table 2.5b'!B20,'Table 2.5a'!$A$8:$A$192&amp;'Table 2.5a'!$B$8:$B$192,0))/INDEX('Table 2.5a'!$E$8:$E$192,MATCH('Table 2.5b'!A20&amp;'Table 2.5b'!B20,'Table 2.5a'!$A$8:$A$192&amp;'Table 2.5a'!$B$8:$B$192,0)))*1000, "")</f>
        <v>1207.8996604587487</v>
      </c>
      <c r="E20" s="705">
        <f t="array" ref="E20">IFERROR(INDEX('Table 2.5a'!$C$8:$C$192,MATCH('Table 2.5b'!$A20&amp;'Table 2.5b'!$B20,'Table 2.5a'!$A$8:$A$192&amp;'Table 2.5a'!$B$8:$B$192,0))/INDEX('Table 2.5a'!$D$8:$D$192,MATCH('Table 2.5b'!$A20&amp;'Table 2.5b'!$B20,'Table 2.5a'!$A$8:$A$192&amp;'Table 2.5a'!$B$8:$B$192,0)),"")</f>
        <v>0.24022499999999997</v>
      </c>
      <c r="F20" s="655">
        <f t="array" ref="F20">IFERROR((INDEX('Table 2.5a'!$H$8:$H$192,MATCH('Table 2.5b'!$A20&amp;'Table 2.5b'!$B20,'Table 2.5a'!$A$8:$A$192&amp;'Table 2.5a'!$B$8:$B$192,0))/INDEX('Table 2.5a'!$I$8:$I$192,MATCH('Table 2.5b'!$A20&amp;'Table 2.5b'!$B20,'Table 2.5a'!$A$8:$A$192&amp;'Table 2.5a'!$B$8:$B$192,0)))*1000, "")</f>
        <v>20018.892048648002</v>
      </c>
      <c r="G20" s="655">
        <f t="array" ref="G20">IFERROR((INDEX('Table 2.5a'!$G$8:$G$192,MATCH('Table 2.5b'!$A20&amp;'Table 2.5b'!$B20,'Table 2.5a'!$A$8:$A$192&amp;'Table 2.5a'!$B$8:$B$192,0))/INDEX('Table 2.5a'!$I$8:$I$192,MATCH('Table 2.5b'!$A20&amp;'Table 2.5b'!$B20,'Table 2.5a'!$A$8:$A$192&amp;'Table 2.5a'!$B$8:$B$192,0)))*1000, "")</f>
        <v>4809.038342386466</v>
      </c>
      <c r="H20" s="705">
        <f t="array" ref="H20">IFERROR(INDEX('Table 2.5a'!$G$8:$G$192,MATCH('Table 2.5b'!$A20&amp;'Table 2.5b'!$B20,'Table 2.5a'!$A$8:$A$192&amp;'Table 2.5a'!$B$8:$B$192,0))/INDEX('Table 2.5a'!$H$8:$H$192,MATCH('Table 2.5b'!$A20&amp;'Table 2.5b'!$B20,'Table 2.5a'!$A$8:$A$192&amp;'Table 2.5a'!$B$8:$B$192,0)),"")</f>
        <v>0.24022499999999999</v>
      </c>
      <c r="I20" s="655">
        <f t="array" ref="I20">IFERROR((INDEX('Table 2.5a'!$L$8:$L$192,MATCH('Table 2.5b'!$A20&amp;'Table 2.5b'!$B20,'Table 2.5a'!$A$8:$A$192&amp;'Table 2.5a'!$B$8:$B$192,0))/INDEX('Table 2.5a'!$I$8:$I$192,MATCH('Table 2.5b'!$A20&amp;'Table 2.5b'!$B20,'Table 2.5a'!$A$8:$A$192&amp;'Table 2.5a'!$B$8:$B$192,0)))*1000, "")</f>
        <v>3502.265144632895</v>
      </c>
      <c r="J20" s="655">
        <f t="array" ref="J20">IFERROR((INDEX('Table 2.5a'!$K$8:$K$192,MATCH('Table 2.5b'!$A20&amp;'Table 2.5b'!$B20,'Table 2.5a'!$A$8:$A$192&amp;'Table 2.5a'!$B$8:$B$192,0))/INDEX('Table 2.5a'!$I$8:$I$192,MATCH('Table 2.5b'!$A20&amp;'Table 2.5b'!$B20,'Table 2.5a'!$A$8:$A$192&amp;'Table 2.5a'!$B$8:$B$192,0)))*1000, "")</f>
        <v>841.3316443694373</v>
      </c>
      <c r="K20" s="705">
        <f t="array" ref="K20">IFERROR(INDEX('Table 2.5a'!$I$8:$I$192,MATCH('Table 2.5b'!$A20&amp;'Table 2.5b'!$B20,'Table 2.5a'!$A$8:$A$192&amp;'Table 2.5a'!$B$8:$B$192,0))/INDEX('Table 2.5a'!$L$8:$L$192,MATCH('Table 2.5b'!$A20&amp;'Table 2.5b'!$B20,'Table 2.5a'!$A$8:$A$192&amp;'Table 2.5a'!$B$8:$B$192,0)),"")</f>
        <v>0.28552949554161161</v>
      </c>
      <c r="L20" s="662" t="s">
        <v>356</v>
      </c>
      <c r="M20" s="709" t="str">
        <f t="array" ref="M20">INDEX(UtilityList!Q$4:Q$251,MATCH('Table 2.5b'!$A20&amp;'Table 2.5b'!$B20,UtilityList!$A$4:$A$251&amp;UtilityList!$C$4:$C$251,0))</f>
        <v>Part of the Alaska Power Company's grid on Prince of Wales Island. Receives power from Craig. Refer to Craig for fuel use and cost.</v>
      </c>
      <c r="N20" s="709" t="str">
        <f t="array" ref="N20">INDEX(UtilityList!J$4:J$251,MATCH('Table 2.5b'!$A20&amp;'Table 2.5b'!$B20,UtilityList!$A$4:$A$251&amp;UtilityList!$C$4:$C$251,0))</f>
        <v>Southeast</v>
      </c>
      <c r="O20" s="709" t="str">
        <f t="array" ref="O20">INDEX(UtilityList!K$4:K$251,MATCH('Table 2.5b'!$A20&amp;'Table 2.5b'!$B20,UtilityList!$A$4:$A$251&amp;UtilityList!$C$4:$C$251,0))</f>
        <v>Prince of Wales-Hyder (CA)</v>
      </c>
      <c r="P20" s="709" t="str">
        <f t="array" ref="P20">INDEX(UtilityList!L$4:L$251,MATCH('Table 2.5b'!$A20&amp;'Table 2.5b'!$B20,UtilityList!$A$4:$A$251&amp;UtilityList!$C$4:$C$251,0))</f>
        <v>Sealaska</v>
      </c>
      <c r="Q20" s="709" t="str">
        <f t="array" ref="Q20">INDEX(UtilityList!M$4:M$251,MATCH('Table 2.5b'!$A20&amp;'Table 2.5b'!$B20,UtilityList!$A$4:$A$251&amp;UtilityList!$C$4:$C$251,0))</f>
        <v>SE</v>
      </c>
    </row>
    <row r="21" spans="1:17" s="153" customFormat="1" ht="75" x14ac:dyDescent="0.25">
      <c r="A21" s="352" t="s">
        <v>43</v>
      </c>
      <c r="B21" s="664" t="s">
        <v>53</v>
      </c>
      <c r="C21" s="655">
        <f t="array" ref="C21">IFERROR((INDEX('Table 2.5a'!$D$8:$D$192,MATCH('Table 2.5b'!A21&amp;'Table 2.5b'!B21,'Table 2.5a'!$A$8:$A$192&amp;'Table 2.5a'!$B$8:$B$192,0))/INDEX('Table 2.5a'!$E$8:$E$192,MATCH('Table 2.5b'!A21&amp;'Table 2.5b'!B21,'Table 2.5a'!$A$8:$A$192&amp;'Table 2.5a'!$B$8:$B$192,0)))*1000, "")</f>
        <v>5558.2104387105128</v>
      </c>
      <c r="D21" s="655">
        <f t="array" ref="D21">IFERROR((INDEX('Table 2.5a'!$C$8:$C$192,MATCH('Table 2.5b'!A21&amp;'Table 2.5b'!B21,'Table 2.5a'!$A$8:$A$192&amp;'Table 2.5a'!$B$8:$B$192,0))/INDEX('Table 2.5a'!$E$8:$E$192,MATCH('Table 2.5b'!A21&amp;'Table 2.5b'!B21,'Table 2.5a'!$A$8:$A$192&amp;'Table 2.5a'!$B$8:$B$192,0)))*1000, "")</f>
        <v>1335.2674025321876</v>
      </c>
      <c r="E21" s="705">
        <f t="array" ref="E21">IFERROR(INDEX('Table 2.5a'!$C$8:$C$192,MATCH('Table 2.5b'!$A21&amp;'Table 2.5b'!$B21,'Table 2.5a'!$A$8:$A$192&amp;'Table 2.5a'!$B$8:$B$192,0))/INDEX('Table 2.5a'!$D$8:$D$192,MATCH('Table 2.5b'!$A21&amp;'Table 2.5b'!$B21,'Table 2.5a'!$A$8:$A$192&amp;'Table 2.5a'!$B$8:$B$192,0)),"")</f>
        <v>0.24023332999999999</v>
      </c>
      <c r="F21" s="655">
        <f t="array" ref="F21">IFERROR((INDEX('Table 2.5a'!$H$8:$H$192,MATCH('Table 2.5b'!$A21&amp;'Table 2.5b'!$B21,'Table 2.5a'!$A$8:$A$192&amp;'Table 2.5a'!$B$8:$B$192,0))/INDEX('Table 2.5a'!$I$8:$I$192,MATCH('Table 2.5b'!$A21&amp;'Table 2.5b'!$B21,'Table 2.5a'!$A$8:$A$192&amp;'Table 2.5a'!$B$8:$B$192,0)))*1000, "")</f>
        <v>7978.7573466820768</v>
      </c>
      <c r="G21" s="655">
        <f t="array" ref="G21">IFERROR((INDEX('Table 2.5a'!$G$8:$G$192,MATCH('Table 2.5b'!$A21&amp;'Table 2.5b'!$B21,'Table 2.5a'!$A$8:$A$192&amp;'Table 2.5a'!$B$8:$B$192,0))/INDEX('Table 2.5a'!$I$8:$I$192,MATCH('Table 2.5b'!$A21&amp;'Table 2.5b'!$B21,'Table 2.5a'!$A$8:$A$192&amp;'Table 2.5a'!$B$8:$B$192,0)))*1000, "")</f>
        <v>1916.7634466553998</v>
      </c>
      <c r="H21" s="705">
        <f t="array" ref="H21">IFERROR(INDEX('Table 2.5a'!$G$8:$G$192,MATCH('Table 2.5b'!$A21&amp;'Table 2.5b'!$B21,'Table 2.5a'!$A$8:$A$192&amp;'Table 2.5a'!$B$8:$B$192,0))/INDEX('Table 2.5a'!$H$8:$H$192,MATCH('Table 2.5b'!$A21&amp;'Table 2.5b'!$B21,'Table 2.5a'!$A$8:$A$192&amp;'Table 2.5a'!$B$8:$B$192,0)),"")</f>
        <v>0.24023332999999999</v>
      </c>
      <c r="I21" s="655">
        <f t="array" ref="I21">IFERROR((INDEX('Table 2.5a'!$L$8:$L$192,MATCH('Table 2.5b'!$A21&amp;'Table 2.5b'!$B21,'Table 2.5a'!$A$8:$A$192&amp;'Table 2.5a'!$B$8:$B$192,0))/INDEX('Table 2.5a'!$I$8:$I$192,MATCH('Table 2.5b'!$A21&amp;'Table 2.5b'!$B21,'Table 2.5a'!$A$8:$A$192&amp;'Table 2.5a'!$B$8:$B$192,0)))*1000, "")</f>
        <v>11583.020740403927</v>
      </c>
      <c r="J21" s="655">
        <f t="array" ref="J21">IFERROR((INDEX('Table 2.5a'!$K$8:$K$192,MATCH('Table 2.5b'!$A21&amp;'Table 2.5b'!$B21,'Table 2.5a'!$A$8:$A$192&amp;'Table 2.5a'!$B$8:$B$192,0))/INDEX('Table 2.5a'!$I$8:$I$192,MATCH('Table 2.5b'!$A21&amp;'Table 2.5b'!$B21,'Table 2.5a'!$A$8:$A$192&amp;'Table 2.5a'!$B$8:$B$192,0)))*1000, "")</f>
        <v>2782.6276439263006</v>
      </c>
      <c r="K21" s="705">
        <f t="array" ref="K21">IFERROR(INDEX('Table 2.5a'!$I$8:$I$192,MATCH('Table 2.5b'!$A21&amp;'Table 2.5b'!$B21,'Table 2.5a'!$A$8:$A$192&amp;'Table 2.5a'!$B$8:$B$192,0))/INDEX('Table 2.5a'!$L$8:$L$192,MATCH('Table 2.5b'!$A21&amp;'Table 2.5b'!$B21,'Table 2.5a'!$A$8:$A$192&amp;'Table 2.5a'!$B$8:$B$192,0)),"")</f>
        <v>8.633326507927222E-2</v>
      </c>
      <c r="L21" s="662" t="s">
        <v>356</v>
      </c>
      <c r="M21" s="709" t="str">
        <f t="array" ref="M21">INDEX(UtilityList!Q$4:Q$251,MATCH('Table 2.5b'!$A21&amp;'Table 2.5b'!$B21,UtilityList!$A$4:$A$251&amp;UtilityList!$C$4:$C$251,0))</f>
        <v>Part of the Alaska Power Company's grid on Prince of Wales Island. Receives power from Craig. Refer to Craig for fuel use and cost.</v>
      </c>
      <c r="N21" s="709" t="str">
        <f t="array" ref="N21">INDEX(UtilityList!J$4:J$251,MATCH('Table 2.5b'!$A21&amp;'Table 2.5b'!$B21,UtilityList!$A$4:$A$251&amp;UtilityList!$C$4:$C$251,0))</f>
        <v>Southeast</v>
      </c>
      <c r="O21" s="709" t="str">
        <f t="array" ref="O21">INDEX(UtilityList!K$4:K$251,MATCH('Table 2.5b'!$A21&amp;'Table 2.5b'!$B21,UtilityList!$A$4:$A$251&amp;UtilityList!$C$4:$C$251,0))</f>
        <v>Prince of Wales-Hyder (CA)</v>
      </c>
      <c r="P21" s="709" t="str">
        <f t="array" ref="P21">INDEX(UtilityList!L$4:L$251,MATCH('Table 2.5b'!$A21&amp;'Table 2.5b'!$B21,UtilityList!$A$4:$A$251&amp;UtilityList!$C$4:$C$251,0))</f>
        <v>Sealaska</v>
      </c>
      <c r="Q21" s="709" t="str">
        <f t="array" ref="Q21">INDEX(UtilityList!M$4:M$251,MATCH('Table 2.5b'!$A21&amp;'Table 2.5b'!$B21,UtilityList!$A$4:$A$251&amp;UtilityList!$C$4:$C$251,0))</f>
        <v>SE</v>
      </c>
    </row>
    <row r="22" spans="1:17" s="153" customFormat="1" ht="75" x14ac:dyDescent="0.25">
      <c r="A22" s="352" t="s">
        <v>43</v>
      </c>
      <c r="B22" s="664" t="s">
        <v>54</v>
      </c>
      <c r="C22" s="655">
        <f t="array" ref="C22">IFERROR((INDEX('Table 2.5a'!$D$8:$D$192,MATCH('Table 2.5b'!A22&amp;'Table 2.5b'!B22,'Table 2.5a'!$A$8:$A$192&amp;'Table 2.5a'!$B$8:$B$192,0))/INDEX('Table 2.5a'!$E$8:$E$192,MATCH('Table 2.5b'!A22&amp;'Table 2.5b'!B22,'Table 2.5a'!$A$8:$A$192&amp;'Table 2.5a'!$B$8:$B$192,0)))*1000, "")</f>
        <v>6242.464673913043</v>
      </c>
      <c r="D22" s="655">
        <f t="array" ref="D22">IFERROR((INDEX('Table 2.5a'!$C$8:$C$192,MATCH('Table 2.5b'!A22&amp;'Table 2.5b'!B22,'Table 2.5a'!$A$8:$A$192&amp;'Table 2.5a'!$B$8:$B$192,0))/INDEX('Table 2.5a'!$E$8:$E$192,MATCH('Table 2.5b'!A22&amp;'Table 2.5b'!B22,'Table 2.5a'!$A$8:$A$192&amp;'Table 2.5a'!$B$8:$B$192,0)))*1000, "")</f>
        <v>1499.6480760214945</v>
      </c>
      <c r="E22" s="705">
        <f t="array" ref="E22">IFERROR(INDEX('Table 2.5a'!$C$8:$C$192,MATCH('Table 2.5b'!$A22&amp;'Table 2.5b'!$B22,'Table 2.5a'!$A$8:$A$192&amp;'Table 2.5a'!$B$8:$B$192,0))/INDEX('Table 2.5a'!$D$8:$D$192,MATCH('Table 2.5b'!$A22&amp;'Table 2.5b'!$B22,'Table 2.5a'!$A$8:$A$192&amp;'Table 2.5a'!$B$8:$B$192,0)),"")</f>
        <v>0.24023333000000002</v>
      </c>
      <c r="F22" s="655">
        <f t="array" ref="F22">IFERROR((INDEX('Table 2.5a'!$H$8:$H$192,MATCH('Table 2.5b'!$A22&amp;'Table 2.5b'!$B22,'Table 2.5a'!$A$8:$A$192&amp;'Table 2.5a'!$B$8:$B$192,0))/INDEX('Table 2.5a'!$I$8:$I$192,MATCH('Table 2.5b'!$A22&amp;'Table 2.5b'!$B22,'Table 2.5a'!$A$8:$A$192&amp;'Table 2.5a'!$B$8:$B$192,0)))*1000, "")</f>
        <v>43751.356149261715</v>
      </c>
      <c r="G22" s="655">
        <f t="array" ref="G22">IFERROR((INDEX('Table 2.5a'!$G$8:$G$192,MATCH('Table 2.5b'!$A22&amp;'Table 2.5b'!$B22,'Table 2.5a'!$A$8:$A$192&amp;'Table 2.5a'!$B$8:$B$192,0))/INDEX('Table 2.5a'!$I$8:$I$192,MATCH('Table 2.5b'!$A22&amp;'Table 2.5b'!$B22,'Table 2.5a'!$A$8:$A$192&amp;'Table 2.5a'!$B$8:$B$192,0)))*1000, "")</f>
        <v>10510.53397975312</v>
      </c>
      <c r="H22" s="705">
        <f t="array" ref="H22">IFERROR(INDEX('Table 2.5a'!$G$8:$G$192,MATCH('Table 2.5b'!$A22&amp;'Table 2.5b'!$B22,'Table 2.5a'!$A$8:$A$192&amp;'Table 2.5a'!$B$8:$B$192,0))/INDEX('Table 2.5a'!$H$8:$H$192,MATCH('Table 2.5b'!$A22&amp;'Table 2.5b'!$B22,'Table 2.5a'!$A$8:$A$192&amp;'Table 2.5a'!$B$8:$B$192,0)),"")</f>
        <v>0.24023332999999999</v>
      </c>
      <c r="I22" s="655">
        <f t="array" ref="I22">IFERROR((INDEX('Table 2.5a'!$L$8:$L$192,MATCH('Table 2.5b'!$A22&amp;'Table 2.5b'!$B22,'Table 2.5a'!$A$8:$A$192&amp;'Table 2.5a'!$B$8:$B$192,0))/INDEX('Table 2.5a'!$I$8:$I$192,MATCH('Table 2.5b'!$A22&amp;'Table 2.5b'!$B22,'Table 2.5a'!$A$8:$A$192&amp;'Table 2.5a'!$B$8:$B$192,0)))*1000, "")</f>
        <v>9212.8632964648132</v>
      </c>
      <c r="J22" s="655">
        <f t="array" ref="J22">IFERROR((INDEX('Table 2.5a'!$K$8:$K$192,MATCH('Table 2.5b'!$A22&amp;'Table 2.5b'!$B22,'Table 2.5a'!$A$8:$A$192&amp;'Table 2.5a'!$B$8:$B$192,0))/INDEX('Table 2.5a'!$I$8:$I$192,MATCH('Table 2.5b'!$A22&amp;'Table 2.5b'!$B22,'Table 2.5a'!$A$8:$A$192&amp;'Table 2.5a'!$B$8:$B$192,0)))*1000, "")</f>
        <v>2213.2368285445195</v>
      </c>
      <c r="K22" s="705">
        <f t="array" ref="K22">IFERROR(INDEX('Table 2.5a'!$I$8:$I$192,MATCH('Table 2.5b'!$A22&amp;'Table 2.5b'!$B22,'Table 2.5a'!$A$8:$A$192&amp;'Table 2.5a'!$B$8:$B$192,0))/INDEX('Table 2.5a'!$L$8:$L$192,MATCH('Table 2.5b'!$A22&amp;'Table 2.5b'!$B22,'Table 2.5a'!$A$8:$A$192&amp;'Table 2.5a'!$B$8:$B$192,0)),"")</f>
        <v>0.10854388780345008</v>
      </c>
      <c r="L22" s="662" t="s">
        <v>356</v>
      </c>
      <c r="M22" s="709" t="str">
        <f t="array" ref="M22">INDEX(UtilityList!Q$4:Q$251,MATCH('Table 2.5b'!$A22&amp;'Table 2.5b'!$B22,UtilityList!$A$4:$A$251&amp;UtilityList!$C$4:$C$251,0))</f>
        <v>Part of the Alaska Power Company's grid on Prince of Wales Island. Receives power from Craig. Refer to Craig for fuel use and cost.</v>
      </c>
      <c r="N22" s="709" t="str">
        <f t="array" ref="N22">INDEX(UtilityList!J$4:J$251,MATCH('Table 2.5b'!$A22&amp;'Table 2.5b'!$B22,UtilityList!$A$4:$A$251&amp;UtilityList!$C$4:$C$251,0))</f>
        <v>Southeast</v>
      </c>
      <c r="O22" s="709" t="str">
        <f t="array" ref="O22">INDEX(UtilityList!K$4:K$251,MATCH('Table 2.5b'!$A22&amp;'Table 2.5b'!$B22,UtilityList!$A$4:$A$251&amp;UtilityList!$C$4:$C$251,0))</f>
        <v>Prince of Wales-Hyder (CA)</v>
      </c>
      <c r="P22" s="709" t="str">
        <f t="array" ref="P22">INDEX(UtilityList!L$4:L$251,MATCH('Table 2.5b'!$A22&amp;'Table 2.5b'!$B22,UtilityList!$A$4:$A$251&amp;UtilityList!$C$4:$C$251,0))</f>
        <v>Sealaska</v>
      </c>
      <c r="Q22" s="709" t="str">
        <f t="array" ref="Q22">INDEX(UtilityList!M$4:M$251,MATCH('Table 2.5b'!$A22&amp;'Table 2.5b'!$B22,UtilityList!$A$4:$A$251&amp;UtilityList!$C$4:$C$251,0))</f>
        <v>SE</v>
      </c>
    </row>
    <row r="23" spans="1:17" s="153" customFormat="1" ht="30" x14ac:dyDescent="0.25">
      <c r="A23" s="352" t="s">
        <v>43</v>
      </c>
      <c r="B23" s="664" t="s">
        <v>55</v>
      </c>
      <c r="C23" s="655">
        <f t="array" ref="C23">IFERROR((INDEX('Table 2.5a'!$D$8:$D$192,MATCH('Table 2.5b'!A23&amp;'Table 2.5b'!B23,'Table 2.5a'!$A$8:$A$192&amp;'Table 2.5a'!$B$8:$B$192,0))/INDEX('Table 2.5a'!$E$8:$E$192,MATCH('Table 2.5b'!A23&amp;'Table 2.5b'!B23,'Table 2.5a'!$A$8:$A$192&amp;'Table 2.5a'!$B$8:$B$192,0)))*1000, "")</f>
        <v>3098.7089947089944</v>
      </c>
      <c r="D23" s="655">
        <f t="array" ref="D23">IFERROR((INDEX('Table 2.5a'!$C$8:$C$192,MATCH('Table 2.5b'!A23&amp;'Table 2.5b'!B23,'Table 2.5a'!$A$8:$A$192&amp;'Table 2.5a'!$B$8:$B$192,0))/INDEX('Table 2.5a'!$E$8:$E$192,MATCH('Table 2.5b'!A23&amp;'Table 2.5b'!B23,'Table 2.5a'!$A$8:$A$192&amp;'Table 2.5a'!$B$8:$B$192,0)))*1000, "")</f>
        <v>2082.5390353731214</v>
      </c>
      <c r="E23" s="705">
        <f t="array" ref="E23">IFERROR(INDEX('Table 2.5a'!$C$8:$C$192,MATCH('Table 2.5b'!$A23&amp;'Table 2.5b'!$B23,'Table 2.5a'!$A$8:$A$192&amp;'Table 2.5a'!$B$8:$B$192,0))/INDEX('Table 2.5a'!$D$8:$D$192,MATCH('Table 2.5b'!$A23&amp;'Table 2.5b'!$B23,'Table 2.5a'!$A$8:$A$192&amp;'Table 2.5a'!$B$8:$B$192,0)),"")</f>
        <v>0.67206666999999998</v>
      </c>
      <c r="F23" s="655">
        <f t="array" ref="F23">IFERROR((INDEX('Table 2.5a'!$H$8:$H$192,MATCH('Table 2.5b'!$A23&amp;'Table 2.5b'!$B23,'Table 2.5a'!$A$8:$A$192&amp;'Table 2.5a'!$B$8:$B$192,0))/INDEX('Table 2.5a'!$I$8:$I$192,MATCH('Table 2.5b'!$A23&amp;'Table 2.5b'!$B23,'Table 2.5a'!$A$8:$A$192&amp;'Table 2.5a'!$B$8:$B$192,0)))*1000, "")</f>
        <v>10357.030926342783</v>
      </c>
      <c r="G23" s="655">
        <f t="array" ref="G23">IFERROR((INDEX('Table 2.5a'!$G$8:$G$192,MATCH('Table 2.5b'!$A23&amp;'Table 2.5b'!$B23,'Table 2.5a'!$A$8:$A$192&amp;'Table 2.5a'!$B$8:$B$192,0))/INDEX('Table 2.5a'!$I$8:$I$192,MATCH('Table 2.5b'!$A23&amp;'Table 2.5b'!$B23,'Table 2.5a'!$A$8:$A$192&amp;'Table 2.5a'!$B$8:$B$192,0)))*1000, "")</f>
        <v>6960.6152857542083</v>
      </c>
      <c r="H23" s="705">
        <f t="array" ref="H23">IFERROR(INDEX('Table 2.5a'!$G$8:$G$192,MATCH('Table 2.5b'!$A23&amp;'Table 2.5b'!$B23,'Table 2.5a'!$A$8:$A$192&amp;'Table 2.5a'!$B$8:$B$192,0))/INDEX('Table 2.5a'!$H$8:$H$192,MATCH('Table 2.5b'!$A23&amp;'Table 2.5b'!$B23,'Table 2.5a'!$A$8:$A$192&amp;'Table 2.5a'!$B$8:$B$192,0)),"")</f>
        <v>0.67206666999999998</v>
      </c>
      <c r="I23" s="655">
        <f t="array" ref="I23">IFERROR((INDEX('Table 2.5a'!$L$8:$L$192,MATCH('Table 2.5b'!$A23&amp;'Table 2.5b'!$B23,'Table 2.5a'!$A$8:$A$192&amp;'Table 2.5a'!$B$8:$B$192,0))/INDEX('Table 2.5a'!$I$8:$I$192,MATCH('Table 2.5b'!$A23&amp;'Table 2.5b'!$B23,'Table 2.5a'!$A$8:$A$192&amp;'Table 2.5a'!$B$8:$B$192,0)))*1000, "")</f>
        <v>9269.1559603388741</v>
      </c>
      <c r="J23" s="655">
        <f t="array" ref="J23">IFERROR((INDEX('Table 2.5a'!$K$8:$K$192,MATCH('Table 2.5b'!$A23&amp;'Table 2.5b'!$B23,'Table 2.5a'!$A$8:$A$192&amp;'Table 2.5a'!$B$8:$B$192,0))/INDEX('Table 2.5a'!$I$8:$I$192,MATCH('Table 2.5b'!$A23&amp;'Table 2.5b'!$B23,'Table 2.5a'!$A$8:$A$192&amp;'Table 2.5a'!$B$8:$B$192,0)))*1000, "")</f>
        <v>6229.4907799756011</v>
      </c>
      <c r="K23" s="705">
        <f t="array" ref="K23">IFERROR(INDEX('Table 2.5a'!$I$8:$I$192,MATCH('Table 2.5b'!$A23&amp;'Table 2.5b'!$B23,'Table 2.5a'!$A$8:$A$192&amp;'Table 2.5a'!$B$8:$B$192,0))/INDEX('Table 2.5a'!$L$8:$L$192,MATCH('Table 2.5b'!$A23&amp;'Table 2.5b'!$B23,'Table 2.5a'!$A$8:$A$192&amp;'Table 2.5a'!$B$8:$B$192,0)),"")</f>
        <v>0.10788468812897616</v>
      </c>
      <c r="L23" s="662" t="s">
        <v>356</v>
      </c>
      <c r="M23" s="709">
        <f t="array" ref="M23">INDEX(UtilityList!Q$4:Q$251,MATCH('Table 2.5b'!$A23&amp;'Table 2.5b'!$B23,UtilityList!$A$4:$A$251&amp;UtilityList!$C$4:$C$251,0))</f>
        <v>0</v>
      </c>
      <c r="N23" s="709" t="str">
        <f t="array" ref="N23">INDEX(UtilityList!J$4:J$251,MATCH('Table 2.5b'!$A23&amp;'Table 2.5b'!$B23,UtilityList!$A$4:$A$251&amp;UtilityList!$C$4:$C$251,0))</f>
        <v>Copper River/Chugach</v>
      </c>
      <c r="O23" s="709" t="str">
        <f t="array" ref="O23">INDEX(UtilityList!K$4:K$251,MATCH('Table 2.5b'!$A23&amp;'Table 2.5b'!$B23,UtilityList!$A$4:$A$251&amp;UtilityList!$C$4:$C$251,0))</f>
        <v>Valdez-Cordova (CA)</v>
      </c>
      <c r="P23" s="709" t="str">
        <f t="array" ref="P23">INDEX(UtilityList!L$4:L$251,MATCH('Table 2.5b'!$A23&amp;'Table 2.5b'!$B23,UtilityList!$A$4:$A$251&amp;UtilityList!$C$4:$C$251,0))</f>
        <v>Ahtna</v>
      </c>
      <c r="Q23" s="709" t="str">
        <f t="array" ref="Q23">INDEX(UtilityList!M$4:M$251,MATCH('Table 2.5b'!$A23&amp;'Table 2.5b'!$B23,UtilityList!$A$4:$A$251&amp;UtilityList!$C$4:$C$251,0))</f>
        <v>YU</v>
      </c>
    </row>
    <row r="24" spans="1:17" s="200" customFormat="1" ht="30" x14ac:dyDescent="0.25">
      <c r="A24" s="352" t="s">
        <v>43</v>
      </c>
      <c r="B24" s="664" t="s">
        <v>56</v>
      </c>
      <c r="C24" s="655">
        <f t="array" ref="C24">IFERROR((INDEX('Table 2.5a'!$D$8:$D$192,MATCH('Table 2.5b'!A24&amp;'Table 2.5b'!B24,'Table 2.5a'!$A$8:$A$192&amp;'Table 2.5a'!$B$8:$B$192,0))/INDEX('Table 2.5a'!$E$8:$E$192,MATCH('Table 2.5b'!A24&amp;'Table 2.5b'!B24,'Table 2.5a'!$A$8:$A$192&amp;'Table 2.5a'!$B$8:$B$192,0)))*1000, "")</f>
        <v>4910.0580912863079</v>
      </c>
      <c r="D24" s="655">
        <f t="array" ref="D24">IFERROR((INDEX('Table 2.5a'!$C$8:$C$192,MATCH('Table 2.5b'!A24&amp;'Table 2.5b'!B24,'Table 2.5a'!$A$8:$A$192&amp;'Table 2.5a'!$B$8:$B$192,0))/INDEX('Table 2.5a'!$E$8:$E$192,MATCH('Table 2.5b'!A24&amp;'Table 2.5b'!B24,'Table 2.5a'!$A$8:$A$192&amp;'Table 2.5a'!$B$8:$B$192,0)))*1000, "")</f>
        <v>2714.3619635314521</v>
      </c>
      <c r="E24" s="705">
        <f t="array" ref="E24">IFERROR(INDEX('Table 2.5a'!$C$8:$C$192,MATCH('Table 2.5b'!$A24&amp;'Table 2.5b'!$B24,'Table 2.5a'!$A$8:$A$192&amp;'Table 2.5a'!$B$8:$B$192,0))/INDEX('Table 2.5a'!$D$8:$D$192,MATCH('Table 2.5b'!$A24&amp;'Table 2.5b'!$B24,'Table 2.5a'!$A$8:$A$192&amp;'Table 2.5a'!$B$8:$B$192,0)),"")</f>
        <v>0.55281667000000001</v>
      </c>
      <c r="F24" s="655">
        <f t="array" ref="F24">IFERROR((INDEX('Table 2.5a'!$H$8:$H$192,MATCH('Table 2.5b'!$A24&amp;'Table 2.5b'!$B24,'Table 2.5a'!$A$8:$A$192&amp;'Table 2.5a'!$B$8:$B$192,0))/INDEX('Table 2.5a'!$I$8:$I$192,MATCH('Table 2.5b'!$A24&amp;'Table 2.5b'!$B24,'Table 2.5a'!$A$8:$A$192&amp;'Table 2.5a'!$B$8:$B$192,0)))*1000, "")</f>
        <v>7820.4543677169468</v>
      </c>
      <c r="G24" s="655">
        <f t="array" ref="G24">IFERROR((INDEX('Table 2.5a'!$G$8:$G$192,MATCH('Table 2.5b'!$A24&amp;'Table 2.5b'!$B24,'Table 2.5a'!$A$8:$A$192&amp;'Table 2.5a'!$B$8:$B$192,0))/INDEX('Table 2.5a'!$I$8:$I$192,MATCH('Table 2.5b'!$A24&amp;'Table 2.5b'!$B24,'Table 2.5a'!$A$8:$A$192&amp;'Table 2.5a'!$B$8:$B$192,0)))*1000, "")</f>
        <v>4323.2775414482385</v>
      </c>
      <c r="H24" s="705">
        <f t="array" ref="H24">IFERROR(INDEX('Table 2.5a'!$G$8:$G$192,MATCH('Table 2.5b'!$A24&amp;'Table 2.5b'!$B24,'Table 2.5a'!$A$8:$A$192&amp;'Table 2.5a'!$B$8:$B$192,0))/INDEX('Table 2.5a'!$H$8:$H$192,MATCH('Table 2.5b'!$A24&amp;'Table 2.5b'!$B24,'Table 2.5a'!$A$8:$A$192&amp;'Table 2.5a'!$B$8:$B$192,0)),"")</f>
        <v>0.55281667000000001</v>
      </c>
      <c r="I24" s="655">
        <f t="array" ref="I24">IFERROR((INDEX('Table 2.5a'!$L$8:$L$192,MATCH('Table 2.5b'!$A24&amp;'Table 2.5b'!$B24,'Table 2.5a'!$A$8:$A$192&amp;'Table 2.5a'!$B$8:$B$192,0))/INDEX('Table 2.5a'!$I$8:$I$192,MATCH('Table 2.5b'!$A24&amp;'Table 2.5b'!$B24,'Table 2.5a'!$A$8:$A$192&amp;'Table 2.5a'!$B$8:$B$192,0)))*1000, "")</f>
        <v>9801.8179590495911</v>
      </c>
      <c r="J24" s="655">
        <f t="array" ref="J24">IFERROR((INDEX('Table 2.5a'!$K$8:$K$192,MATCH('Table 2.5b'!$A24&amp;'Table 2.5b'!$B24,'Table 2.5a'!$A$8:$A$192&amp;'Table 2.5a'!$B$8:$B$192,0))/INDEX('Table 2.5a'!$I$8:$I$192,MATCH('Table 2.5b'!$A24&amp;'Table 2.5b'!$B24,'Table 2.5a'!$A$8:$A$192&amp;'Table 2.5a'!$B$8:$B$192,0)))*1000, "")</f>
        <v>5418.6083640679917</v>
      </c>
      <c r="K24" s="705">
        <f t="array" ref="K24">IFERROR(INDEX('Table 2.5a'!$I$8:$I$192,MATCH('Table 2.5b'!$A24&amp;'Table 2.5b'!$B24,'Table 2.5a'!$A$8:$A$192&amp;'Table 2.5a'!$B$8:$B$192,0))/INDEX('Table 2.5a'!$L$8:$L$192,MATCH('Table 2.5b'!$A24&amp;'Table 2.5b'!$B24,'Table 2.5a'!$A$8:$A$192&amp;'Table 2.5a'!$B$8:$B$192,0)),"")</f>
        <v>0.10202189065108515</v>
      </c>
      <c r="L24" s="662" t="s">
        <v>356</v>
      </c>
      <c r="M24" s="709">
        <f t="array" ref="M24">INDEX(UtilityList!Q$4:Q$251,MATCH('Table 2.5b'!$A24&amp;'Table 2.5b'!$B24,UtilityList!$A$4:$A$251&amp;UtilityList!$C$4:$C$251,0))</f>
        <v>0</v>
      </c>
      <c r="N24" s="709" t="str">
        <f t="array" ref="N24">INDEX(UtilityList!J$4:J$251,MATCH('Table 2.5b'!$A24&amp;'Table 2.5b'!$B24,UtilityList!$A$4:$A$251&amp;UtilityList!$C$4:$C$251,0))</f>
        <v>Southeast</v>
      </c>
      <c r="O24" s="709" t="str">
        <f t="array" ref="O24">INDEX(UtilityList!K$4:K$251,MATCH('Table 2.5b'!$A24&amp;'Table 2.5b'!$B24,UtilityList!$A$4:$A$251&amp;UtilityList!$C$4:$C$251,0))</f>
        <v>Prince of Wales-Hyder (CA)</v>
      </c>
      <c r="P24" s="709" t="str">
        <f t="array" ref="P24">INDEX(UtilityList!L$4:L$251,MATCH('Table 2.5b'!$A24&amp;'Table 2.5b'!$B24,UtilityList!$A$4:$A$251&amp;UtilityList!$C$4:$C$251,0))</f>
        <v>Sealaska</v>
      </c>
      <c r="Q24" s="709" t="str">
        <f t="array" ref="Q24">INDEX(UtilityList!M$4:M$251,MATCH('Table 2.5b'!$A24&amp;'Table 2.5b'!$B24,UtilityList!$A$4:$A$251&amp;UtilityList!$C$4:$C$251,0))</f>
        <v>SE</v>
      </c>
    </row>
    <row r="25" spans="1:17" s="126" customFormat="1" ht="75" x14ac:dyDescent="0.25">
      <c r="A25" s="352" t="s">
        <v>43</v>
      </c>
      <c r="B25" s="664" t="s">
        <v>683</v>
      </c>
      <c r="C25" s="655">
        <f t="array" ref="C25">IFERROR((INDEX('Table 2.5a'!$D$8:$D$192,MATCH('Table 2.5b'!A25&amp;'Table 2.5b'!B25,'Table 2.5a'!$A$8:$A$192&amp;'Table 2.5a'!$B$8:$B$192,0))/INDEX('Table 2.5a'!$E$8:$E$192,MATCH('Table 2.5b'!A25&amp;'Table 2.5b'!B25,'Table 2.5a'!$A$8:$A$192&amp;'Table 2.5a'!$B$8:$B$192,0)))*1000, "")</f>
        <v>4093.1097530786583</v>
      </c>
      <c r="D25" s="655">
        <f t="array" ref="D25">IFERROR((INDEX('Table 2.5a'!$C$8:$C$192,MATCH('Table 2.5b'!A25&amp;'Table 2.5b'!B25,'Table 2.5a'!$A$8:$A$192&amp;'Table 2.5a'!$B$8:$B$192,0))/INDEX('Table 2.5a'!$E$8:$E$192,MATCH('Table 2.5b'!A25&amp;'Table 2.5b'!B25,'Table 2.5a'!$A$8:$A$192&amp;'Table 2.5a'!$B$8:$B$192,0)))*1000, "")</f>
        <v>2721.9862179368915</v>
      </c>
      <c r="E25" s="705">
        <f t="array" ref="E25">IFERROR(INDEX('Table 2.5a'!$C$8:$C$192,MATCH('Table 2.5b'!$A25&amp;'Table 2.5b'!$B25,'Table 2.5a'!$A$8:$A$192&amp;'Table 2.5a'!$B$8:$B$192,0))/INDEX('Table 2.5a'!$D$8:$D$192,MATCH('Table 2.5b'!$A25&amp;'Table 2.5b'!$B25,'Table 2.5a'!$A$8:$A$192&amp;'Table 2.5a'!$B$8:$B$192,0)),"")</f>
        <v>0.66501666999999998</v>
      </c>
      <c r="F25" s="655">
        <f t="array" ref="F25">IFERROR((INDEX('Table 2.5a'!$H$8:$H$192,MATCH('Table 2.5b'!$A25&amp;'Table 2.5b'!$B25,'Table 2.5a'!$A$8:$A$192&amp;'Table 2.5a'!$B$8:$B$192,0))/INDEX('Table 2.5a'!$I$8:$I$192,MATCH('Table 2.5b'!$A25&amp;'Table 2.5b'!$B25,'Table 2.5a'!$A$8:$A$192&amp;'Table 2.5a'!$B$8:$B$192,0)))*1000, "")</f>
        <v>23846.155880690807</v>
      </c>
      <c r="G25" s="655">
        <f t="array" ref="G25">IFERROR((INDEX('Table 2.5a'!$G$8:$G$192,MATCH('Table 2.5b'!$A25&amp;'Table 2.5b'!$B25,'Table 2.5a'!$A$8:$A$192&amp;'Table 2.5a'!$B$8:$B$192,0))/INDEX('Table 2.5a'!$I$8:$I$192,MATCH('Table 2.5b'!$A25&amp;'Table 2.5b'!$B25,'Table 2.5a'!$A$8:$A$192&amp;'Table 2.5a'!$B$8:$B$192,0)))*1000, "")</f>
        <v>15858.091176077916</v>
      </c>
      <c r="H25" s="705">
        <f t="array" ref="H25">IFERROR(INDEX('Table 2.5a'!$G$8:$G$192,MATCH('Table 2.5b'!$A25&amp;'Table 2.5b'!$B25,'Table 2.5a'!$A$8:$A$192&amp;'Table 2.5a'!$B$8:$B$192,0))/INDEX('Table 2.5a'!$H$8:$H$192,MATCH('Table 2.5b'!$A25&amp;'Table 2.5b'!$B25,'Table 2.5a'!$A$8:$A$192&amp;'Table 2.5a'!$B$8:$B$192,0)),"")</f>
        <v>0.66501666999999998</v>
      </c>
      <c r="I25" s="655">
        <f t="array" ref="I25">IFERROR((INDEX('Table 2.5a'!$L$8:$L$192,MATCH('Table 2.5b'!$A25&amp;'Table 2.5b'!$B25,'Table 2.5a'!$A$8:$A$192&amp;'Table 2.5a'!$B$8:$B$192,0))/INDEX('Table 2.5a'!$I$8:$I$192,MATCH('Table 2.5b'!$A25&amp;'Table 2.5b'!$B25,'Table 2.5a'!$A$8:$A$192&amp;'Table 2.5a'!$B$8:$B$192,0)))*1000, "")</f>
        <v>16702.335239259923</v>
      </c>
      <c r="J25" s="655">
        <f t="array" ref="J25">IFERROR((INDEX('Table 2.5a'!$K$8:$K$192,MATCH('Table 2.5b'!$A25&amp;'Table 2.5b'!$B25,'Table 2.5a'!$A$8:$A$192&amp;'Table 2.5a'!$B$8:$B$192,0))/INDEX('Table 2.5a'!$I$8:$I$192,MATCH('Table 2.5b'!$A25&amp;'Table 2.5b'!$B25,'Table 2.5a'!$A$8:$A$192&amp;'Table 2.5a'!$B$8:$B$192,0)))*1000, "")</f>
        <v>11107.33136203629</v>
      </c>
      <c r="K25" s="705">
        <f t="array" ref="K25">IFERROR(INDEX('Table 2.5a'!$I$8:$I$192,MATCH('Table 2.5b'!$A25&amp;'Table 2.5b'!$B25,'Table 2.5a'!$A$8:$A$192&amp;'Table 2.5a'!$B$8:$B$192,0))/INDEX('Table 2.5a'!$L$8:$L$192,MATCH('Table 2.5b'!$A25&amp;'Table 2.5b'!$B25,'Table 2.5a'!$A$8:$A$192&amp;'Table 2.5a'!$B$8:$B$192,0)),"")</f>
        <v>5.9871867357172606E-2</v>
      </c>
      <c r="L25" s="662" t="s">
        <v>356</v>
      </c>
      <c r="M25" s="709" t="str">
        <f t="array" ref="M25">INDEX(UtilityList!Q$4:Q$251,MATCH('Table 2.5b'!$A25&amp;'Table 2.5b'!$B25,UtilityList!$A$4:$A$251&amp;UtilityList!$C$4:$C$251,0))</f>
        <v>Provides power to Northway Village via intertie. Data includes Northway Village's information.</v>
      </c>
      <c r="N25" s="709" t="str">
        <f t="array" ref="N25">INDEX(UtilityList!J$4:J$251,MATCH('Table 2.5b'!$A25&amp;'Table 2.5b'!$B25,UtilityList!$A$4:$A$251&amp;UtilityList!$C$4:$C$251,0))</f>
        <v>Yukon-Koyukuk/Upper Tanana</v>
      </c>
      <c r="O25" s="709" t="str">
        <f t="array" ref="O25">INDEX(UtilityList!K$4:K$251,MATCH('Table 2.5b'!$A25&amp;'Table 2.5b'!$B25,UtilityList!$A$4:$A$251&amp;UtilityList!$C$4:$C$251,0))</f>
        <v>Southeast Fairbanks (CA)</v>
      </c>
      <c r="P25" s="709" t="str">
        <f t="array" ref="P25">INDEX(UtilityList!L$4:L$251,MATCH('Table 2.5b'!$A25&amp;'Table 2.5b'!$B25,UtilityList!$A$4:$A$251&amp;UtilityList!$C$4:$C$251,0))</f>
        <v>Doyon</v>
      </c>
      <c r="Q25" s="709" t="str">
        <f t="array" ref="Q25">INDEX(UtilityList!M$4:M$251,MATCH('Table 2.5b'!$A25&amp;'Table 2.5b'!$B25,UtilityList!$A$4:$A$251&amp;UtilityList!$C$4:$C$251,0))</f>
        <v>YU</v>
      </c>
    </row>
    <row r="26" spans="1:17" s="200" customFormat="1" ht="60" x14ac:dyDescent="0.25">
      <c r="A26" s="352" t="s">
        <v>43</v>
      </c>
      <c r="B26" s="664" t="s">
        <v>995</v>
      </c>
      <c r="C26" s="655">
        <f t="array" ref="C26">IFERROR((INDEX('Table 2.5a'!$D$8:$D$192,MATCH('Table 2.5b'!A26&amp;'Table 2.5b'!B26,'Table 2.5a'!$A$8:$A$192&amp;'Table 2.5a'!$B$8:$B$192,0))/INDEX('Table 2.5a'!$E$8:$E$192,MATCH('Table 2.5b'!A26&amp;'Table 2.5b'!B26,'Table 2.5a'!$A$8:$A$192&amp;'Table 2.5a'!$B$8:$B$192,0)))*1000, "")</f>
        <v>3582.2128239761896</v>
      </c>
      <c r="D26" s="655">
        <f t="array" ref="D26">IFERROR((INDEX('Table 2.5a'!$C$8:$C$192,MATCH('Table 2.5b'!A26&amp;'Table 2.5b'!B26,'Table 2.5a'!$A$8:$A$192&amp;'Table 2.5a'!$B$8:$B$192,0))/INDEX('Table 2.5a'!$E$8:$E$192,MATCH('Table 2.5b'!A26&amp;'Table 2.5b'!B26,'Table 2.5a'!$A$8:$A$192&amp;'Table 2.5a'!$B$8:$B$192,0)))*1000, "")</f>
        <v>2405.8439724152327</v>
      </c>
      <c r="E26" s="705">
        <f t="array" ref="E26">IFERROR(INDEX('Table 2.5a'!$C$8:$C$192,MATCH('Table 2.5b'!$A26&amp;'Table 2.5b'!$B26,'Table 2.5a'!$A$8:$A$192&amp;'Table 2.5a'!$B$8:$B$192,0))/INDEX('Table 2.5a'!$D$8:$D$192,MATCH('Table 2.5b'!$A26&amp;'Table 2.5b'!$B26,'Table 2.5a'!$A$8:$A$192&amp;'Table 2.5a'!$B$8:$B$192,0)),"")</f>
        <v>0.67160832999999998</v>
      </c>
      <c r="F26" s="655">
        <f t="array" ref="F26">IFERROR((INDEX('Table 2.5a'!$H$8:$H$192,MATCH('Table 2.5b'!$A26&amp;'Table 2.5b'!$B26,'Table 2.5a'!$A$8:$A$192&amp;'Table 2.5a'!$B$8:$B$192,0))/INDEX('Table 2.5a'!$I$8:$I$192,MATCH('Table 2.5b'!$A26&amp;'Table 2.5b'!$B26,'Table 2.5a'!$A$8:$A$192&amp;'Table 2.5a'!$B$8:$B$192,0)))*1000, "")</f>
        <v>7780.272727272727</v>
      </c>
      <c r="G26" s="655">
        <f t="array" ref="G26">IFERROR((INDEX('Table 2.5a'!$G$8:$G$192,MATCH('Table 2.5b'!$A26&amp;'Table 2.5b'!$B26,'Table 2.5a'!$A$8:$A$192&amp;'Table 2.5a'!$B$8:$B$192,0))/INDEX('Table 2.5a'!$I$8:$I$192,MATCH('Table 2.5b'!$A26&amp;'Table 2.5b'!$B26,'Table 2.5a'!$A$8:$A$192&amp;'Table 2.5a'!$B$8:$B$192,0)))*1000, "")</f>
        <v>5225.2959733081816</v>
      </c>
      <c r="H26" s="705">
        <f t="array" ref="H26">IFERROR(INDEX('Table 2.5a'!$G$8:$G$192,MATCH('Table 2.5b'!$A26&amp;'Table 2.5b'!$B26,'Table 2.5a'!$A$8:$A$192&amp;'Table 2.5a'!$B$8:$B$192,0))/INDEX('Table 2.5a'!$H$8:$H$192,MATCH('Table 2.5b'!$A26&amp;'Table 2.5b'!$B26,'Table 2.5a'!$A$8:$A$192&amp;'Table 2.5a'!$B$8:$B$192,0)),"")</f>
        <v>0.67160832999999998</v>
      </c>
      <c r="I26" s="655">
        <f t="array" ref="I26">IFERROR((INDEX('Table 2.5a'!$L$8:$L$192,MATCH('Table 2.5b'!$A26&amp;'Table 2.5b'!$B26,'Table 2.5a'!$A$8:$A$192&amp;'Table 2.5a'!$B$8:$B$192,0))/INDEX('Table 2.5a'!$I$8:$I$192,MATCH('Table 2.5b'!$A26&amp;'Table 2.5b'!$B26,'Table 2.5a'!$A$8:$A$192&amp;'Table 2.5a'!$B$8:$B$192,0)))*1000, "")</f>
        <v>14420.90909090909</v>
      </c>
      <c r="J26" s="655">
        <f t="array" ref="J26">IFERROR((INDEX('Table 2.5a'!$K$8:$K$192,MATCH('Table 2.5b'!$A26&amp;'Table 2.5b'!$B26,'Table 2.5a'!$A$8:$A$192&amp;'Table 2.5a'!$B$8:$B$192,0))/INDEX('Table 2.5a'!$I$8:$I$192,MATCH('Table 2.5b'!$A26&amp;'Table 2.5b'!$B26,'Table 2.5a'!$A$8:$A$192&amp;'Table 2.5a'!$B$8:$B$192,0)))*1000, "")</f>
        <v>9685.202671627274</v>
      </c>
      <c r="K26" s="705">
        <f t="array" ref="K26">IFERROR(INDEX('Table 2.5a'!$I$8:$I$192,MATCH('Table 2.5b'!$A26&amp;'Table 2.5b'!$B26,'Table 2.5a'!$A$8:$A$192&amp;'Table 2.5a'!$B$8:$B$192,0))/INDEX('Table 2.5a'!$L$8:$L$192,MATCH('Table 2.5b'!$A26&amp;'Table 2.5b'!$B26,'Table 2.5a'!$A$8:$A$192&amp;'Table 2.5a'!$B$8:$B$192,0)),"")</f>
        <v>6.9343755909979196E-2</v>
      </c>
      <c r="L26" s="662" t="s">
        <v>356</v>
      </c>
      <c r="M26" s="709" t="str">
        <f t="array" ref="M26">INDEX(UtilityList!Q$4:Q$251,MATCH('Table 2.5b'!$A26&amp;'Table 2.5b'!$B26,UtilityList!$A$4:$A$251&amp;UtilityList!$C$4:$C$251,0))</f>
        <v>Provides power to Chistochina via intertie. Includes Chistochina's fuel use and fuel cost.</v>
      </c>
      <c r="N26" s="709" t="str">
        <f t="array" ref="N26">INDEX(UtilityList!J$4:J$251,MATCH('Table 2.5b'!$A26&amp;'Table 2.5b'!$B26,UtilityList!$A$4:$A$251&amp;UtilityList!$C$4:$C$251,0))</f>
        <v>Copper River/Chugach</v>
      </c>
      <c r="O26" s="709" t="str">
        <f t="array" ref="O26">INDEX(UtilityList!K$4:K$251,MATCH('Table 2.5b'!$A26&amp;'Table 2.5b'!$B26,UtilityList!$A$4:$A$251&amp;UtilityList!$C$4:$C$251,0))</f>
        <v>Valdez-Cordova (CA)</v>
      </c>
      <c r="P26" s="709" t="str">
        <f t="array" ref="P26">INDEX(UtilityList!L$4:L$251,MATCH('Table 2.5b'!$A26&amp;'Table 2.5b'!$B26,UtilityList!$A$4:$A$251&amp;UtilityList!$C$4:$C$251,0))</f>
        <v>Ahtna</v>
      </c>
      <c r="Q26" s="709" t="str">
        <f t="array" ref="Q26">INDEX(UtilityList!M$4:M$251,MATCH('Table 2.5b'!$A26&amp;'Table 2.5b'!$B26,UtilityList!$A$4:$A$251&amp;UtilityList!$C$4:$C$251,0))</f>
        <v>YU</v>
      </c>
    </row>
    <row r="27" spans="1:17" s="200" customFormat="1" ht="60" x14ac:dyDescent="0.25">
      <c r="A27" s="352" t="s">
        <v>43</v>
      </c>
      <c r="B27" s="664" t="s">
        <v>62</v>
      </c>
      <c r="C27" s="655">
        <f t="array" ref="C27">IFERROR((INDEX('Table 2.5a'!$D$8:$D$192,MATCH('Table 2.5b'!A27&amp;'Table 2.5b'!B27,'Table 2.5a'!$A$8:$A$192&amp;'Table 2.5a'!$B$8:$B$192,0))/INDEX('Table 2.5a'!$E$8:$E$192,MATCH('Table 2.5b'!A27&amp;'Table 2.5b'!B27,'Table 2.5a'!$A$8:$A$192&amp;'Table 2.5a'!$B$8:$B$192,0)))*1000, "")</f>
        <v>3722.2130409798647</v>
      </c>
      <c r="D27" s="655">
        <f t="array" ref="D27">IFERROR((INDEX('Table 2.5a'!$C$8:$C$192,MATCH('Table 2.5b'!A27&amp;'Table 2.5b'!B27,'Table 2.5a'!$A$8:$A$192&amp;'Table 2.5a'!$B$8:$B$192,0))/INDEX('Table 2.5a'!$E$8:$E$192,MATCH('Table 2.5b'!A27&amp;'Table 2.5b'!B27,'Table 2.5a'!$A$8:$A$192&amp;'Table 2.5a'!$B$8:$B$192,0)))*1000, "")</f>
        <v>1825.4973366571817</v>
      </c>
      <c r="E27" s="705">
        <f t="array" ref="E27">IFERROR(INDEX('Table 2.5a'!$C$8:$C$192,MATCH('Table 2.5b'!$A27&amp;'Table 2.5b'!$B27,'Table 2.5a'!$A$8:$A$192&amp;'Table 2.5a'!$B$8:$B$192,0))/INDEX('Table 2.5a'!$D$8:$D$192,MATCH('Table 2.5b'!$A27&amp;'Table 2.5b'!$B27,'Table 2.5a'!$A$8:$A$192&amp;'Table 2.5a'!$B$8:$B$192,0)),"")</f>
        <v>0.49043333</v>
      </c>
      <c r="F27" s="655">
        <f t="array" ref="F27">IFERROR((INDEX('Table 2.5a'!$H$8:$H$192,MATCH('Table 2.5b'!$A27&amp;'Table 2.5b'!$B27,'Table 2.5a'!$A$8:$A$192&amp;'Table 2.5a'!$B$8:$B$192,0))/INDEX('Table 2.5a'!$I$8:$I$192,MATCH('Table 2.5b'!$A27&amp;'Table 2.5b'!$B27,'Table 2.5a'!$A$8:$A$192&amp;'Table 2.5a'!$B$8:$B$192,0)))*1000, "")</f>
        <v>3610.1052631578946</v>
      </c>
      <c r="G27" s="655">
        <f t="array" ref="G27">IFERROR((INDEX('Table 2.5a'!$G$8:$G$192,MATCH('Table 2.5b'!$A27&amp;'Table 2.5b'!$B27,'Table 2.5a'!$A$8:$A$192&amp;'Table 2.5a'!$B$8:$B$192,0))/INDEX('Table 2.5a'!$I$8:$I$192,MATCH('Table 2.5b'!$A27&amp;'Table 2.5b'!$B27,'Table 2.5a'!$A$8:$A$192&amp;'Table 2.5a'!$B$8:$B$192,0)))*1000, "")</f>
        <v>1770.5159458610524</v>
      </c>
      <c r="H27" s="705">
        <f t="array" ref="H27">IFERROR(INDEX('Table 2.5a'!$G$8:$G$192,MATCH('Table 2.5b'!$A27&amp;'Table 2.5b'!$B27,'Table 2.5a'!$A$8:$A$192&amp;'Table 2.5a'!$B$8:$B$192,0))/INDEX('Table 2.5a'!$H$8:$H$192,MATCH('Table 2.5b'!$A27&amp;'Table 2.5b'!$B27,'Table 2.5a'!$A$8:$A$192&amp;'Table 2.5a'!$B$8:$B$192,0)),"")</f>
        <v>0.49043333</v>
      </c>
      <c r="I27" s="655">
        <f t="array" ref="I27">IFERROR((INDEX('Table 2.5a'!$L$8:$L$192,MATCH('Table 2.5b'!$A27&amp;'Table 2.5b'!$B27,'Table 2.5a'!$A$8:$A$192&amp;'Table 2.5a'!$B$8:$B$192,0))/INDEX('Table 2.5a'!$I$8:$I$192,MATCH('Table 2.5b'!$A27&amp;'Table 2.5b'!$B27,'Table 2.5a'!$A$8:$A$192&amp;'Table 2.5a'!$B$8:$B$192,0)))*1000, "")</f>
        <v>32074.94736842105</v>
      </c>
      <c r="J27" s="655">
        <f t="array" ref="J27">IFERROR((INDEX('Table 2.5a'!$K$8:$K$192,MATCH('Table 2.5b'!$A27&amp;'Table 2.5b'!$B27,'Table 2.5a'!$A$8:$A$192&amp;'Table 2.5a'!$B$8:$B$192,0))/INDEX('Table 2.5a'!$I$8:$I$192,MATCH('Table 2.5b'!$A27&amp;'Table 2.5b'!$B27,'Table 2.5a'!$A$8:$A$192&amp;'Table 2.5a'!$B$8:$B$192,0)))*1000, "")</f>
        <v>15730.623247469473</v>
      </c>
      <c r="K27" s="705">
        <f t="array" ref="K27">IFERROR(INDEX('Table 2.5a'!$I$8:$I$192,MATCH('Table 2.5b'!$A27&amp;'Table 2.5b'!$B27,'Table 2.5a'!$A$8:$A$192&amp;'Table 2.5a'!$B$8:$B$192,0))/INDEX('Table 2.5a'!$L$8:$L$192,MATCH('Table 2.5b'!$A27&amp;'Table 2.5b'!$B27,'Table 2.5a'!$A$8:$A$192&amp;'Table 2.5a'!$B$8:$B$192,0)),"")</f>
        <v>3.1176980230512748E-2</v>
      </c>
      <c r="L27" s="662" t="s">
        <v>356</v>
      </c>
      <c r="M27" s="709" t="str">
        <f t="array" ref="M27">INDEX(UtilityList!Q$4:Q$251,MATCH('Table 2.5b'!$A27&amp;'Table 2.5b'!$B27,UtilityList!$A$4:$A$251&amp;UtilityList!$C$4:$C$251,0))</f>
        <v>Receives power from Tok via intertie. For fuel use and cost information please refer to Tok.</v>
      </c>
      <c r="N27" s="709" t="str">
        <f t="array" ref="N27">INDEX(UtilityList!J$4:J$251,MATCH('Table 2.5b'!$A27&amp;'Table 2.5b'!$B27,UtilityList!$A$4:$A$251&amp;UtilityList!$C$4:$C$251,0))</f>
        <v>Yukon-Koyukuk/Upper Tanana</v>
      </c>
      <c r="O27" s="709" t="str">
        <f t="array" ref="O27">INDEX(UtilityList!K$4:K$251,MATCH('Table 2.5b'!$A27&amp;'Table 2.5b'!$B27,UtilityList!$A$4:$A$251&amp;UtilityList!$C$4:$C$251,0))</f>
        <v>Southeast Fairbanks (CA)</v>
      </c>
      <c r="P27" s="709" t="str">
        <f t="array" ref="P27">INDEX(UtilityList!L$4:L$251,MATCH('Table 2.5b'!$A27&amp;'Table 2.5b'!$B27,UtilityList!$A$4:$A$251&amp;UtilityList!$C$4:$C$251,0))</f>
        <v>Dyon</v>
      </c>
      <c r="Q27" s="709" t="str">
        <f t="array" ref="Q27">INDEX(UtilityList!M$4:M$251,MATCH('Table 2.5b'!$A27&amp;'Table 2.5b'!$B27,UtilityList!$A$4:$A$251&amp;UtilityList!$C$4:$C$251,0))</f>
        <v>YU</v>
      </c>
    </row>
    <row r="28" spans="1:17" s="200" customFormat="1" ht="90" x14ac:dyDescent="0.25">
      <c r="A28" s="352" t="s">
        <v>43</v>
      </c>
      <c r="B28" s="664" t="s">
        <v>681</v>
      </c>
      <c r="C28" s="655">
        <f t="array" ref="C28">IFERROR((INDEX('Table 2.5a'!$D$8:$D$192,MATCH('Table 2.5b'!A28&amp;'Table 2.5b'!B28,'Table 2.5a'!$A$8:$A$192&amp;'Table 2.5a'!$B$8:$B$192,0))/INDEX('Table 2.5a'!$E$8:$E$192,MATCH('Table 2.5b'!A28&amp;'Table 2.5b'!B28,'Table 2.5a'!$A$8:$A$192&amp;'Table 2.5a'!$B$8:$B$192,0)))*1000, "")</f>
        <v>4685.531167690956</v>
      </c>
      <c r="D28" s="655">
        <f t="array" ref="D28">IFERROR((INDEX('Table 2.5a'!$C$8:$C$192,MATCH('Table 2.5b'!A28&amp;'Table 2.5b'!B28,'Table 2.5a'!$A$8:$A$192&amp;'Table 2.5a'!$B$8:$B$192,0))/INDEX('Table 2.5a'!$E$8:$E$192,MATCH('Table 2.5b'!A28&amp;'Table 2.5b'!B28,'Table 2.5a'!$A$8:$A$192&amp;'Table 2.5a'!$B$8:$B$192,0)))*1000, "")</f>
        <v>1125.4645864793677</v>
      </c>
      <c r="E28" s="705">
        <f t="array" ref="E28">IFERROR(INDEX('Table 2.5a'!$C$8:$C$192,MATCH('Table 2.5b'!$A28&amp;'Table 2.5b'!$B28,'Table 2.5a'!$A$8:$A$192&amp;'Table 2.5a'!$B$8:$B$192,0))/INDEX('Table 2.5a'!$D$8:$D$192,MATCH('Table 2.5b'!$A28&amp;'Table 2.5b'!$B28,'Table 2.5a'!$A$8:$A$192&amp;'Table 2.5a'!$B$8:$B$192,0)),"")</f>
        <v>0.24019999999999997</v>
      </c>
      <c r="F28" s="655">
        <f t="array" ref="F28">IFERROR((INDEX('Table 2.5a'!$H$8:$H$192,MATCH('Table 2.5b'!$A28&amp;'Table 2.5b'!$B28,'Table 2.5a'!$A$8:$A$192&amp;'Table 2.5a'!$B$8:$B$192,0))/INDEX('Table 2.5a'!$I$8:$I$192,MATCH('Table 2.5b'!$A28&amp;'Table 2.5b'!$B28,'Table 2.5a'!$A$8:$A$192&amp;'Table 2.5a'!$B$8:$B$192,0)))*1000, "")</f>
        <v>9352.6799773560197</v>
      </c>
      <c r="G28" s="655">
        <f t="array" ref="G28">IFERROR((INDEX('Table 2.5a'!$G$8:$G$192,MATCH('Table 2.5b'!$A28&amp;'Table 2.5b'!$B28,'Table 2.5a'!$A$8:$A$192&amp;'Table 2.5a'!$B$8:$B$192,0))/INDEX('Table 2.5a'!$I$8:$I$192,MATCH('Table 2.5b'!$A28&amp;'Table 2.5b'!$B28,'Table 2.5a'!$A$8:$A$192&amp;'Table 2.5a'!$B$8:$B$192,0)))*1000, "")</f>
        <v>2246.513730560916</v>
      </c>
      <c r="H28" s="705">
        <f t="array" ref="H28">IFERROR(INDEX('Table 2.5a'!$G$8:$G$192,MATCH('Table 2.5b'!$A28&amp;'Table 2.5b'!$B28,'Table 2.5a'!$A$8:$A$192&amp;'Table 2.5a'!$B$8:$B$192,0))/INDEX('Table 2.5a'!$H$8:$H$192,MATCH('Table 2.5b'!$A28&amp;'Table 2.5b'!$B28,'Table 2.5a'!$A$8:$A$192&amp;'Table 2.5a'!$B$8:$B$192,0)),"")</f>
        <v>0.2402</v>
      </c>
      <c r="I28" s="655">
        <f t="array" ref="I28">IFERROR((INDEX('Table 2.5a'!$L$8:$L$192,MATCH('Table 2.5b'!$A28&amp;'Table 2.5b'!$B28,'Table 2.5a'!$A$8:$A$192&amp;'Table 2.5a'!$B$8:$B$192,0))/INDEX('Table 2.5a'!$I$8:$I$192,MATCH('Table 2.5b'!$A28&amp;'Table 2.5b'!$B28,'Table 2.5a'!$A$8:$A$192&amp;'Table 2.5a'!$B$8:$B$192,0)))*1000, "")</f>
        <v>8362.8822880974458</v>
      </c>
      <c r="J28" s="655">
        <f t="array" ref="J28">IFERROR((INDEX('Table 2.5a'!$K$8:$K$192,MATCH('Table 2.5b'!$A28&amp;'Table 2.5b'!$B28,'Table 2.5a'!$A$8:$A$192&amp;'Table 2.5a'!$B$8:$B$192,0))/INDEX('Table 2.5a'!$I$8:$I$192,MATCH('Table 2.5b'!$A28&amp;'Table 2.5b'!$B28,'Table 2.5a'!$A$8:$A$192&amp;'Table 2.5a'!$B$8:$B$192,0)))*1000, "")</f>
        <v>2008.7643256010065</v>
      </c>
      <c r="K28" s="705">
        <f t="array" ref="K28">IFERROR(INDEX('Table 2.5a'!$I$8:$I$192,MATCH('Table 2.5b'!$A28&amp;'Table 2.5b'!$B28,'Table 2.5a'!$A$8:$A$192&amp;'Table 2.5a'!$B$8:$B$192,0))/INDEX('Table 2.5a'!$L$8:$L$192,MATCH('Table 2.5b'!$A28&amp;'Table 2.5b'!$B28,'Table 2.5a'!$A$8:$A$192&amp;'Table 2.5a'!$B$8:$B$192,0)),"")</f>
        <v>0.11957599850750739</v>
      </c>
      <c r="L28" s="662" t="s">
        <v>356</v>
      </c>
      <c r="M28" s="709" t="str">
        <f t="array" ref="M28">INDEX(UtilityList!Q$4:Q$251,MATCH('Table 2.5b'!$A28&amp;'Table 2.5b'!$B28,UtilityList!$A$4:$A$251&amp;UtilityList!$C$4:$C$251,0))</f>
        <v>Part of the Alaska Power Company's grid on Prince of Wales Island. Receives power from Craig. Refer to Craig for fuel use and cost. Includes data for Kaasan.</v>
      </c>
      <c r="N28" s="709" t="str">
        <f t="array" ref="N28">INDEX(UtilityList!J$4:J$251,MATCH('Table 2.5b'!$A28&amp;'Table 2.5b'!$B28,UtilityList!$A$4:$A$251&amp;UtilityList!$C$4:$C$251,0))</f>
        <v>Southeast</v>
      </c>
      <c r="O28" s="709" t="str">
        <f t="array" ref="O28">INDEX(UtilityList!K$4:K$251,MATCH('Table 2.5b'!$A28&amp;'Table 2.5b'!$B28,UtilityList!$A$4:$A$251&amp;UtilityList!$C$4:$C$251,0))</f>
        <v>Prince of Wales-Hyder (CA)</v>
      </c>
      <c r="P28" s="709" t="str">
        <f t="array" ref="P28">INDEX(UtilityList!L$4:L$251,MATCH('Table 2.5b'!$A28&amp;'Table 2.5b'!$B28,UtilityList!$A$4:$A$251&amp;UtilityList!$C$4:$C$251,0))</f>
        <v>Sealaska</v>
      </c>
      <c r="Q28" s="709" t="str">
        <f t="array" ref="Q28">INDEX(UtilityList!M$4:M$251,MATCH('Table 2.5b'!$A28&amp;'Table 2.5b'!$B28,UtilityList!$A$4:$A$251&amp;UtilityList!$C$4:$C$251,0))</f>
        <v>SE</v>
      </c>
    </row>
    <row r="29" spans="1:17" s="200" customFormat="1" ht="105" x14ac:dyDescent="0.25">
      <c r="A29" s="352" t="s">
        <v>43</v>
      </c>
      <c r="B29" s="664" t="s">
        <v>685</v>
      </c>
      <c r="C29" s="655">
        <f t="array" ref="C29">IFERROR((INDEX('Table 2.5a'!$D$8:$D$192,MATCH('Table 2.5b'!A29&amp;'Table 2.5b'!B29,'Table 2.5a'!$A$8:$A$192&amp;'Table 2.5a'!$B$8:$B$192,0))/INDEX('Table 2.5a'!$E$8:$E$192,MATCH('Table 2.5b'!A29&amp;'Table 2.5b'!B29,'Table 2.5a'!$A$8:$A$192&amp;'Table 2.5a'!$B$8:$B$192,0)))*1000, "")</f>
        <v>5390.923898531375</v>
      </c>
      <c r="D29" s="655">
        <f t="array" ref="D29">IFERROR((INDEX('Table 2.5a'!$C$8:$C$192,MATCH('Table 2.5b'!A29&amp;'Table 2.5b'!B29,'Table 2.5a'!$A$8:$A$192&amp;'Table 2.5a'!$B$8:$B$192,0))/INDEX('Table 2.5a'!$E$8:$E$192,MATCH('Table 2.5b'!A29&amp;'Table 2.5b'!B29,'Table 2.5a'!$A$8:$A$192&amp;'Table 2.5a'!$B$8:$B$192,0)))*1000, "")</f>
        <v>2643.7539862358612</v>
      </c>
      <c r="E29" s="705">
        <f t="array" ref="E29">IFERROR(INDEX('Table 2.5a'!$C$8:$C$192,MATCH('Table 2.5b'!$A29&amp;'Table 2.5b'!$B29,'Table 2.5a'!$A$8:$A$192&amp;'Table 2.5a'!$B$8:$B$192,0))/INDEX('Table 2.5a'!$D$8:$D$192,MATCH('Table 2.5b'!$A29&amp;'Table 2.5b'!$B29,'Table 2.5a'!$A$8:$A$192&amp;'Table 2.5a'!$B$8:$B$192,0)),"")</f>
        <v>0.49040833</v>
      </c>
      <c r="F29" s="655">
        <f t="array" ref="F29">IFERROR((INDEX('Table 2.5a'!$H$8:$H$192,MATCH('Table 2.5b'!$A29&amp;'Table 2.5b'!$B29,'Table 2.5a'!$A$8:$A$192&amp;'Table 2.5a'!$B$8:$B$192,0))/INDEX('Table 2.5a'!$I$8:$I$192,MATCH('Table 2.5b'!$A29&amp;'Table 2.5b'!$B29,'Table 2.5a'!$A$8:$A$192&amp;'Table 2.5a'!$B$8:$B$192,0)))*1000, "")</f>
        <v>16588.354136429607</v>
      </c>
      <c r="G29" s="655">
        <f t="array" ref="G29">IFERROR((INDEX('Table 2.5a'!$G$8:$G$192,MATCH('Table 2.5b'!$A29&amp;'Table 2.5b'!$B29,'Table 2.5a'!$A$8:$A$192&amp;'Table 2.5a'!$B$8:$B$192,0))/INDEX('Table 2.5a'!$I$8:$I$192,MATCH('Table 2.5b'!$A29&amp;'Table 2.5b'!$B29,'Table 2.5a'!$A$8:$A$192&amp;'Table 2.5a'!$B$8:$B$192,0)))*1000, "")</f>
        <v>8135.0670494950364</v>
      </c>
      <c r="H29" s="705">
        <f t="array" ref="H29">IFERROR(INDEX('Table 2.5a'!$G$8:$G$192,MATCH('Table 2.5b'!$A29&amp;'Table 2.5b'!$B29,'Table 2.5a'!$A$8:$A$192&amp;'Table 2.5a'!$B$8:$B$192,0))/INDEX('Table 2.5a'!$H$8:$H$192,MATCH('Table 2.5b'!$A29&amp;'Table 2.5b'!$B29,'Table 2.5a'!$A$8:$A$192&amp;'Table 2.5a'!$B$8:$B$192,0)),"")</f>
        <v>0.49040833</v>
      </c>
      <c r="I29" s="655">
        <f t="array" ref="I29">IFERROR((INDEX('Table 2.5a'!$L$8:$L$192,MATCH('Table 2.5b'!$A29&amp;'Table 2.5b'!$B29,'Table 2.5a'!$A$8:$A$192&amp;'Table 2.5a'!$B$8:$B$192,0))/INDEX('Table 2.5a'!$I$8:$I$192,MATCH('Table 2.5b'!$A29&amp;'Table 2.5b'!$B29,'Table 2.5a'!$A$8:$A$192&amp;'Table 2.5a'!$B$8:$B$192,0)))*1000, "")</f>
        <v>9434.5718432510894</v>
      </c>
      <c r="J29" s="655">
        <f t="array" ref="J29">IFERROR((INDEX('Table 2.5a'!$K$8:$K$192,MATCH('Table 2.5b'!$A29&amp;'Table 2.5b'!$B29,'Table 2.5a'!$A$8:$A$192&amp;'Table 2.5a'!$B$8:$B$192,0))/INDEX('Table 2.5a'!$I$8:$I$192,MATCH('Table 2.5b'!$A29&amp;'Table 2.5b'!$B29,'Table 2.5a'!$A$8:$A$192&amp;'Table 2.5a'!$B$8:$B$192,0)))*1000, "")</f>
        <v>4626.792621913788</v>
      </c>
      <c r="K29" s="705">
        <f t="array" ref="K29">IFERROR(INDEX('Table 2.5a'!$I$8:$I$192,MATCH('Table 2.5b'!$A29&amp;'Table 2.5b'!$B29,'Table 2.5a'!$A$8:$A$192&amp;'Table 2.5a'!$B$8:$B$192,0))/INDEX('Table 2.5a'!$L$8:$L$192,MATCH('Table 2.5b'!$A29&amp;'Table 2.5b'!$B29,'Table 2.5a'!$A$8:$A$192&amp;'Table 2.5a'!$B$8:$B$192,0)),"")</f>
        <v>0.10599315121176785</v>
      </c>
      <c r="L29" s="662" t="s">
        <v>356</v>
      </c>
      <c r="M29" s="709" t="str">
        <f t="array" ref="M29">INDEX(UtilityList!Q$4:Q$251,MATCH('Table 2.5b'!$A29&amp;'Table 2.5b'!$B29,UtilityList!$A$4:$A$251&amp;UtilityList!$C$4:$C$251,0))</f>
        <v>Provides power to Tanacross, Tetlin and Dot Lake via intertie. Includes Tanacross' information. Fuel use and cost also includes Tetlin's and Dot Lake's information.</v>
      </c>
      <c r="N29" s="709" t="str">
        <f t="array" ref="N29">INDEX(UtilityList!J$4:J$251,MATCH('Table 2.5b'!$A29&amp;'Table 2.5b'!$B29,UtilityList!$A$4:$A$251&amp;UtilityList!$C$4:$C$251,0))</f>
        <v>Yukon-Koyukuk/Upper Tanana</v>
      </c>
      <c r="O29" s="709" t="str">
        <f t="array" ref="O29">INDEX(UtilityList!K$4:K$251,MATCH('Table 2.5b'!$A29&amp;'Table 2.5b'!$B29,UtilityList!$A$4:$A$251&amp;UtilityList!$C$4:$C$251,0))</f>
        <v>Southeast Fairbanks (CA)</v>
      </c>
      <c r="P29" s="709" t="str">
        <f t="array" ref="P29">INDEX(UtilityList!L$4:L$251,MATCH('Table 2.5b'!$A29&amp;'Table 2.5b'!$B29,UtilityList!$A$4:$A$251&amp;UtilityList!$C$4:$C$251,0))</f>
        <v>Doyon</v>
      </c>
      <c r="Q29" s="709" t="str">
        <f t="array" ref="Q29">INDEX(UtilityList!M$4:M$251,MATCH('Table 2.5b'!$A29&amp;'Table 2.5b'!$B29,UtilityList!$A$4:$A$251&amp;UtilityList!$C$4:$C$251,0))</f>
        <v>YU</v>
      </c>
    </row>
    <row r="30" spans="1:17" s="200" customFormat="1" ht="30" x14ac:dyDescent="0.25">
      <c r="A30" s="352" t="s">
        <v>43</v>
      </c>
      <c r="B30" s="664" t="s">
        <v>65</v>
      </c>
      <c r="C30" s="655">
        <f t="array" ref="C30">IFERROR((INDEX('Table 2.5a'!$D$8:$D$192,MATCH('Table 2.5b'!A30&amp;'Table 2.5b'!B30,'Table 2.5a'!$A$8:$A$192&amp;'Table 2.5a'!$B$8:$B$192,0))/INDEX('Table 2.5a'!$E$8:$E$192,MATCH('Table 2.5b'!A30&amp;'Table 2.5b'!B30,'Table 2.5a'!$A$8:$A$192&amp;'Table 2.5a'!$B$8:$B$192,0)))*1000, "")</f>
        <v>2681.8151260504201</v>
      </c>
      <c r="D30" s="655">
        <f t="array" ref="D30">IFERROR((INDEX('Table 2.5a'!$C$8:$C$192,MATCH('Table 2.5b'!A30&amp;'Table 2.5b'!B30,'Table 2.5a'!$A$8:$A$192&amp;'Table 2.5a'!$B$8:$B$192,0))/INDEX('Table 2.5a'!$E$8:$E$192,MATCH('Table 2.5b'!A30&amp;'Table 2.5b'!B30,'Table 2.5a'!$A$8:$A$192&amp;'Table 2.5a'!$B$8:$B$192,0)))*1000, "")</f>
        <v>1607.8152134453783</v>
      </c>
      <c r="E30" s="705">
        <f t="array" ref="E30">IFERROR(INDEX('Table 2.5a'!$C$8:$C$192,MATCH('Table 2.5b'!$A30&amp;'Table 2.5b'!$B30,'Table 2.5a'!$A$8:$A$192&amp;'Table 2.5a'!$B$8:$B$192,0))/INDEX('Table 2.5a'!$D$8:$D$192,MATCH('Table 2.5b'!$A30&amp;'Table 2.5b'!$B30,'Table 2.5a'!$A$8:$A$192&amp;'Table 2.5a'!$B$8:$B$192,0)),"")</f>
        <v>0.59952499999999997</v>
      </c>
      <c r="F30" s="655">
        <f t="array" ref="F30">IFERROR((INDEX('Table 2.5a'!$H$8:$H$192,MATCH('Table 2.5b'!$A30&amp;'Table 2.5b'!$B30,'Table 2.5a'!$A$8:$A$192&amp;'Table 2.5a'!$B$8:$B$192,0))/INDEX('Table 2.5a'!$I$8:$I$192,MATCH('Table 2.5b'!$A30&amp;'Table 2.5b'!$B30,'Table 2.5a'!$A$8:$A$192&amp;'Table 2.5a'!$B$8:$B$192,0)))*1000, "")</f>
        <v>6607.0588235294108</v>
      </c>
      <c r="G30" s="655">
        <f t="array" ref="G30">IFERROR((INDEX('Table 2.5a'!$G$8:$G$192,MATCH('Table 2.5b'!$A30&amp;'Table 2.5b'!$B30,'Table 2.5a'!$A$8:$A$192&amp;'Table 2.5a'!$B$8:$B$192,0))/INDEX('Table 2.5a'!$I$8:$I$192,MATCH('Table 2.5b'!$A30&amp;'Table 2.5b'!$B30,'Table 2.5a'!$A$8:$A$192&amp;'Table 2.5a'!$B$8:$B$192,0)))*1000, "")</f>
        <v>3961.09694117647</v>
      </c>
      <c r="H30" s="705">
        <f t="array" ref="H30">IFERROR(INDEX('Table 2.5a'!$G$8:$G$192,MATCH('Table 2.5b'!$A30&amp;'Table 2.5b'!$B30,'Table 2.5a'!$A$8:$A$192&amp;'Table 2.5a'!$B$8:$B$192,0))/INDEX('Table 2.5a'!$H$8:$H$192,MATCH('Table 2.5b'!$A30&amp;'Table 2.5b'!$B30,'Table 2.5a'!$A$8:$A$192&amp;'Table 2.5a'!$B$8:$B$192,0)),"")</f>
        <v>0.59952499999999997</v>
      </c>
      <c r="I30" s="655">
        <f t="array" ref="I30">IFERROR((INDEX('Table 2.5a'!$L$8:$L$192,MATCH('Table 2.5b'!$A30&amp;'Table 2.5b'!$B30,'Table 2.5a'!$A$8:$A$192&amp;'Table 2.5a'!$B$8:$B$192,0))/INDEX('Table 2.5a'!$I$8:$I$192,MATCH('Table 2.5b'!$A30&amp;'Table 2.5b'!$B30,'Table 2.5a'!$A$8:$A$192&amp;'Table 2.5a'!$B$8:$B$192,0)))*1000, "")</f>
        <v>1583.4973294117649</v>
      </c>
      <c r="J30" s="655">
        <f t="array" ref="J30">IFERROR((INDEX('Table 2.5a'!$K$8:$K$192,MATCH('Table 2.5b'!$A30&amp;'Table 2.5b'!$B30,'Table 2.5a'!$A$8:$A$192&amp;'Table 2.5a'!$B$8:$B$192,0))/INDEX('Table 2.5a'!$I$8:$I$192,MATCH('Table 2.5b'!$A30&amp;'Table 2.5b'!$B30,'Table 2.5a'!$A$8:$A$192&amp;'Table 2.5a'!$B$8:$B$192,0)))*1000, "")</f>
        <v>949.34623641558835</v>
      </c>
      <c r="K30" s="705">
        <f t="array" ref="K30">IFERROR(INDEX('Table 2.5a'!$I$8:$I$192,MATCH('Table 2.5b'!$A30&amp;'Table 2.5b'!$B30,'Table 2.5a'!$A$8:$A$192&amp;'Table 2.5a'!$B$8:$B$192,0))/INDEX('Table 2.5a'!$L$8:$L$192,MATCH('Table 2.5b'!$A30&amp;'Table 2.5b'!$B30,'Table 2.5a'!$A$8:$A$192&amp;'Table 2.5a'!$B$8:$B$192,0)),"")</f>
        <v>0.63151353742508587</v>
      </c>
      <c r="L30" s="662" t="s">
        <v>356</v>
      </c>
      <c r="M30" s="709">
        <f t="array" ref="M30">INDEX(UtilityList!Q$4:Q$251,MATCH('Table 2.5b'!$A30&amp;'Table 2.5b'!$B30,UtilityList!$A$4:$A$251&amp;UtilityList!$C$4:$C$251,0))</f>
        <v>0</v>
      </c>
      <c r="N30" s="709" t="str">
        <f t="array" ref="N30">INDEX(UtilityList!J$4:J$251,MATCH('Table 2.5b'!$A30&amp;'Table 2.5b'!$B30,UtilityList!$A$4:$A$251&amp;UtilityList!$C$4:$C$251,0))</f>
        <v>Southeast</v>
      </c>
      <c r="O30" s="709" t="str">
        <f t="array" ref="O30">INDEX(UtilityList!K$4:K$251,MATCH('Table 2.5b'!$A30&amp;'Table 2.5b'!$B30,UtilityList!$A$4:$A$251&amp;UtilityList!$C$4:$C$251,0))</f>
        <v>Prince of Wales-Hyder (CA)</v>
      </c>
      <c r="P30" s="709" t="str">
        <f t="array" ref="P30">INDEX(UtilityList!L$4:L$251,MATCH('Table 2.5b'!$A30&amp;'Table 2.5b'!$B30,UtilityList!$A$4:$A$251&amp;UtilityList!$C$4:$C$251,0))</f>
        <v>Sealaska</v>
      </c>
      <c r="Q30" s="709" t="str">
        <f t="array" ref="Q30">INDEX(UtilityList!M$4:M$251,MATCH('Table 2.5b'!$A30&amp;'Table 2.5b'!$B30,UtilityList!$A$4:$A$251&amp;UtilityList!$C$4:$C$251,0))</f>
        <v>SE</v>
      </c>
    </row>
    <row r="31" spans="1:17" s="200" customFormat="1" ht="30" x14ac:dyDescent="0.25">
      <c r="A31" s="361" t="s">
        <v>524</v>
      </c>
      <c r="B31" s="654" t="s">
        <v>66</v>
      </c>
      <c r="C31" s="655">
        <f t="array" ref="C31">IFERROR((INDEX('Table 2.5a'!$D$8:$D$192,MATCH('Table 2.5b'!A31&amp;'Table 2.5b'!B31,'Table 2.5a'!$A$8:$A$192&amp;'Table 2.5a'!$B$8:$B$192,0))/INDEX('Table 2.5a'!$E$8:$E$192,MATCH('Table 2.5b'!A31&amp;'Table 2.5b'!B31,'Table 2.5a'!$A$8:$A$192&amp;'Table 2.5a'!$B$8:$B$192,0)))*1000, "")</f>
        <v>5341.8413793103446</v>
      </c>
      <c r="D31" s="655">
        <f t="array" ref="D31">IFERROR((INDEX('Table 2.5a'!$C$8:$C$192,MATCH('Table 2.5b'!A31&amp;'Table 2.5b'!B31,'Table 2.5a'!$A$8:$A$192&amp;'Table 2.5a'!$B$8:$B$192,0))/INDEX('Table 2.5a'!$E$8:$E$192,MATCH('Table 2.5b'!A31&amp;'Table 2.5b'!B31,'Table 2.5a'!$A$8:$A$192&amp;'Table 2.5a'!$B$8:$B$192,0)))*1000, "")</f>
        <v>3167.4448458620691</v>
      </c>
      <c r="E31" s="705">
        <f t="array" ref="E31">IFERROR(INDEX('Table 2.5a'!$C$8:$C$192,MATCH('Table 2.5b'!$A31&amp;'Table 2.5b'!$B31,'Table 2.5a'!$A$8:$A$192&amp;'Table 2.5a'!$B$8:$B$192,0))/INDEX('Table 2.5a'!$D$8:$D$192,MATCH('Table 2.5b'!$A31&amp;'Table 2.5b'!$B31,'Table 2.5a'!$A$8:$A$192&amp;'Table 2.5a'!$B$8:$B$192,0)),"")</f>
        <v>0.59294999999999998</v>
      </c>
      <c r="F31" s="655">
        <f t="array" ref="F31">IFERROR((INDEX('Table 2.5a'!$H$8:$H$192,MATCH('Table 2.5b'!$A31&amp;'Table 2.5b'!$B31,'Table 2.5a'!$A$8:$A$192&amp;'Table 2.5a'!$B$8:$B$192,0))/INDEX('Table 2.5a'!$I$8:$I$192,MATCH('Table 2.5b'!$A31&amp;'Table 2.5b'!$B31,'Table 2.5a'!$A$8:$A$192&amp;'Table 2.5a'!$B$8:$B$192,0)))*1000, "")</f>
        <v>12896.247887323943</v>
      </c>
      <c r="G31" s="655">
        <f t="array" ref="G31">IFERROR((INDEX('Table 2.5a'!$G$8:$G$192,MATCH('Table 2.5b'!$A31&amp;'Table 2.5b'!$B31,'Table 2.5a'!$A$8:$A$192&amp;'Table 2.5a'!$B$8:$B$192,0))/INDEX('Table 2.5a'!$I$8:$I$192,MATCH('Table 2.5b'!$A31&amp;'Table 2.5b'!$B31,'Table 2.5a'!$A$8:$A$192&amp;'Table 2.5a'!$B$8:$B$192,0)))*1000, "")</f>
        <v>7646.8301847887324</v>
      </c>
      <c r="H31" s="705">
        <f t="array" ref="H31">IFERROR(INDEX('Table 2.5a'!$G$8:$G$192,MATCH('Table 2.5b'!$A31&amp;'Table 2.5b'!$B31,'Table 2.5a'!$A$8:$A$192&amp;'Table 2.5a'!$B$8:$B$192,0))/INDEX('Table 2.5a'!$H$8:$H$192,MATCH('Table 2.5b'!$A31&amp;'Table 2.5b'!$B31,'Table 2.5a'!$A$8:$A$192&amp;'Table 2.5a'!$B$8:$B$192,0)),"")</f>
        <v>0.59294999999999998</v>
      </c>
      <c r="I31" s="655">
        <f t="array" ref="I31">IFERROR((INDEX('Table 2.5a'!$L$8:$L$192,MATCH('Table 2.5b'!$A31&amp;'Table 2.5b'!$B31,'Table 2.5a'!$A$8:$A$192&amp;'Table 2.5a'!$B$8:$B$192,0))/INDEX('Table 2.5a'!$I$8:$I$192,MATCH('Table 2.5b'!$A31&amp;'Table 2.5b'!$B31,'Table 2.5a'!$A$8:$A$192&amp;'Table 2.5a'!$B$8:$B$192,0)))*1000, "")</f>
        <v>52211.154929577468</v>
      </c>
      <c r="J31" s="655">
        <f t="array" ref="J31">IFERROR((INDEX('Table 2.5a'!$K$8:$K$192,MATCH('Table 2.5b'!$A31&amp;'Table 2.5b'!$B31,'Table 2.5a'!$A$8:$A$192&amp;'Table 2.5a'!$B$8:$B$192,0))/INDEX('Table 2.5a'!$I$8:$I$192,MATCH('Table 2.5b'!$A31&amp;'Table 2.5b'!$B31,'Table 2.5a'!$A$8:$A$192&amp;'Table 2.5a'!$B$8:$B$192,0)))*1000, "")</f>
        <v>30958.604315492958</v>
      </c>
      <c r="K31" s="705">
        <f t="array" ref="K31">IFERROR(INDEX('Table 2.5a'!$I$8:$I$192,MATCH('Table 2.5b'!$A31&amp;'Table 2.5b'!$B31,'Table 2.5a'!$A$8:$A$192&amp;'Table 2.5a'!$B$8:$B$192,0))/INDEX('Table 2.5a'!$L$8:$L$192,MATCH('Table 2.5b'!$A31&amp;'Table 2.5b'!$B31,'Table 2.5a'!$A$8:$A$192&amp;'Table 2.5a'!$B$8:$B$192,0)),"")</f>
        <v>1.9152995204737424E-2</v>
      </c>
      <c r="L31" s="658" t="s">
        <v>356</v>
      </c>
      <c r="M31" s="709">
        <f t="array" ref="M31">INDEX(UtilityList!Q$4:Q$251,MATCH('Table 2.5b'!$A31&amp;'Table 2.5b'!$B31,UtilityList!$A$4:$A$251&amp;UtilityList!$C$4:$C$251,0))</f>
        <v>0</v>
      </c>
      <c r="N31" s="709" t="str">
        <f t="array" ref="N31">INDEX(UtilityList!J$4:J$251,MATCH('Table 2.5b'!$A31&amp;'Table 2.5b'!$B31,UtilityList!$A$4:$A$251&amp;UtilityList!$C$4:$C$251,0))</f>
        <v>Lower Yukon-Kuskokwim</v>
      </c>
      <c r="O31" s="709" t="str">
        <f t="array" ref="O31">INDEX(UtilityList!K$4:K$251,MATCH('Table 2.5b'!$A31&amp;'Table 2.5b'!$B31,UtilityList!$A$4:$A$251&amp;UtilityList!$C$4:$C$251,0))</f>
        <v>Wade Hampton (CA)</v>
      </c>
      <c r="P31" s="709" t="str">
        <f t="array" ref="P31">INDEX(UtilityList!L$4:L$251,MATCH('Table 2.5b'!$A31&amp;'Table 2.5b'!$B31,UtilityList!$A$4:$A$251&amp;UtilityList!$C$4:$C$251,0))</f>
        <v>Calista</v>
      </c>
      <c r="Q31" s="709" t="str">
        <f t="array" ref="Q31">INDEX(UtilityList!M$4:M$251,MATCH('Table 2.5b'!$A31&amp;'Table 2.5b'!$B31,UtilityList!$A$4:$A$251&amp;UtilityList!$C$4:$C$251,0))</f>
        <v>YU</v>
      </c>
    </row>
    <row r="32" spans="1:17" s="200" customFormat="1" ht="30" x14ac:dyDescent="0.25">
      <c r="A32" s="361" t="s">
        <v>524</v>
      </c>
      <c r="B32" s="654" t="s">
        <v>67</v>
      </c>
      <c r="C32" s="655">
        <f t="array" ref="C32">IFERROR((INDEX('Table 2.5a'!$D$8:$D$192,MATCH('Table 2.5b'!A32&amp;'Table 2.5b'!B32,'Table 2.5a'!$A$8:$A$192&amp;'Table 2.5a'!$B$8:$B$192,0))/INDEX('Table 2.5a'!$E$8:$E$192,MATCH('Table 2.5b'!A32&amp;'Table 2.5b'!B32,'Table 2.5a'!$A$8:$A$192&amp;'Table 2.5a'!$B$8:$B$192,0)))*1000, "")</f>
        <v>4774.2920751638076</v>
      </c>
      <c r="D32" s="655">
        <f t="array" ref="D32">IFERROR((INDEX('Table 2.5a'!$C$8:$C$192,MATCH('Table 2.5b'!A32&amp;'Table 2.5b'!B32,'Table 2.5a'!$A$8:$A$192&amp;'Table 2.5a'!$B$8:$B$192,0))/INDEX('Table 2.5a'!$E$8:$E$192,MATCH('Table 2.5b'!A32&amp;'Table 2.5b'!B32,'Table 2.5a'!$A$8:$A$192&amp;'Table 2.5a'!$B$8:$B$192,0)))*1000, "")</f>
        <v>3015.8407164320843</v>
      </c>
      <c r="E32" s="705">
        <f t="array" ref="E32">IFERROR(INDEX('Table 2.5a'!$C$8:$C$192,MATCH('Table 2.5b'!$A32&amp;'Table 2.5b'!$B32,'Table 2.5a'!$A$8:$A$192&amp;'Table 2.5a'!$B$8:$B$192,0))/INDEX('Table 2.5a'!$D$8:$D$192,MATCH('Table 2.5b'!$A32&amp;'Table 2.5b'!$B32,'Table 2.5a'!$A$8:$A$192&amp;'Table 2.5a'!$B$8:$B$192,0)),"")</f>
        <v>0.63168332999999999</v>
      </c>
      <c r="F32" s="655">
        <f t="array" ref="F32">IFERROR((INDEX('Table 2.5a'!$H$8:$H$192,MATCH('Table 2.5b'!$A32&amp;'Table 2.5b'!$B32,'Table 2.5a'!$A$8:$A$192&amp;'Table 2.5a'!$B$8:$B$192,0))/INDEX('Table 2.5a'!$I$8:$I$192,MATCH('Table 2.5b'!$A32&amp;'Table 2.5b'!$B32,'Table 2.5a'!$A$8:$A$192&amp;'Table 2.5a'!$B$8:$B$192,0)))*1000, "")</f>
        <v>10573.6</v>
      </c>
      <c r="G32" s="655">
        <f t="array" ref="G32">IFERROR((INDEX('Table 2.5a'!$G$8:$G$192,MATCH('Table 2.5b'!$A32&amp;'Table 2.5b'!$B32,'Table 2.5a'!$A$8:$A$192&amp;'Table 2.5a'!$B$8:$B$192,0))/INDEX('Table 2.5a'!$I$8:$I$192,MATCH('Table 2.5b'!$A32&amp;'Table 2.5b'!$B32,'Table 2.5a'!$A$8:$A$192&amp;'Table 2.5a'!$B$8:$B$192,0)))*1000, "")</f>
        <v>6679.1668580880005</v>
      </c>
      <c r="H32" s="705">
        <f t="array" ref="H32">IFERROR(INDEX('Table 2.5a'!$G$8:$G$192,MATCH('Table 2.5b'!$A32&amp;'Table 2.5b'!$B32,'Table 2.5a'!$A$8:$A$192&amp;'Table 2.5a'!$B$8:$B$192,0))/INDEX('Table 2.5a'!$H$8:$H$192,MATCH('Table 2.5b'!$A32&amp;'Table 2.5b'!$B32,'Table 2.5a'!$A$8:$A$192&amp;'Table 2.5a'!$B$8:$B$192,0)),"")</f>
        <v>0.63168332999999999</v>
      </c>
      <c r="I32" s="655">
        <f t="array" ref="I32">IFERROR((INDEX('Table 2.5a'!$L$8:$L$192,MATCH('Table 2.5b'!$A32&amp;'Table 2.5b'!$B32,'Table 2.5a'!$A$8:$A$192&amp;'Table 2.5a'!$B$8:$B$192,0))/INDEX('Table 2.5a'!$I$8:$I$192,MATCH('Table 2.5b'!$A32&amp;'Table 2.5b'!$B32,'Table 2.5a'!$A$8:$A$192&amp;'Table 2.5a'!$B$8:$B$192,0)))*1000, "")</f>
        <v>62646.844444444447</v>
      </c>
      <c r="J32" s="655">
        <f t="array" ref="J32">IFERROR((INDEX('Table 2.5a'!$K$8:$K$192,MATCH('Table 2.5b'!$A32&amp;'Table 2.5b'!$B32,'Table 2.5a'!$A$8:$A$192&amp;'Table 2.5a'!$B$8:$B$192,0))/INDEX('Table 2.5a'!$I$8:$I$192,MATCH('Table 2.5b'!$A32&amp;'Table 2.5b'!$B32,'Table 2.5a'!$A$8:$A$192&amp;'Table 2.5a'!$B$8:$B$192,0)))*1000, "")</f>
        <v>39572.967312658671</v>
      </c>
      <c r="K32" s="705">
        <f t="array" ref="K32">IFERROR(INDEX('Table 2.5a'!$I$8:$I$192,MATCH('Table 2.5b'!$A32&amp;'Table 2.5b'!$B32,'Table 2.5a'!$A$8:$A$192&amp;'Table 2.5a'!$B$8:$B$192,0))/INDEX('Table 2.5a'!$L$8:$L$192,MATCH('Table 2.5b'!$A32&amp;'Table 2.5b'!$B32,'Table 2.5a'!$A$8:$A$192&amp;'Table 2.5a'!$B$8:$B$192,0)),"")</f>
        <v>1.596249593843159E-2</v>
      </c>
      <c r="L32" s="658" t="s">
        <v>356</v>
      </c>
      <c r="M32" s="709">
        <f t="array" ref="M32">INDEX(UtilityList!Q$4:Q$251,MATCH('Table 2.5b'!$A32&amp;'Table 2.5b'!$B32,UtilityList!$A$4:$A$251&amp;UtilityList!$C$4:$C$251,0))</f>
        <v>0</v>
      </c>
      <c r="N32" s="709" t="str">
        <f t="array" ref="N32">INDEX(UtilityList!J$4:J$251,MATCH('Table 2.5b'!$A32&amp;'Table 2.5b'!$B32,UtilityList!$A$4:$A$251&amp;UtilityList!$C$4:$C$251,0))</f>
        <v>Northwest Arctic</v>
      </c>
      <c r="O32" s="709" t="str">
        <f t="array" ref="O32">INDEX(UtilityList!K$4:K$251,MATCH('Table 2.5b'!$A32&amp;'Table 2.5b'!$B32,UtilityList!$A$4:$A$251&amp;UtilityList!$C$4:$C$251,0))</f>
        <v>Northwest Arctic</v>
      </c>
      <c r="P32" s="709" t="str">
        <f t="array" ref="P32">INDEX(UtilityList!L$4:L$251,MATCH('Table 2.5b'!$A32&amp;'Table 2.5b'!$B32,UtilityList!$A$4:$A$251&amp;UtilityList!$C$4:$C$251,0))</f>
        <v>NANA</v>
      </c>
      <c r="Q32" s="709" t="str">
        <f t="array" ref="Q32">INDEX(UtilityList!M$4:M$251,MATCH('Table 2.5b'!$A32&amp;'Table 2.5b'!$B32,UtilityList!$A$4:$A$251&amp;UtilityList!$C$4:$C$251,0))</f>
        <v>AN</v>
      </c>
    </row>
    <row r="33" spans="1:17" s="200" customFormat="1" ht="30" x14ac:dyDescent="0.25">
      <c r="A33" s="361" t="s">
        <v>524</v>
      </c>
      <c r="B33" s="654" t="s">
        <v>68</v>
      </c>
      <c r="C33" s="655">
        <f t="array" ref="C33">IFERROR((INDEX('Table 2.5a'!$D$8:$D$192,MATCH('Table 2.5b'!A33&amp;'Table 2.5b'!B33,'Table 2.5a'!$A$8:$A$192&amp;'Table 2.5a'!$B$8:$B$192,0))/INDEX('Table 2.5a'!$E$8:$E$192,MATCH('Table 2.5b'!A33&amp;'Table 2.5b'!B33,'Table 2.5a'!$A$8:$A$192&amp;'Table 2.5a'!$B$8:$B$192,0)))*1000, "")</f>
        <v>2822.7528747587558</v>
      </c>
      <c r="D33" s="655">
        <f t="array" ref="D33">IFERROR((INDEX('Table 2.5a'!$C$8:$C$192,MATCH('Table 2.5b'!A33&amp;'Table 2.5b'!B33,'Table 2.5a'!$A$8:$A$192&amp;'Table 2.5a'!$B$8:$B$192,0))/INDEX('Table 2.5a'!$E$8:$E$192,MATCH('Table 2.5b'!A33&amp;'Table 2.5b'!B33,'Table 2.5a'!$A$8:$A$192&amp;'Table 2.5a'!$B$8:$B$192,0)))*1000, "")</f>
        <v>1668.152866629109</v>
      </c>
      <c r="E33" s="705">
        <f t="array" ref="E33">IFERROR(INDEX('Table 2.5a'!$C$8:$C$192,MATCH('Table 2.5b'!$A33&amp;'Table 2.5b'!$B33,'Table 2.5a'!$A$8:$A$192&amp;'Table 2.5a'!$B$8:$B$192,0))/INDEX('Table 2.5a'!$D$8:$D$192,MATCH('Table 2.5b'!$A33&amp;'Table 2.5b'!$B33,'Table 2.5a'!$A$8:$A$192&amp;'Table 2.5a'!$B$8:$B$192,0)),"")</f>
        <v>0.59096667000000003</v>
      </c>
      <c r="F33" s="655">
        <f t="array" ref="F33">IFERROR((INDEX('Table 2.5a'!$H$8:$H$192,MATCH('Table 2.5b'!$A33&amp;'Table 2.5b'!$B33,'Table 2.5a'!$A$8:$A$192&amp;'Table 2.5a'!$B$8:$B$192,0))/INDEX('Table 2.5a'!$I$8:$I$192,MATCH('Table 2.5b'!$A33&amp;'Table 2.5b'!$B33,'Table 2.5a'!$A$8:$A$192&amp;'Table 2.5a'!$B$8:$B$192,0)))*1000, "")</f>
        <v>6579.5294117647054</v>
      </c>
      <c r="G33" s="655">
        <f t="array" ref="G33">IFERROR((INDEX('Table 2.5a'!$G$8:$G$192,MATCH('Table 2.5b'!$A33&amp;'Table 2.5b'!$B33,'Table 2.5a'!$A$8:$A$192&amp;'Table 2.5a'!$B$8:$B$192,0))/INDEX('Table 2.5a'!$I$8:$I$192,MATCH('Table 2.5b'!$A33&amp;'Table 2.5b'!$B33,'Table 2.5a'!$A$8:$A$192&amp;'Table 2.5a'!$B$8:$B$192,0)))*1000, "")</f>
        <v>3888.2825866376475</v>
      </c>
      <c r="H33" s="705">
        <f t="array" ref="H33">IFERROR(INDEX('Table 2.5a'!$G$8:$G$192,MATCH('Table 2.5b'!$A33&amp;'Table 2.5b'!$B33,'Table 2.5a'!$A$8:$A$192&amp;'Table 2.5a'!$B$8:$B$192,0))/INDEX('Table 2.5a'!$H$8:$H$192,MATCH('Table 2.5b'!$A33&amp;'Table 2.5b'!$B33,'Table 2.5a'!$A$8:$A$192&amp;'Table 2.5a'!$B$8:$B$192,0)),"")</f>
        <v>0.59096667000000014</v>
      </c>
      <c r="I33" s="655">
        <f t="array" ref="I33">IFERROR((INDEX('Table 2.5a'!$L$8:$L$192,MATCH('Table 2.5b'!$A33&amp;'Table 2.5b'!$B33,'Table 2.5a'!$A$8:$A$192&amp;'Table 2.5a'!$B$8:$B$192,0))/INDEX('Table 2.5a'!$I$8:$I$192,MATCH('Table 2.5b'!$A33&amp;'Table 2.5b'!$B33,'Table 2.5a'!$A$8:$A$192&amp;'Table 2.5a'!$B$8:$B$192,0)))*1000, "")</f>
        <v>20317.058823529413</v>
      </c>
      <c r="J33" s="655">
        <f t="array" ref="J33">IFERROR((INDEX('Table 2.5a'!$K$8:$K$192,MATCH('Table 2.5b'!$A33&amp;'Table 2.5b'!$B33,'Table 2.5a'!$A$8:$A$192&amp;'Table 2.5a'!$B$8:$B$192,0))/INDEX('Table 2.5a'!$I$8:$I$192,MATCH('Table 2.5b'!$A33&amp;'Table 2.5b'!$B33,'Table 2.5a'!$A$8:$A$192&amp;'Table 2.5a'!$B$8:$B$192,0)))*1000, "")</f>
        <v>12006.704597135293</v>
      </c>
      <c r="K33" s="705">
        <f t="array" ref="K33">IFERROR(INDEX('Table 2.5a'!$I$8:$I$192,MATCH('Table 2.5b'!$A33&amp;'Table 2.5b'!$B33,'Table 2.5a'!$A$8:$A$192&amp;'Table 2.5a'!$B$8:$B$192,0))/INDEX('Table 2.5a'!$L$8:$L$192,MATCH('Table 2.5b'!$A33&amp;'Table 2.5b'!$B33,'Table 2.5a'!$A$8:$A$192&amp;'Table 2.5a'!$B$8:$B$192,0)),"")</f>
        <v>4.9219722632386581E-2</v>
      </c>
      <c r="L33" s="658" t="s">
        <v>356</v>
      </c>
      <c r="M33" s="709">
        <f t="array" ref="M33">INDEX(UtilityList!Q$4:Q$251,MATCH('Table 2.5b'!$A33&amp;'Table 2.5b'!$B33,UtilityList!$A$4:$A$251&amp;UtilityList!$C$4:$C$251,0))</f>
        <v>0</v>
      </c>
      <c r="N33" s="709" t="str">
        <f t="array" ref="N33">INDEX(UtilityList!J$4:J$251,MATCH('Table 2.5b'!$A33&amp;'Table 2.5b'!$B33,UtilityList!$A$4:$A$251&amp;UtilityList!$C$4:$C$251,0))</f>
        <v>Yukon-Koyukuk/Upper Tanana</v>
      </c>
      <c r="O33" s="709" t="str">
        <f t="array" ref="O33">INDEX(UtilityList!K$4:K$251,MATCH('Table 2.5b'!$A33&amp;'Table 2.5b'!$B33,UtilityList!$A$4:$A$251&amp;UtilityList!$C$4:$C$251,0))</f>
        <v>Yukon-Koyukuk (CA)</v>
      </c>
      <c r="P33" s="709" t="str">
        <f t="array" ref="P33">INDEX(UtilityList!L$4:L$251,MATCH('Table 2.5b'!$A33&amp;'Table 2.5b'!$B33,UtilityList!$A$4:$A$251&amp;UtilityList!$C$4:$C$251,0))</f>
        <v>Doyon</v>
      </c>
      <c r="Q33" s="709" t="str">
        <f t="array" ref="Q33">INDEX(UtilityList!M$4:M$251,MATCH('Table 2.5b'!$A33&amp;'Table 2.5b'!$B33,UtilityList!$A$4:$A$251&amp;UtilityList!$C$4:$C$251,0))</f>
        <v>YU</v>
      </c>
    </row>
    <row r="34" spans="1:17" s="200" customFormat="1" ht="30" x14ac:dyDescent="0.25">
      <c r="A34" s="361" t="s">
        <v>524</v>
      </c>
      <c r="B34" s="654" t="s">
        <v>69</v>
      </c>
      <c r="C34" s="655">
        <f t="array" ref="C34">IFERROR((INDEX('Table 2.5a'!$D$8:$D$192,MATCH('Table 2.5b'!A34&amp;'Table 2.5b'!B34,'Table 2.5a'!$A$8:$A$192&amp;'Table 2.5a'!$B$8:$B$192,0))/INDEX('Table 2.5a'!$E$8:$E$192,MATCH('Table 2.5b'!A34&amp;'Table 2.5b'!B34,'Table 2.5a'!$A$8:$A$192&amp;'Table 2.5a'!$B$8:$B$192,0)))*1000, "")</f>
        <v>4874.7851651755145</v>
      </c>
      <c r="D34" s="655">
        <f t="array" ref="D34">IFERROR((INDEX('Table 2.5a'!$C$8:$C$192,MATCH('Table 2.5b'!A34&amp;'Table 2.5b'!B34,'Table 2.5a'!$A$8:$A$192&amp;'Table 2.5a'!$B$8:$B$192,0))/INDEX('Table 2.5a'!$E$8:$E$192,MATCH('Table 2.5b'!A34&amp;'Table 2.5b'!B34,'Table 2.5a'!$A$8:$A$192&amp;'Table 2.5a'!$B$8:$B$192,0)))*1000, "")</f>
        <v>2611.7474149114855</v>
      </c>
      <c r="E34" s="705">
        <f t="array" ref="E34">IFERROR(INDEX('Table 2.5a'!$C$8:$C$192,MATCH('Table 2.5b'!$A34&amp;'Table 2.5b'!$B34,'Table 2.5a'!$A$8:$A$192&amp;'Table 2.5a'!$B$8:$B$192,0))/INDEX('Table 2.5a'!$D$8:$D$192,MATCH('Table 2.5b'!$A34&amp;'Table 2.5b'!$B34,'Table 2.5a'!$A$8:$A$192&amp;'Table 2.5a'!$B$8:$B$192,0)),"")</f>
        <v>0.53576667</v>
      </c>
      <c r="F34" s="655">
        <f t="array" ref="F34">IFERROR((INDEX('Table 2.5a'!$H$8:$H$192,MATCH('Table 2.5b'!$A34&amp;'Table 2.5b'!$B34,'Table 2.5a'!$A$8:$A$192&amp;'Table 2.5a'!$B$8:$B$192,0))/INDEX('Table 2.5a'!$I$8:$I$192,MATCH('Table 2.5b'!$A34&amp;'Table 2.5b'!$B34,'Table 2.5a'!$A$8:$A$192&amp;'Table 2.5a'!$B$8:$B$192,0)))*1000, "")</f>
        <v>18416.899290267404</v>
      </c>
      <c r="G34" s="655">
        <f t="array" ref="G34">IFERROR((INDEX('Table 2.5a'!$G$8:$G$192,MATCH('Table 2.5b'!$A34&amp;'Table 2.5b'!$B34,'Table 2.5a'!$A$8:$A$192&amp;'Table 2.5a'!$B$8:$B$192,0))/INDEX('Table 2.5a'!$I$8:$I$192,MATCH('Table 2.5b'!$A34&amp;'Table 2.5b'!$B34,'Table 2.5a'!$A$8:$A$192&amp;'Table 2.5a'!$B$8:$B$192,0)))*1000, "")</f>
        <v>9867.1608044719287</v>
      </c>
      <c r="H34" s="705">
        <f t="array" ref="H34">IFERROR(INDEX('Table 2.5a'!$G$8:$G$192,MATCH('Table 2.5b'!$A34&amp;'Table 2.5b'!$B34,'Table 2.5a'!$A$8:$A$192&amp;'Table 2.5a'!$B$8:$B$192,0))/INDEX('Table 2.5a'!$H$8:$H$192,MATCH('Table 2.5b'!$A34&amp;'Table 2.5b'!$B34,'Table 2.5a'!$A$8:$A$192&amp;'Table 2.5a'!$B$8:$B$192,0)),"")</f>
        <v>0.53576667</v>
      </c>
      <c r="I34" s="655">
        <f t="array" ref="I34">IFERROR((INDEX('Table 2.5a'!$L$8:$L$192,MATCH('Table 2.5b'!$A34&amp;'Table 2.5b'!$B34,'Table 2.5a'!$A$8:$A$192&amp;'Table 2.5a'!$B$8:$B$192,0))/INDEX('Table 2.5a'!$I$8:$I$192,MATCH('Table 2.5b'!$A34&amp;'Table 2.5b'!$B34,'Table 2.5a'!$A$8:$A$192&amp;'Table 2.5a'!$B$8:$B$192,0)))*1000, "")</f>
        <v>68078.563327608164</v>
      </c>
      <c r="J34" s="655">
        <f t="array" ref="J34">IFERROR((INDEX('Table 2.5a'!$K$8:$K$192,MATCH('Table 2.5b'!$A34&amp;'Table 2.5b'!$B34,'Table 2.5a'!$A$8:$A$192&amp;'Table 2.5a'!$B$8:$B$192,0))/INDEX('Table 2.5a'!$I$8:$I$192,MATCH('Table 2.5b'!$A34&amp;'Table 2.5b'!$B34,'Table 2.5a'!$A$8:$A$192&amp;'Table 2.5a'!$B$8:$B$192,0)))*1000, "")</f>
        <v>36474.225172416744</v>
      </c>
      <c r="K34" s="705">
        <f t="array" ref="K34">IFERROR(INDEX('Table 2.5a'!$I$8:$I$192,MATCH('Table 2.5b'!$A34&amp;'Table 2.5b'!$B34,'Table 2.5a'!$A$8:$A$192&amp;'Table 2.5a'!$B$8:$B$192,0))/INDEX('Table 2.5a'!$L$8:$L$192,MATCH('Table 2.5b'!$A34&amp;'Table 2.5b'!$B34,'Table 2.5a'!$A$8:$A$192&amp;'Table 2.5a'!$B$8:$B$192,0)),"")</f>
        <v>1.468891162094289E-2</v>
      </c>
      <c r="L34" s="658" t="s">
        <v>356</v>
      </c>
      <c r="M34" s="709">
        <f t="array" ref="M34">INDEX(UtilityList!Q$4:Q$251,MATCH('Table 2.5b'!$A34&amp;'Table 2.5b'!$B34,UtilityList!$A$4:$A$251&amp;UtilityList!$C$4:$C$251,0))</f>
        <v>0</v>
      </c>
      <c r="N34" s="709" t="str">
        <f t="array" ref="N34">INDEX(UtilityList!J$4:J$251,MATCH('Table 2.5b'!$A34&amp;'Table 2.5b'!$B34,UtilityList!$A$4:$A$251&amp;UtilityList!$C$4:$C$251,0))</f>
        <v>Bering Straits</v>
      </c>
      <c r="O34" s="709" t="str">
        <f t="array" ref="O34">INDEX(UtilityList!K$4:K$251,MATCH('Table 2.5b'!$A34&amp;'Table 2.5b'!$B34,UtilityList!$A$4:$A$251&amp;UtilityList!$C$4:$C$251,0))</f>
        <v>Nome (CA)</v>
      </c>
      <c r="P34" s="709" t="str">
        <f t="array" ref="P34">INDEX(UtilityList!L$4:L$251,MATCH('Table 2.5b'!$A34&amp;'Table 2.5b'!$B34,UtilityList!$A$4:$A$251&amp;UtilityList!$C$4:$C$251,0))</f>
        <v>Bering Straits</v>
      </c>
      <c r="Q34" s="709" t="str">
        <f t="array" ref="Q34">INDEX(UtilityList!M$4:M$251,MATCH('Table 2.5b'!$A34&amp;'Table 2.5b'!$B34,UtilityList!$A$4:$A$251&amp;UtilityList!$C$4:$C$251,0))</f>
        <v>AN</v>
      </c>
    </row>
    <row r="35" spans="1:17" s="200" customFormat="1" ht="30" x14ac:dyDescent="0.25">
      <c r="A35" s="361" t="s">
        <v>524</v>
      </c>
      <c r="B35" s="654" t="s">
        <v>70</v>
      </c>
      <c r="C35" s="655">
        <f t="array" ref="C35">IFERROR((INDEX('Table 2.5a'!$D$8:$D$192,MATCH('Table 2.5b'!A35&amp;'Table 2.5b'!B35,'Table 2.5a'!$A$8:$A$192&amp;'Table 2.5a'!$B$8:$B$192,0))/INDEX('Table 2.5a'!$E$8:$E$192,MATCH('Table 2.5b'!A35&amp;'Table 2.5b'!B35,'Table 2.5a'!$A$8:$A$192&amp;'Table 2.5a'!$B$8:$B$192,0)))*1000, "")</f>
        <v>5597.3886597096634</v>
      </c>
      <c r="D35" s="655">
        <f t="array" ref="D35">IFERROR((INDEX('Table 2.5a'!$C$8:$C$192,MATCH('Table 2.5b'!A35&amp;'Table 2.5b'!B35,'Table 2.5a'!$A$8:$A$192&amp;'Table 2.5a'!$B$8:$B$192,0))/INDEX('Table 2.5a'!$E$8:$E$192,MATCH('Table 2.5b'!A35&amp;'Table 2.5b'!B35,'Table 2.5a'!$A$8:$A$192&amp;'Table 2.5a'!$B$8:$B$192,0)))*1000, "")</f>
        <v>2711.4216930108964</v>
      </c>
      <c r="E35" s="705">
        <f t="array" ref="E35">IFERROR(INDEX('Table 2.5a'!$C$8:$C$192,MATCH('Table 2.5b'!$A35&amp;'Table 2.5b'!$B35,'Table 2.5a'!$A$8:$A$192&amp;'Table 2.5a'!$B$8:$B$192,0))/INDEX('Table 2.5a'!$D$8:$D$192,MATCH('Table 2.5b'!$A35&amp;'Table 2.5b'!$B35,'Table 2.5a'!$A$8:$A$192&amp;'Table 2.5a'!$B$8:$B$192,0)),"")</f>
        <v>0.48440833</v>
      </c>
      <c r="F35" s="655">
        <f t="array" ref="F35">IFERROR((INDEX('Table 2.5a'!$H$8:$H$192,MATCH('Table 2.5b'!$A35&amp;'Table 2.5b'!$B35,'Table 2.5a'!$A$8:$A$192&amp;'Table 2.5a'!$B$8:$B$192,0))/INDEX('Table 2.5a'!$I$8:$I$192,MATCH('Table 2.5b'!$A35&amp;'Table 2.5b'!$B35,'Table 2.5a'!$A$8:$A$192&amp;'Table 2.5a'!$B$8:$B$192,0)))*1000, "")</f>
        <v>22309.411764705881</v>
      </c>
      <c r="G35" s="655">
        <f t="array" ref="G35">IFERROR((INDEX('Table 2.5a'!$G$8:$G$192,MATCH('Table 2.5b'!$A35&amp;'Table 2.5b'!$B35,'Table 2.5a'!$A$8:$A$192&amp;'Table 2.5a'!$B$8:$B$192,0))/INDEX('Table 2.5a'!$I$8:$I$192,MATCH('Table 2.5b'!$A35&amp;'Table 2.5b'!$B35,'Table 2.5a'!$A$8:$A$192&amp;'Table 2.5a'!$B$8:$B$192,0)))*1000, "")</f>
        <v>10806.864896223529</v>
      </c>
      <c r="H35" s="705">
        <f t="array" ref="H35">IFERROR(INDEX('Table 2.5a'!$G$8:$G$192,MATCH('Table 2.5b'!$A35&amp;'Table 2.5b'!$B35,'Table 2.5a'!$A$8:$A$192&amp;'Table 2.5a'!$B$8:$B$192,0))/INDEX('Table 2.5a'!$H$8:$H$192,MATCH('Table 2.5b'!$A35&amp;'Table 2.5b'!$B35,'Table 2.5a'!$A$8:$A$192&amp;'Table 2.5a'!$B$8:$B$192,0)),"")</f>
        <v>0.48440833</v>
      </c>
      <c r="I35" s="655">
        <f t="array" ref="I35">IFERROR((INDEX('Table 2.5a'!$L$8:$L$192,MATCH('Table 2.5b'!$A35&amp;'Table 2.5b'!$B35,'Table 2.5a'!$A$8:$A$192&amp;'Table 2.5a'!$B$8:$B$192,0))/INDEX('Table 2.5a'!$I$8:$I$192,MATCH('Table 2.5b'!$A35&amp;'Table 2.5b'!$B35,'Table 2.5a'!$A$8:$A$192&amp;'Table 2.5a'!$B$8:$B$192,0)))*1000, "")</f>
        <v>54629.470588235294</v>
      </c>
      <c r="J35" s="655">
        <f t="array" ref="J35">IFERROR((INDEX('Table 2.5a'!$K$8:$K$192,MATCH('Table 2.5b'!$A35&amp;'Table 2.5b'!$B35,'Table 2.5a'!$A$8:$A$192&amp;'Table 2.5a'!$B$8:$B$192,0))/INDEX('Table 2.5a'!$I$8:$I$192,MATCH('Table 2.5b'!$A35&amp;'Table 2.5b'!$B35,'Table 2.5a'!$A$8:$A$192&amp;'Table 2.5a'!$B$8:$B$192,0)))*1000, "")</f>
        <v>26462.970616431179</v>
      </c>
      <c r="K35" s="705">
        <f t="array" ref="K35">IFERROR(INDEX('Table 2.5a'!$I$8:$I$192,MATCH('Table 2.5b'!$A35&amp;'Table 2.5b'!$B35,'Table 2.5a'!$A$8:$A$192&amp;'Table 2.5a'!$B$8:$B$192,0))/INDEX('Table 2.5a'!$L$8:$L$192,MATCH('Table 2.5b'!$A35&amp;'Table 2.5b'!$B35,'Table 2.5a'!$A$8:$A$192&amp;'Table 2.5a'!$B$8:$B$192,0)),"")</f>
        <v>1.830513803689239E-2</v>
      </c>
      <c r="L35" s="658" t="s">
        <v>356</v>
      </c>
      <c r="M35" s="709">
        <f t="array" ref="M35">INDEX(UtilityList!Q$4:Q$251,MATCH('Table 2.5b'!$A35&amp;'Table 2.5b'!$B35,UtilityList!$A$4:$A$251&amp;UtilityList!$C$4:$C$251,0))</f>
        <v>0</v>
      </c>
      <c r="N35" s="709" t="str">
        <f t="array" ref="N35">INDEX(UtilityList!J$4:J$251,MATCH('Table 2.5b'!$A35&amp;'Table 2.5b'!$B35,UtilityList!$A$4:$A$251&amp;UtilityList!$C$4:$C$251,0))</f>
        <v>Lower Yukon-Kuskokwim</v>
      </c>
      <c r="O35" s="709" t="str">
        <f t="array" ref="O35">INDEX(UtilityList!K$4:K$251,MATCH('Table 2.5b'!$A35&amp;'Table 2.5b'!$B35,UtilityList!$A$4:$A$251&amp;UtilityList!$C$4:$C$251,0))</f>
        <v>Wade Hampton (CA)</v>
      </c>
      <c r="P35" s="709" t="str">
        <f t="array" ref="P35">INDEX(UtilityList!L$4:L$251,MATCH('Table 2.5b'!$A35&amp;'Table 2.5b'!$B35,UtilityList!$A$4:$A$251&amp;UtilityList!$C$4:$C$251,0))</f>
        <v>Calista</v>
      </c>
      <c r="Q35" s="709" t="str">
        <f t="array" ref="Q35">INDEX(UtilityList!M$4:M$251,MATCH('Table 2.5b'!$A35&amp;'Table 2.5b'!$B35,UtilityList!$A$4:$A$251&amp;UtilityList!$C$4:$C$251,0))</f>
        <v>YU</v>
      </c>
    </row>
    <row r="36" spans="1:17" s="200" customFormat="1" ht="30" x14ac:dyDescent="0.25">
      <c r="A36" s="361" t="s">
        <v>524</v>
      </c>
      <c r="B36" s="654" t="s">
        <v>71</v>
      </c>
      <c r="C36" s="655">
        <f t="array" ref="C36">IFERROR((INDEX('Table 2.5a'!$D$8:$D$192,MATCH('Table 2.5b'!A36&amp;'Table 2.5b'!B36,'Table 2.5a'!$A$8:$A$192&amp;'Table 2.5a'!$B$8:$B$192,0))/INDEX('Table 2.5a'!$E$8:$E$192,MATCH('Table 2.5b'!A36&amp;'Table 2.5b'!B36,'Table 2.5a'!$A$8:$A$192&amp;'Table 2.5a'!$B$8:$B$192,0)))*1000, "")</f>
        <v>3564.0818838167206</v>
      </c>
      <c r="D36" s="655">
        <f t="array" ref="D36">IFERROR((INDEX('Table 2.5a'!$C$8:$C$192,MATCH('Table 2.5b'!A36&amp;'Table 2.5b'!B36,'Table 2.5a'!$A$8:$A$192&amp;'Table 2.5a'!$B$8:$B$192,0))/INDEX('Table 2.5a'!$E$8:$E$192,MATCH('Table 2.5b'!A36&amp;'Table 2.5b'!B36,'Table 2.5a'!$A$8:$A$192&amp;'Table 2.5a'!$B$8:$B$192,0)))*1000, "")</f>
        <v>2151.190723024677</v>
      </c>
      <c r="E36" s="705">
        <f t="array" ref="E36">IFERROR(INDEX('Table 2.5a'!$C$8:$C$192,MATCH('Table 2.5b'!$A36&amp;'Table 2.5b'!$B36,'Table 2.5a'!$A$8:$A$192&amp;'Table 2.5a'!$B$8:$B$192,0))/INDEX('Table 2.5a'!$D$8:$D$192,MATCH('Table 2.5b'!$A36&amp;'Table 2.5b'!$B36,'Table 2.5a'!$A$8:$A$192&amp;'Table 2.5a'!$B$8:$B$192,0)),"")</f>
        <v>0.60357499999999997</v>
      </c>
      <c r="F36" s="655">
        <f t="array" ref="F36">IFERROR((INDEX('Table 2.5a'!$H$8:$H$192,MATCH('Table 2.5b'!$A36&amp;'Table 2.5b'!$B36,'Table 2.5a'!$A$8:$A$192&amp;'Table 2.5a'!$B$8:$B$192,0))/INDEX('Table 2.5a'!$I$8:$I$192,MATCH('Table 2.5b'!$A36&amp;'Table 2.5b'!$B36,'Table 2.5a'!$A$8:$A$192&amp;'Table 2.5a'!$B$8:$B$192,0)))*1000, "")</f>
        <v>11504.108419029955</v>
      </c>
      <c r="G36" s="655">
        <f t="array" ref="G36">IFERROR((INDEX('Table 2.5a'!$G$8:$G$192,MATCH('Table 2.5b'!$A36&amp;'Table 2.5b'!$B36,'Table 2.5a'!$A$8:$A$192&amp;'Table 2.5a'!$B$8:$B$192,0))/INDEX('Table 2.5a'!$I$8:$I$192,MATCH('Table 2.5b'!$A36&amp;'Table 2.5b'!$B36,'Table 2.5a'!$A$8:$A$192&amp;'Table 2.5a'!$B$8:$B$192,0)))*1000, "")</f>
        <v>6943.5922390160058</v>
      </c>
      <c r="H36" s="705">
        <f t="array" ref="H36">IFERROR(INDEX('Table 2.5a'!$G$8:$G$192,MATCH('Table 2.5b'!$A36&amp;'Table 2.5b'!$B36,'Table 2.5a'!$A$8:$A$192&amp;'Table 2.5a'!$B$8:$B$192,0))/INDEX('Table 2.5a'!$H$8:$H$192,MATCH('Table 2.5b'!$A36&amp;'Table 2.5b'!$B36,'Table 2.5a'!$A$8:$A$192&amp;'Table 2.5a'!$B$8:$B$192,0)),"")</f>
        <v>0.60357499999999997</v>
      </c>
      <c r="I36" s="655">
        <f t="array" ref="I36">IFERROR((INDEX('Table 2.5a'!$L$8:$L$192,MATCH('Table 2.5b'!$A36&amp;'Table 2.5b'!$B36,'Table 2.5a'!$A$8:$A$192&amp;'Table 2.5a'!$B$8:$B$192,0))/INDEX('Table 2.5a'!$I$8:$I$192,MATCH('Table 2.5b'!$A36&amp;'Table 2.5b'!$B36,'Table 2.5a'!$A$8:$A$192&amp;'Table 2.5a'!$B$8:$B$192,0)))*1000, "")</f>
        <v>22999.703324316306</v>
      </c>
      <c r="J36" s="655">
        <f t="array" ref="J36">IFERROR((INDEX('Table 2.5a'!$K$8:$K$192,MATCH('Table 2.5b'!$A36&amp;'Table 2.5b'!$B36,'Table 2.5a'!$A$8:$A$192&amp;'Table 2.5a'!$B$8:$B$192,0))/INDEX('Table 2.5a'!$I$8:$I$192,MATCH('Table 2.5b'!$A36&amp;'Table 2.5b'!$B36,'Table 2.5a'!$A$8:$A$192&amp;'Table 2.5a'!$B$8:$B$192,0)))*1000, "")</f>
        <v>13882.045933974216</v>
      </c>
      <c r="K36" s="705">
        <f t="array" ref="K36">IFERROR(INDEX('Table 2.5a'!$I$8:$I$192,MATCH('Table 2.5b'!$A36&amp;'Table 2.5b'!$B36,'Table 2.5a'!$A$8:$A$192&amp;'Table 2.5a'!$B$8:$B$192,0))/INDEX('Table 2.5a'!$L$8:$L$192,MATCH('Table 2.5b'!$A36&amp;'Table 2.5b'!$B36,'Table 2.5a'!$A$8:$A$192&amp;'Table 2.5a'!$B$8:$B$192,0)),"")</f>
        <v>4.3478821700398004E-2</v>
      </c>
      <c r="L36" s="658" t="s">
        <v>356</v>
      </c>
      <c r="M36" s="709">
        <f t="array" ref="M36">INDEX(UtilityList!Q$4:Q$251,MATCH('Table 2.5b'!$A36&amp;'Table 2.5b'!$B36,UtilityList!$A$4:$A$251&amp;UtilityList!$C$4:$C$251,0))</f>
        <v>0</v>
      </c>
      <c r="N36" s="709" t="str">
        <f t="array" ref="N36">INDEX(UtilityList!J$4:J$251,MATCH('Table 2.5b'!$A36&amp;'Table 2.5b'!$B36,UtilityList!$A$4:$A$251&amp;UtilityList!$C$4:$C$251,0))</f>
        <v>Lower Yukon-Kuskokwim</v>
      </c>
      <c r="O36" s="709" t="str">
        <f t="array" ref="O36">INDEX(UtilityList!K$4:K$251,MATCH('Table 2.5b'!$A36&amp;'Table 2.5b'!$B36,UtilityList!$A$4:$A$251&amp;UtilityList!$C$4:$C$251,0))</f>
        <v>Bethel (CA)</v>
      </c>
      <c r="P36" s="709" t="str">
        <f t="array" ref="P36">INDEX(UtilityList!L$4:L$251,MATCH('Table 2.5b'!$A36&amp;'Table 2.5b'!$B36,UtilityList!$A$4:$A$251&amp;UtilityList!$C$4:$C$251,0))</f>
        <v>Calista</v>
      </c>
      <c r="Q36" s="709" t="str">
        <f t="array" ref="Q36">INDEX(UtilityList!M$4:M$251,MATCH('Table 2.5b'!$A36&amp;'Table 2.5b'!$B36,UtilityList!$A$4:$A$251&amp;UtilityList!$C$4:$C$251,0))</f>
        <v>SW</v>
      </c>
    </row>
    <row r="37" spans="1:17" s="200" customFormat="1" ht="30" x14ac:dyDescent="0.25">
      <c r="A37" s="361" t="s">
        <v>524</v>
      </c>
      <c r="B37" s="654" t="s">
        <v>173</v>
      </c>
      <c r="C37" s="655">
        <f t="array" ref="C37">IFERROR((INDEX('Table 2.5a'!$D$8:$D$192,MATCH('Table 2.5b'!A37&amp;'Table 2.5b'!B37,'Table 2.5a'!$A$8:$A$192&amp;'Table 2.5a'!$B$8:$B$192,0))/INDEX('Table 2.5a'!$E$8:$E$192,MATCH('Table 2.5b'!A37&amp;'Table 2.5b'!B37,'Table 2.5a'!$A$8:$A$192&amp;'Table 2.5a'!$B$8:$B$192,0)))*1000, "")</f>
        <v>2384.9079970704274</v>
      </c>
      <c r="D37" s="655">
        <f t="array" ref="D37">IFERROR((INDEX('Table 2.5a'!$C$8:$C$192,MATCH('Table 2.5b'!A37&amp;'Table 2.5b'!B37,'Table 2.5a'!$A$8:$A$192&amp;'Table 2.5a'!$B$8:$B$192,0))/INDEX('Table 2.5a'!$E$8:$E$192,MATCH('Table 2.5b'!A37&amp;'Table 2.5b'!B37,'Table 2.5a'!$A$8:$A$192&amp;'Table 2.5a'!$B$8:$B$192,0)))*1000, "")</f>
        <v>1766.5013534300656</v>
      </c>
      <c r="E37" s="705">
        <f t="array" ref="E37">IFERROR(INDEX('Table 2.5a'!$C$8:$C$192,MATCH('Table 2.5b'!$A37&amp;'Table 2.5b'!$B37,'Table 2.5a'!$A$8:$A$192&amp;'Table 2.5a'!$B$8:$B$192,0))/INDEX('Table 2.5a'!$D$8:$D$192,MATCH('Table 2.5b'!$A37&amp;'Table 2.5b'!$B37,'Table 2.5a'!$A$8:$A$192&amp;'Table 2.5a'!$B$8:$B$192,0)),"")</f>
        <v>0.74070000000000003</v>
      </c>
      <c r="F37" s="655">
        <f t="array" ref="F37">IFERROR((INDEX('Table 2.5a'!$H$8:$H$192,MATCH('Table 2.5b'!$A37&amp;'Table 2.5b'!$B37,'Table 2.5a'!$A$8:$A$192&amp;'Table 2.5a'!$B$8:$B$192,0))/INDEX('Table 2.5a'!$I$8:$I$192,MATCH('Table 2.5b'!$A37&amp;'Table 2.5b'!$B37,'Table 2.5a'!$A$8:$A$192&amp;'Table 2.5a'!$B$8:$B$192,0)))*1000, "")</f>
        <v>4951.5613666235822</v>
      </c>
      <c r="G37" s="655">
        <f t="array" ref="G37">IFERROR((INDEX('Table 2.5a'!$G$8:$G$192,MATCH('Table 2.5b'!$A37&amp;'Table 2.5b'!$B37,'Table 2.5a'!$A$8:$A$192&amp;'Table 2.5a'!$B$8:$B$192,0))/INDEX('Table 2.5a'!$I$8:$I$192,MATCH('Table 2.5b'!$A37&amp;'Table 2.5b'!$B37,'Table 2.5a'!$A$8:$A$192&amp;'Table 2.5a'!$B$8:$B$192,0)))*1000, "")</f>
        <v>3667.6215042580875</v>
      </c>
      <c r="H37" s="705">
        <f t="array" ref="H37">IFERROR(INDEX('Table 2.5a'!$G$8:$G$192,MATCH('Table 2.5b'!$A37&amp;'Table 2.5b'!$B37,'Table 2.5a'!$A$8:$A$192&amp;'Table 2.5a'!$B$8:$B$192,0))/INDEX('Table 2.5a'!$H$8:$H$192,MATCH('Table 2.5b'!$A37&amp;'Table 2.5b'!$B37,'Table 2.5a'!$A$8:$A$192&amp;'Table 2.5a'!$B$8:$B$192,0)),"")</f>
        <v>0.74070000000000003</v>
      </c>
      <c r="I37" s="655">
        <f t="array" ref="I37">IFERROR((INDEX('Table 2.5a'!$L$8:$L$192,MATCH('Table 2.5b'!$A37&amp;'Table 2.5b'!$B37,'Table 2.5a'!$A$8:$A$192&amp;'Table 2.5a'!$B$8:$B$192,0))/INDEX('Table 2.5a'!$I$8:$I$192,MATCH('Table 2.5b'!$A37&amp;'Table 2.5b'!$B37,'Table 2.5a'!$A$8:$A$192&amp;'Table 2.5a'!$B$8:$B$192,0)))*1000, "")</f>
        <v>1428.9103105553645</v>
      </c>
      <c r="J37" s="655">
        <f t="array" ref="J37">IFERROR((INDEX('Table 2.5a'!$K$8:$K$192,MATCH('Table 2.5b'!$A37&amp;'Table 2.5b'!$B37,'Table 2.5a'!$A$8:$A$192&amp;'Table 2.5a'!$B$8:$B$192,0))/INDEX('Table 2.5a'!$I$8:$I$192,MATCH('Table 2.5b'!$A37&amp;'Table 2.5b'!$B37,'Table 2.5a'!$A$8:$A$192&amp;'Table 2.5a'!$B$8:$B$192,0)))*1000, "")</f>
        <v>1058.3938670283585</v>
      </c>
      <c r="K37" s="705">
        <f t="array" ref="K37">IFERROR(INDEX('Table 2.5a'!$I$8:$I$192,MATCH('Table 2.5b'!$A37&amp;'Table 2.5b'!$B37,'Table 2.5a'!$A$8:$A$192&amp;'Table 2.5a'!$B$8:$B$192,0))/INDEX('Table 2.5a'!$L$8:$L$192,MATCH('Table 2.5b'!$A37&amp;'Table 2.5b'!$B37,'Table 2.5a'!$A$8:$A$192&amp;'Table 2.5a'!$B$8:$B$192,0)),"")</f>
        <v>0.69983398720899215</v>
      </c>
      <c r="L37" s="658" t="s">
        <v>356</v>
      </c>
      <c r="M37" s="709">
        <f t="array" ref="M37">INDEX(UtilityList!Q$4:Q$251,MATCH('Table 2.5b'!$A37&amp;'Table 2.5b'!$B37,UtilityList!$A$4:$A$251&amp;UtilityList!$C$4:$C$251,0))</f>
        <v>0</v>
      </c>
      <c r="N37" s="709" t="str">
        <f t="array" ref="N37">INDEX(UtilityList!J$4:J$251,MATCH('Table 2.5b'!$A37&amp;'Table 2.5b'!$B37,UtilityList!$A$4:$A$251&amp;UtilityList!$C$4:$C$251,0))</f>
        <v>Bristol Bay</v>
      </c>
      <c r="O37" s="709" t="str">
        <f t="array" ref="O37">INDEX(UtilityList!K$4:K$251,MATCH('Table 2.5b'!$A37&amp;'Table 2.5b'!$B37,UtilityList!$A$4:$A$251&amp;UtilityList!$C$4:$C$251,0))</f>
        <v>Dillingham (CA)</v>
      </c>
      <c r="P37" s="709" t="str">
        <f t="array" ref="P37">INDEX(UtilityList!L$4:L$251,MATCH('Table 2.5b'!$A37&amp;'Table 2.5b'!$B37,UtilityList!$A$4:$A$251&amp;UtilityList!$C$4:$C$251,0))</f>
        <v>Bristol Bay</v>
      </c>
      <c r="Q37" s="709" t="str">
        <f t="array" ref="Q37">INDEX(UtilityList!M$4:M$251,MATCH('Table 2.5b'!$A37&amp;'Table 2.5b'!$B37,UtilityList!$A$4:$A$251&amp;UtilityList!$C$4:$C$251,0))</f>
        <v>SW</v>
      </c>
    </row>
    <row r="38" spans="1:17" s="200" customFormat="1" ht="30" x14ac:dyDescent="0.25">
      <c r="A38" s="361" t="s">
        <v>524</v>
      </c>
      <c r="B38" s="654" t="s">
        <v>72</v>
      </c>
      <c r="C38" s="655">
        <f t="array" ref="C38">IFERROR((INDEX('Table 2.5a'!$D$8:$D$192,MATCH('Table 2.5b'!A38&amp;'Table 2.5b'!B38,'Table 2.5a'!$A$8:$A$192&amp;'Table 2.5a'!$B$8:$B$192,0))/INDEX('Table 2.5a'!$E$8:$E$192,MATCH('Table 2.5b'!A38&amp;'Table 2.5b'!B38,'Table 2.5a'!$A$8:$A$192&amp;'Table 2.5a'!$B$8:$B$192,0)))*1000, "")</f>
        <v>4483.4305912090149</v>
      </c>
      <c r="D38" s="655">
        <f t="array" ref="D38">IFERROR((INDEX('Table 2.5a'!$C$8:$C$192,MATCH('Table 2.5b'!A38&amp;'Table 2.5b'!B38,'Table 2.5a'!$A$8:$A$192&amp;'Table 2.5a'!$B$8:$B$192,0))/INDEX('Table 2.5a'!$E$8:$E$192,MATCH('Table 2.5b'!A38&amp;'Table 2.5b'!B38,'Table 2.5a'!$A$8:$A$192&amp;'Table 2.5a'!$B$8:$B$192,0)))*1000, "")</f>
        <v>2633.7913008057362</v>
      </c>
      <c r="E38" s="705">
        <f t="array" ref="E38">IFERROR(INDEX('Table 2.5a'!$C$8:$C$192,MATCH('Table 2.5b'!$A38&amp;'Table 2.5b'!$B38,'Table 2.5a'!$A$8:$A$192&amp;'Table 2.5a'!$B$8:$B$192,0))/INDEX('Table 2.5a'!$D$8:$D$192,MATCH('Table 2.5b'!$A38&amp;'Table 2.5b'!$B38,'Table 2.5a'!$A$8:$A$192&amp;'Table 2.5a'!$B$8:$B$192,0)),"")</f>
        <v>0.58745000000000003</v>
      </c>
      <c r="F38" s="655">
        <f t="array" ref="F38">IFERROR((INDEX('Table 2.5a'!$H$8:$H$192,MATCH('Table 2.5b'!$A38&amp;'Table 2.5b'!$B38,'Table 2.5a'!$A$8:$A$192&amp;'Table 2.5a'!$B$8:$B$192,0))/INDEX('Table 2.5a'!$I$8:$I$192,MATCH('Table 2.5b'!$A38&amp;'Table 2.5b'!$B38,'Table 2.5a'!$A$8:$A$192&amp;'Table 2.5a'!$B$8:$B$192,0)))*1000, "")</f>
        <v>18585.920000000002</v>
      </c>
      <c r="G38" s="655">
        <f t="array" ref="G38">IFERROR((INDEX('Table 2.5a'!$G$8:$G$192,MATCH('Table 2.5b'!$A38&amp;'Table 2.5b'!$B38,'Table 2.5a'!$A$8:$A$192&amp;'Table 2.5a'!$B$8:$B$192,0))/INDEX('Table 2.5a'!$I$8:$I$192,MATCH('Table 2.5b'!$A38&amp;'Table 2.5b'!$B38,'Table 2.5a'!$A$8:$A$192&amp;'Table 2.5a'!$B$8:$B$192,0)))*1000, "")</f>
        <v>10918.298704000001</v>
      </c>
      <c r="H38" s="705">
        <f t="array" ref="H38">IFERROR(INDEX('Table 2.5a'!$G$8:$G$192,MATCH('Table 2.5b'!$A38&amp;'Table 2.5b'!$B38,'Table 2.5a'!$A$8:$A$192&amp;'Table 2.5a'!$B$8:$B$192,0))/INDEX('Table 2.5a'!$H$8:$H$192,MATCH('Table 2.5b'!$A38&amp;'Table 2.5b'!$B38,'Table 2.5a'!$A$8:$A$192&amp;'Table 2.5a'!$B$8:$B$192,0)),"")</f>
        <v>0.58745000000000003</v>
      </c>
      <c r="I38" s="655">
        <f t="array" ref="I38">IFERROR((INDEX('Table 2.5a'!$L$8:$L$192,MATCH('Table 2.5b'!$A38&amp;'Table 2.5b'!$B38,'Table 2.5a'!$A$8:$A$192&amp;'Table 2.5a'!$B$8:$B$192,0))/INDEX('Table 2.5a'!$I$8:$I$192,MATCH('Table 2.5b'!$A38&amp;'Table 2.5b'!$B38,'Table 2.5a'!$A$8:$A$192&amp;'Table 2.5a'!$B$8:$B$192,0)))*1000, "")</f>
        <v>33319.040000000001</v>
      </c>
      <c r="J38" s="655">
        <f t="array" ref="J38">IFERROR((INDEX('Table 2.5a'!$K$8:$K$192,MATCH('Table 2.5b'!$A38&amp;'Table 2.5b'!$B38,'Table 2.5a'!$A$8:$A$192&amp;'Table 2.5a'!$B$8:$B$192,0))/INDEX('Table 2.5a'!$I$8:$I$192,MATCH('Table 2.5b'!$A38&amp;'Table 2.5b'!$B38,'Table 2.5a'!$A$8:$A$192&amp;'Table 2.5a'!$B$8:$B$192,0)))*1000, "")</f>
        <v>19573.270048000002</v>
      </c>
      <c r="K38" s="705">
        <f t="array" ref="K38">IFERROR(INDEX('Table 2.5a'!$I$8:$I$192,MATCH('Table 2.5b'!$A38&amp;'Table 2.5b'!$B38,'Table 2.5a'!$A$8:$A$192&amp;'Table 2.5a'!$B$8:$B$192,0))/INDEX('Table 2.5a'!$L$8:$L$192,MATCH('Table 2.5b'!$A38&amp;'Table 2.5b'!$B38,'Table 2.5a'!$A$8:$A$192&amp;'Table 2.5a'!$B$8:$B$192,0)),"")</f>
        <v>3.001286951844951E-2</v>
      </c>
      <c r="L38" s="658" t="s">
        <v>356</v>
      </c>
      <c r="M38" s="709">
        <f t="array" ref="M38">INDEX(UtilityList!Q$4:Q$251,MATCH('Table 2.5b'!$A38&amp;'Table 2.5b'!$B38,UtilityList!$A$4:$A$251&amp;UtilityList!$C$4:$C$251,0))</f>
        <v>0</v>
      </c>
      <c r="N38" s="709" t="str">
        <f t="array" ref="N38">INDEX(UtilityList!J$4:J$251,MATCH('Table 2.5b'!$A38&amp;'Table 2.5b'!$B38,UtilityList!$A$4:$A$251&amp;UtilityList!$C$4:$C$251,0))</f>
        <v>Bering Straits</v>
      </c>
      <c r="O38" s="709" t="str">
        <f t="array" ref="O38">INDEX(UtilityList!K$4:K$251,MATCH('Table 2.5b'!$A38&amp;'Table 2.5b'!$B38,UtilityList!$A$4:$A$251&amp;UtilityList!$C$4:$C$251,0))</f>
        <v>Nome (CA)</v>
      </c>
      <c r="P38" s="709" t="str">
        <f t="array" ref="P38">INDEX(UtilityList!L$4:L$251,MATCH('Table 2.5b'!$A38&amp;'Table 2.5b'!$B38,UtilityList!$A$4:$A$251&amp;UtilityList!$C$4:$C$251,0))</f>
        <v>Bering Straits</v>
      </c>
      <c r="Q38" s="709" t="str">
        <f t="array" ref="Q38">INDEX(UtilityList!M$4:M$251,MATCH('Table 2.5b'!$A38&amp;'Table 2.5b'!$B38,UtilityList!$A$4:$A$251&amp;UtilityList!$C$4:$C$251,0))</f>
        <v>AN</v>
      </c>
    </row>
    <row r="39" spans="1:17" s="200" customFormat="1" ht="30" x14ac:dyDescent="0.25">
      <c r="A39" s="361" t="s">
        <v>524</v>
      </c>
      <c r="B39" s="654" t="s">
        <v>73</v>
      </c>
      <c r="C39" s="655">
        <f t="array" ref="C39">IFERROR((INDEX('Table 2.5a'!$D$8:$D$192,MATCH('Table 2.5b'!A39&amp;'Table 2.5b'!B39,'Table 2.5a'!$A$8:$A$192&amp;'Table 2.5a'!$B$8:$B$192,0))/INDEX('Table 2.5a'!$E$8:$E$192,MATCH('Table 2.5b'!A39&amp;'Table 2.5b'!B39,'Table 2.5a'!$A$8:$A$192&amp;'Table 2.5a'!$B$8:$B$192,0)))*1000, "")</f>
        <v>5461.705543116811</v>
      </c>
      <c r="D39" s="655">
        <f t="array" ref="D39">IFERROR((INDEX('Table 2.5a'!$C$8:$C$192,MATCH('Table 2.5b'!A39&amp;'Table 2.5b'!B39,'Table 2.5a'!$A$8:$A$192&amp;'Table 2.5a'!$B$8:$B$192,0))/INDEX('Table 2.5a'!$E$8:$E$192,MATCH('Table 2.5b'!A39&amp;'Table 2.5b'!B39,'Table 2.5a'!$A$8:$A$192&amp;'Table 2.5a'!$B$8:$B$192,0)))*1000, "")</f>
        <v>3009.2632116187856</v>
      </c>
      <c r="E39" s="705">
        <f t="array" ref="E39">IFERROR(INDEX('Table 2.5a'!$C$8:$C$192,MATCH('Table 2.5b'!$A39&amp;'Table 2.5b'!$B39,'Table 2.5a'!$A$8:$A$192&amp;'Table 2.5a'!$B$8:$B$192,0))/INDEX('Table 2.5a'!$D$8:$D$192,MATCH('Table 2.5b'!$A39&amp;'Table 2.5b'!$B39,'Table 2.5a'!$A$8:$A$192&amp;'Table 2.5a'!$B$8:$B$192,0)),"")</f>
        <v>0.55097499999999999</v>
      </c>
      <c r="F39" s="655">
        <f t="array" ref="F39">IFERROR((INDEX('Table 2.5a'!$H$8:$H$192,MATCH('Table 2.5b'!$A39&amp;'Table 2.5b'!$B39,'Table 2.5a'!$A$8:$A$192&amp;'Table 2.5a'!$B$8:$B$192,0))/INDEX('Table 2.5a'!$I$8:$I$192,MATCH('Table 2.5b'!$A39&amp;'Table 2.5b'!$B39,'Table 2.5a'!$A$8:$A$192&amp;'Table 2.5a'!$B$8:$B$192,0)))*1000, "")</f>
        <v>25025.923036924636</v>
      </c>
      <c r="G39" s="655">
        <f t="array" ref="G39">IFERROR((INDEX('Table 2.5a'!$G$8:$G$192,MATCH('Table 2.5b'!$A39&amp;'Table 2.5b'!$B39,'Table 2.5a'!$A$8:$A$192&amp;'Table 2.5a'!$B$8:$B$192,0))/INDEX('Table 2.5a'!$I$8:$I$192,MATCH('Table 2.5b'!$A39&amp;'Table 2.5b'!$B39,'Table 2.5a'!$A$8:$A$192&amp;'Table 2.5a'!$B$8:$B$192,0)))*1000, "")</f>
        <v>13788.65794526955</v>
      </c>
      <c r="H39" s="705">
        <f t="array" ref="H39">IFERROR(INDEX('Table 2.5a'!$G$8:$G$192,MATCH('Table 2.5b'!$A39&amp;'Table 2.5b'!$B39,'Table 2.5a'!$A$8:$A$192&amp;'Table 2.5a'!$B$8:$B$192,0))/INDEX('Table 2.5a'!$H$8:$H$192,MATCH('Table 2.5b'!$A39&amp;'Table 2.5b'!$B39,'Table 2.5a'!$A$8:$A$192&amp;'Table 2.5a'!$B$8:$B$192,0)),"")</f>
        <v>0.55097499999999999</v>
      </c>
      <c r="I39" s="655">
        <f t="array" ref="I39">IFERROR((INDEX('Table 2.5a'!$L$8:$L$192,MATCH('Table 2.5b'!$A39&amp;'Table 2.5b'!$B39,'Table 2.5a'!$A$8:$A$192&amp;'Table 2.5a'!$B$8:$B$192,0))/INDEX('Table 2.5a'!$I$8:$I$192,MATCH('Table 2.5b'!$A39&amp;'Table 2.5b'!$B39,'Table 2.5a'!$A$8:$A$192&amp;'Table 2.5a'!$B$8:$B$192,0)))*1000, "")</f>
        <v>34984.585924675004</v>
      </c>
      <c r="J39" s="655">
        <f t="array" ref="J39">IFERROR((INDEX('Table 2.5a'!$K$8:$K$192,MATCH('Table 2.5b'!$A39&amp;'Table 2.5b'!$B39,'Table 2.5a'!$A$8:$A$192&amp;'Table 2.5a'!$B$8:$B$192,0))/INDEX('Table 2.5a'!$I$8:$I$192,MATCH('Table 2.5b'!$A39&amp;'Table 2.5b'!$B39,'Table 2.5a'!$A$8:$A$192&amp;'Table 2.5a'!$B$8:$B$192,0)))*1000, "")</f>
        <v>19275.632229847808</v>
      </c>
      <c r="K39" s="705">
        <f t="array" ref="K39">IFERROR(INDEX('Table 2.5a'!$I$8:$I$192,MATCH('Table 2.5b'!$A39&amp;'Table 2.5b'!$B39,'Table 2.5a'!$A$8:$A$192&amp;'Table 2.5a'!$B$8:$B$192,0))/INDEX('Table 2.5a'!$L$8:$L$192,MATCH('Table 2.5b'!$A39&amp;'Table 2.5b'!$B39,'Table 2.5a'!$A$8:$A$192&amp;'Table 2.5a'!$B$8:$B$192,0)),"")</f>
        <v>2.8584017034047254E-2</v>
      </c>
      <c r="L39" s="658" t="s">
        <v>356</v>
      </c>
      <c r="M39" s="709">
        <f t="array" ref="M39">INDEX(UtilityList!Q$4:Q$251,MATCH('Table 2.5b'!$A39&amp;'Table 2.5b'!$B39,UtilityList!$A$4:$A$251&amp;UtilityList!$C$4:$C$251,0))</f>
        <v>0</v>
      </c>
      <c r="N39" s="709" t="str">
        <f t="array" ref="N39">INDEX(UtilityList!J$4:J$251,MATCH('Table 2.5b'!$A39&amp;'Table 2.5b'!$B39,UtilityList!$A$4:$A$251&amp;UtilityList!$C$4:$C$251,0))</f>
        <v>Lower Yukon-Kuskokwim</v>
      </c>
      <c r="O39" s="709" t="str">
        <f t="array" ref="O39">INDEX(UtilityList!K$4:K$251,MATCH('Table 2.5b'!$A39&amp;'Table 2.5b'!$B39,UtilityList!$A$4:$A$251&amp;UtilityList!$C$4:$C$251,0))</f>
        <v>Wade Hampton (CA)</v>
      </c>
      <c r="P39" s="709" t="str">
        <f t="array" ref="P39">INDEX(UtilityList!L$4:L$251,MATCH('Table 2.5b'!$A39&amp;'Table 2.5b'!$B39,UtilityList!$A$4:$A$251&amp;UtilityList!$C$4:$C$251,0))</f>
        <v>Calista</v>
      </c>
      <c r="Q39" s="709" t="str">
        <f t="array" ref="Q39">INDEX(UtilityList!M$4:M$251,MATCH('Table 2.5b'!$A39&amp;'Table 2.5b'!$B39,UtilityList!$A$4:$A$251&amp;UtilityList!$C$4:$C$251,0))</f>
        <v>YU</v>
      </c>
    </row>
    <row r="40" spans="1:17" s="200" customFormat="1" ht="30" x14ac:dyDescent="0.25">
      <c r="A40" s="361" t="s">
        <v>524</v>
      </c>
      <c r="B40" s="654" t="s">
        <v>74</v>
      </c>
      <c r="C40" s="655">
        <f t="array" ref="C40">IFERROR((INDEX('Table 2.5a'!$D$8:$D$192,MATCH('Table 2.5b'!A40&amp;'Table 2.5b'!B40,'Table 2.5a'!$A$8:$A$192&amp;'Table 2.5a'!$B$8:$B$192,0))/INDEX('Table 2.5a'!$E$8:$E$192,MATCH('Table 2.5b'!A40&amp;'Table 2.5b'!B40,'Table 2.5a'!$A$8:$A$192&amp;'Table 2.5a'!$B$8:$B$192,0)))*1000, "")</f>
        <v>4629.5975162453724</v>
      </c>
      <c r="D40" s="655">
        <f t="array" ref="D40">IFERROR((INDEX('Table 2.5a'!$C$8:$C$192,MATCH('Table 2.5b'!A40&amp;'Table 2.5b'!B40,'Table 2.5a'!$A$8:$A$192&amp;'Table 2.5a'!$B$8:$B$192,0))/INDEX('Table 2.5a'!$E$8:$E$192,MATCH('Table 2.5b'!A40&amp;'Table 2.5b'!B40,'Table 2.5a'!$A$8:$A$192&amp;'Table 2.5a'!$B$8:$B$192,0)))*1000, "")</f>
        <v>2416.5727280894885</v>
      </c>
      <c r="E40" s="705">
        <f t="array" ref="E40">IFERROR(INDEX('Table 2.5a'!$C$8:$C$192,MATCH('Table 2.5b'!$A40&amp;'Table 2.5b'!$B40,'Table 2.5a'!$A$8:$A$192&amp;'Table 2.5a'!$B$8:$B$192,0))/INDEX('Table 2.5a'!$D$8:$D$192,MATCH('Table 2.5b'!$A40&amp;'Table 2.5b'!$B40,'Table 2.5a'!$A$8:$A$192&amp;'Table 2.5a'!$B$8:$B$192,0)),"")</f>
        <v>0.52198332999999997</v>
      </c>
      <c r="F40" s="655">
        <f t="array" ref="F40">IFERROR((INDEX('Table 2.5a'!$H$8:$H$192,MATCH('Table 2.5b'!$A40&amp;'Table 2.5b'!$B40,'Table 2.5a'!$A$8:$A$192&amp;'Table 2.5a'!$B$8:$B$192,0))/INDEX('Table 2.5a'!$I$8:$I$192,MATCH('Table 2.5b'!$A40&amp;'Table 2.5b'!$B40,'Table 2.5a'!$A$8:$A$192&amp;'Table 2.5a'!$B$8:$B$192,0)))*1000, "")</f>
        <v>24360.21891804344</v>
      </c>
      <c r="G40" s="655">
        <f t="array" ref="G40">IFERROR((INDEX('Table 2.5a'!$G$8:$G$192,MATCH('Table 2.5b'!$A40&amp;'Table 2.5b'!$B40,'Table 2.5a'!$A$8:$A$192&amp;'Table 2.5a'!$B$8:$B$192,0))/INDEX('Table 2.5a'!$I$8:$I$192,MATCH('Table 2.5b'!$A40&amp;'Table 2.5b'!$B40,'Table 2.5a'!$A$8:$A$192&amp;'Table 2.5a'!$B$8:$B$192,0)))*1000, "")</f>
        <v>12715.628190369313</v>
      </c>
      <c r="H40" s="705">
        <f t="array" ref="H40">IFERROR(INDEX('Table 2.5a'!$G$8:$G$192,MATCH('Table 2.5b'!$A40&amp;'Table 2.5b'!$B40,'Table 2.5a'!$A$8:$A$192&amp;'Table 2.5a'!$B$8:$B$192,0))/INDEX('Table 2.5a'!$H$8:$H$192,MATCH('Table 2.5b'!$A40&amp;'Table 2.5b'!$B40,'Table 2.5a'!$A$8:$A$192&amp;'Table 2.5a'!$B$8:$B$192,0)),"")</f>
        <v>0.52198332999999997</v>
      </c>
      <c r="I40" s="655">
        <f t="array" ref="I40">IFERROR((INDEX('Table 2.5a'!$L$8:$L$192,MATCH('Table 2.5b'!$A40&amp;'Table 2.5b'!$B40,'Table 2.5a'!$A$8:$A$192&amp;'Table 2.5a'!$B$8:$B$192,0))/INDEX('Table 2.5a'!$I$8:$I$192,MATCH('Table 2.5b'!$A40&amp;'Table 2.5b'!$B40,'Table 2.5a'!$A$8:$A$192&amp;'Table 2.5a'!$B$8:$B$192,0)))*1000, "")</f>
        <v>53160.218215604429</v>
      </c>
      <c r="J40" s="655">
        <f t="array" ref="J40">IFERROR((INDEX('Table 2.5a'!$K$8:$K$192,MATCH('Table 2.5b'!$A40&amp;'Table 2.5b'!$B40,'Table 2.5a'!$A$8:$A$192&amp;'Table 2.5a'!$B$8:$B$192,0))/INDEX('Table 2.5a'!$I$8:$I$192,MATCH('Table 2.5b'!$A40&amp;'Table 2.5b'!$B40,'Table 2.5a'!$A$8:$A$192&amp;'Table 2.5a'!$B$8:$B$192,0)))*1000, "")</f>
        <v>27748.747727707861</v>
      </c>
      <c r="K40" s="705">
        <f t="array" ref="K40">IFERROR(INDEX('Table 2.5a'!$I$8:$I$192,MATCH('Table 2.5b'!$A40&amp;'Table 2.5b'!$B40,'Table 2.5a'!$A$8:$A$192&amp;'Table 2.5a'!$B$8:$B$192,0))/INDEX('Table 2.5a'!$L$8:$L$192,MATCH('Table 2.5b'!$A40&amp;'Table 2.5b'!$B40,'Table 2.5a'!$A$8:$A$192&amp;'Table 2.5a'!$B$8:$B$192,0)),"")</f>
        <v>1.8811058975421287E-2</v>
      </c>
      <c r="L40" s="658" t="s">
        <v>356</v>
      </c>
      <c r="M40" s="709">
        <f t="array" ref="M40">INDEX(UtilityList!Q$4:Q$251,MATCH('Table 2.5b'!$A40&amp;'Table 2.5b'!$B40,UtilityList!$A$4:$A$251&amp;UtilityList!$C$4:$C$251,0))</f>
        <v>0</v>
      </c>
      <c r="N40" s="709" t="str">
        <f t="array" ref="N40">INDEX(UtilityList!J$4:J$251,MATCH('Table 2.5b'!$A40&amp;'Table 2.5b'!$B40,UtilityList!$A$4:$A$251&amp;UtilityList!$C$4:$C$251,0))</f>
        <v>Bering Straits</v>
      </c>
      <c r="O40" s="709" t="str">
        <f t="array" ref="O40">INDEX(UtilityList!K$4:K$251,MATCH('Table 2.5b'!$A40&amp;'Table 2.5b'!$B40,UtilityList!$A$4:$A$251&amp;UtilityList!$C$4:$C$251,0))</f>
        <v>Nome (CA)</v>
      </c>
      <c r="P40" s="709" t="str">
        <f t="array" ref="P40">INDEX(UtilityList!L$4:L$251,MATCH('Table 2.5b'!$A40&amp;'Table 2.5b'!$B40,UtilityList!$A$4:$A$251&amp;UtilityList!$C$4:$C$251,0))</f>
        <v>Bering Straits</v>
      </c>
      <c r="Q40" s="709" t="str">
        <f t="array" ref="Q40">INDEX(UtilityList!M$4:M$251,MATCH('Table 2.5b'!$A40&amp;'Table 2.5b'!$B40,UtilityList!$A$4:$A$251&amp;UtilityList!$C$4:$C$251,0))</f>
        <v>AN</v>
      </c>
    </row>
    <row r="41" spans="1:17" s="200" customFormat="1" ht="30" x14ac:dyDescent="0.25">
      <c r="A41" s="361" t="s">
        <v>524</v>
      </c>
      <c r="B41" s="654" t="s">
        <v>75</v>
      </c>
      <c r="C41" s="655">
        <f t="array" ref="C41">IFERROR((INDEX('Table 2.5a'!$D$8:$D$192,MATCH('Table 2.5b'!A41&amp;'Table 2.5b'!B41,'Table 2.5a'!$A$8:$A$192&amp;'Table 2.5a'!$B$8:$B$192,0))/INDEX('Table 2.5a'!$E$8:$E$192,MATCH('Table 2.5b'!A41&amp;'Table 2.5b'!B41,'Table 2.5a'!$A$8:$A$192&amp;'Table 2.5a'!$B$8:$B$192,0)))*1000, "")</f>
        <v>4606.8760172528282</v>
      </c>
      <c r="D41" s="655">
        <f t="array" ref="D41">IFERROR((INDEX('Table 2.5a'!$C$8:$C$192,MATCH('Table 2.5b'!A41&amp;'Table 2.5b'!B41,'Table 2.5a'!$A$8:$A$192&amp;'Table 2.5a'!$B$8:$B$192,0))/INDEX('Table 2.5a'!$E$8:$E$192,MATCH('Table 2.5b'!A41&amp;'Table 2.5b'!B41,'Table 2.5a'!$A$8:$A$192&amp;'Table 2.5a'!$B$8:$B$192,0)))*1000, "")</f>
        <v>2717.1354749757179</v>
      </c>
      <c r="E41" s="705">
        <f t="array" ref="E41">IFERROR(INDEX('Table 2.5a'!$C$8:$C$192,MATCH('Table 2.5b'!$A41&amp;'Table 2.5b'!$B41,'Table 2.5a'!$A$8:$A$192&amp;'Table 2.5a'!$B$8:$B$192,0))/INDEX('Table 2.5a'!$D$8:$D$192,MATCH('Table 2.5b'!$A41&amp;'Table 2.5b'!$B41,'Table 2.5a'!$A$8:$A$192&amp;'Table 2.5a'!$B$8:$B$192,0)),"")</f>
        <v>0.58979999999999999</v>
      </c>
      <c r="F41" s="655">
        <f t="array" ref="F41">IFERROR((INDEX('Table 2.5a'!$H$8:$H$192,MATCH('Table 2.5b'!$A41&amp;'Table 2.5b'!$B41,'Table 2.5a'!$A$8:$A$192&amp;'Table 2.5a'!$B$8:$B$192,0))/INDEX('Table 2.5a'!$I$8:$I$192,MATCH('Table 2.5b'!$A41&amp;'Table 2.5b'!$B41,'Table 2.5a'!$A$8:$A$192&amp;'Table 2.5a'!$B$8:$B$192,0)))*1000, "")</f>
        <v>16200.486885615746</v>
      </c>
      <c r="G41" s="655">
        <f t="array" ref="G41">IFERROR((INDEX('Table 2.5a'!$G$8:$G$192,MATCH('Table 2.5b'!$A41&amp;'Table 2.5b'!$B41,'Table 2.5a'!$A$8:$A$192&amp;'Table 2.5a'!$B$8:$B$192,0))/INDEX('Table 2.5a'!$I$8:$I$192,MATCH('Table 2.5b'!$A41&amp;'Table 2.5b'!$B41,'Table 2.5a'!$A$8:$A$192&amp;'Table 2.5a'!$B$8:$B$192,0)))*1000, "")</f>
        <v>9555.0471651361659</v>
      </c>
      <c r="H41" s="705">
        <f t="array" ref="H41">IFERROR(INDEX('Table 2.5a'!$G$8:$G$192,MATCH('Table 2.5b'!$A41&amp;'Table 2.5b'!$B41,'Table 2.5a'!$A$8:$A$192&amp;'Table 2.5a'!$B$8:$B$192,0))/INDEX('Table 2.5a'!$H$8:$H$192,MATCH('Table 2.5b'!$A41&amp;'Table 2.5b'!$B41,'Table 2.5a'!$A$8:$A$192&amp;'Table 2.5a'!$B$8:$B$192,0)),"")</f>
        <v>0.58979999999999999</v>
      </c>
      <c r="I41" s="655">
        <f t="array" ref="I41">IFERROR((INDEX('Table 2.5a'!$L$8:$L$192,MATCH('Table 2.5b'!$A41&amp;'Table 2.5b'!$B41,'Table 2.5a'!$A$8:$A$192&amp;'Table 2.5a'!$B$8:$B$192,0))/INDEX('Table 2.5a'!$I$8:$I$192,MATCH('Table 2.5b'!$A41&amp;'Table 2.5b'!$B41,'Table 2.5a'!$A$8:$A$192&amp;'Table 2.5a'!$B$8:$B$192,0)))*1000, "")</f>
        <v>30869.874000222269</v>
      </c>
      <c r="J41" s="655">
        <f t="array" ref="J41">IFERROR((INDEX('Table 2.5a'!$K$8:$K$192,MATCH('Table 2.5b'!$A41&amp;'Table 2.5b'!$B41,'Table 2.5a'!$A$8:$A$192&amp;'Table 2.5a'!$B$8:$B$192,0))/INDEX('Table 2.5a'!$I$8:$I$192,MATCH('Table 2.5b'!$A41&amp;'Table 2.5b'!$B41,'Table 2.5a'!$A$8:$A$192&amp;'Table 2.5a'!$B$8:$B$192,0)))*1000, "")</f>
        <v>18207.051685331095</v>
      </c>
      <c r="K41" s="705">
        <f t="array" ref="K41">IFERROR(INDEX('Table 2.5a'!$I$8:$I$192,MATCH('Table 2.5b'!$A41&amp;'Table 2.5b'!$B41,'Table 2.5a'!$A$8:$A$192&amp;'Table 2.5a'!$B$8:$B$192,0))/INDEX('Table 2.5a'!$L$8:$L$192,MATCH('Table 2.5b'!$A41&amp;'Table 2.5b'!$B41,'Table 2.5a'!$A$8:$A$192&amp;'Table 2.5a'!$B$8:$B$192,0)),"")</f>
        <v>3.239404216527738E-2</v>
      </c>
      <c r="L41" s="658" t="s">
        <v>356</v>
      </c>
      <c r="M41" s="709">
        <f t="array" ref="M41">INDEX(UtilityList!Q$4:Q$251,MATCH('Table 2.5b'!$A41&amp;'Table 2.5b'!$B41,UtilityList!$A$4:$A$251&amp;UtilityList!$C$4:$C$251,0))</f>
        <v>0</v>
      </c>
      <c r="N41" s="709" t="str">
        <f t="array" ref="N41">INDEX(UtilityList!J$4:J$251,MATCH('Table 2.5b'!$A41&amp;'Table 2.5b'!$B41,UtilityList!$A$4:$A$251&amp;UtilityList!$C$4:$C$251,0))</f>
        <v>Lower Yukon-Kuskokwim</v>
      </c>
      <c r="O41" s="709" t="str">
        <f t="array" ref="O41">INDEX(UtilityList!K$4:K$251,MATCH('Table 2.5b'!$A41&amp;'Table 2.5b'!$B41,UtilityList!$A$4:$A$251&amp;UtilityList!$C$4:$C$251,0))</f>
        <v>Bethel (CA)</v>
      </c>
      <c r="P41" s="709" t="str">
        <f t="array" ref="P41">INDEX(UtilityList!L$4:L$251,MATCH('Table 2.5b'!$A41&amp;'Table 2.5b'!$B41,UtilityList!$A$4:$A$251&amp;UtilityList!$C$4:$C$251,0))</f>
        <v>Calista</v>
      </c>
      <c r="Q41" s="709" t="str">
        <f t="array" ref="Q41">INDEX(UtilityList!M$4:M$251,MATCH('Table 2.5b'!$A41&amp;'Table 2.5b'!$B41,UtilityList!$A$4:$A$251&amp;UtilityList!$C$4:$C$251,0))</f>
        <v>SW</v>
      </c>
    </row>
    <row r="42" spans="1:17" s="200" customFormat="1" ht="30" x14ac:dyDescent="0.25">
      <c r="A42" s="361" t="s">
        <v>524</v>
      </c>
      <c r="B42" s="654" t="s">
        <v>76</v>
      </c>
      <c r="C42" s="655">
        <f t="array" ref="C42">IFERROR((INDEX('Table 2.5a'!$D$8:$D$192,MATCH('Table 2.5b'!A42&amp;'Table 2.5b'!B42,'Table 2.5a'!$A$8:$A$192&amp;'Table 2.5a'!$B$8:$B$192,0))/INDEX('Table 2.5a'!$E$8:$E$192,MATCH('Table 2.5b'!A42&amp;'Table 2.5b'!B42,'Table 2.5a'!$A$8:$A$192&amp;'Table 2.5a'!$B$8:$B$192,0)))*1000, "")</f>
        <v>2579.7429413793616</v>
      </c>
      <c r="D42" s="655">
        <f t="array" ref="D42">IFERROR((INDEX('Table 2.5a'!$C$8:$C$192,MATCH('Table 2.5b'!A42&amp;'Table 2.5b'!B42,'Table 2.5a'!$A$8:$A$192&amp;'Table 2.5a'!$B$8:$B$192,0))/INDEX('Table 2.5a'!$E$8:$E$192,MATCH('Table 2.5b'!A42&amp;'Table 2.5b'!B42,'Table 2.5a'!$A$8:$A$192&amp;'Table 2.5a'!$B$8:$B$192,0)))*1000, "")</f>
        <v>1432.1012895919196</v>
      </c>
      <c r="E42" s="705">
        <f t="array" ref="E42">IFERROR(INDEX('Table 2.5a'!$C$8:$C$192,MATCH('Table 2.5b'!$A42&amp;'Table 2.5b'!$B42,'Table 2.5a'!$A$8:$A$192&amp;'Table 2.5a'!$B$8:$B$192,0))/INDEX('Table 2.5a'!$D$8:$D$192,MATCH('Table 2.5b'!$A42&amp;'Table 2.5b'!$B42,'Table 2.5a'!$A$8:$A$192&amp;'Table 2.5a'!$B$8:$B$192,0)),"")</f>
        <v>0.55513332999999998</v>
      </c>
      <c r="F42" s="655">
        <f t="array" ref="F42">IFERROR((INDEX('Table 2.5a'!$H$8:$H$192,MATCH('Table 2.5b'!$A42&amp;'Table 2.5b'!$B42,'Table 2.5a'!$A$8:$A$192&amp;'Table 2.5a'!$B$8:$B$192,0))/INDEX('Table 2.5a'!$I$8:$I$192,MATCH('Table 2.5b'!$A42&amp;'Table 2.5b'!$B42,'Table 2.5a'!$A$8:$A$192&amp;'Table 2.5a'!$B$8:$B$192,0)))*1000, "")</f>
        <v>9720.2727272727261</v>
      </c>
      <c r="G42" s="655">
        <f t="array" ref="G42">IFERROR((INDEX('Table 2.5a'!$G$8:$G$192,MATCH('Table 2.5b'!$A42&amp;'Table 2.5b'!$B42,'Table 2.5a'!$A$8:$A$192&amp;'Table 2.5a'!$B$8:$B$192,0))/INDEX('Table 2.5a'!$I$8:$I$192,MATCH('Table 2.5b'!$A42&amp;'Table 2.5b'!$B42,'Table 2.5a'!$A$8:$A$192&amp;'Table 2.5a'!$B$8:$B$192,0)))*1000, "")</f>
        <v>5396.0473675990906</v>
      </c>
      <c r="H42" s="705">
        <f t="array" ref="H42">IFERROR(INDEX('Table 2.5a'!$G$8:$G$192,MATCH('Table 2.5b'!$A42&amp;'Table 2.5b'!$B42,'Table 2.5a'!$A$8:$A$192&amp;'Table 2.5a'!$B$8:$B$192,0))/INDEX('Table 2.5a'!$H$8:$H$192,MATCH('Table 2.5b'!$A42&amp;'Table 2.5b'!$B42,'Table 2.5a'!$A$8:$A$192&amp;'Table 2.5a'!$B$8:$B$192,0)),"")</f>
        <v>0.55513332999999998</v>
      </c>
      <c r="I42" s="655">
        <f t="array" ref="I42">IFERROR((INDEX('Table 2.5a'!$L$8:$L$192,MATCH('Table 2.5b'!$A42&amp;'Table 2.5b'!$B42,'Table 2.5a'!$A$8:$A$192&amp;'Table 2.5a'!$B$8:$B$192,0))/INDEX('Table 2.5a'!$I$8:$I$192,MATCH('Table 2.5b'!$A42&amp;'Table 2.5b'!$B42,'Table 2.5a'!$A$8:$A$192&amp;'Table 2.5a'!$B$8:$B$192,0)))*1000, "")</f>
        <v>20897.454545454548</v>
      </c>
      <c r="J42" s="655">
        <f t="array" ref="J42">IFERROR((INDEX('Table 2.5a'!$K$8:$K$192,MATCH('Table 2.5b'!$A42&amp;'Table 2.5b'!$B42,'Table 2.5a'!$A$8:$A$192&amp;'Table 2.5a'!$B$8:$B$192,0))/INDEX('Table 2.5a'!$I$8:$I$192,MATCH('Table 2.5b'!$A42&amp;'Table 2.5b'!$B42,'Table 2.5a'!$A$8:$A$192&amp;'Table 2.5a'!$B$8:$B$192,0)))*1000, "")</f>
        <v>11600.873530341818</v>
      </c>
      <c r="K42" s="705">
        <f t="array" ref="K42">IFERROR(INDEX('Table 2.5a'!$I$8:$I$192,MATCH('Table 2.5b'!$A42&amp;'Table 2.5b'!$B42,'Table 2.5a'!$A$8:$A$192&amp;'Table 2.5a'!$B$8:$B$192,0))/INDEX('Table 2.5a'!$L$8:$L$192,MATCH('Table 2.5b'!$A42&amp;'Table 2.5b'!$B42,'Table 2.5a'!$A$8:$A$192&amp;'Table 2.5a'!$B$8:$B$192,0)),"")</f>
        <v>4.7852718034384352E-2</v>
      </c>
      <c r="L42" s="658" t="s">
        <v>356</v>
      </c>
      <c r="M42" s="709">
        <f t="array" ref="M42">INDEX(UtilityList!Q$4:Q$251,MATCH('Table 2.5b'!$A42&amp;'Table 2.5b'!$B42,UtilityList!$A$4:$A$251&amp;UtilityList!$C$4:$C$251,0))</f>
        <v>0</v>
      </c>
      <c r="N42" s="709" t="str">
        <f t="array" ref="N42">INDEX(UtilityList!J$4:J$251,MATCH('Table 2.5b'!$A42&amp;'Table 2.5b'!$B42,UtilityList!$A$4:$A$251&amp;UtilityList!$C$4:$C$251,0))</f>
        <v>Yukon-Koyukuk/Upper Tanana</v>
      </c>
      <c r="O42" s="709" t="str">
        <f t="array" ref="O42">INDEX(UtilityList!K$4:K$251,MATCH('Table 2.5b'!$A42&amp;'Table 2.5b'!$B42,UtilityList!$A$4:$A$251&amp;UtilityList!$C$4:$C$251,0))</f>
        <v>Yukon-Koyukuk (CA)</v>
      </c>
      <c r="P42" s="709" t="str">
        <f t="array" ref="P42">INDEX(UtilityList!L$4:L$251,MATCH('Table 2.5b'!$A42&amp;'Table 2.5b'!$B42,UtilityList!$A$4:$A$251&amp;UtilityList!$C$4:$C$251,0))</f>
        <v>Doyon</v>
      </c>
      <c r="Q42" s="709" t="str">
        <f t="array" ref="Q42">INDEX(UtilityList!M$4:M$251,MATCH('Table 2.5b'!$A42&amp;'Table 2.5b'!$B42,UtilityList!$A$4:$A$251&amp;UtilityList!$C$4:$C$251,0))</f>
        <v>YU</v>
      </c>
    </row>
    <row r="43" spans="1:17" s="200" customFormat="1" ht="30" x14ac:dyDescent="0.25">
      <c r="A43" s="361" t="s">
        <v>524</v>
      </c>
      <c r="B43" s="654" t="s">
        <v>77</v>
      </c>
      <c r="C43" s="655">
        <f t="array" ref="C43">IFERROR((INDEX('Table 2.5a'!$D$8:$D$192,MATCH('Table 2.5b'!A43&amp;'Table 2.5b'!B43,'Table 2.5a'!$A$8:$A$192&amp;'Table 2.5a'!$B$8:$B$192,0))/INDEX('Table 2.5a'!$E$8:$E$192,MATCH('Table 2.5b'!A43&amp;'Table 2.5b'!B43,'Table 2.5a'!$A$8:$A$192&amp;'Table 2.5a'!$B$8:$B$192,0)))*1000, "")</f>
        <v>3982.7738555253013</v>
      </c>
      <c r="D43" s="655">
        <f t="array" ref="D43">IFERROR((INDEX('Table 2.5a'!$C$8:$C$192,MATCH('Table 2.5b'!A43&amp;'Table 2.5b'!B43,'Table 2.5a'!$A$8:$A$192&amp;'Table 2.5a'!$B$8:$B$192,0))/INDEX('Table 2.5a'!$E$8:$E$192,MATCH('Table 2.5b'!A43&amp;'Table 2.5b'!B43,'Table 2.5a'!$A$8:$A$192&amp;'Table 2.5a'!$B$8:$B$192,0)))*1000, "")</f>
        <v>2123.8805512990384</v>
      </c>
      <c r="E43" s="705">
        <f t="array" ref="E43">IFERROR(INDEX('Table 2.5a'!$C$8:$C$192,MATCH('Table 2.5b'!$A43&amp;'Table 2.5b'!$B43,'Table 2.5a'!$A$8:$A$192&amp;'Table 2.5a'!$B$8:$B$192,0))/INDEX('Table 2.5a'!$D$8:$D$192,MATCH('Table 2.5b'!$A43&amp;'Table 2.5b'!$B43,'Table 2.5a'!$A$8:$A$192&amp;'Table 2.5a'!$B$8:$B$192,0)),"")</f>
        <v>0.53326667000000005</v>
      </c>
      <c r="F43" s="655">
        <f t="array" ref="F43">IFERROR((INDEX('Table 2.5a'!$H$8:$H$192,MATCH('Table 2.5b'!$A43&amp;'Table 2.5b'!$B43,'Table 2.5a'!$A$8:$A$192&amp;'Table 2.5a'!$B$8:$B$192,0))/INDEX('Table 2.5a'!$I$8:$I$192,MATCH('Table 2.5b'!$A43&amp;'Table 2.5b'!$B43,'Table 2.5a'!$A$8:$A$192&amp;'Table 2.5a'!$B$8:$B$192,0)))*1000, "")</f>
        <v>6705.2094582606851</v>
      </c>
      <c r="G43" s="655">
        <f t="array" ref="G43">IFERROR((INDEX('Table 2.5a'!$G$8:$G$192,MATCH('Table 2.5b'!$A43&amp;'Table 2.5b'!$B43,'Table 2.5a'!$A$8:$A$192&amp;'Table 2.5a'!$B$8:$B$192,0))/INDEX('Table 2.5a'!$I$8:$I$192,MATCH('Table 2.5b'!$A43&amp;'Table 2.5b'!$B43,'Table 2.5a'!$A$8:$A$192&amp;'Table 2.5a'!$B$8:$B$192,0)))*1000, "")</f>
        <v>3575.6647194591801</v>
      </c>
      <c r="H43" s="705">
        <f t="array" ref="H43">IFERROR(INDEX('Table 2.5a'!$G$8:$G$192,MATCH('Table 2.5b'!$A43&amp;'Table 2.5b'!$B43,'Table 2.5a'!$A$8:$A$192&amp;'Table 2.5a'!$B$8:$B$192,0))/INDEX('Table 2.5a'!$H$8:$H$192,MATCH('Table 2.5b'!$A43&amp;'Table 2.5b'!$B43,'Table 2.5a'!$A$8:$A$192&amp;'Table 2.5a'!$B$8:$B$192,0)),"")</f>
        <v>0.53326667000000005</v>
      </c>
      <c r="I43" s="655">
        <f t="array" ref="I43">IFERROR((INDEX('Table 2.5a'!$L$8:$L$192,MATCH('Table 2.5b'!$A43&amp;'Table 2.5b'!$B43,'Table 2.5a'!$A$8:$A$192&amp;'Table 2.5a'!$B$8:$B$192,0))/INDEX('Table 2.5a'!$I$8:$I$192,MATCH('Table 2.5b'!$A43&amp;'Table 2.5b'!$B43,'Table 2.5a'!$A$8:$A$192&amp;'Table 2.5a'!$B$8:$B$192,0)))*1000, "")</f>
        <v>33022.605419130356</v>
      </c>
      <c r="J43" s="655">
        <f t="array" ref="J43">IFERROR((INDEX('Table 2.5a'!$K$8:$K$192,MATCH('Table 2.5b'!$A43&amp;'Table 2.5b'!$B43,'Table 2.5a'!$A$8:$A$192&amp;'Table 2.5a'!$B$8:$B$192,0))/INDEX('Table 2.5a'!$I$8:$I$192,MATCH('Table 2.5b'!$A43&amp;'Table 2.5b'!$B43,'Table 2.5a'!$A$8:$A$192&amp;'Table 2.5a'!$B$8:$B$192,0)))*1000, "")</f>
        <v>17609.854826583603</v>
      </c>
      <c r="K43" s="705">
        <f t="array" ref="K43">IFERROR(INDEX('Table 2.5a'!$I$8:$I$192,MATCH('Table 2.5b'!$A43&amp;'Table 2.5b'!$B43,'Table 2.5a'!$A$8:$A$192&amp;'Table 2.5a'!$B$8:$B$192,0))/INDEX('Table 2.5a'!$L$8:$L$192,MATCH('Table 2.5b'!$A43&amp;'Table 2.5b'!$B43,'Table 2.5a'!$A$8:$A$192&amp;'Table 2.5a'!$B$8:$B$192,0)),"")</f>
        <v>3.0282286552129195E-2</v>
      </c>
      <c r="L43" s="658" t="s">
        <v>356</v>
      </c>
      <c r="M43" s="709">
        <f t="array" ref="M43">INDEX(UtilityList!Q$4:Q$251,MATCH('Table 2.5b'!$A43&amp;'Table 2.5b'!$B43,UtilityList!$A$4:$A$251&amp;UtilityList!$C$4:$C$251,0))</f>
        <v>0</v>
      </c>
      <c r="N43" s="709" t="str">
        <f t="array" ref="N43">INDEX(UtilityList!J$4:J$251,MATCH('Table 2.5b'!$A43&amp;'Table 2.5b'!$B43,UtilityList!$A$4:$A$251&amp;UtilityList!$C$4:$C$251,0))</f>
        <v>Yukon-Koyukuk/Upper Tanana</v>
      </c>
      <c r="O43" s="709" t="str">
        <f t="array" ref="O43">INDEX(UtilityList!K$4:K$251,MATCH('Table 2.5b'!$A43&amp;'Table 2.5b'!$B43,UtilityList!$A$4:$A$251&amp;UtilityList!$C$4:$C$251,0))</f>
        <v>Yukon-Koyukuk (CA)</v>
      </c>
      <c r="P43" s="709" t="str">
        <f t="array" ref="P43">INDEX(UtilityList!L$4:L$251,MATCH('Table 2.5b'!$A43&amp;'Table 2.5b'!$B43,UtilityList!$A$4:$A$251&amp;UtilityList!$C$4:$C$251,0))</f>
        <v>Doyon</v>
      </c>
      <c r="Q43" s="709" t="str">
        <f t="array" ref="Q43">INDEX(UtilityList!M$4:M$251,MATCH('Table 2.5b'!$A43&amp;'Table 2.5b'!$B43,UtilityList!$A$4:$A$251&amp;UtilityList!$C$4:$C$251,0))</f>
        <v>YU</v>
      </c>
    </row>
    <row r="44" spans="1:17" s="200" customFormat="1" ht="30" x14ac:dyDescent="0.25">
      <c r="A44" s="361" t="s">
        <v>524</v>
      </c>
      <c r="B44" s="654" t="s">
        <v>78</v>
      </c>
      <c r="C44" s="655">
        <f t="array" ref="C44">IFERROR((INDEX('Table 2.5a'!$D$8:$D$192,MATCH('Table 2.5b'!A44&amp;'Table 2.5b'!B44,'Table 2.5a'!$A$8:$A$192&amp;'Table 2.5a'!$B$8:$B$192,0))/INDEX('Table 2.5a'!$E$8:$E$192,MATCH('Table 2.5b'!A44&amp;'Table 2.5b'!B44,'Table 2.5a'!$A$8:$A$192&amp;'Table 2.5a'!$B$8:$B$192,0)))*1000, "")</f>
        <v>4834.5675966516728</v>
      </c>
      <c r="D44" s="655">
        <f t="array" ref="D44">IFERROR((INDEX('Table 2.5a'!$C$8:$C$192,MATCH('Table 2.5b'!A44&amp;'Table 2.5b'!B44,'Table 2.5a'!$A$8:$A$192&amp;'Table 2.5a'!$B$8:$B$192,0))/INDEX('Table 2.5a'!$E$8:$E$192,MATCH('Table 2.5b'!A44&amp;'Table 2.5b'!B44,'Table 2.5a'!$A$8:$A$192&amp;'Table 2.5a'!$B$8:$B$192,0)))*1000, "")</f>
        <v>2501.1635461277428</v>
      </c>
      <c r="E44" s="705">
        <f t="array" ref="E44">IFERROR(INDEX('Table 2.5a'!$C$8:$C$192,MATCH('Table 2.5b'!$A44&amp;'Table 2.5b'!$B44,'Table 2.5a'!$A$8:$A$192&amp;'Table 2.5a'!$B$8:$B$192,0))/INDEX('Table 2.5a'!$D$8:$D$192,MATCH('Table 2.5b'!$A44&amp;'Table 2.5b'!$B44,'Table 2.5a'!$A$8:$A$192&amp;'Table 2.5a'!$B$8:$B$192,0)),"")</f>
        <v>0.51734999999999998</v>
      </c>
      <c r="F44" s="655">
        <f t="array" ref="F44">IFERROR((INDEX('Table 2.5a'!$H$8:$H$192,MATCH('Table 2.5b'!$A44&amp;'Table 2.5b'!$B44,'Table 2.5a'!$A$8:$A$192&amp;'Table 2.5a'!$B$8:$B$192,0))/INDEX('Table 2.5a'!$I$8:$I$192,MATCH('Table 2.5b'!$A44&amp;'Table 2.5b'!$B44,'Table 2.5a'!$A$8:$A$192&amp;'Table 2.5a'!$B$8:$B$192,0)))*1000, "")</f>
        <v>30621.226666666669</v>
      </c>
      <c r="G44" s="655">
        <f t="array" ref="G44">IFERROR((INDEX('Table 2.5a'!$G$8:$G$192,MATCH('Table 2.5b'!$A44&amp;'Table 2.5b'!$B44,'Table 2.5a'!$A$8:$A$192&amp;'Table 2.5a'!$B$8:$B$192,0))/INDEX('Table 2.5a'!$I$8:$I$192,MATCH('Table 2.5b'!$A44&amp;'Table 2.5b'!$B44,'Table 2.5a'!$A$8:$A$192&amp;'Table 2.5a'!$B$8:$B$192,0)))*1000, "")</f>
        <v>15841.891615999999</v>
      </c>
      <c r="H44" s="705">
        <f t="array" ref="H44">IFERROR(INDEX('Table 2.5a'!$G$8:$G$192,MATCH('Table 2.5b'!$A44&amp;'Table 2.5b'!$B44,'Table 2.5a'!$A$8:$A$192&amp;'Table 2.5a'!$B$8:$B$192,0))/INDEX('Table 2.5a'!$H$8:$H$192,MATCH('Table 2.5b'!$A44&amp;'Table 2.5b'!$B44,'Table 2.5a'!$A$8:$A$192&amp;'Table 2.5a'!$B$8:$B$192,0)),"")</f>
        <v>0.51734999999999998</v>
      </c>
      <c r="I44" s="655">
        <f t="array" ref="I44">IFERROR((INDEX('Table 2.5a'!$L$8:$L$192,MATCH('Table 2.5b'!$A44&amp;'Table 2.5b'!$B44,'Table 2.5a'!$A$8:$A$192&amp;'Table 2.5a'!$B$8:$B$192,0))/INDEX('Table 2.5a'!$I$8:$I$192,MATCH('Table 2.5b'!$A44&amp;'Table 2.5b'!$B44,'Table 2.5a'!$A$8:$A$192&amp;'Table 2.5a'!$B$8:$B$192,0)))*1000, "")</f>
        <v>65297.653333333328</v>
      </c>
      <c r="J44" s="655">
        <f t="array" ref="J44">IFERROR((INDEX('Table 2.5a'!$K$8:$K$192,MATCH('Table 2.5b'!$A44&amp;'Table 2.5b'!$B44,'Table 2.5a'!$A$8:$A$192&amp;'Table 2.5a'!$B$8:$B$192,0))/INDEX('Table 2.5a'!$I$8:$I$192,MATCH('Table 2.5b'!$A44&amp;'Table 2.5b'!$B44,'Table 2.5a'!$A$8:$A$192&amp;'Table 2.5a'!$B$8:$B$192,0)))*1000, "")</f>
        <v>33781.740951999993</v>
      </c>
      <c r="K44" s="705">
        <f t="array" ref="K44">IFERROR(INDEX('Table 2.5a'!$I$8:$I$192,MATCH('Table 2.5b'!$A44&amp;'Table 2.5b'!$B44,'Table 2.5a'!$A$8:$A$192&amp;'Table 2.5a'!$B$8:$B$192,0))/INDEX('Table 2.5a'!$L$8:$L$192,MATCH('Table 2.5b'!$A44&amp;'Table 2.5b'!$B44,'Table 2.5a'!$A$8:$A$192&amp;'Table 2.5a'!$B$8:$B$192,0)),"")</f>
        <v>1.5314486033597125E-2</v>
      </c>
      <c r="L44" s="658" t="s">
        <v>356</v>
      </c>
      <c r="M44" s="709">
        <f t="array" ref="M44">INDEX(UtilityList!Q$4:Q$251,MATCH('Table 2.5b'!$A44&amp;'Table 2.5b'!$B44,UtilityList!$A$4:$A$251&amp;UtilityList!$C$4:$C$251,0))</f>
        <v>0</v>
      </c>
      <c r="N44" s="709" t="str">
        <f t="array" ref="N44">INDEX(UtilityList!J$4:J$251,MATCH('Table 2.5b'!$A44&amp;'Table 2.5b'!$B44,UtilityList!$A$4:$A$251&amp;UtilityList!$C$4:$C$251,0))</f>
        <v>Lower Yukon-Kuskokwim</v>
      </c>
      <c r="O44" s="709" t="str">
        <f t="array" ref="O44">INDEX(UtilityList!K$4:K$251,MATCH('Table 2.5b'!$A44&amp;'Table 2.5b'!$B44,UtilityList!$A$4:$A$251&amp;UtilityList!$C$4:$C$251,0))</f>
        <v>Wade Hampton (CA)</v>
      </c>
      <c r="P44" s="709" t="str">
        <f t="array" ref="P44">INDEX(UtilityList!L$4:L$251,MATCH('Table 2.5b'!$A44&amp;'Table 2.5b'!$B44,UtilityList!$A$4:$A$251&amp;UtilityList!$C$4:$C$251,0))</f>
        <v>Calista</v>
      </c>
      <c r="Q44" s="709" t="str">
        <f t="array" ref="Q44">INDEX(UtilityList!M$4:M$251,MATCH('Table 2.5b'!$A44&amp;'Table 2.5b'!$B44,UtilityList!$A$4:$A$251&amp;UtilityList!$C$4:$C$251,0))</f>
        <v>YU</v>
      </c>
    </row>
    <row r="45" spans="1:17" s="267" customFormat="1" ht="30" x14ac:dyDescent="0.25">
      <c r="A45" s="361" t="s">
        <v>524</v>
      </c>
      <c r="B45" s="654" t="s">
        <v>79</v>
      </c>
      <c r="C45" s="655">
        <f t="array" ref="C45">IFERROR((INDEX('Table 2.5a'!$D$8:$D$192,MATCH('Table 2.5b'!A45&amp;'Table 2.5b'!B45,'Table 2.5a'!$A$8:$A$192&amp;'Table 2.5a'!$B$8:$B$192,0))/INDEX('Table 2.5a'!$E$8:$E$192,MATCH('Table 2.5b'!A45&amp;'Table 2.5b'!B45,'Table 2.5a'!$A$8:$A$192&amp;'Table 2.5a'!$B$8:$B$192,0)))*1000, "")</f>
        <v>5972.6869806094182</v>
      </c>
      <c r="D45" s="655">
        <f t="array" ref="D45">IFERROR((INDEX('Table 2.5a'!$C$8:$C$192,MATCH('Table 2.5b'!A45&amp;'Table 2.5b'!B45,'Table 2.5a'!$A$8:$A$192&amp;'Table 2.5a'!$B$8:$B$192,0))/INDEX('Table 2.5a'!$E$8:$E$192,MATCH('Table 2.5b'!A45&amp;'Table 2.5b'!B45,'Table 2.5a'!$A$8:$A$192&amp;'Table 2.5a'!$B$8:$B$192,0)))*1000, "")</f>
        <v>3248.9426477944598</v>
      </c>
      <c r="E45" s="705">
        <f t="array" ref="E45">IFERROR(INDEX('Table 2.5a'!$C$8:$C$192,MATCH('Table 2.5b'!$A45&amp;'Table 2.5b'!$B45,'Table 2.5a'!$A$8:$A$192&amp;'Table 2.5a'!$B$8:$B$192,0))/INDEX('Table 2.5a'!$D$8:$D$192,MATCH('Table 2.5b'!$A45&amp;'Table 2.5b'!$B45,'Table 2.5a'!$A$8:$A$192&amp;'Table 2.5a'!$B$8:$B$192,0)),"")</f>
        <v>0.54396666999999999</v>
      </c>
      <c r="F45" s="655">
        <f t="array" ref="F45">IFERROR((INDEX('Table 2.5a'!$H$8:$H$192,MATCH('Table 2.5b'!$A45&amp;'Table 2.5b'!$B45,'Table 2.5a'!$A$8:$A$192&amp;'Table 2.5a'!$B$8:$B$192,0))/INDEX('Table 2.5a'!$I$8:$I$192,MATCH('Table 2.5b'!$A45&amp;'Table 2.5b'!$B45,'Table 2.5a'!$A$8:$A$192&amp;'Table 2.5a'!$B$8:$B$192,0)))*1000, "")</f>
        <v>6239.7777777777783</v>
      </c>
      <c r="G45" s="655">
        <f t="array" ref="G45">IFERROR((INDEX('Table 2.5a'!$G$8:$G$192,MATCH('Table 2.5b'!$A45&amp;'Table 2.5b'!$B45,'Table 2.5a'!$A$8:$A$192&amp;'Table 2.5a'!$B$8:$B$192,0))/INDEX('Table 2.5a'!$I$8:$I$192,MATCH('Table 2.5b'!$A45&amp;'Table 2.5b'!$B45,'Table 2.5a'!$A$8:$A$192&amp;'Table 2.5a'!$B$8:$B$192,0)))*1000, "")</f>
        <v>3394.2311393177779</v>
      </c>
      <c r="H45" s="705">
        <f t="array" ref="H45">IFERROR(INDEX('Table 2.5a'!$G$8:$G$192,MATCH('Table 2.5b'!$A45&amp;'Table 2.5b'!$B45,'Table 2.5a'!$A$8:$A$192&amp;'Table 2.5a'!$B$8:$B$192,0))/INDEX('Table 2.5a'!$H$8:$H$192,MATCH('Table 2.5b'!$A45&amp;'Table 2.5b'!$B45,'Table 2.5a'!$A$8:$A$192&amp;'Table 2.5a'!$B$8:$B$192,0)),"")</f>
        <v>0.54396666999999999</v>
      </c>
      <c r="I45" s="655">
        <f t="array" ref="I45">IFERROR((INDEX('Table 2.5a'!$L$8:$L$192,MATCH('Table 2.5b'!$A45&amp;'Table 2.5b'!$B45,'Table 2.5a'!$A$8:$A$192&amp;'Table 2.5a'!$B$8:$B$192,0))/INDEX('Table 2.5a'!$I$8:$I$192,MATCH('Table 2.5b'!$A45&amp;'Table 2.5b'!$B45,'Table 2.5a'!$A$8:$A$192&amp;'Table 2.5a'!$B$8:$B$192,0)))*1000, "")</f>
        <v>44098</v>
      </c>
      <c r="J45" s="655">
        <f t="array" ref="J45">IFERROR((INDEX('Table 2.5a'!$K$8:$K$192,MATCH('Table 2.5b'!$A45&amp;'Table 2.5b'!$B45,'Table 2.5a'!$A$8:$A$192&amp;'Table 2.5a'!$B$8:$B$192,0))/INDEX('Table 2.5a'!$I$8:$I$192,MATCH('Table 2.5b'!$A45&amp;'Table 2.5b'!$B45,'Table 2.5a'!$A$8:$A$192&amp;'Table 2.5a'!$B$8:$B$192,0)))*1000, "")</f>
        <v>23987.842213659998</v>
      </c>
      <c r="K45" s="705">
        <f t="array" ref="K45">IFERROR(INDEX('Table 2.5a'!$I$8:$I$192,MATCH('Table 2.5b'!$A45&amp;'Table 2.5b'!$B45,'Table 2.5a'!$A$8:$A$192&amp;'Table 2.5a'!$B$8:$B$192,0))/INDEX('Table 2.5a'!$L$8:$L$192,MATCH('Table 2.5b'!$A45&amp;'Table 2.5b'!$B45,'Table 2.5a'!$A$8:$A$192&amp;'Table 2.5a'!$B$8:$B$192,0)),"")</f>
        <v>2.2676765386185314E-2</v>
      </c>
      <c r="L45" s="658" t="s">
        <v>356</v>
      </c>
      <c r="M45" s="709">
        <f t="array" ref="M45">INDEX(UtilityList!Q$4:Q$251,MATCH('Table 2.5b'!$A45&amp;'Table 2.5b'!$B45,UtilityList!$A$4:$A$251&amp;UtilityList!$C$4:$C$251,0))</f>
        <v>0</v>
      </c>
      <c r="N45" s="709" t="str">
        <f t="array" ref="N45">INDEX(UtilityList!J$4:J$251,MATCH('Table 2.5b'!$A45&amp;'Table 2.5b'!$B45,UtilityList!$A$4:$A$251&amp;UtilityList!$C$4:$C$251,0))</f>
        <v>Yukon-Koyukuk/Upper Tanana</v>
      </c>
      <c r="O45" s="709" t="str">
        <f t="array" ref="O45">INDEX(UtilityList!K$4:K$251,MATCH('Table 2.5b'!$A45&amp;'Table 2.5b'!$B45,UtilityList!$A$4:$A$251&amp;UtilityList!$C$4:$C$251,0))</f>
        <v>Yukon-Koyukuk (CA)</v>
      </c>
      <c r="P45" s="709" t="str">
        <f t="array" ref="P45">INDEX(UtilityList!L$4:L$251,MATCH('Table 2.5b'!$A45&amp;'Table 2.5b'!$B45,UtilityList!$A$4:$A$251&amp;UtilityList!$C$4:$C$251,0))</f>
        <v>Doyon</v>
      </c>
      <c r="Q45" s="709" t="str">
        <f t="array" ref="Q45">INDEX(UtilityList!M$4:M$251,MATCH('Table 2.5b'!$A45&amp;'Table 2.5b'!$B45,UtilityList!$A$4:$A$251&amp;UtilityList!$C$4:$C$251,0))</f>
        <v>YU</v>
      </c>
    </row>
    <row r="46" spans="1:17" s="267" customFormat="1" ht="75" x14ac:dyDescent="0.25">
      <c r="A46" s="361" t="s">
        <v>524</v>
      </c>
      <c r="B46" s="654" t="s">
        <v>997</v>
      </c>
      <c r="C46" s="655">
        <f t="array" ref="C46">IFERROR((INDEX('Table 2.5a'!$D$8:$D$192,MATCH('Table 2.5b'!A46&amp;'Table 2.5b'!B46,'Table 2.5a'!$A$8:$A$192&amp;'Table 2.5a'!$B$8:$B$192,0))/INDEX('Table 2.5a'!$E$8:$E$192,MATCH('Table 2.5b'!A46&amp;'Table 2.5b'!B46,'Table 2.5a'!$A$8:$A$192&amp;'Table 2.5a'!$B$8:$B$192,0)))*1000, "")</f>
        <v>4615.0956039164148</v>
      </c>
      <c r="D46" s="655">
        <f t="array" ref="D46">IFERROR((INDEX('Table 2.5a'!$C$8:$C$192,MATCH('Table 2.5b'!A46&amp;'Table 2.5b'!B46,'Table 2.5a'!$A$8:$A$192&amp;'Table 2.5a'!$B$8:$B$192,0))/INDEX('Table 2.5a'!$E$8:$E$192,MATCH('Table 2.5b'!A46&amp;'Table 2.5b'!B46,'Table 2.5a'!$A$8:$A$192&amp;'Table 2.5a'!$B$8:$B$192,0)))*1000, "")</f>
        <v>2676.5246954913246</v>
      </c>
      <c r="E46" s="705">
        <f t="array" ref="E46">IFERROR(INDEX('Table 2.5a'!$C$8:$C$192,MATCH('Table 2.5b'!$A46&amp;'Table 2.5b'!$B46,'Table 2.5a'!$A$8:$A$192&amp;'Table 2.5a'!$B$8:$B$192,0))/INDEX('Table 2.5a'!$D$8:$D$192,MATCH('Table 2.5b'!$A46&amp;'Table 2.5b'!$B46,'Table 2.5a'!$A$8:$A$192&amp;'Table 2.5a'!$B$8:$B$192,0)),"")</f>
        <v>0.57994999999999997</v>
      </c>
      <c r="F46" s="655">
        <f t="array" ref="F46">IFERROR((INDEX('Table 2.5a'!$H$8:$H$192,MATCH('Table 2.5b'!$A46&amp;'Table 2.5b'!$B46,'Table 2.5a'!$A$8:$A$192&amp;'Table 2.5a'!$B$8:$B$192,0))/INDEX('Table 2.5a'!$I$8:$I$192,MATCH('Table 2.5b'!$A46&amp;'Table 2.5b'!$B46,'Table 2.5a'!$A$8:$A$192&amp;'Table 2.5a'!$B$8:$B$192,0)))*1000, "")</f>
        <v>14253.260922229741</v>
      </c>
      <c r="G46" s="655">
        <f t="array" ref="G46">IFERROR((INDEX('Table 2.5a'!$G$8:$G$192,MATCH('Table 2.5b'!$A46&amp;'Table 2.5b'!$B46,'Table 2.5a'!$A$8:$A$192&amp;'Table 2.5a'!$B$8:$B$192,0))/INDEX('Table 2.5a'!$I$8:$I$192,MATCH('Table 2.5b'!$A46&amp;'Table 2.5b'!$B46,'Table 2.5a'!$A$8:$A$192&amp;'Table 2.5a'!$B$8:$B$192,0)))*1000, "")</f>
        <v>8266.1786718471376</v>
      </c>
      <c r="H46" s="705">
        <f t="array" ref="H46">IFERROR(INDEX('Table 2.5a'!$G$8:$G$192,MATCH('Table 2.5b'!$A46&amp;'Table 2.5b'!$B46,'Table 2.5a'!$A$8:$A$192&amp;'Table 2.5a'!$B$8:$B$192,0))/INDEX('Table 2.5a'!$H$8:$H$192,MATCH('Table 2.5b'!$A46&amp;'Table 2.5b'!$B46,'Table 2.5a'!$A$8:$A$192&amp;'Table 2.5a'!$B$8:$B$192,0)),"")</f>
        <v>0.57994999999999997</v>
      </c>
      <c r="I46" s="655">
        <f t="array" ref="I46">IFERROR((INDEX('Table 2.5a'!$L$8:$L$192,MATCH('Table 2.5b'!$A46&amp;'Table 2.5b'!$B46,'Table 2.5a'!$A$8:$A$192&amp;'Table 2.5a'!$B$8:$B$192,0))/INDEX('Table 2.5a'!$I$8:$I$192,MATCH('Table 2.5b'!$A46&amp;'Table 2.5b'!$B46,'Table 2.5a'!$A$8:$A$192&amp;'Table 2.5a'!$B$8:$B$192,0)))*1000, "")</f>
        <v>36522.685082065138</v>
      </c>
      <c r="J46" s="655">
        <f t="array" ref="J46">IFERROR((INDEX('Table 2.5a'!$K$8:$K$192,MATCH('Table 2.5b'!$A46&amp;'Table 2.5b'!$B46,'Table 2.5a'!$A$8:$A$192&amp;'Table 2.5a'!$B$8:$B$192,0))/INDEX('Table 2.5a'!$I$8:$I$192,MATCH('Table 2.5b'!$A46&amp;'Table 2.5b'!$B46,'Table 2.5a'!$A$8:$A$192&amp;'Table 2.5a'!$B$8:$B$192,0)))*1000, "")</f>
        <v>21181.331213343674</v>
      </c>
      <c r="K46" s="705">
        <f t="array" ref="K46">IFERROR(INDEX('Table 2.5a'!$I$8:$I$192,MATCH('Table 2.5b'!$A46&amp;'Table 2.5b'!$B46,'Table 2.5a'!$A$8:$A$192&amp;'Table 2.5a'!$B$8:$B$192,0))/INDEX('Table 2.5a'!$L$8:$L$192,MATCH('Table 2.5b'!$A46&amp;'Table 2.5b'!$B46,'Table 2.5a'!$A$8:$A$192&amp;'Table 2.5a'!$B$8:$B$192,0)),"")</f>
        <v>2.7380243203724931E-2</v>
      </c>
      <c r="L46" s="658" t="s">
        <v>356</v>
      </c>
      <c r="M46" s="709" t="str">
        <f t="array" ref="M46">INDEX(UtilityList!Q$4:Q$251,MATCH('Table 2.5b'!$A46&amp;'Table 2.5b'!$B46,UtilityList!$A$4:$A$251&amp;UtilityList!$C$4:$C$251,0))</f>
        <v>Provides power to Lower Kalskag via intertie. Fuel use and cost data includes information for Lower Kalskag.</v>
      </c>
      <c r="N46" s="709" t="str">
        <f t="array" ref="N46">INDEX(UtilityList!J$4:J$251,MATCH('Table 2.5b'!$A46&amp;'Table 2.5b'!$B46,UtilityList!$A$4:$A$251&amp;UtilityList!$C$4:$C$251,0))</f>
        <v>Lower Yukon-Kuskokwim</v>
      </c>
      <c r="O46" s="709" t="str">
        <f t="array" ref="O46">INDEX(UtilityList!K$4:K$251,MATCH('Table 2.5b'!$A46&amp;'Table 2.5b'!$B46,UtilityList!$A$4:$A$251&amp;UtilityList!$C$4:$C$251,0))</f>
        <v>Bethel (CA)</v>
      </c>
      <c r="P46" s="709" t="str">
        <f t="array" ref="P46">INDEX(UtilityList!L$4:L$251,MATCH('Table 2.5b'!$A46&amp;'Table 2.5b'!$B46,UtilityList!$A$4:$A$251&amp;UtilityList!$C$4:$C$251,0))</f>
        <v>Calista</v>
      </c>
      <c r="Q46" s="709" t="str">
        <f t="array" ref="Q46">INDEX(UtilityList!M$4:M$251,MATCH('Table 2.5b'!$A46&amp;'Table 2.5b'!$B46,UtilityList!$A$4:$A$251&amp;UtilityList!$C$4:$C$251,0))</f>
        <v>SW</v>
      </c>
    </row>
    <row r="47" spans="1:17" s="267" customFormat="1" ht="30" x14ac:dyDescent="0.25">
      <c r="A47" s="361" t="s">
        <v>524</v>
      </c>
      <c r="B47" s="654" t="s">
        <v>80</v>
      </c>
      <c r="C47" s="655">
        <f t="array" ref="C47">IFERROR((INDEX('Table 2.5a'!$D$8:$D$192,MATCH('Table 2.5b'!A47&amp;'Table 2.5b'!B47,'Table 2.5a'!$A$8:$A$192&amp;'Table 2.5a'!$B$8:$B$192,0))/INDEX('Table 2.5a'!$E$8:$E$192,MATCH('Table 2.5b'!A47&amp;'Table 2.5b'!B47,'Table 2.5a'!$A$8:$A$192&amp;'Table 2.5a'!$B$8:$B$192,0)))*1000, "")</f>
        <v>3886.9639344262291</v>
      </c>
      <c r="D47" s="655">
        <f t="array" ref="D47">IFERROR((INDEX('Table 2.5a'!$C$8:$C$192,MATCH('Table 2.5b'!A47&amp;'Table 2.5b'!B47,'Table 2.5a'!$A$8:$A$192&amp;'Table 2.5a'!$B$8:$B$192,0))/INDEX('Table 2.5a'!$E$8:$E$192,MATCH('Table 2.5b'!A47&amp;'Table 2.5b'!B47,'Table 2.5a'!$A$8:$A$192&amp;'Table 2.5a'!$B$8:$B$192,0)))*1000, "")</f>
        <v>2020.8973451969832</v>
      </c>
      <c r="E47" s="705">
        <f t="array" ref="E47">IFERROR(INDEX('Table 2.5a'!$C$8:$C$192,MATCH('Table 2.5b'!$A47&amp;'Table 2.5b'!$B47,'Table 2.5a'!$A$8:$A$192&amp;'Table 2.5a'!$B$8:$B$192,0))/INDEX('Table 2.5a'!$D$8:$D$192,MATCH('Table 2.5b'!$A47&amp;'Table 2.5b'!$B47,'Table 2.5a'!$A$8:$A$192&amp;'Table 2.5a'!$B$8:$B$192,0)),"")</f>
        <v>0.51991666999999997</v>
      </c>
      <c r="F47" s="655">
        <f t="array" ref="F47">IFERROR((INDEX('Table 2.5a'!$H$8:$H$192,MATCH('Table 2.5b'!$A47&amp;'Table 2.5b'!$B47,'Table 2.5a'!$A$8:$A$192&amp;'Table 2.5a'!$B$8:$B$192,0))/INDEX('Table 2.5a'!$I$8:$I$192,MATCH('Table 2.5b'!$A47&amp;'Table 2.5b'!$B47,'Table 2.5a'!$A$8:$A$192&amp;'Table 2.5a'!$B$8:$B$192,0)))*1000, "")</f>
        <v>4259.8635395485562</v>
      </c>
      <c r="G47" s="655">
        <f t="array" ref="G47">IFERROR((INDEX('Table 2.5a'!$G$8:$G$192,MATCH('Table 2.5b'!$A47&amp;'Table 2.5b'!$B47,'Table 2.5a'!$A$8:$A$192&amp;'Table 2.5a'!$B$8:$B$192,0))/INDEX('Table 2.5a'!$I$8:$I$192,MATCH('Table 2.5b'!$A47&amp;'Table 2.5b'!$B47,'Table 2.5a'!$A$8:$A$192&amp;'Table 2.5a'!$B$8:$B$192,0)))*1000, "")</f>
        <v>2214.7740661364983</v>
      </c>
      <c r="H47" s="705">
        <f t="array" ref="H47">IFERROR(INDEX('Table 2.5a'!$G$8:$G$192,MATCH('Table 2.5b'!$A47&amp;'Table 2.5b'!$B47,'Table 2.5a'!$A$8:$A$192&amp;'Table 2.5a'!$B$8:$B$192,0))/INDEX('Table 2.5a'!$H$8:$H$192,MATCH('Table 2.5b'!$A47&amp;'Table 2.5b'!$B47,'Table 2.5a'!$A$8:$A$192&amp;'Table 2.5a'!$B$8:$B$192,0)),"")</f>
        <v>0.51991666999999997</v>
      </c>
      <c r="I47" s="655">
        <f t="array" ref="I47">IFERROR((INDEX('Table 2.5a'!$L$8:$L$192,MATCH('Table 2.5b'!$A47&amp;'Table 2.5b'!$B47,'Table 2.5a'!$A$8:$A$192&amp;'Table 2.5a'!$B$8:$B$192,0))/INDEX('Table 2.5a'!$I$8:$I$192,MATCH('Table 2.5b'!$A47&amp;'Table 2.5b'!$B47,'Table 2.5a'!$A$8:$A$192&amp;'Table 2.5a'!$B$8:$B$192,0)))*1000, "")</f>
        <v>22270.772221118812</v>
      </c>
      <c r="J47" s="655">
        <f t="array" ref="J47">IFERROR((INDEX('Table 2.5a'!$K$8:$K$192,MATCH('Table 2.5b'!$A47&amp;'Table 2.5b'!$B47,'Table 2.5a'!$A$8:$A$192&amp;'Table 2.5a'!$B$8:$B$192,0))/INDEX('Table 2.5a'!$I$8:$I$192,MATCH('Table 2.5b'!$A47&amp;'Table 2.5b'!$B47,'Table 2.5a'!$A$8:$A$192&amp;'Table 2.5a'!$B$8:$B$192,0)))*1000, "")</f>
        <v>11578.945731532596</v>
      </c>
      <c r="K47" s="705">
        <f t="array" ref="K47">IFERROR(INDEX('Table 2.5a'!$I$8:$I$192,MATCH('Table 2.5b'!$A47&amp;'Table 2.5b'!$B47,'Table 2.5a'!$A$8:$A$192&amp;'Table 2.5a'!$B$8:$B$192,0))/INDEX('Table 2.5a'!$L$8:$L$192,MATCH('Table 2.5b'!$A47&amp;'Table 2.5b'!$B47,'Table 2.5a'!$A$8:$A$192&amp;'Table 2.5a'!$B$8:$B$192,0)),"")</f>
        <v>4.4901900574948417E-2</v>
      </c>
      <c r="L47" s="658" t="s">
        <v>356</v>
      </c>
      <c r="M47" s="709">
        <f t="array" ref="M47">INDEX(UtilityList!Q$4:Q$251,MATCH('Table 2.5b'!$A47&amp;'Table 2.5b'!$B47,UtilityList!$A$4:$A$251&amp;UtilityList!$C$4:$C$251,0))</f>
        <v>0</v>
      </c>
      <c r="N47" s="709" t="str">
        <f t="array" ref="N47">INDEX(UtilityList!J$4:J$251,MATCH('Table 2.5b'!$A47&amp;'Table 2.5b'!$B47,UtilityList!$A$4:$A$251&amp;UtilityList!$C$4:$C$251,0))</f>
        <v>Yukon-Koyukuk/Upper Tanana</v>
      </c>
      <c r="O47" s="709" t="str">
        <f t="array" ref="O47">INDEX(UtilityList!K$4:K$251,MATCH('Table 2.5b'!$A47&amp;'Table 2.5b'!$B47,UtilityList!$A$4:$A$251&amp;UtilityList!$C$4:$C$251,0))</f>
        <v>Yukon-Koyukuk (CA)</v>
      </c>
      <c r="P47" s="709" t="str">
        <f t="array" ref="P47">INDEX(UtilityList!L$4:L$251,MATCH('Table 2.5b'!$A47&amp;'Table 2.5b'!$B47,UtilityList!$A$4:$A$251&amp;UtilityList!$C$4:$C$251,0))</f>
        <v>Doyon</v>
      </c>
      <c r="Q47" s="709" t="str">
        <f t="array" ref="Q47">INDEX(UtilityList!M$4:M$251,MATCH('Table 2.5b'!$A47&amp;'Table 2.5b'!$B47,UtilityList!$A$4:$A$251&amp;UtilityList!$C$4:$C$251,0))</f>
        <v>YU</v>
      </c>
    </row>
    <row r="48" spans="1:17" s="267" customFormat="1" ht="75" x14ac:dyDescent="0.25">
      <c r="A48" s="361" t="s">
        <v>524</v>
      </c>
      <c r="B48" s="654" t="s">
        <v>992</v>
      </c>
      <c r="C48" s="655">
        <f t="array" ref="C48">IFERROR((INDEX('Table 2.5a'!$D$8:$D$192,MATCH('Table 2.5b'!A48&amp;'Table 2.5b'!B48,'Table 2.5a'!$A$8:$A$192&amp;'Table 2.5a'!$B$8:$B$192,0))/INDEX('Table 2.5a'!$E$8:$E$192,MATCH('Table 2.5b'!A48&amp;'Table 2.5b'!B48,'Table 2.5a'!$A$8:$A$192&amp;'Table 2.5a'!$B$8:$B$192,0)))*1000, "")</f>
        <v>4889.7394789579157</v>
      </c>
      <c r="D48" s="655">
        <f t="array" ref="D48">IFERROR((INDEX('Table 2.5a'!$C$8:$C$192,MATCH('Table 2.5b'!A48&amp;'Table 2.5b'!B48,'Table 2.5a'!$A$8:$A$192&amp;'Table 2.5a'!$B$8:$B$192,0))/INDEX('Table 2.5a'!$E$8:$E$192,MATCH('Table 2.5b'!A48&amp;'Table 2.5b'!B48,'Table 2.5a'!$A$8:$A$192&amp;'Table 2.5a'!$B$8:$B$192,0)))*1000, "")</f>
        <v>2597.4703427523041</v>
      </c>
      <c r="E48" s="705">
        <f t="array" ref="E48">IFERROR(INDEX('Table 2.5a'!$C$8:$C$192,MATCH('Table 2.5b'!$A48&amp;'Table 2.5b'!$B48,'Table 2.5a'!$A$8:$A$192&amp;'Table 2.5a'!$B$8:$B$192,0))/INDEX('Table 2.5a'!$D$8:$D$192,MATCH('Table 2.5b'!$A48&amp;'Table 2.5b'!$B48,'Table 2.5a'!$A$8:$A$192&amp;'Table 2.5a'!$B$8:$B$192,0)),"")</f>
        <v>0.53120833000000001</v>
      </c>
      <c r="F48" s="655">
        <f t="array" ref="F48">IFERROR((INDEX('Table 2.5a'!$H$8:$H$192,MATCH('Table 2.5b'!$A48&amp;'Table 2.5b'!$B48,'Table 2.5a'!$A$8:$A$192&amp;'Table 2.5a'!$B$8:$B$192,0))/INDEX('Table 2.5a'!$I$8:$I$192,MATCH('Table 2.5b'!$A48&amp;'Table 2.5b'!$B48,'Table 2.5a'!$A$8:$A$192&amp;'Table 2.5a'!$B$8:$B$192,0)))*1000, "")</f>
        <v>19755.06677550896</v>
      </c>
      <c r="G48" s="655">
        <f t="array" ref="G48">IFERROR((INDEX('Table 2.5a'!$G$8:$G$192,MATCH('Table 2.5b'!$A48&amp;'Table 2.5b'!$B48,'Table 2.5a'!$A$8:$A$192&amp;'Table 2.5a'!$B$8:$B$192,0))/INDEX('Table 2.5a'!$I$8:$I$192,MATCH('Table 2.5b'!$A48&amp;'Table 2.5b'!$B48,'Table 2.5a'!$A$8:$A$192&amp;'Table 2.5a'!$B$8:$B$192,0)))*1000, "")</f>
        <v>10494.056030856602</v>
      </c>
      <c r="H48" s="705">
        <f t="array" ref="H48">IFERROR(INDEX('Table 2.5a'!$G$8:$G$192,MATCH('Table 2.5b'!$A48&amp;'Table 2.5b'!$B48,'Table 2.5a'!$A$8:$A$192&amp;'Table 2.5a'!$B$8:$B$192,0))/INDEX('Table 2.5a'!$H$8:$H$192,MATCH('Table 2.5b'!$A48&amp;'Table 2.5b'!$B48,'Table 2.5a'!$A$8:$A$192&amp;'Table 2.5a'!$B$8:$B$192,0)),"")</f>
        <v>0.53120833000000001</v>
      </c>
      <c r="I48" s="655">
        <f t="array" ref="I48">IFERROR((INDEX('Table 2.5a'!$L$8:$L$192,MATCH('Table 2.5b'!$A48&amp;'Table 2.5b'!$B48,'Table 2.5a'!$A$8:$A$192&amp;'Table 2.5a'!$B$8:$B$192,0))/INDEX('Table 2.5a'!$I$8:$I$192,MATCH('Table 2.5b'!$A48&amp;'Table 2.5b'!$B48,'Table 2.5a'!$A$8:$A$192&amp;'Table 2.5a'!$B$8:$B$192,0)))*1000, "")</f>
        <v>30241.851286056437</v>
      </c>
      <c r="J48" s="655">
        <f t="array" ref="J48">IFERROR((INDEX('Table 2.5a'!$K$8:$K$192,MATCH('Table 2.5b'!$A48&amp;'Table 2.5b'!$B48,'Table 2.5a'!$A$8:$A$192&amp;'Table 2.5a'!$B$8:$B$192,0))/INDEX('Table 2.5a'!$I$8:$I$192,MATCH('Table 2.5b'!$A48&amp;'Table 2.5b'!$B48,'Table 2.5a'!$A$8:$A$192&amp;'Table 2.5a'!$B$8:$B$192,0)))*1000, "")</f>
        <v>16064.723317774391</v>
      </c>
      <c r="K48" s="705">
        <f t="array" ref="K48">IFERROR(INDEX('Table 2.5a'!$I$8:$I$192,MATCH('Table 2.5b'!$A48&amp;'Table 2.5b'!$B48,'Table 2.5a'!$A$8:$A$192&amp;'Table 2.5a'!$B$8:$B$192,0))/INDEX('Table 2.5a'!$L$8:$L$192,MATCH('Table 2.5b'!$A48&amp;'Table 2.5b'!$B48,'Table 2.5a'!$A$8:$A$192&amp;'Table 2.5a'!$B$8:$B$192,0)),"")</f>
        <v>3.3066758729187601E-2</v>
      </c>
      <c r="L48" s="658" t="s">
        <v>356</v>
      </c>
      <c r="M48" s="709" t="str">
        <f t="array" ref="M48">INDEX(UtilityList!Q$4:Q$251,MATCH('Table 2.5b'!$A48&amp;'Table 2.5b'!$B48,UtilityList!$A$4:$A$251&amp;UtilityList!$C$4:$C$251,0))</f>
        <v>Provides power to Nunapitchuk via intertie.  Fuel use and cost includes Nunapitchuk's information.</v>
      </c>
      <c r="N48" s="709" t="str">
        <f t="array" ref="N48">INDEX(UtilityList!J$4:J$251,MATCH('Table 2.5b'!$A48&amp;'Table 2.5b'!$B48,UtilityList!$A$4:$A$251&amp;UtilityList!$C$4:$C$251,0))</f>
        <v>Lower Yukon-Kuskokwim</v>
      </c>
      <c r="O48" s="709" t="str">
        <f t="array" ref="O48">INDEX(UtilityList!K$4:K$251,MATCH('Table 2.5b'!$A48&amp;'Table 2.5b'!$B48,UtilityList!$A$4:$A$251&amp;UtilityList!$C$4:$C$251,0))</f>
        <v>Bethel (CA)</v>
      </c>
      <c r="P48" s="709" t="str">
        <f t="array" ref="P48">INDEX(UtilityList!L$4:L$251,MATCH('Table 2.5b'!$A48&amp;'Table 2.5b'!$B48,UtilityList!$A$4:$A$251&amp;UtilityList!$C$4:$C$251,0))</f>
        <v>Calista</v>
      </c>
      <c r="Q48" s="709" t="str">
        <f t="array" ref="Q48">INDEX(UtilityList!M$4:M$251,MATCH('Table 2.5b'!$A48&amp;'Table 2.5b'!$B48,UtilityList!$A$4:$A$251&amp;UtilityList!$C$4:$C$251,0))</f>
        <v>SW</v>
      </c>
    </row>
    <row r="49" spans="1:17" s="267" customFormat="1" ht="30" x14ac:dyDescent="0.25">
      <c r="A49" s="361" t="s">
        <v>524</v>
      </c>
      <c r="B49" s="654" t="s">
        <v>82</v>
      </c>
      <c r="C49" s="655">
        <f t="array" ref="C49">IFERROR((INDEX('Table 2.5a'!$D$8:$D$192,MATCH('Table 2.5b'!A49&amp;'Table 2.5b'!B49,'Table 2.5a'!$A$8:$A$192&amp;'Table 2.5a'!$B$8:$B$192,0))/INDEX('Table 2.5a'!$E$8:$E$192,MATCH('Table 2.5b'!A49&amp;'Table 2.5b'!B49,'Table 2.5a'!$A$8:$A$192&amp;'Table 2.5a'!$B$8:$B$192,0)))*1000, "")</f>
        <v>4847.9676767676774</v>
      </c>
      <c r="D49" s="655">
        <f t="array" ref="D49">IFERROR((INDEX('Table 2.5a'!$C$8:$C$192,MATCH('Table 2.5b'!A49&amp;'Table 2.5b'!B49,'Table 2.5a'!$A$8:$A$192&amp;'Table 2.5a'!$B$8:$B$192,0))/INDEX('Table 2.5a'!$E$8:$E$192,MATCH('Table 2.5b'!A49&amp;'Table 2.5b'!B49,'Table 2.5a'!$A$8:$A$192&amp;'Table 2.5a'!$B$8:$B$192,0)))*1000, "")</f>
        <v>3159.056937373738</v>
      </c>
      <c r="E49" s="705">
        <f t="array" ref="E49">IFERROR(INDEX('Table 2.5a'!$C$8:$C$192,MATCH('Table 2.5b'!$A49&amp;'Table 2.5b'!$B49,'Table 2.5a'!$A$8:$A$192&amp;'Table 2.5a'!$B$8:$B$192,0))/INDEX('Table 2.5a'!$D$8:$D$192,MATCH('Table 2.5b'!$A49&amp;'Table 2.5b'!$B49,'Table 2.5a'!$A$8:$A$192&amp;'Table 2.5a'!$B$8:$B$192,0)),"")</f>
        <v>0.65162500000000001</v>
      </c>
      <c r="F49" s="655">
        <f t="array" ref="F49">IFERROR((INDEX('Table 2.5a'!$H$8:$H$192,MATCH('Table 2.5b'!$A49&amp;'Table 2.5b'!$B49,'Table 2.5a'!$A$8:$A$192&amp;'Table 2.5a'!$B$8:$B$192,0))/INDEX('Table 2.5a'!$I$8:$I$192,MATCH('Table 2.5b'!$A49&amp;'Table 2.5b'!$B49,'Table 2.5a'!$A$8:$A$192&amp;'Table 2.5a'!$B$8:$B$192,0)))*1000, "")</f>
        <v>15662.013002362066</v>
      </c>
      <c r="G49" s="655">
        <f t="array" ref="G49">IFERROR((INDEX('Table 2.5a'!$G$8:$G$192,MATCH('Table 2.5b'!$A49&amp;'Table 2.5b'!$B49,'Table 2.5a'!$A$8:$A$192&amp;'Table 2.5a'!$B$8:$B$192,0))/INDEX('Table 2.5a'!$I$8:$I$192,MATCH('Table 2.5b'!$A49&amp;'Table 2.5b'!$B49,'Table 2.5a'!$A$8:$A$192&amp;'Table 2.5a'!$B$8:$B$192,0)))*1000, "")</f>
        <v>10205.759222664181</v>
      </c>
      <c r="H49" s="705">
        <f t="array" ref="H49">IFERROR(INDEX('Table 2.5a'!$G$8:$G$192,MATCH('Table 2.5b'!$A49&amp;'Table 2.5b'!$B49,'Table 2.5a'!$A$8:$A$192&amp;'Table 2.5a'!$B$8:$B$192,0))/INDEX('Table 2.5a'!$H$8:$H$192,MATCH('Table 2.5b'!$A49&amp;'Table 2.5b'!$B49,'Table 2.5a'!$A$8:$A$192&amp;'Table 2.5a'!$B$8:$B$192,0)),"")</f>
        <v>0.65162500000000001</v>
      </c>
      <c r="I49" s="655">
        <f t="array" ref="I49">IFERROR((INDEX('Table 2.5a'!$L$8:$L$192,MATCH('Table 2.5b'!$A49&amp;'Table 2.5b'!$B49,'Table 2.5a'!$A$8:$A$192&amp;'Table 2.5a'!$B$8:$B$192,0))/INDEX('Table 2.5a'!$I$8:$I$192,MATCH('Table 2.5b'!$A49&amp;'Table 2.5b'!$B49,'Table 2.5a'!$A$8:$A$192&amp;'Table 2.5a'!$B$8:$B$192,0)))*1000, "")</f>
        <v>51776.213375135216</v>
      </c>
      <c r="J49" s="655">
        <f t="array" ref="J49">IFERROR((INDEX('Table 2.5a'!$K$8:$K$192,MATCH('Table 2.5b'!$A49&amp;'Table 2.5b'!$B49,'Table 2.5a'!$A$8:$A$192&amp;'Table 2.5a'!$B$8:$B$192,0))/INDEX('Table 2.5a'!$I$8:$I$192,MATCH('Table 2.5b'!$A49&amp;'Table 2.5b'!$B49,'Table 2.5a'!$A$8:$A$192&amp;'Table 2.5a'!$B$8:$B$192,0)))*1000, "")</f>
        <v>33738.675040572482</v>
      </c>
      <c r="K49" s="705">
        <f t="array" ref="K49">IFERROR(INDEX('Table 2.5a'!$I$8:$I$192,MATCH('Table 2.5b'!$A49&amp;'Table 2.5b'!$B49,'Table 2.5a'!$A$8:$A$192&amp;'Table 2.5a'!$B$8:$B$192,0))/INDEX('Table 2.5a'!$L$8:$L$192,MATCH('Table 2.5b'!$A49&amp;'Table 2.5b'!$B49,'Table 2.5a'!$A$8:$A$192&amp;'Table 2.5a'!$B$8:$B$192,0)),"")</f>
        <v>1.9313888266696531E-2</v>
      </c>
      <c r="L49" s="658" t="s">
        <v>356</v>
      </c>
      <c r="M49" s="709">
        <f t="array" ref="M49">INDEX(UtilityList!Q$4:Q$251,MATCH('Table 2.5b'!$A49&amp;'Table 2.5b'!$B49,UtilityList!$A$4:$A$251&amp;UtilityList!$C$4:$C$251,0))</f>
        <v>0</v>
      </c>
      <c r="N49" s="709" t="str">
        <f t="array" ref="N49">INDEX(UtilityList!J$4:J$251,MATCH('Table 2.5b'!$A49&amp;'Table 2.5b'!$B49,UtilityList!$A$4:$A$251&amp;UtilityList!$C$4:$C$251,0))</f>
        <v>Northwest Arctic</v>
      </c>
      <c r="O49" s="709" t="str">
        <f t="array" ref="O49">INDEX(UtilityList!K$4:K$251,MATCH('Table 2.5b'!$A49&amp;'Table 2.5b'!$B49,UtilityList!$A$4:$A$251&amp;UtilityList!$C$4:$C$251,0))</f>
        <v>Northwest Arctic</v>
      </c>
      <c r="P49" s="709" t="str">
        <f t="array" ref="P49">INDEX(UtilityList!L$4:L$251,MATCH('Table 2.5b'!$A49&amp;'Table 2.5b'!$B49,UtilityList!$A$4:$A$251&amp;UtilityList!$C$4:$C$251,0))</f>
        <v>NANA</v>
      </c>
      <c r="Q49" s="709" t="str">
        <f t="array" ref="Q49">INDEX(UtilityList!M$4:M$251,MATCH('Table 2.5b'!$A49&amp;'Table 2.5b'!$B49,UtilityList!$A$4:$A$251&amp;UtilityList!$C$4:$C$251,0))</f>
        <v>AN</v>
      </c>
    </row>
    <row r="50" spans="1:17" s="267" customFormat="1" ht="30" x14ac:dyDescent="0.25">
      <c r="A50" s="361" t="s">
        <v>524</v>
      </c>
      <c r="B50" s="654" t="s">
        <v>83</v>
      </c>
      <c r="C50" s="655">
        <f t="array" ref="C50">IFERROR((INDEX('Table 2.5a'!$D$8:$D$192,MATCH('Table 2.5b'!A50&amp;'Table 2.5b'!B50,'Table 2.5a'!$A$8:$A$192&amp;'Table 2.5a'!$B$8:$B$192,0))/INDEX('Table 2.5a'!$E$8:$E$192,MATCH('Table 2.5b'!A50&amp;'Table 2.5b'!B50,'Table 2.5a'!$A$8:$A$192&amp;'Table 2.5a'!$B$8:$B$192,0)))*1000, "")</f>
        <v>5759.4437869822486</v>
      </c>
      <c r="D50" s="655">
        <f t="array" ref="D50">IFERROR((INDEX('Table 2.5a'!$C$8:$C$192,MATCH('Table 2.5b'!A50&amp;'Table 2.5b'!B50,'Table 2.5a'!$A$8:$A$192&amp;'Table 2.5a'!$B$8:$B$192,0))/INDEX('Table 2.5a'!$E$8:$E$192,MATCH('Table 2.5b'!A50&amp;'Table 2.5b'!B50,'Table 2.5a'!$A$8:$A$192&amp;'Table 2.5a'!$B$8:$B$192,0)))*1000, "")</f>
        <v>3679.5166732415382</v>
      </c>
      <c r="E50" s="705">
        <f t="array" ref="E50">IFERROR(INDEX('Table 2.5a'!$C$8:$C$192,MATCH('Table 2.5b'!$A50&amp;'Table 2.5b'!$B50,'Table 2.5a'!$A$8:$A$192&amp;'Table 2.5a'!$B$8:$B$192,0))/INDEX('Table 2.5a'!$D$8:$D$192,MATCH('Table 2.5b'!$A50&amp;'Table 2.5b'!$B50,'Table 2.5a'!$A$8:$A$192&amp;'Table 2.5a'!$B$8:$B$192,0)),"")</f>
        <v>0.63886666999999997</v>
      </c>
      <c r="F50" s="655">
        <f t="array" ref="F50">IFERROR((INDEX('Table 2.5a'!$H$8:$H$192,MATCH('Table 2.5b'!$A50&amp;'Table 2.5b'!$B50,'Table 2.5a'!$A$8:$A$192&amp;'Table 2.5a'!$B$8:$B$192,0))/INDEX('Table 2.5a'!$I$8:$I$192,MATCH('Table 2.5b'!$A50&amp;'Table 2.5b'!$B50,'Table 2.5a'!$A$8:$A$192&amp;'Table 2.5a'!$B$8:$B$192,0)))*1000, "")</f>
        <v>17426.950248296711</v>
      </c>
      <c r="G50" s="655">
        <f t="array" ref="G50">IFERROR((INDEX('Table 2.5a'!$G$8:$G$192,MATCH('Table 2.5b'!$A50&amp;'Table 2.5b'!$B50,'Table 2.5a'!$A$8:$A$192&amp;'Table 2.5a'!$B$8:$B$192,0))/INDEX('Table 2.5a'!$I$8:$I$192,MATCH('Table 2.5b'!$A50&amp;'Table 2.5b'!$B50,'Table 2.5a'!$A$8:$A$192&amp;'Table 2.5a'!$B$8:$B$192,0)))*1000, "")</f>
        <v>11133.497673384994</v>
      </c>
      <c r="H50" s="705">
        <f t="array" ref="H50">IFERROR(INDEX('Table 2.5a'!$G$8:$G$192,MATCH('Table 2.5b'!$A50&amp;'Table 2.5b'!$B50,'Table 2.5a'!$A$8:$A$192&amp;'Table 2.5a'!$B$8:$B$192,0))/INDEX('Table 2.5a'!$H$8:$H$192,MATCH('Table 2.5b'!$A50&amp;'Table 2.5b'!$B50,'Table 2.5a'!$A$8:$A$192&amp;'Table 2.5a'!$B$8:$B$192,0)),"")</f>
        <v>0.63886666999999997</v>
      </c>
      <c r="I50" s="655">
        <f t="array" ref="I50">IFERROR((INDEX('Table 2.5a'!$L$8:$L$192,MATCH('Table 2.5b'!$A50&amp;'Table 2.5b'!$B50,'Table 2.5a'!$A$8:$A$192&amp;'Table 2.5a'!$B$8:$B$192,0))/INDEX('Table 2.5a'!$I$8:$I$192,MATCH('Table 2.5b'!$A50&amp;'Table 2.5b'!$B50,'Table 2.5a'!$A$8:$A$192&amp;'Table 2.5a'!$B$8:$B$192,0)))*1000, "")</f>
        <v>48348.29349677726</v>
      </c>
      <c r="J50" s="655">
        <f t="array" ref="J50">IFERROR((INDEX('Table 2.5a'!$K$8:$K$192,MATCH('Table 2.5b'!$A50&amp;'Table 2.5b'!$B50,'Table 2.5a'!$A$8:$A$192&amp;'Table 2.5a'!$B$8:$B$192,0))/INDEX('Table 2.5a'!$I$8:$I$192,MATCH('Table 2.5b'!$A50&amp;'Table 2.5b'!$B50,'Table 2.5a'!$A$8:$A$192&amp;'Table 2.5a'!$B$8:$B$192,0)))*1000, "")</f>
        <v>30888.113266468743</v>
      </c>
      <c r="K50" s="705">
        <f t="array" ref="K50">IFERROR(INDEX('Table 2.5a'!$I$8:$I$192,MATCH('Table 2.5b'!$A50&amp;'Table 2.5b'!$B50,'Table 2.5a'!$A$8:$A$192&amp;'Table 2.5a'!$B$8:$B$192,0))/INDEX('Table 2.5a'!$L$8:$L$192,MATCH('Table 2.5b'!$A50&amp;'Table 2.5b'!$B50,'Table 2.5a'!$A$8:$A$192&amp;'Table 2.5a'!$B$8:$B$192,0)),"")</f>
        <v>2.0683253278973676E-2</v>
      </c>
      <c r="L50" s="658" t="s">
        <v>356</v>
      </c>
      <c r="M50" s="709">
        <f t="array" ref="M50">INDEX(UtilityList!Q$4:Q$251,MATCH('Table 2.5b'!$A50&amp;'Table 2.5b'!$B50,UtilityList!$A$4:$A$251&amp;UtilityList!$C$4:$C$251,0))</f>
        <v>0</v>
      </c>
      <c r="N50" s="709" t="str">
        <f t="array" ref="N50">INDEX(UtilityList!J$4:J$251,MATCH('Table 2.5b'!$A50&amp;'Table 2.5b'!$B50,UtilityList!$A$4:$A$251&amp;UtilityList!$C$4:$C$251,0))</f>
        <v>Northwest Arctic</v>
      </c>
      <c r="O50" s="709" t="str">
        <f t="array" ref="O50">INDEX(UtilityList!K$4:K$251,MATCH('Table 2.5b'!$A50&amp;'Table 2.5b'!$B50,UtilityList!$A$4:$A$251&amp;UtilityList!$C$4:$C$251,0))</f>
        <v>Northwest Arctic</v>
      </c>
      <c r="P50" s="709" t="str">
        <f t="array" ref="P50">INDEX(UtilityList!L$4:L$251,MATCH('Table 2.5b'!$A50&amp;'Table 2.5b'!$B50,UtilityList!$A$4:$A$251&amp;UtilityList!$C$4:$C$251,0))</f>
        <v>NANA</v>
      </c>
      <c r="Q50" s="709" t="str">
        <f t="array" ref="Q50">INDEX(UtilityList!M$4:M$251,MATCH('Table 2.5b'!$A50&amp;'Table 2.5b'!$B50,UtilityList!$A$4:$A$251&amp;UtilityList!$C$4:$C$251,0))</f>
        <v>AN</v>
      </c>
    </row>
    <row r="51" spans="1:17" s="267" customFormat="1" ht="30" x14ac:dyDescent="0.25">
      <c r="A51" s="361" t="s">
        <v>524</v>
      </c>
      <c r="B51" s="654" t="s">
        <v>84</v>
      </c>
      <c r="C51" s="655">
        <f t="array" ref="C51">IFERROR((INDEX('Table 2.5a'!$D$8:$D$192,MATCH('Table 2.5b'!A51&amp;'Table 2.5b'!B51,'Table 2.5a'!$A$8:$A$192&amp;'Table 2.5a'!$B$8:$B$192,0))/INDEX('Table 2.5a'!$E$8:$E$192,MATCH('Table 2.5b'!A51&amp;'Table 2.5b'!B51,'Table 2.5a'!$A$8:$A$192&amp;'Table 2.5a'!$B$8:$B$192,0)))*1000, "")</f>
        <v>5658.5239073791417</v>
      </c>
      <c r="D51" s="655">
        <f t="array" ref="D51">IFERROR((INDEX('Table 2.5a'!$C$8:$C$192,MATCH('Table 2.5b'!A51&amp;'Table 2.5b'!B51,'Table 2.5a'!$A$8:$A$192&amp;'Table 2.5a'!$B$8:$B$192,0))/INDEX('Table 2.5a'!$E$8:$E$192,MATCH('Table 2.5b'!A51&amp;'Table 2.5b'!B51,'Table 2.5a'!$A$8:$A$192&amp;'Table 2.5a'!$B$8:$B$192,0)))*1000, "")</f>
        <v>3314.480378747332</v>
      </c>
      <c r="E51" s="705">
        <f t="array" ref="E51">IFERROR(INDEX('Table 2.5a'!$C$8:$C$192,MATCH('Table 2.5b'!$A51&amp;'Table 2.5b'!$B51,'Table 2.5a'!$A$8:$A$192&amp;'Table 2.5a'!$B$8:$B$192,0))/INDEX('Table 2.5a'!$D$8:$D$192,MATCH('Table 2.5b'!$A51&amp;'Table 2.5b'!$B51,'Table 2.5a'!$A$8:$A$192&amp;'Table 2.5a'!$B$8:$B$192,0)),"")</f>
        <v>0.58574999999999999</v>
      </c>
      <c r="F51" s="655">
        <f t="array" ref="F51">IFERROR((INDEX('Table 2.5a'!$H$8:$H$192,MATCH('Table 2.5b'!$A51&amp;'Table 2.5b'!$B51,'Table 2.5a'!$A$8:$A$192&amp;'Table 2.5a'!$B$8:$B$192,0))/INDEX('Table 2.5a'!$I$8:$I$192,MATCH('Table 2.5b'!$A51&amp;'Table 2.5b'!$B51,'Table 2.5a'!$A$8:$A$192&amp;'Table 2.5a'!$B$8:$B$192,0)))*1000, "")</f>
        <v>21838.896241445305</v>
      </c>
      <c r="G51" s="655">
        <f t="array" ref="G51">IFERROR((INDEX('Table 2.5a'!$G$8:$G$192,MATCH('Table 2.5b'!$A51&amp;'Table 2.5b'!$B51,'Table 2.5a'!$A$8:$A$192&amp;'Table 2.5a'!$B$8:$B$192,0))/INDEX('Table 2.5a'!$I$8:$I$192,MATCH('Table 2.5b'!$A51&amp;'Table 2.5b'!$B51,'Table 2.5a'!$A$8:$A$192&amp;'Table 2.5a'!$B$8:$B$192,0)))*1000, "")</f>
        <v>12792.133473426587</v>
      </c>
      <c r="H51" s="705">
        <f t="array" ref="H51">IFERROR(INDEX('Table 2.5a'!$G$8:$G$192,MATCH('Table 2.5b'!$A51&amp;'Table 2.5b'!$B51,'Table 2.5a'!$A$8:$A$192&amp;'Table 2.5a'!$B$8:$B$192,0))/INDEX('Table 2.5a'!$H$8:$H$192,MATCH('Table 2.5b'!$A51&amp;'Table 2.5b'!$B51,'Table 2.5a'!$A$8:$A$192&amp;'Table 2.5a'!$B$8:$B$192,0)),"")</f>
        <v>0.58574999999999999</v>
      </c>
      <c r="I51" s="655">
        <f t="array" ref="I51">IFERROR((INDEX('Table 2.5a'!$L$8:$L$192,MATCH('Table 2.5b'!$A51&amp;'Table 2.5b'!$B51,'Table 2.5a'!$A$8:$A$192&amp;'Table 2.5a'!$B$8:$B$192,0))/INDEX('Table 2.5a'!$I$8:$I$192,MATCH('Table 2.5b'!$A51&amp;'Table 2.5b'!$B51,'Table 2.5a'!$A$8:$A$192&amp;'Table 2.5a'!$B$8:$B$192,0)))*1000, "")</f>
        <v>58400.688549710147</v>
      </c>
      <c r="J51" s="655">
        <f t="array" ref="J51">IFERROR((INDEX('Table 2.5a'!$K$8:$K$192,MATCH('Table 2.5b'!$A51&amp;'Table 2.5b'!$B51,'Table 2.5a'!$A$8:$A$192&amp;'Table 2.5a'!$B$8:$B$192,0))/INDEX('Table 2.5a'!$I$8:$I$192,MATCH('Table 2.5b'!$A51&amp;'Table 2.5b'!$B51,'Table 2.5a'!$A$8:$A$192&amp;'Table 2.5a'!$B$8:$B$192,0)))*1000, "")</f>
        <v>34208.203317992717</v>
      </c>
      <c r="K51" s="705">
        <f t="array" ref="K51">IFERROR(INDEX('Table 2.5a'!$I$8:$I$192,MATCH('Table 2.5b'!$A51&amp;'Table 2.5b'!$B51,'Table 2.5a'!$A$8:$A$192&amp;'Table 2.5a'!$B$8:$B$192,0))/INDEX('Table 2.5a'!$L$8:$L$192,MATCH('Table 2.5b'!$A51&amp;'Table 2.5b'!$B51,'Table 2.5a'!$A$8:$A$192&amp;'Table 2.5a'!$B$8:$B$192,0)),"")</f>
        <v>1.7123085786031597E-2</v>
      </c>
      <c r="L51" s="658" t="s">
        <v>356</v>
      </c>
      <c r="M51" s="709">
        <f t="array" ref="M51">INDEX(UtilityList!Q$4:Q$251,MATCH('Table 2.5b'!$A51&amp;'Table 2.5b'!$B51,UtilityList!$A$4:$A$251&amp;UtilityList!$C$4:$C$251,0))</f>
        <v>0</v>
      </c>
      <c r="N51" s="709" t="str">
        <f t="array" ref="N51">INDEX(UtilityList!J$4:J$251,MATCH('Table 2.5b'!$A51&amp;'Table 2.5b'!$B51,UtilityList!$A$4:$A$251&amp;UtilityList!$C$4:$C$251,0))</f>
        <v>Lower Yukon-Kuskokwim</v>
      </c>
      <c r="O51" s="709" t="str">
        <f t="array" ref="O51">INDEX(UtilityList!K$4:K$251,MATCH('Table 2.5b'!$A51&amp;'Table 2.5b'!$B51,UtilityList!$A$4:$A$251&amp;UtilityList!$C$4:$C$251,0))</f>
        <v>Wade Hampton (CA)</v>
      </c>
      <c r="P51" s="709" t="str">
        <f t="array" ref="P51">INDEX(UtilityList!L$4:L$251,MATCH('Table 2.5b'!$A51&amp;'Table 2.5b'!$B51,UtilityList!$A$4:$A$251&amp;UtilityList!$C$4:$C$251,0))</f>
        <v>Calista</v>
      </c>
      <c r="Q51" s="709" t="str">
        <f t="array" ref="Q51">INDEX(UtilityList!M$4:M$251,MATCH('Table 2.5b'!$A51&amp;'Table 2.5b'!$B51,UtilityList!$A$4:$A$251&amp;UtilityList!$C$4:$C$251,0))</f>
        <v>YU</v>
      </c>
    </row>
    <row r="52" spans="1:17" s="267" customFormat="1" ht="30" x14ac:dyDescent="0.25">
      <c r="A52" s="361" t="s">
        <v>524</v>
      </c>
      <c r="B52" s="654" t="s">
        <v>85</v>
      </c>
      <c r="C52" s="655">
        <f t="array" ref="C52">IFERROR((INDEX('Table 2.5a'!$D$8:$D$192,MATCH('Table 2.5b'!A52&amp;'Table 2.5b'!B52,'Table 2.5a'!$A$8:$A$192&amp;'Table 2.5a'!$B$8:$B$192,0))/INDEX('Table 2.5a'!$E$8:$E$192,MATCH('Table 2.5b'!A52&amp;'Table 2.5b'!B52,'Table 2.5a'!$A$8:$A$192&amp;'Table 2.5a'!$B$8:$B$192,0)))*1000, "")</f>
        <v>5526.2479338842977</v>
      </c>
      <c r="D52" s="655">
        <f t="array" ref="D52">IFERROR((INDEX('Table 2.5a'!$C$8:$C$192,MATCH('Table 2.5b'!A52&amp;'Table 2.5b'!B52,'Table 2.5a'!$A$8:$A$192&amp;'Table 2.5a'!$B$8:$B$192,0))/INDEX('Table 2.5a'!$E$8:$E$192,MATCH('Table 2.5b'!A52&amp;'Table 2.5b'!B52,'Table 2.5a'!$A$8:$A$192&amp;'Table 2.5a'!$B$8:$B$192,0)))*1000, "")</f>
        <v>3043.4889270337194</v>
      </c>
      <c r="E52" s="705">
        <f t="array" ref="E52">IFERROR(INDEX('Table 2.5a'!$C$8:$C$192,MATCH('Table 2.5b'!$A52&amp;'Table 2.5b'!$B52,'Table 2.5a'!$A$8:$A$192&amp;'Table 2.5a'!$B$8:$B$192,0))/INDEX('Table 2.5a'!$D$8:$D$192,MATCH('Table 2.5b'!$A52&amp;'Table 2.5b'!$B52,'Table 2.5a'!$A$8:$A$192&amp;'Table 2.5a'!$B$8:$B$192,0)),"")</f>
        <v>0.55073333000000002</v>
      </c>
      <c r="F52" s="655">
        <f t="array" ref="F52">IFERROR((INDEX('Table 2.5a'!$H$8:$H$192,MATCH('Table 2.5b'!$A52&amp;'Table 2.5b'!$B52,'Table 2.5a'!$A$8:$A$192&amp;'Table 2.5a'!$B$8:$B$192,0))/INDEX('Table 2.5a'!$I$8:$I$192,MATCH('Table 2.5b'!$A52&amp;'Table 2.5b'!$B52,'Table 2.5a'!$A$8:$A$192&amp;'Table 2.5a'!$B$8:$B$192,0)))*1000, "")</f>
        <v>12460.292673783011</v>
      </c>
      <c r="G52" s="655">
        <f t="array" ref="G52">IFERROR((INDEX('Table 2.5a'!$G$8:$G$192,MATCH('Table 2.5b'!$A52&amp;'Table 2.5b'!$B52,'Table 2.5a'!$A$8:$A$192&amp;'Table 2.5a'!$B$8:$B$192,0))/INDEX('Table 2.5a'!$I$8:$I$192,MATCH('Table 2.5b'!$A52&amp;'Table 2.5b'!$B52,'Table 2.5a'!$A$8:$A$192&amp;'Table 2.5a'!$B$8:$B$192,0)))*1000, "")</f>
        <v>6862.2984770071216</v>
      </c>
      <c r="H52" s="705">
        <f t="array" ref="H52">IFERROR(INDEX('Table 2.5a'!$G$8:$G$192,MATCH('Table 2.5b'!$A52&amp;'Table 2.5b'!$B52,'Table 2.5a'!$A$8:$A$192&amp;'Table 2.5a'!$B$8:$B$192,0))/INDEX('Table 2.5a'!$H$8:$H$192,MATCH('Table 2.5b'!$A52&amp;'Table 2.5b'!$B52,'Table 2.5a'!$A$8:$A$192&amp;'Table 2.5a'!$B$8:$B$192,0)),"")</f>
        <v>0.55073333000000002</v>
      </c>
      <c r="I52" s="655">
        <f t="array" ref="I52">IFERROR((INDEX('Table 2.5a'!$L$8:$L$192,MATCH('Table 2.5b'!$A52&amp;'Table 2.5b'!$B52,'Table 2.5a'!$A$8:$A$192&amp;'Table 2.5a'!$B$8:$B$192,0))/INDEX('Table 2.5a'!$I$8:$I$192,MATCH('Table 2.5b'!$A52&amp;'Table 2.5b'!$B52,'Table 2.5a'!$A$8:$A$192&amp;'Table 2.5a'!$B$8:$B$192,0)))*1000, "")</f>
        <v>27578.430083502411</v>
      </c>
      <c r="J52" s="655">
        <f t="array" ref="J52">IFERROR((INDEX('Table 2.5a'!$K$8:$K$192,MATCH('Table 2.5b'!$A52&amp;'Table 2.5b'!$B52,'Table 2.5a'!$A$8:$A$192&amp;'Table 2.5a'!$B$8:$B$192,0))/INDEX('Table 2.5a'!$I$8:$I$192,MATCH('Table 2.5b'!$A52&amp;'Table 2.5b'!$B52,'Table 2.5a'!$A$8:$A$192&amp;'Table 2.5a'!$B$8:$B$192,0)))*1000, "")</f>
        <v>15188.36063605946</v>
      </c>
      <c r="K52" s="705">
        <f t="array" ref="K52">IFERROR(INDEX('Table 2.5a'!$I$8:$I$192,MATCH('Table 2.5b'!$A52&amp;'Table 2.5b'!$B52,'Table 2.5a'!$A$8:$A$192&amp;'Table 2.5a'!$B$8:$B$192,0))/INDEX('Table 2.5a'!$L$8:$L$192,MATCH('Table 2.5b'!$A52&amp;'Table 2.5b'!$B52,'Table 2.5a'!$A$8:$A$192&amp;'Table 2.5a'!$B$8:$B$192,0)),"")</f>
        <v>3.6260222100104468E-2</v>
      </c>
      <c r="L52" s="658" t="s">
        <v>356</v>
      </c>
      <c r="M52" s="709">
        <f t="array" ref="M52">INDEX(UtilityList!Q$4:Q$251,MATCH('Table 2.5b'!$A52&amp;'Table 2.5b'!$B52,UtilityList!$A$4:$A$251&amp;UtilityList!$C$4:$C$251,0))</f>
        <v>0</v>
      </c>
      <c r="N52" s="709" t="str">
        <f t="array" ref="N52">INDEX(UtilityList!J$4:J$251,MATCH('Table 2.5b'!$A52&amp;'Table 2.5b'!$B52,UtilityList!$A$4:$A$251&amp;UtilityList!$C$4:$C$251,0))</f>
        <v>Bering Straits</v>
      </c>
      <c r="O52" s="709" t="str">
        <f t="array" ref="O52">INDEX(UtilityList!K$4:K$251,MATCH('Table 2.5b'!$A52&amp;'Table 2.5b'!$B52,UtilityList!$A$4:$A$251&amp;UtilityList!$C$4:$C$251,0))</f>
        <v>Nome (CA)</v>
      </c>
      <c r="P52" s="709" t="str">
        <f t="array" ref="P52">INDEX(UtilityList!L$4:L$251,MATCH('Table 2.5b'!$A52&amp;'Table 2.5b'!$B52,UtilityList!$A$4:$A$251&amp;UtilityList!$C$4:$C$251,0))</f>
        <v>Bering Straits</v>
      </c>
      <c r="Q52" s="709" t="str">
        <f t="array" ref="Q52">INDEX(UtilityList!M$4:M$251,MATCH('Table 2.5b'!$A52&amp;'Table 2.5b'!$B52,UtilityList!$A$4:$A$251&amp;UtilityList!$C$4:$C$251,0))</f>
        <v>AN</v>
      </c>
    </row>
    <row r="53" spans="1:17" s="267" customFormat="1" ht="75" x14ac:dyDescent="0.25">
      <c r="A53" s="361" t="s">
        <v>524</v>
      </c>
      <c r="B53" s="654" t="s">
        <v>86</v>
      </c>
      <c r="C53" s="655">
        <f t="array" ref="C53">IFERROR((INDEX('Table 2.5a'!$D$8:$D$192,MATCH('Table 2.5b'!A53&amp;'Table 2.5b'!B53,'Table 2.5a'!$A$8:$A$192&amp;'Table 2.5a'!$B$8:$B$192,0))/INDEX('Table 2.5a'!$E$8:$E$192,MATCH('Table 2.5b'!A53&amp;'Table 2.5b'!B53,'Table 2.5a'!$A$8:$A$192&amp;'Table 2.5a'!$B$8:$B$192,0)))*1000, "")</f>
        <v>3681.1913523885692</v>
      </c>
      <c r="D53" s="655">
        <f t="array" ref="D53">IFERROR((INDEX('Table 2.5a'!$C$8:$C$192,MATCH('Table 2.5b'!A53&amp;'Table 2.5b'!B53,'Table 2.5a'!$A$8:$A$192&amp;'Table 2.5a'!$B$8:$B$192,0))/INDEX('Table 2.5a'!$E$8:$E$192,MATCH('Table 2.5b'!A53&amp;'Table 2.5b'!B53,'Table 2.5a'!$A$8:$A$192&amp;'Table 2.5a'!$B$8:$B$192,0)))*1000, "")</f>
        <v>2134.9069248177507</v>
      </c>
      <c r="E53" s="705">
        <f t="array" ref="E53">IFERROR(INDEX('Table 2.5a'!$C$8:$C$192,MATCH('Table 2.5b'!$A53&amp;'Table 2.5b'!$B53,'Table 2.5a'!$A$8:$A$192&amp;'Table 2.5a'!$B$8:$B$192,0))/INDEX('Table 2.5a'!$D$8:$D$192,MATCH('Table 2.5b'!$A53&amp;'Table 2.5b'!$B53,'Table 2.5a'!$A$8:$A$192&amp;'Table 2.5a'!$B$8:$B$192,0)),"")</f>
        <v>0.57994999999999997</v>
      </c>
      <c r="F53" s="655">
        <f t="array" ref="F53">IFERROR((INDEX('Table 2.5a'!$H$8:$H$192,MATCH('Table 2.5b'!$A53&amp;'Table 2.5b'!$B53,'Table 2.5a'!$A$8:$A$192&amp;'Table 2.5a'!$B$8:$B$192,0))/INDEX('Table 2.5a'!$I$8:$I$192,MATCH('Table 2.5b'!$A53&amp;'Table 2.5b'!$B53,'Table 2.5a'!$A$8:$A$192&amp;'Table 2.5a'!$B$8:$B$192,0)))*1000, "")</f>
        <v>13269.151555555556</v>
      </c>
      <c r="G53" s="655">
        <f t="array" ref="G53">IFERROR((INDEX('Table 2.5a'!$G$8:$G$192,MATCH('Table 2.5b'!$A53&amp;'Table 2.5b'!$B53,'Table 2.5a'!$A$8:$A$192&amp;'Table 2.5a'!$B$8:$B$192,0))/INDEX('Table 2.5a'!$I$8:$I$192,MATCH('Table 2.5b'!$A53&amp;'Table 2.5b'!$B53,'Table 2.5a'!$A$8:$A$192&amp;'Table 2.5a'!$B$8:$B$192,0)))*1000, "")</f>
        <v>7695.4444446444431</v>
      </c>
      <c r="H53" s="705">
        <f t="array" ref="H53">IFERROR(INDEX('Table 2.5a'!$G$8:$G$192,MATCH('Table 2.5b'!$A53&amp;'Table 2.5b'!$B53,'Table 2.5a'!$A$8:$A$192&amp;'Table 2.5a'!$B$8:$B$192,0))/INDEX('Table 2.5a'!$H$8:$H$192,MATCH('Table 2.5b'!$A53&amp;'Table 2.5b'!$B53,'Table 2.5a'!$A$8:$A$192&amp;'Table 2.5a'!$B$8:$B$192,0)),"")</f>
        <v>0.57994999999999985</v>
      </c>
      <c r="I53" s="655">
        <f t="array" ref="I53">IFERROR((INDEX('Table 2.5a'!$L$8:$L$192,MATCH('Table 2.5b'!$A53&amp;'Table 2.5b'!$B53,'Table 2.5a'!$A$8:$A$192&amp;'Table 2.5a'!$B$8:$B$192,0))/INDEX('Table 2.5a'!$I$8:$I$192,MATCH('Table 2.5b'!$A53&amp;'Table 2.5b'!$B53,'Table 2.5a'!$A$8:$A$192&amp;'Table 2.5a'!$B$8:$B$192,0)))*1000, "")</f>
        <v>37053.798000000003</v>
      </c>
      <c r="J53" s="655">
        <f t="array" ref="J53">IFERROR((INDEX('Table 2.5a'!$K$8:$K$192,MATCH('Table 2.5b'!$A53&amp;'Table 2.5b'!$B53,'Table 2.5a'!$A$8:$A$192&amp;'Table 2.5a'!$B$8:$B$192,0))/INDEX('Table 2.5a'!$I$8:$I$192,MATCH('Table 2.5b'!$A53&amp;'Table 2.5b'!$B53,'Table 2.5a'!$A$8:$A$192&amp;'Table 2.5a'!$B$8:$B$192,0)))*1000, "")</f>
        <v>21489.350150100003</v>
      </c>
      <c r="K53" s="705">
        <f t="array" ref="K53">IFERROR(INDEX('Table 2.5a'!$I$8:$I$192,MATCH('Table 2.5b'!$A53&amp;'Table 2.5b'!$B53,'Table 2.5a'!$A$8:$A$192&amp;'Table 2.5a'!$B$8:$B$192,0))/INDEX('Table 2.5a'!$L$8:$L$192,MATCH('Table 2.5b'!$A53&amp;'Table 2.5b'!$B53,'Table 2.5a'!$A$8:$A$192&amp;'Table 2.5a'!$B$8:$B$192,0)),"")</f>
        <v>2.6987786785041573E-2</v>
      </c>
      <c r="L53" s="658" t="s">
        <v>356</v>
      </c>
      <c r="M53" s="709" t="str">
        <f t="array" ref="M53">INDEX(UtilityList!Q$4:Q$251,MATCH('Table 2.5b'!$A53&amp;'Table 2.5b'!$B53,UtilityList!$A$4:$A$251&amp;UtilityList!$C$4:$C$251,0))</f>
        <v>Receives power from (Upper) Kalskag via intertie. For fuel use and cost, please refer to (Upper) Kalskag.</v>
      </c>
      <c r="N53" s="709" t="str">
        <f t="array" ref="N53">INDEX(UtilityList!J$4:J$251,MATCH('Table 2.5b'!$A53&amp;'Table 2.5b'!$B53,UtilityList!$A$4:$A$251&amp;UtilityList!$C$4:$C$251,0))</f>
        <v>Lower Yukon-Kuskokwim</v>
      </c>
      <c r="O53" s="709" t="str">
        <f t="array" ref="O53">INDEX(UtilityList!K$4:K$251,MATCH('Table 2.5b'!$A53&amp;'Table 2.5b'!$B53,UtilityList!$A$4:$A$251&amp;UtilityList!$C$4:$C$251,0))</f>
        <v>Bethel (CA)</v>
      </c>
      <c r="P53" s="709" t="str">
        <f t="array" ref="P53">INDEX(UtilityList!L$4:L$251,MATCH('Table 2.5b'!$A53&amp;'Table 2.5b'!$B53,UtilityList!$A$4:$A$251&amp;UtilityList!$C$4:$C$251,0))</f>
        <v>Calista</v>
      </c>
      <c r="Q53" s="709" t="str">
        <f t="array" ref="Q53">INDEX(UtilityList!M$4:M$251,MATCH('Table 2.5b'!$A53&amp;'Table 2.5b'!$B53,UtilityList!$A$4:$A$251&amp;UtilityList!$C$4:$C$251,0))</f>
        <v>SW</v>
      </c>
    </row>
    <row r="54" spans="1:17" s="267" customFormat="1" ht="30" x14ac:dyDescent="0.25">
      <c r="A54" s="361" t="s">
        <v>524</v>
      </c>
      <c r="B54" s="654" t="s">
        <v>87</v>
      </c>
      <c r="C54" s="655">
        <f t="array" ref="C54">IFERROR((INDEX('Table 2.5a'!$D$8:$D$192,MATCH('Table 2.5b'!A54&amp;'Table 2.5b'!B54,'Table 2.5a'!$A$8:$A$192&amp;'Table 2.5a'!$B$8:$B$192,0))/INDEX('Table 2.5a'!$E$8:$E$192,MATCH('Table 2.5b'!A54&amp;'Table 2.5b'!B54,'Table 2.5a'!$A$8:$A$192&amp;'Table 2.5a'!$B$8:$B$192,0)))*1000, "")</f>
        <v>5088.5004418181552</v>
      </c>
      <c r="D54" s="655">
        <f t="array" ref="D54">IFERROR((INDEX('Table 2.5a'!$C$8:$C$192,MATCH('Table 2.5b'!A54&amp;'Table 2.5b'!B54,'Table 2.5a'!$A$8:$A$192&amp;'Table 2.5a'!$B$8:$B$192,0))/INDEX('Table 2.5a'!$E$8:$E$192,MATCH('Table 2.5b'!A54&amp;'Table 2.5b'!B54,'Table 2.5a'!$A$8:$A$192&amp;'Table 2.5a'!$B$8:$B$192,0)))*1000, "")</f>
        <v>2564.7314351873952</v>
      </c>
      <c r="E54" s="705">
        <f t="array" ref="E54">IFERROR(INDEX('Table 2.5a'!$C$8:$C$192,MATCH('Table 2.5b'!$A54&amp;'Table 2.5b'!$B54,'Table 2.5a'!$A$8:$A$192&amp;'Table 2.5a'!$B$8:$B$192,0))/INDEX('Table 2.5a'!$D$8:$D$192,MATCH('Table 2.5b'!$A54&amp;'Table 2.5b'!$B54,'Table 2.5a'!$A$8:$A$192&amp;'Table 2.5a'!$B$8:$B$192,0)),"")</f>
        <v>0.50402499999999995</v>
      </c>
      <c r="F54" s="655">
        <f t="array" ref="F54">IFERROR((INDEX('Table 2.5a'!$H$8:$H$192,MATCH('Table 2.5b'!$A54&amp;'Table 2.5b'!$B54,'Table 2.5a'!$A$8:$A$192&amp;'Table 2.5a'!$B$8:$B$192,0))/INDEX('Table 2.5a'!$I$8:$I$192,MATCH('Table 2.5b'!$A54&amp;'Table 2.5b'!$B54,'Table 2.5a'!$A$8:$A$192&amp;'Table 2.5a'!$B$8:$B$192,0)))*1000, "")</f>
        <v>14876.406829307622</v>
      </c>
      <c r="G54" s="655">
        <f t="array" ref="G54">IFERROR((INDEX('Table 2.5a'!$G$8:$G$192,MATCH('Table 2.5b'!$A54&amp;'Table 2.5b'!$B54,'Table 2.5a'!$A$8:$A$192&amp;'Table 2.5a'!$B$8:$B$192,0))/INDEX('Table 2.5a'!$I$8:$I$192,MATCH('Table 2.5b'!$A54&amp;'Table 2.5b'!$B54,'Table 2.5a'!$A$8:$A$192&amp;'Table 2.5a'!$B$8:$B$192,0)))*1000, "")</f>
        <v>7498.0809521417723</v>
      </c>
      <c r="H54" s="705">
        <f t="array" ref="H54">IFERROR(INDEX('Table 2.5a'!$G$8:$G$192,MATCH('Table 2.5b'!$A54&amp;'Table 2.5b'!$B54,'Table 2.5a'!$A$8:$A$192&amp;'Table 2.5a'!$B$8:$B$192,0))/INDEX('Table 2.5a'!$H$8:$H$192,MATCH('Table 2.5b'!$A54&amp;'Table 2.5b'!$B54,'Table 2.5a'!$A$8:$A$192&amp;'Table 2.5a'!$B$8:$B$192,0)),"")</f>
        <v>0.50402499999999995</v>
      </c>
      <c r="I54" s="655">
        <f t="array" ref="I54">IFERROR((INDEX('Table 2.5a'!$L$8:$L$192,MATCH('Table 2.5b'!$A54&amp;'Table 2.5b'!$B54,'Table 2.5a'!$A$8:$A$192&amp;'Table 2.5a'!$B$8:$B$192,0))/INDEX('Table 2.5a'!$I$8:$I$192,MATCH('Table 2.5b'!$A54&amp;'Table 2.5b'!$B54,'Table 2.5a'!$A$8:$A$192&amp;'Table 2.5a'!$B$8:$B$192,0)))*1000, "")</f>
        <v>58789.435717618304</v>
      </c>
      <c r="J54" s="655">
        <f t="array" ref="J54">IFERROR((INDEX('Table 2.5a'!$K$8:$K$192,MATCH('Table 2.5b'!$A54&amp;'Table 2.5b'!$B54,'Table 2.5a'!$A$8:$A$192&amp;'Table 2.5a'!$B$8:$B$192,0))/INDEX('Table 2.5a'!$I$8:$I$192,MATCH('Table 2.5b'!$A54&amp;'Table 2.5b'!$B54,'Table 2.5a'!$A$8:$A$192&amp;'Table 2.5a'!$B$8:$B$192,0)))*1000, "")</f>
        <v>29631.345337572562</v>
      </c>
      <c r="K54" s="705">
        <f t="array" ref="K54">IFERROR(INDEX('Table 2.5a'!$I$8:$I$192,MATCH('Table 2.5b'!$A54&amp;'Table 2.5b'!$B54,'Table 2.5a'!$A$8:$A$192&amp;'Table 2.5a'!$B$8:$B$192,0))/INDEX('Table 2.5a'!$L$8:$L$192,MATCH('Table 2.5b'!$A54&amp;'Table 2.5b'!$B54,'Table 2.5a'!$A$8:$A$192&amp;'Table 2.5a'!$B$8:$B$192,0)),"")</f>
        <v>1.7009858791692995E-2</v>
      </c>
      <c r="L54" s="658" t="s">
        <v>356</v>
      </c>
      <c r="M54" s="709">
        <f t="array" ref="M54">INDEX(UtilityList!Q$4:Q$251,MATCH('Table 2.5b'!$A54&amp;'Table 2.5b'!$B54,UtilityList!$A$4:$A$251&amp;UtilityList!$C$4:$C$251,0))</f>
        <v>0</v>
      </c>
      <c r="N54" s="709" t="str">
        <f t="array" ref="N54">INDEX(UtilityList!J$4:J$251,MATCH('Table 2.5b'!$A54&amp;'Table 2.5b'!$B54,UtilityList!$A$4:$A$251&amp;UtilityList!$C$4:$C$251,0))</f>
        <v>Lower Yukon-Kuskokwim</v>
      </c>
      <c r="O54" s="709" t="str">
        <f t="array" ref="O54">INDEX(UtilityList!K$4:K$251,MATCH('Table 2.5b'!$A54&amp;'Table 2.5b'!$B54,UtilityList!$A$4:$A$251&amp;UtilityList!$C$4:$C$251,0))</f>
        <v>Wade Hampton (CA)</v>
      </c>
      <c r="P54" s="709" t="str">
        <f t="array" ref="P54">INDEX(UtilityList!L$4:L$251,MATCH('Table 2.5b'!$A54&amp;'Table 2.5b'!$B54,UtilityList!$A$4:$A$251&amp;UtilityList!$C$4:$C$251,0))</f>
        <v>Calista</v>
      </c>
      <c r="Q54" s="709" t="str">
        <f t="array" ref="Q54">INDEX(UtilityList!M$4:M$251,MATCH('Table 2.5b'!$A54&amp;'Table 2.5b'!$B54,UtilityList!$A$4:$A$251&amp;UtilityList!$C$4:$C$251,0))</f>
        <v>YU</v>
      </c>
    </row>
    <row r="55" spans="1:17" s="267" customFormat="1" ht="30" x14ac:dyDescent="0.25">
      <c r="A55" s="361" t="s">
        <v>524</v>
      </c>
      <c r="B55" s="654" t="s">
        <v>88</v>
      </c>
      <c r="C55" s="655">
        <f t="array" ref="C55">IFERROR((INDEX('Table 2.5a'!$D$8:$D$192,MATCH('Table 2.5b'!A55&amp;'Table 2.5b'!B55,'Table 2.5a'!$A$8:$A$192&amp;'Table 2.5a'!$B$8:$B$192,0))/INDEX('Table 2.5a'!$E$8:$E$192,MATCH('Table 2.5b'!A55&amp;'Table 2.5b'!B55,'Table 2.5a'!$A$8:$A$192&amp;'Table 2.5a'!$B$8:$B$192,0)))*1000, "")</f>
        <v>3190.8529411764707</v>
      </c>
      <c r="D55" s="655">
        <f t="array" ref="D55">IFERROR((INDEX('Table 2.5a'!$C$8:$C$192,MATCH('Table 2.5b'!A55&amp;'Table 2.5b'!B55,'Table 2.5a'!$A$8:$A$192&amp;'Table 2.5a'!$B$8:$B$192,0))/INDEX('Table 2.5a'!$E$8:$E$192,MATCH('Table 2.5b'!A55&amp;'Table 2.5b'!B55,'Table 2.5a'!$A$8:$A$192&amp;'Table 2.5a'!$B$8:$B$192,0)))*1000, "")</f>
        <v>1745.1838246579409</v>
      </c>
      <c r="E55" s="705">
        <f t="array" ref="E55">IFERROR(INDEX('Table 2.5a'!$C$8:$C$192,MATCH('Table 2.5b'!$A55&amp;'Table 2.5b'!$B55,'Table 2.5a'!$A$8:$A$192&amp;'Table 2.5a'!$B$8:$B$192,0))/INDEX('Table 2.5a'!$D$8:$D$192,MATCH('Table 2.5b'!$A55&amp;'Table 2.5b'!$B55,'Table 2.5a'!$A$8:$A$192&amp;'Table 2.5a'!$B$8:$B$192,0)),"")</f>
        <v>0.54693333</v>
      </c>
      <c r="F55" s="655">
        <f t="array" ref="F55">IFERROR((INDEX('Table 2.5a'!$H$8:$H$192,MATCH('Table 2.5b'!$A55&amp;'Table 2.5b'!$B55,'Table 2.5a'!$A$8:$A$192&amp;'Table 2.5a'!$B$8:$B$192,0))/INDEX('Table 2.5a'!$I$8:$I$192,MATCH('Table 2.5b'!$A55&amp;'Table 2.5b'!$B55,'Table 2.5a'!$A$8:$A$192&amp;'Table 2.5a'!$B$8:$B$192,0)))*1000, "")</f>
        <v>9096.6406318032696</v>
      </c>
      <c r="G55" s="655">
        <f t="array" ref="G55">IFERROR((INDEX('Table 2.5a'!$G$8:$G$192,MATCH('Table 2.5b'!$A55&amp;'Table 2.5b'!$B55,'Table 2.5a'!$A$8:$A$192&amp;'Table 2.5a'!$B$8:$B$192,0))/INDEX('Table 2.5a'!$I$8:$I$192,MATCH('Table 2.5b'!$A55&amp;'Table 2.5b'!$B55,'Table 2.5a'!$A$8:$A$192&amp;'Table 2.5a'!$B$8:$B$192,0)))*1000, "")</f>
        <v>4975.255952565466</v>
      </c>
      <c r="H55" s="705">
        <f t="array" ref="H55">IFERROR(INDEX('Table 2.5a'!$G$8:$G$192,MATCH('Table 2.5b'!$A55&amp;'Table 2.5b'!$B55,'Table 2.5a'!$A$8:$A$192&amp;'Table 2.5a'!$B$8:$B$192,0))/INDEX('Table 2.5a'!$H$8:$H$192,MATCH('Table 2.5b'!$A55&amp;'Table 2.5b'!$B55,'Table 2.5a'!$A$8:$A$192&amp;'Table 2.5a'!$B$8:$B$192,0)),"")</f>
        <v>0.54693333</v>
      </c>
      <c r="I55" s="655">
        <f t="array" ref="I55">IFERROR((INDEX('Table 2.5a'!$L$8:$L$192,MATCH('Table 2.5b'!$A55&amp;'Table 2.5b'!$B55,'Table 2.5a'!$A$8:$A$192&amp;'Table 2.5a'!$B$8:$B$192,0))/INDEX('Table 2.5a'!$I$8:$I$192,MATCH('Table 2.5b'!$A55&amp;'Table 2.5b'!$B55,'Table 2.5a'!$A$8:$A$192&amp;'Table 2.5a'!$B$8:$B$192,0)))*1000, "")</f>
        <v>20480.763913446135</v>
      </c>
      <c r="J55" s="655">
        <f t="array" ref="J55">IFERROR((INDEX('Table 2.5a'!$K$8:$K$192,MATCH('Table 2.5b'!$A55&amp;'Table 2.5b'!$B55,'Table 2.5a'!$A$8:$A$192&amp;'Table 2.5a'!$B$8:$B$192,0))/INDEX('Table 2.5a'!$I$8:$I$192,MATCH('Table 2.5b'!$A55&amp;'Table 2.5b'!$B55,'Table 2.5a'!$A$8:$A$192&amp;'Table 2.5a'!$B$8:$B$192,0)))*1000, "")</f>
        <v>11201.612408124929</v>
      </c>
      <c r="K55" s="705">
        <f t="array" ref="K55">IFERROR(INDEX('Table 2.5a'!$I$8:$I$192,MATCH('Table 2.5b'!$A55&amp;'Table 2.5b'!$B55,'Table 2.5a'!$A$8:$A$192&amp;'Table 2.5a'!$B$8:$B$192,0))/INDEX('Table 2.5a'!$L$8:$L$192,MATCH('Table 2.5b'!$A55&amp;'Table 2.5b'!$B55,'Table 2.5a'!$A$8:$A$192&amp;'Table 2.5a'!$B$8:$B$192,0)),"")</f>
        <v>4.882630375634938E-2</v>
      </c>
      <c r="L55" s="658" t="s">
        <v>356</v>
      </c>
      <c r="M55" s="709">
        <f t="array" ref="M55">INDEX(UtilityList!Q$4:Q$251,MATCH('Table 2.5b'!$A55&amp;'Table 2.5b'!$B55,UtilityList!$A$4:$A$251&amp;UtilityList!$C$4:$C$251,0))</f>
        <v>0</v>
      </c>
      <c r="N55" s="709" t="str">
        <f t="array" ref="N55">INDEX(UtilityList!J$4:J$251,MATCH('Table 2.5b'!$A55&amp;'Table 2.5b'!$B55,UtilityList!$A$4:$A$251&amp;UtilityList!$C$4:$C$251,0))</f>
        <v>Lower Yukon-Kuskokwim</v>
      </c>
      <c r="O55" s="709" t="str">
        <f t="array" ref="O55">INDEX(UtilityList!K$4:K$251,MATCH('Table 2.5b'!$A55&amp;'Table 2.5b'!$B55,UtilityList!$A$4:$A$251&amp;UtilityList!$C$4:$C$251,0))</f>
        <v>Bethel (CA)</v>
      </c>
      <c r="P55" s="709" t="str">
        <f t="array" ref="P55">INDEX(UtilityList!L$4:L$251,MATCH('Table 2.5b'!$A55&amp;'Table 2.5b'!$B55,UtilityList!$A$4:$A$251&amp;UtilityList!$C$4:$C$251,0))</f>
        <v>Calista</v>
      </c>
      <c r="Q55" s="709" t="str">
        <f t="array" ref="Q55">INDEX(UtilityList!M$4:M$251,MATCH('Table 2.5b'!$A55&amp;'Table 2.5b'!$B55,UtilityList!$A$4:$A$251&amp;UtilityList!$C$4:$C$251,0))</f>
        <v>SW</v>
      </c>
    </row>
    <row r="56" spans="1:17" s="267" customFormat="1" ht="30" x14ac:dyDescent="0.25">
      <c r="A56" s="361" t="s">
        <v>524</v>
      </c>
      <c r="B56" s="654" t="s">
        <v>89</v>
      </c>
      <c r="C56" s="655">
        <f t="array" ref="C56">IFERROR((INDEX('Table 2.5a'!$D$8:$D$192,MATCH('Table 2.5b'!A56&amp;'Table 2.5b'!B56,'Table 2.5a'!$A$8:$A$192&amp;'Table 2.5a'!$B$8:$B$192,0))/INDEX('Table 2.5a'!$E$8:$E$192,MATCH('Table 2.5b'!A56&amp;'Table 2.5b'!B56,'Table 2.5a'!$A$8:$A$192&amp;'Table 2.5a'!$B$8:$B$192,0)))*1000, "")</f>
        <v>3550.2674418604652</v>
      </c>
      <c r="D56" s="655">
        <f t="array" ref="D56">IFERROR((INDEX('Table 2.5a'!$C$8:$C$192,MATCH('Table 2.5b'!A56&amp;'Table 2.5b'!B56,'Table 2.5a'!$A$8:$A$192&amp;'Table 2.5a'!$B$8:$B$192,0))/INDEX('Table 2.5a'!$E$8:$E$192,MATCH('Table 2.5b'!A56&amp;'Table 2.5b'!B56,'Table 2.5a'!$A$8:$A$192&amp;'Table 2.5a'!$B$8:$B$192,0)))*1000, "")</f>
        <v>2092.4388735465113</v>
      </c>
      <c r="E56" s="705">
        <f t="array" ref="E56">IFERROR(INDEX('Table 2.5a'!$C$8:$C$192,MATCH('Table 2.5b'!$A56&amp;'Table 2.5b'!$B56,'Table 2.5a'!$A$8:$A$192&amp;'Table 2.5a'!$B$8:$B$192,0))/INDEX('Table 2.5a'!$D$8:$D$192,MATCH('Table 2.5b'!$A56&amp;'Table 2.5b'!$B56,'Table 2.5a'!$A$8:$A$192&amp;'Table 2.5a'!$B$8:$B$192,0)),"")</f>
        <v>0.58937499999999998</v>
      </c>
      <c r="F56" s="655">
        <f t="array" ref="F56">IFERROR((INDEX('Table 2.5a'!$H$8:$H$192,MATCH('Table 2.5b'!$A56&amp;'Table 2.5b'!$B56,'Table 2.5a'!$A$8:$A$192&amp;'Table 2.5a'!$B$8:$B$192,0))/INDEX('Table 2.5a'!$I$8:$I$192,MATCH('Table 2.5b'!$A56&amp;'Table 2.5b'!$B56,'Table 2.5a'!$A$8:$A$192&amp;'Table 2.5a'!$B$8:$B$192,0)))*1000, "")</f>
        <v>4091.0204081632651</v>
      </c>
      <c r="G56" s="655">
        <f t="array" ref="G56">IFERROR((INDEX('Table 2.5a'!$G$8:$G$192,MATCH('Table 2.5b'!$A56&amp;'Table 2.5b'!$B56,'Table 2.5a'!$A$8:$A$192&amp;'Table 2.5a'!$B$8:$B$192,0))/INDEX('Table 2.5a'!$I$8:$I$192,MATCH('Table 2.5b'!$A56&amp;'Table 2.5b'!$B56,'Table 2.5a'!$A$8:$A$192&amp;'Table 2.5a'!$B$8:$B$192,0)))*1000, "")</f>
        <v>2411.1451530612244</v>
      </c>
      <c r="H56" s="705">
        <f t="array" ref="H56">IFERROR(INDEX('Table 2.5a'!$G$8:$G$192,MATCH('Table 2.5b'!$A56&amp;'Table 2.5b'!$B56,'Table 2.5a'!$A$8:$A$192&amp;'Table 2.5a'!$B$8:$B$192,0))/INDEX('Table 2.5a'!$H$8:$H$192,MATCH('Table 2.5b'!$A56&amp;'Table 2.5b'!$B56,'Table 2.5a'!$A$8:$A$192&amp;'Table 2.5a'!$B$8:$B$192,0)),"")</f>
        <v>0.58937499999999998</v>
      </c>
      <c r="I56" s="655">
        <f t="array" ref="I56">IFERROR((INDEX('Table 2.5a'!$L$8:$L$192,MATCH('Table 2.5b'!$A56&amp;'Table 2.5b'!$B56,'Table 2.5a'!$A$8:$A$192&amp;'Table 2.5a'!$B$8:$B$192,0))/INDEX('Table 2.5a'!$I$8:$I$192,MATCH('Table 2.5b'!$A56&amp;'Table 2.5b'!$B56,'Table 2.5a'!$A$8:$A$192&amp;'Table 2.5a'!$B$8:$B$192,0)))*1000, "")</f>
        <v>21539.836734693879</v>
      </c>
      <c r="J56" s="655">
        <f t="array" ref="J56">IFERROR((INDEX('Table 2.5a'!$K$8:$K$192,MATCH('Table 2.5b'!$A56&amp;'Table 2.5b'!$B56,'Table 2.5a'!$A$8:$A$192&amp;'Table 2.5a'!$B$8:$B$192,0))/INDEX('Table 2.5a'!$I$8:$I$192,MATCH('Table 2.5b'!$A56&amp;'Table 2.5b'!$B56,'Table 2.5a'!$A$8:$A$192&amp;'Table 2.5a'!$B$8:$B$192,0)))*1000, "")</f>
        <v>12695.041275510204</v>
      </c>
      <c r="K56" s="705">
        <f t="array" ref="K56">IFERROR(INDEX('Table 2.5a'!$I$8:$I$192,MATCH('Table 2.5b'!$A56&amp;'Table 2.5b'!$B56,'Table 2.5a'!$A$8:$A$192&amp;'Table 2.5a'!$B$8:$B$192,0))/INDEX('Table 2.5a'!$L$8:$L$192,MATCH('Table 2.5b'!$A56&amp;'Table 2.5b'!$B56,'Table 2.5a'!$A$8:$A$192&amp;'Table 2.5a'!$B$8:$B$192,0)),"")</f>
        <v>4.6425607227993312E-2</v>
      </c>
      <c r="L56" s="658" t="s">
        <v>356</v>
      </c>
      <c r="M56" s="709">
        <f t="array" ref="M56">INDEX(UtilityList!Q$4:Q$251,MATCH('Table 2.5b'!$A56&amp;'Table 2.5b'!$B56,UtilityList!$A$4:$A$251&amp;UtilityList!$C$4:$C$251,0))</f>
        <v>0</v>
      </c>
      <c r="N56" s="709" t="str">
        <f t="array" ref="N56">INDEX(UtilityList!J$4:J$251,MATCH('Table 2.5b'!$A56&amp;'Table 2.5b'!$B56,UtilityList!$A$4:$A$251&amp;UtilityList!$C$4:$C$251,0))</f>
        <v>Yukon-Koyukuk/Upper Tanana</v>
      </c>
      <c r="O56" s="709" t="str">
        <f t="array" ref="O56">INDEX(UtilityList!K$4:K$251,MATCH('Table 2.5b'!$A56&amp;'Table 2.5b'!$B56,UtilityList!$A$4:$A$251&amp;UtilityList!$C$4:$C$251,0))</f>
        <v>Yukon-Koyukuk (CA)</v>
      </c>
      <c r="P56" s="709" t="str">
        <f t="array" ref="P56">INDEX(UtilityList!L$4:L$251,MATCH('Table 2.5b'!$A56&amp;'Table 2.5b'!$B56,UtilityList!$A$4:$A$251&amp;UtilityList!$C$4:$C$251,0))</f>
        <v>Doyon</v>
      </c>
      <c r="Q56" s="709" t="str">
        <f t="array" ref="Q56">INDEX(UtilityList!M$4:M$251,MATCH('Table 2.5b'!$A56&amp;'Table 2.5b'!$B56,UtilityList!$A$4:$A$251&amp;UtilityList!$C$4:$C$251,0))</f>
        <v>YU</v>
      </c>
    </row>
    <row r="57" spans="1:17" s="267" customFormat="1" ht="30" x14ac:dyDescent="0.25">
      <c r="A57" s="361" t="s">
        <v>524</v>
      </c>
      <c r="B57" s="654" t="s">
        <v>90</v>
      </c>
      <c r="C57" s="655">
        <f t="array" ref="C57">IFERROR((INDEX('Table 2.5a'!$D$8:$D$192,MATCH('Table 2.5b'!A57&amp;'Table 2.5b'!B57,'Table 2.5a'!$A$8:$A$192&amp;'Table 2.5a'!$B$8:$B$192,0))/INDEX('Table 2.5a'!$E$8:$E$192,MATCH('Table 2.5b'!A57&amp;'Table 2.5b'!B57,'Table 2.5a'!$A$8:$A$192&amp;'Table 2.5a'!$B$8:$B$192,0)))*1000, "")</f>
        <v>5731.6272005234823</v>
      </c>
      <c r="D57" s="655">
        <f t="array" ref="D57">IFERROR((INDEX('Table 2.5a'!$C$8:$C$192,MATCH('Table 2.5b'!A57&amp;'Table 2.5b'!B57,'Table 2.5a'!$A$8:$A$192&amp;'Table 2.5a'!$B$8:$B$192,0))/INDEX('Table 2.5a'!$E$8:$E$192,MATCH('Table 2.5b'!A57&amp;'Table 2.5b'!B57,'Table 2.5a'!$A$8:$A$192&amp;'Table 2.5a'!$B$8:$B$192,0)))*1000, "")</f>
        <v>3117.957452630194</v>
      </c>
      <c r="E57" s="705">
        <f t="array" ref="E57">IFERROR(INDEX('Table 2.5a'!$C$8:$C$192,MATCH('Table 2.5b'!$A57&amp;'Table 2.5b'!$B57,'Table 2.5a'!$A$8:$A$192&amp;'Table 2.5a'!$B$8:$B$192,0))/INDEX('Table 2.5a'!$D$8:$D$192,MATCH('Table 2.5b'!$A57&amp;'Table 2.5b'!$B57,'Table 2.5a'!$A$8:$A$192&amp;'Table 2.5a'!$B$8:$B$192,0)),"")</f>
        <v>0.54399167000000004</v>
      </c>
      <c r="F57" s="655">
        <f t="array" ref="F57">IFERROR((INDEX('Table 2.5a'!$H$8:$H$192,MATCH('Table 2.5b'!$A57&amp;'Table 2.5b'!$B57,'Table 2.5a'!$A$8:$A$192&amp;'Table 2.5a'!$B$8:$B$192,0))/INDEX('Table 2.5a'!$I$8:$I$192,MATCH('Table 2.5b'!$A57&amp;'Table 2.5b'!$B57,'Table 2.5a'!$A$8:$A$192&amp;'Table 2.5a'!$B$8:$B$192,0)))*1000, "")</f>
        <v>31419.401741591482</v>
      </c>
      <c r="G57" s="655">
        <f t="array" ref="G57">IFERROR((INDEX('Table 2.5a'!$G$8:$G$192,MATCH('Table 2.5b'!$A57&amp;'Table 2.5b'!$B57,'Table 2.5a'!$A$8:$A$192&amp;'Table 2.5a'!$B$8:$B$192,0))/INDEX('Table 2.5a'!$I$8:$I$192,MATCH('Table 2.5b'!$A57&amp;'Table 2.5b'!$B57,'Table 2.5a'!$A$8:$A$192&amp;'Table 2.5a'!$B$8:$B$192,0)))*1000, "")</f>
        <v>17091.892823809259</v>
      </c>
      <c r="H57" s="705">
        <f t="array" ref="H57">IFERROR(INDEX('Table 2.5a'!$G$8:$G$192,MATCH('Table 2.5b'!$A57&amp;'Table 2.5b'!$B57,'Table 2.5a'!$A$8:$A$192&amp;'Table 2.5a'!$B$8:$B$192,0))/INDEX('Table 2.5a'!$H$8:$H$192,MATCH('Table 2.5b'!$A57&amp;'Table 2.5b'!$B57,'Table 2.5a'!$A$8:$A$192&amp;'Table 2.5a'!$B$8:$B$192,0)),"")</f>
        <v>0.54399167000000004</v>
      </c>
      <c r="I57" s="655">
        <f t="array" ref="I57">IFERROR((INDEX('Table 2.5a'!$L$8:$L$192,MATCH('Table 2.5b'!$A57&amp;'Table 2.5b'!$B57,'Table 2.5a'!$A$8:$A$192&amp;'Table 2.5a'!$B$8:$B$192,0))/INDEX('Table 2.5a'!$I$8:$I$192,MATCH('Table 2.5b'!$A57&amp;'Table 2.5b'!$B57,'Table 2.5a'!$A$8:$A$192&amp;'Table 2.5a'!$B$8:$B$192,0)))*1000, "")</f>
        <v>74764.301064477026</v>
      </c>
      <c r="J57" s="655">
        <f t="array" ref="J57">IFERROR((INDEX('Table 2.5a'!$K$8:$K$192,MATCH('Table 2.5b'!$A57&amp;'Table 2.5b'!$B57,'Table 2.5a'!$A$8:$A$192&amp;'Table 2.5a'!$B$8:$B$192,0))/INDEX('Table 2.5a'!$I$8:$I$192,MATCH('Table 2.5b'!$A57&amp;'Table 2.5b'!$B57,'Table 2.5a'!$A$8:$A$192&amp;'Table 2.5a'!$B$8:$B$192,0)))*1000, "")</f>
        <v>40671.156992447635</v>
      </c>
      <c r="K57" s="705">
        <f t="array" ref="K57">IFERROR(INDEX('Table 2.5a'!$I$8:$I$192,MATCH('Table 2.5b'!$A57&amp;'Table 2.5b'!$B57,'Table 2.5a'!$A$8:$A$192&amp;'Table 2.5a'!$B$8:$B$192,0))/INDEX('Table 2.5a'!$L$8:$L$192,MATCH('Table 2.5b'!$A57&amp;'Table 2.5b'!$B57,'Table 2.5a'!$A$8:$A$192&amp;'Table 2.5a'!$B$8:$B$192,0)),"")</f>
        <v>1.3375367464983001E-2</v>
      </c>
      <c r="L57" s="658" t="s">
        <v>356</v>
      </c>
      <c r="M57" s="709">
        <f t="array" ref="M57">INDEX(UtilityList!Q$4:Q$251,MATCH('Table 2.5b'!$A57&amp;'Table 2.5b'!$B57,UtilityList!$A$4:$A$251&amp;UtilityList!$C$4:$C$251,0))</f>
        <v>0</v>
      </c>
      <c r="N57" s="709" t="str">
        <f t="array" ref="N57">INDEX(UtilityList!J$4:J$251,MATCH('Table 2.5b'!$A57&amp;'Table 2.5b'!$B57,UtilityList!$A$4:$A$251&amp;UtilityList!$C$4:$C$251,0))</f>
        <v>Lower Yukon-Kuskokwim</v>
      </c>
      <c r="O57" s="709" t="str">
        <f t="array" ref="O57">INDEX(UtilityList!K$4:K$251,MATCH('Table 2.5b'!$A57&amp;'Table 2.5b'!$B57,UtilityList!$A$4:$A$251&amp;UtilityList!$C$4:$C$251,0))</f>
        <v>Wade Hampton (CA)</v>
      </c>
      <c r="P57" s="709" t="str">
        <f t="array" ref="P57">INDEX(UtilityList!L$4:L$251,MATCH('Table 2.5b'!$A57&amp;'Table 2.5b'!$B57,UtilityList!$A$4:$A$251&amp;UtilityList!$C$4:$C$251,0))</f>
        <v>Calista</v>
      </c>
      <c r="Q57" s="709" t="str">
        <f t="array" ref="Q57">INDEX(UtilityList!M$4:M$251,MATCH('Table 2.5b'!$A57&amp;'Table 2.5b'!$B57,UtilityList!$A$4:$A$251&amp;UtilityList!$C$4:$C$251,0))</f>
        <v>YU</v>
      </c>
    </row>
    <row r="58" spans="1:17" s="267" customFormat="1" ht="30" x14ac:dyDescent="0.25">
      <c r="A58" s="361" t="s">
        <v>524</v>
      </c>
      <c r="B58" s="654" t="s">
        <v>91</v>
      </c>
      <c r="C58" s="655">
        <f t="array" ref="C58">IFERROR((INDEX('Table 2.5a'!$D$8:$D$192,MATCH('Table 2.5b'!A58&amp;'Table 2.5b'!B58,'Table 2.5a'!$A$8:$A$192&amp;'Table 2.5a'!$B$8:$B$192,0))/INDEX('Table 2.5a'!$E$8:$E$192,MATCH('Table 2.5b'!A58&amp;'Table 2.5b'!B58,'Table 2.5a'!$A$8:$A$192&amp;'Table 2.5a'!$B$8:$B$192,0)))*1000, "")</f>
        <v>5689.6347031963469</v>
      </c>
      <c r="D58" s="655">
        <f t="array" ref="D58">IFERROR((INDEX('Table 2.5a'!$C$8:$C$192,MATCH('Table 2.5b'!A58&amp;'Table 2.5b'!B58,'Table 2.5a'!$A$8:$A$192&amp;'Table 2.5a'!$B$8:$B$192,0))/INDEX('Table 2.5a'!$E$8:$E$192,MATCH('Table 2.5b'!A58&amp;'Table 2.5b'!B58,'Table 2.5a'!$A$8:$A$192&amp;'Table 2.5a'!$B$8:$B$192,0)))*1000, "")</f>
        <v>3532.4571001365298</v>
      </c>
      <c r="E58" s="705">
        <f t="array" ref="E58">IFERROR(INDEX('Table 2.5a'!$C$8:$C$192,MATCH('Table 2.5b'!$A58&amp;'Table 2.5b'!$B58,'Table 2.5a'!$A$8:$A$192&amp;'Table 2.5a'!$B$8:$B$192,0))/INDEX('Table 2.5a'!$D$8:$D$192,MATCH('Table 2.5b'!$A58&amp;'Table 2.5b'!$B58,'Table 2.5a'!$A$8:$A$192&amp;'Table 2.5a'!$B$8:$B$192,0)),"")</f>
        <v>0.62085833000000001</v>
      </c>
      <c r="F58" s="655">
        <f t="array" ref="F58">IFERROR((INDEX('Table 2.5a'!$H$8:$H$192,MATCH('Table 2.5b'!$A58&amp;'Table 2.5b'!$B58,'Table 2.5a'!$A$8:$A$192&amp;'Table 2.5a'!$B$8:$B$192,0))/INDEX('Table 2.5a'!$I$8:$I$192,MATCH('Table 2.5b'!$A58&amp;'Table 2.5b'!$B58,'Table 2.5a'!$A$8:$A$192&amp;'Table 2.5a'!$B$8:$B$192,0)))*1000, "")</f>
        <v>10726.634473613545</v>
      </c>
      <c r="G58" s="655">
        <f t="array" ref="G58">IFERROR((INDEX('Table 2.5a'!$G$8:$G$192,MATCH('Table 2.5b'!$A58&amp;'Table 2.5b'!$B58,'Table 2.5a'!$A$8:$A$192&amp;'Table 2.5a'!$B$8:$B$192,0))/INDEX('Table 2.5a'!$I$8:$I$192,MATCH('Table 2.5b'!$A58&amp;'Table 2.5b'!$B58,'Table 2.5a'!$A$8:$A$192&amp;'Table 2.5a'!$B$8:$B$192,0)))*1000, "")</f>
        <v>6659.7203658081353</v>
      </c>
      <c r="H58" s="705">
        <f t="array" ref="H58">IFERROR(INDEX('Table 2.5a'!$G$8:$G$192,MATCH('Table 2.5b'!$A58&amp;'Table 2.5b'!$B58,'Table 2.5a'!$A$8:$A$192&amp;'Table 2.5a'!$B$8:$B$192,0))/INDEX('Table 2.5a'!$H$8:$H$192,MATCH('Table 2.5b'!$A58&amp;'Table 2.5b'!$B58,'Table 2.5a'!$A$8:$A$192&amp;'Table 2.5a'!$B$8:$B$192,0)),"")</f>
        <v>0.62085833000000001</v>
      </c>
      <c r="I58" s="655">
        <f t="array" ref="I58">IFERROR((INDEX('Table 2.5a'!$L$8:$L$192,MATCH('Table 2.5b'!$A58&amp;'Table 2.5b'!$B58,'Table 2.5a'!$A$8:$A$192&amp;'Table 2.5a'!$B$8:$B$192,0))/INDEX('Table 2.5a'!$I$8:$I$192,MATCH('Table 2.5b'!$A58&amp;'Table 2.5b'!$B58,'Table 2.5a'!$A$8:$A$192&amp;'Table 2.5a'!$B$8:$B$192,0)))*1000, "")</f>
        <v>18196.993576119916</v>
      </c>
      <c r="J58" s="655">
        <f t="array" ref="J58">IFERROR((INDEX('Table 2.5a'!$K$8:$K$192,MATCH('Table 2.5b'!$A58&amp;'Table 2.5b'!$B58,'Table 2.5a'!$A$8:$A$192&amp;'Table 2.5a'!$B$8:$B$192,0))/INDEX('Table 2.5a'!$I$8:$I$192,MATCH('Table 2.5b'!$A58&amp;'Table 2.5b'!$B58,'Table 2.5a'!$A$8:$A$192&amp;'Table 2.5a'!$B$8:$B$192,0)))*1000, "")</f>
        <v>11297.755042690538</v>
      </c>
      <c r="K58" s="705">
        <f t="array" ref="K58">IFERROR(INDEX('Table 2.5a'!$I$8:$I$192,MATCH('Table 2.5b'!$A58&amp;'Table 2.5b'!$B58,'Table 2.5a'!$A$8:$A$192&amp;'Table 2.5a'!$B$8:$B$192,0))/INDEX('Table 2.5a'!$L$8:$L$192,MATCH('Table 2.5b'!$A58&amp;'Table 2.5b'!$B58,'Table 2.5a'!$A$8:$A$192&amp;'Table 2.5a'!$B$8:$B$192,0)),"")</f>
        <v>5.4954132715214529E-2</v>
      </c>
      <c r="L58" s="658" t="s">
        <v>356</v>
      </c>
      <c r="M58" s="709">
        <f t="array" ref="M58">INDEX(UtilityList!Q$4:Q$251,MATCH('Table 2.5b'!$A58&amp;'Table 2.5b'!$B58,UtilityList!$A$4:$A$251&amp;UtilityList!$C$4:$C$251,0))</f>
        <v>0</v>
      </c>
      <c r="N58" s="709" t="str">
        <f t="array" ref="N58">INDEX(UtilityList!J$4:J$251,MATCH('Table 2.5b'!$A58&amp;'Table 2.5b'!$B58,UtilityList!$A$4:$A$251&amp;UtilityList!$C$4:$C$251,0))</f>
        <v>Bristol Bay</v>
      </c>
      <c r="O58" s="709" t="str">
        <f t="array" ref="O58">INDEX(UtilityList!K$4:K$251,MATCH('Table 2.5b'!$A58&amp;'Table 2.5b'!$B58,UtilityList!$A$4:$A$251&amp;UtilityList!$C$4:$C$251,0))</f>
        <v>Dillingham (CA)</v>
      </c>
      <c r="P58" s="709" t="str">
        <f t="array" ref="P58">INDEX(UtilityList!L$4:L$251,MATCH('Table 2.5b'!$A58&amp;'Table 2.5b'!$B58,UtilityList!$A$4:$A$251&amp;UtilityList!$C$4:$C$251,0))</f>
        <v>Bristol Bay</v>
      </c>
      <c r="Q58" s="709" t="str">
        <f t="array" ref="Q58">INDEX(UtilityList!M$4:M$251,MATCH('Table 2.5b'!$A58&amp;'Table 2.5b'!$B58,UtilityList!$A$4:$A$251&amp;UtilityList!$C$4:$C$251,0))</f>
        <v>SW</v>
      </c>
    </row>
    <row r="59" spans="1:17" s="267" customFormat="1" ht="75" x14ac:dyDescent="0.25">
      <c r="A59" s="361" t="s">
        <v>524</v>
      </c>
      <c r="B59" s="654" t="s">
        <v>92</v>
      </c>
      <c r="C59" s="655">
        <f t="array" ref="C59">IFERROR((INDEX('Table 2.5a'!$D$8:$D$192,MATCH('Table 2.5b'!A59&amp;'Table 2.5b'!B59,'Table 2.5a'!$A$8:$A$192&amp;'Table 2.5a'!$B$8:$B$192,0))/INDEX('Table 2.5a'!$E$8:$E$192,MATCH('Table 2.5b'!A59&amp;'Table 2.5b'!B59,'Table 2.5a'!$A$8:$A$192&amp;'Table 2.5a'!$B$8:$B$192,0)))*1000, "")</f>
        <v>3665.1138334576435</v>
      </c>
      <c r="D59" s="655">
        <f t="array" ref="D59">IFERROR((INDEX('Table 2.5a'!$C$8:$C$192,MATCH('Table 2.5b'!A59&amp;'Table 2.5b'!B59,'Table 2.5a'!$A$8:$A$192&amp;'Table 2.5a'!$B$8:$B$192,0))/INDEX('Table 2.5a'!$E$8:$E$192,MATCH('Table 2.5b'!A59&amp;'Table 2.5b'!B59,'Table 2.5a'!$A$8:$A$192&amp;'Table 2.5a'!$B$8:$B$192,0)))*1000, "")</f>
        <v>1898.3090589010519</v>
      </c>
      <c r="E59" s="705">
        <f t="array" ref="E59">IFERROR(INDEX('Table 2.5a'!$C$8:$C$192,MATCH('Table 2.5b'!$A59&amp;'Table 2.5b'!$B59,'Table 2.5a'!$A$8:$A$192&amp;'Table 2.5a'!$B$8:$B$192,0))/INDEX('Table 2.5a'!$D$8:$D$192,MATCH('Table 2.5b'!$A59&amp;'Table 2.5b'!$B59,'Table 2.5a'!$A$8:$A$192&amp;'Table 2.5a'!$B$8:$B$192,0)),"")</f>
        <v>0.51793999999999996</v>
      </c>
      <c r="F59" s="655">
        <f t="array" ref="F59">IFERROR((INDEX('Table 2.5a'!$H$8:$H$192,MATCH('Table 2.5b'!$A59&amp;'Table 2.5b'!$B59,'Table 2.5a'!$A$8:$A$192&amp;'Table 2.5a'!$B$8:$B$192,0))/INDEX('Table 2.5a'!$I$8:$I$192,MATCH('Table 2.5b'!$A59&amp;'Table 2.5b'!$B59,'Table 2.5a'!$A$8:$A$192&amp;'Table 2.5a'!$B$8:$B$192,0)))*1000, "")</f>
        <v>9218.8968060385323</v>
      </c>
      <c r="G59" s="655">
        <f t="array" ref="G59">IFERROR((INDEX('Table 2.5a'!$G$8:$G$192,MATCH('Table 2.5b'!$A59&amp;'Table 2.5b'!$B59,'Table 2.5a'!$A$8:$A$192&amp;'Table 2.5a'!$B$8:$B$192,0))/INDEX('Table 2.5a'!$I$8:$I$192,MATCH('Table 2.5b'!$A59&amp;'Table 2.5b'!$B59,'Table 2.5a'!$A$8:$A$192&amp;'Table 2.5a'!$B$8:$B$192,0)))*1000, "")</f>
        <v>4774.8354117195977</v>
      </c>
      <c r="H59" s="705">
        <f t="array" ref="H59">IFERROR(INDEX('Table 2.5a'!$G$8:$G$192,MATCH('Table 2.5b'!$A59&amp;'Table 2.5b'!$B59,'Table 2.5a'!$A$8:$A$192&amp;'Table 2.5a'!$B$8:$B$192,0))/INDEX('Table 2.5a'!$H$8:$H$192,MATCH('Table 2.5b'!$A59&amp;'Table 2.5b'!$B59,'Table 2.5a'!$A$8:$A$192&amp;'Table 2.5a'!$B$8:$B$192,0)),"")</f>
        <v>0.51793999999999996</v>
      </c>
      <c r="I59" s="655">
        <f t="array" ref="I59">IFERROR((INDEX('Table 2.5a'!$L$8:$L$192,MATCH('Table 2.5b'!$A59&amp;'Table 2.5b'!$B59,'Table 2.5a'!$A$8:$A$192&amp;'Table 2.5a'!$B$8:$B$192,0))/INDEX('Table 2.5a'!$I$8:$I$192,MATCH('Table 2.5b'!$A59&amp;'Table 2.5b'!$B59,'Table 2.5a'!$A$8:$A$192&amp;'Table 2.5a'!$B$8:$B$192,0)))*1000, "")</f>
        <v>16502.317696615661</v>
      </c>
      <c r="J59" s="655">
        <f t="array" ref="J59">IFERROR((INDEX('Table 2.5a'!$K$8:$K$192,MATCH('Table 2.5b'!$A59&amp;'Table 2.5b'!$B59,'Table 2.5a'!$A$8:$A$192&amp;'Table 2.5a'!$B$8:$B$192,0))/INDEX('Table 2.5a'!$I$8:$I$192,MATCH('Table 2.5b'!$A59&amp;'Table 2.5b'!$B59,'Table 2.5a'!$A$8:$A$192&amp;'Table 2.5a'!$B$8:$B$192,0)))*1000, "")</f>
        <v>8547.210427785114</v>
      </c>
      <c r="K59" s="705">
        <f t="array" ref="K59">IFERROR(INDEX('Table 2.5a'!$I$8:$I$192,MATCH('Table 2.5b'!$A59&amp;'Table 2.5b'!$B59,'Table 2.5a'!$A$8:$A$192&amp;'Table 2.5a'!$B$8:$B$192,0))/INDEX('Table 2.5a'!$L$8:$L$192,MATCH('Table 2.5b'!$A59&amp;'Table 2.5b'!$B59,'Table 2.5a'!$A$8:$A$192&amp;'Table 2.5a'!$B$8:$B$192,0)),"")</f>
        <v>6.0597548682818213E-2</v>
      </c>
      <c r="L59" s="658" t="s">
        <v>356</v>
      </c>
      <c r="M59" s="709" t="str">
        <f t="array" ref="M59">INDEX(UtilityList!Q$4:Q$251,MATCH('Table 2.5b'!$A59&amp;'Table 2.5b'!$B59,UtilityList!$A$4:$A$251&amp;UtilityList!$C$4:$C$251,0))</f>
        <v>Receives power from Toksook Bay via intertie. For fuel use and cost, please refer to Toksook Bay.</v>
      </c>
      <c r="N59" s="709" t="str">
        <f t="array" ref="N59">INDEX(UtilityList!J$4:J$251,MATCH('Table 2.5b'!$A59&amp;'Table 2.5b'!$B59,UtilityList!$A$4:$A$251&amp;UtilityList!$C$4:$C$251,0))</f>
        <v>Lower Yukon-Kuskokwim</v>
      </c>
      <c r="O59" s="709" t="str">
        <f t="array" ref="O59">INDEX(UtilityList!K$4:K$251,MATCH('Table 2.5b'!$A59&amp;'Table 2.5b'!$B59,UtilityList!$A$4:$A$251&amp;UtilityList!$C$4:$C$251,0))</f>
        <v>Bethel (CA)</v>
      </c>
      <c r="P59" s="709" t="str">
        <f t="array" ref="P59">INDEX(UtilityList!L$4:L$251,MATCH('Table 2.5b'!$A59&amp;'Table 2.5b'!$B59,UtilityList!$A$4:$A$251&amp;UtilityList!$C$4:$C$251,0))</f>
        <v>Calista</v>
      </c>
      <c r="Q59" s="709" t="str">
        <f t="array" ref="Q59">INDEX(UtilityList!M$4:M$251,MATCH('Table 2.5b'!$A59&amp;'Table 2.5b'!$B59,UtilityList!$A$4:$A$251&amp;UtilityList!$C$4:$C$251,0))</f>
        <v>SW</v>
      </c>
    </row>
    <row r="60" spans="1:17" s="267" customFormat="1" ht="30" x14ac:dyDescent="0.25">
      <c r="A60" s="361" t="s">
        <v>524</v>
      </c>
      <c r="B60" s="654" t="s">
        <v>93</v>
      </c>
      <c r="C60" s="655">
        <f t="array" ref="C60">IFERROR((INDEX('Table 2.5a'!$D$8:$D$192,MATCH('Table 2.5b'!A60&amp;'Table 2.5b'!B60,'Table 2.5a'!$A$8:$A$192&amp;'Table 2.5a'!$B$8:$B$192,0))/INDEX('Table 2.5a'!$E$8:$E$192,MATCH('Table 2.5b'!A60&amp;'Table 2.5b'!B60,'Table 2.5a'!$A$8:$A$192&amp;'Table 2.5a'!$B$8:$B$192,0)))*1000, "")</f>
        <v>6571.795501022495</v>
      </c>
      <c r="D60" s="655">
        <f t="array" ref="D60">IFERROR((INDEX('Table 2.5a'!$C$8:$C$192,MATCH('Table 2.5b'!A60&amp;'Table 2.5b'!B60,'Table 2.5a'!$A$8:$A$192&amp;'Table 2.5a'!$B$8:$B$192,0))/INDEX('Table 2.5a'!$E$8:$E$192,MATCH('Table 2.5b'!A60&amp;'Table 2.5b'!B60,'Table 2.5a'!$A$8:$A$192&amp;'Table 2.5a'!$B$8:$B$192,0)))*1000, "")</f>
        <v>4863.0191189256448</v>
      </c>
      <c r="E60" s="705">
        <f t="array" ref="E60">IFERROR(INDEX('Table 2.5a'!$C$8:$C$192,MATCH('Table 2.5b'!$A60&amp;'Table 2.5b'!$B60,'Table 2.5a'!$A$8:$A$192&amp;'Table 2.5a'!$B$8:$B$192,0))/INDEX('Table 2.5a'!$D$8:$D$192,MATCH('Table 2.5b'!$A60&amp;'Table 2.5b'!$B60,'Table 2.5a'!$A$8:$A$192&amp;'Table 2.5a'!$B$8:$B$192,0)),"")</f>
        <v>0.73998333000000005</v>
      </c>
      <c r="F60" s="655">
        <f t="array" ref="F60">IFERROR((INDEX('Table 2.5a'!$H$8:$H$192,MATCH('Table 2.5b'!$A60&amp;'Table 2.5b'!$B60,'Table 2.5a'!$A$8:$A$192&amp;'Table 2.5a'!$B$8:$B$192,0))/INDEX('Table 2.5a'!$I$8:$I$192,MATCH('Table 2.5b'!$A60&amp;'Table 2.5b'!$B60,'Table 2.5a'!$A$8:$A$192&amp;'Table 2.5a'!$B$8:$B$192,0)))*1000, "")</f>
        <v>21862.130430749818</v>
      </c>
      <c r="G60" s="655">
        <f t="array" ref="G60">IFERROR((INDEX('Table 2.5a'!$G$8:$G$192,MATCH('Table 2.5b'!$A60&amp;'Table 2.5b'!$B60,'Table 2.5a'!$A$8:$A$192&amp;'Table 2.5a'!$B$8:$B$192,0))/INDEX('Table 2.5a'!$I$8:$I$192,MATCH('Table 2.5b'!$A60&amp;'Table 2.5b'!$B60,'Table 2.5a'!$A$8:$A$192&amp;'Table 2.5a'!$B$8:$B$192,0)))*1000, "")</f>
        <v>16177.612077040589</v>
      </c>
      <c r="H60" s="705">
        <f t="array" ref="H60">IFERROR(INDEX('Table 2.5a'!$G$8:$G$192,MATCH('Table 2.5b'!$A60&amp;'Table 2.5b'!$B60,'Table 2.5a'!$A$8:$A$192&amp;'Table 2.5a'!$B$8:$B$192,0))/INDEX('Table 2.5a'!$H$8:$H$192,MATCH('Table 2.5b'!$A60&amp;'Table 2.5b'!$B60,'Table 2.5a'!$A$8:$A$192&amp;'Table 2.5a'!$B$8:$B$192,0)),"")</f>
        <v>0.73998333000000005</v>
      </c>
      <c r="I60" s="655">
        <f t="array" ref="I60">IFERROR((INDEX('Table 2.5a'!$L$8:$L$192,MATCH('Table 2.5b'!$A60&amp;'Table 2.5b'!$B60,'Table 2.5a'!$A$8:$A$192&amp;'Table 2.5a'!$B$8:$B$192,0))/INDEX('Table 2.5a'!$I$8:$I$192,MATCH('Table 2.5b'!$A60&amp;'Table 2.5b'!$B60,'Table 2.5a'!$A$8:$A$192&amp;'Table 2.5a'!$B$8:$B$192,0)))*1000, "")</f>
        <v>70837.96489055852</v>
      </c>
      <c r="J60" s="655">
        <f t="array" ref="J60">IFERROR((INDEX('Table 2.5a'!$K$8:$K$192,MATCH('Table 2.5b'!$A60&amp;'Table 2.5b'!$B60,'Table 2.5a'!$A$8:$A$192&amp;'Table 2.5a'!$B$8:$B$192,0))/INDEX('Table 2.5a'!$I$8:$I$192,MATCH('Table 2.5b'!$A60&amp;'Table 2.5b'!$B60,'Table 2.5a'!$A$8:$A$192&amp;'Table 2.5a'!$B$8:$B$192,0)))*1000, "")</f>
        <v>52418.913150138593</v>
      </c>
      <c r="K60" s="705">
        <f t="array" ref="K60">IFERROR(INDEX('Table 2.5a'!$I$8:$I$192,MATCH('Table 2.5b'!$A60&amp;'Table 2.5b'!$B60,'Table 2.5a'!$A$8:$A$192&amp;'Table 2.5a'!$B$8:$B$192,0))/INDEX('Table 2.5a'!$L$8:$L$192,MATCH('Table 2.5b'!$A60&amp;'Table 2.5b'!$B60,'Table 2.5a'!$A$8:$A$192&amp;'Table 2.5a'!$B$8:$B$192,0)),"")</f>
        <v>1.4116724012963317E-2</v>
      </c>
      <c r="L60" s="658" t="s">
        <v>356</v>
      </c>
      <c r="M60" s="709">
        <f t="array" ref="M60">INDEX(UtilityList!Q$4:Q$251,MATCH('Table 2.5b'!$A60&amp;'Table 2.5b'!$B60,UtilityList!$A$4:$A$251&amp;UtilityList!$C$4:$C$251,0))</f>
        <v>0</v>
      </c>
      <c r="N60" s="709" t="str">
        <f t="array" ref="N60">INDEX(UtilityList!J$4:J$251,MATCH('Table 2.5b'!$A60&amp;'Table 2.5b'!$B60,UtilityList!$A$4:$A$251&amp;UtilityList!$C$4:$C$251,0))</f>
        <v>Northwest Arctic</v>
      </c>
      <c r="O60" s="709" t="str">
        <f t="array" ref="O60">INDEX(UtilityList!K$4:K$251,MATCH('Table 2.5b'!$A60&amp;'Table 2.5b'!$B60,UtilityList!$A$4:$A$251&amp;UtilityList!$C$4:$C$251,0))</f>
        <v>Northwest Arctic</v>
      </c>
      <c r="P60" s="709" t="str">
        <f t="array" ref="P60">INDEX(UtilityList!L$4:L$251,MATCH('Table 2.5b'!$A60&amp;'Table 2.5b'!$B60,UtilityList!$A$4:$A$251&amp;UtilityList!$C$4:$C$251,0))</f>
        <v>NANA</v>
      </c>
      <c r="Q60" s="709" t="str">
        <f t="array" ref="Q60">INDEX(UtilityList!M$4:M$251,MATCH('Table 2.5b'!$A60&amp;'Table 2.5b'!$B60,UtilityList!$A$4:$A$251&amp;UtilityList!$C$4:$C$251,0))</f>
        <v>AN</v>
      </c>
    </row>
    <row r="61" spans="1:17" s="267" customFormat="1" ht="30" x14ac:dyDescent="0.25">
      <c r="A61" s="361" t="s">
        <v>524</v>
      </c>
      <c r="B61" s="654" t="s">
        <v>94</v>
      </c>
      <c r="C61" s="655">
        <f t="array" ref="C61">IFERROR((INDEX('Table 2.5a'!$D$8:$D$192,MATCH('Table 2.5b'!A61&amp;'Table 2.5b'!B61,'Table 2.5a'!$A$8:$A$192&amp;'Table 2.5a'!$B$8:$B$192,0))/INDEX('Table 2.5a'!$E$8:$E$192,MATCH('Table 2.5b'!A61&amp;'Table 2.5b'!B61,'Table 2.5a'!$A$8:$A$192&amp;'Table 2.5a'!$B$8:$B$192,0)))*1000, "")</f>
        <v>6648.7153093573706</v>
      </c>
      <c r="D61" s="655">
        <f t="array" ref="D61">IFERROR((INDEX('Table 2.5a'!$C$8:$C$192,MATCH('Table 2.5b'!A61&amp;'Table 2.5b'!B61,'Table 2.5a'!$A$8:$A$192&amp;'Table 2.5a'!$B$8:$B$192,0))/INDEX('Table 2.5a'!$E$8:$E$192,MATCH('Table 2.5b'!A61&amp;'Table 2.5b'!B61,'Table 2.5a'!$A$8:$A$192&amp;'Table 2.5a'!$B$8:$B$192,0)))*1000, "")</f>
        <v>4082.9206876778344</v>
      </c>
      <c r="E61" s="705">
        <f t="array" ref="E61">IFERROR(INDEX('Table 2.5a'!$C$8:$C$192,MATCH('Table 2.5b'!$A61&amp;'Table 2.5b'!$B61,'Table 2.5a'!$A$8:$A$192&amp;'Table 2.5a'!$B$8:$B$192,0))/INDEX('Table 2.5a'!$D$8:$D$192,MATCH('Table 2.5b'!$A61&amp;'Table 2.5b'!$B61,'Table 2.5a'!$A$8:$A$192&amp;'Table 2.5a'!$B$8:$B$192,0)),"")</f>
        <v>0.61409166999999998</v>
      </c>
      <c r="F61" s="655">
        <f t="array" ref="F61">IFERROR((INDEX('Table 2.5a'!$H$8:$H$192,MATCH('Table 2.5b'!$A61&amp;'Table 2.5b'!$B61,'Table 2.5a'!$A$8:$A$192&amp;'Table 2.5a'!$B$8:$B$192,0))/INDEX('Table 2.5a'!$I$8:$I$192,MATCH('Table 2.5b'!$A61&amp;'Table 2.5b'!$B61,'Table 2.5a'!$A$8:$A$192&amp;'Table 2.5a'!$B$8:$B$192,0)))*1000, "")</f>
        <v>20016.305763264605</v>
      </c>
      <c r="G61" s="655">
        <f t="array" ref="G61">IFERROR((INDEX('Table 2.5a'!$G$8:$G$192,MATCH('Table 2.5b'!$A61&amp;'Table 2.5b'!$B61,'Table 2.5a'!$A$8:$A$192&amp;'Table 2.5a'!$B$8:$B$192,0))/INDEX('Table 2.5a'!$I$8:$I$192,MATCH('Table 2.5b'!$A61&amp;'Table 2.5b'!$B61,'Table 2.5a'!$A$8:$A$192&amp;'Table 2.5a'!$B$8:$B$192,0)))*1000, "")</f>
        <v>12291.846633393783</v>
      </c>
      <c r="H61" s="705">
        <f t="array" ref="H61">IFERROR(INDEX('Table 2.5a'!$G$8:$G$192,MATCH('Table 2.5b'!$A61&amp;'Table 2.5b'!$B61,'Table 2.5a'!$A$8:$A$192&amp;'Table 2.5a'!$B$8:$B$192,0))/INDEX('Table 2.5a'!$H$8:$H$192,MATCH('Table 2.5b'!$A61&amp;'Table 2.5b'!$B61,'Table 2.5a'!$A$8:$A$192&amp;'Table 2.5a'!$B$8:$B$192,0)),"")</f>
        <v>0.61409166999999998</v>
      </c>
      <c r="I61" s="655">
        <f t="array" ref="I61">IFERROR((INDEX('Table 2.5a'!$L$8:$L$192,MATCH('Table 2.5b'!$A61&amp;'Table 2.5b'!$B61,'Table 2.5a'!$A$8:$A$192&amp;'Table 2.5a'!$B$8:$B$192,0))/INDEX('Table 2.5a'!$I$8:$I$192,MATCH('Table 2.5b'!$A61&amp;'Table 2.5b'!$B61,'Table 2.5a'!$A$8:$A$192&amp;'Table 2.5a'!$B$8:$B$192,0)))*1000, "")</f>
        <v>82121.189224447095</v>
      </c>
      <c r="J61" s="655">
        <f t="array" ref="J61">IFERROR((INDEX('Table 2.5a'!$K$8:$K$192,MATCH('Table 2.5b'!$A61&amp;'Table 2.5b'!$B61,'Table 2.5a'!$A$8:$A$192&amp;'Table 2.5a'!$B$8:$B$192,0))/INDEX('Table 2.5a'!$I$8:$I$192,MATCH('Table 2.5b'!$A61&amp;'Table 2.5b'!$B61,'Table 2.5a'!$A$8:$A$192&amp;'Table 2.5a'!$B$8:$B$192,0)))*1000, "")</f>
        <v>50429.93823322672</v>
      </c>
      <c r="K61" s="705">
        <f t="array" ref="K61">IFERROR(INDEX('Table 2.5a'!$I$8:$I$192,MATCH('Table 2.5b'!$A61&amp;'Table 2.5b'!$B61,'Table 2.5a'!$A$8:$A$192&amp;'Table 2.5a'!$B$8:$B$192,0))/INDEX('Table 2.5a'!$L$8:$L$192,MATCH('Table 2.5b'!$A61&amp;'Table 2.5b'!$B61,'Table 2.5a'!$A$8:$A$192&amp;'Table 2.5a'!$B$8:$B$192,0)),"")</f>
        <v>1.2177125166403516E-2</v>
      </c>
      <c r="L61" s="658" t="s">
        <v>356</v>
      </c>
      <c r="M61" s="709">
        <f t="array" ref="M61">INDEX(UtilityList!Q$4:Q$251,MATCH('Table 2.5b'!$A61&amp;'Table 2.5b'!$B61,UtilityList!$A$4:$A$251&amp;UtilityList!$C$4:$C$251,0))</f>
        <v>0</v>
      </c>
      <c r="N61" s="709" t="str">
        <f t="array" ref="N61">INDEX(UtilityList!J$4:J$251,MATCH('Table 2.5b'!$A61&amp;'Table 2.5b'!$B61,UtilityList!$A$4:$A$251&amp;UtilityList!$C$4:$C$251,0))</f>
        <v>Northwest Arctic</v>
      </c>
      <c r="O61" s="709" t="str">
        <f t="array" ref="O61">INDEX(UtilityList!K$4:K$251,MATCH('Table 2.5b'!$A61&amp;'Table 2.5b'!$B61,UtilityList!$A$4:$A$251&amp;UtilityList!$C$4:$C$251,0))</f>
        <v>Northwest Arctic</v>
      </c>
      <c r="P61" s="709" t="str">
        <f t="array" ref="P61">INDEX(UtilityList!L$4:L$251,MATCH('Table 2.5b'!$A61&amp;'Table 2.5b'!$B61,UtilityList!$A$4:$A$251&amp;UtilityList!$C$4:$C$251,0))</f>
        <v>NANA</v>
      </c>
      <c r="Q61" s="709" t="str">
        <f t="array" ref="Q61">INDEX(UtilityList!M$4:M$251,MATCH('Table 2.5b'!$A61&amp;'Table 2.5b'!$B61,UtilityList!$A$4:$A$251&amp;UtilityList!$C$4:$C$251,0))</f>
        <v>AN</v>
      </c>
    </row>
    <row r="62" spans="1:17" s="267" customFormat="1" ht="30" x14ac:dyDescent="0.25">
      <c r="A62" s="361" t="s">
        <v>524</v>
      </c>
      <c r="B62" s="654" t="s">
        <v>95</v>
      </c>
      <c r="C62" s="655">
        <f t="array" ref="C62">IFERROR((INDEX('Table 2.5a'!$D$8:$D$192,MATCH('Table 2.5b'!A62&amp;'Table 2.5b'!B62,'Table 2.5a'!$A$8:$A$192&amp;'Table 2.5a'!$B$8:$B$192,0))/INDEX('Table 2.5a'!$E$8:$E$192,MATCH('Table 2.5b'!A62&amp;'Table 2.5b'!B62,'Table 2.5a'!$A$8:$A$192&amp;'Table 2.5a'!$B$8:$B$192,0)))*1000, "")</f>
        <v>4630.2780269058294</v>
      </c>
      <c r="D62" s="655">
        <f t="array" ref="D62">IFERROR((INDEX('Table 2.5a'!$C$8:$C$192,MATCH('Table 2.5b'!A62&amp;'Table 2.5b'!B62,'Table 2.5a'!$A$8:$A$192&amp;'Table 2.5a'!$B$8:$B$192,0))/INDEX('Table 2.5a'!$E$8:$E$192,MATCH('Table 2.5b'!A62&amp;'Table 2.5b'!B62,'Table 2.5a'!$A$8:$A$192&amp;'Table 2.5a'!$B$8:$B$192,0)))*1000, "")</f>
        <v>2465.6230493273538</v>
      </c>
      <c r="E62" s="705">
        <f t="array" ref="E62">IFERROR(INDEX('Table 2.5a'!$C$8:$C$192,MATCH('Table 2.5b'!$A62&amp;'Table 2.5b'!$B62,'Table 2.5a'!$A$8:$A$192&amp;'Table 2.5a'!$B$8:$B$192,0))/INDEX('Table 2.5a'!$D$8:$D$192,MATCH('Table 2.5b'!$A62&amp;'Table 2.5b'!$B62,'Table 2.5a'!$A$8:$A$192&amp;'Table 2.5a'!$B$8:$B$192,0)),"")</f>
        <v>0.53249999999999997</v>
      </c>
      <c r="F62" s="655">
        <f t="array" ref="F62">IFERROR((INDEX('Table 2.5a'!$H$8:$H$192,MATCH('Table 2.5b'!$A62&amp;'Table 2.5b'!$B62,'Table 2.5a'!$A$8:$A$192&amp;'Table 2.5a'!$B$8:$B$192,0))/INDEX('Table 2.5a'!$I$8:$I$192,MATCH('Table 2.5b'!$A62&amp;'Table 2.5b'!$B62,'Table 2.5a'!$A$8:$A$192&amp;'Table 2.5a'!$B$8:$B$192,0)))*1000, "")</f>
        <v>7454.885887218079</v>
      </c>
      <c r="G62" s="655">
        <f t="array" ref="G62">IFERROR((INDEX('Table 2.5a'!$G$8:$G$192,MATCH('Table 2.5b'!$A62&amp;'Table 2.5b'!$B62,'Table 2.5a'!$A$8:$A$192&amp;'Table 2.5a'!$B$8:$B$192,0))/INDEX('Table 2.5a'!$I$8:$I$192,MATCH('Table 2.5b'!$A62&amp;'Table 2.5b'!$B62,'Table 2.5a'!$A$8:$A$192&amp;'Table 2.5a'!$B$8:$B$192,0)))*1000, "")</f>
        <v>3969.726734943627</v>
      </c>
      <c r="H62" s="705">
        <f t="array" ref="H62">IFERROR(INDEX('Table 2.5a'!$G$8:$G$192,MATCH('Table 2.5b'!$A62&amp;'Table 2.5b'!$B62,'Table 2.5a'!$A$8:$A$192&amp;'Table 2.5a'!$B$8:$B$192,0))/INDEX('Table 2.5a'!$H$8:$H$192,MATCH('Table 2.5b'!$A62&amp;'Table 2.5b'!$B62,'Table 2.5a'!$A$8:$A$192&amp;'Table 2.5a'!$B$8:$B$192,0)),"")</f>
        <v>0.53249999999999997</v>
      </c>
      <c r="I62" s="655">
        <f t="array" ref="I62">IFERROR((INDEX('Table 2.5a'!$L$8:$L$192,MATCH('Table 2.5b'!$A62&amp;'Table 2.5b'!$B62,'Table 2.5a'!$A$8:$A$192&amp;'Table 2.5a'!$B$8:$B$192,0))/INDEX('Table 2.5a'!$I$8:$I$192,MATCH('Table 2.5b'!$A62&amp;'Table 2.5b'!$B62,'Table 2.5a'!$A$8:$A$192&amp;'Table 2.5a'!$B$8:$B$192,0)))*1000, "")</f>
        <v>83404.652065705013</v>
      </c>
      <c r="J62" s="655">
        <f t="array" ref="J62">IFERROR((INDEX('Table 2.5a'!$K$8:$K$192,MATCH('Table 2.5b'!$A62&amp;'Table 2.5b'!$B62,'Table 2.5a'!$A$8:$A$192&amp;'Table 2.5a'!$B$8:$B$192,0))/INDEX('Table 2.5a'!$I$8:$I$192,MATCH('Table 2.5b'!$A62&amp;'Table 2.5b'!$B62,'Table 2.5a'!$A$8:$A$192&amp;'Table 2.5a'!$B$8:$B$192,0)))*1000, "")</f>
        <v>44412.97722498791</v>
      </c>
      <c r="K62" s="705">
        <f t="array" ref="K62">IFERROR(INDEX('Table 2.5a'!$I$8:$I$192,MATCH('Table 2.5b'!$A62&amp;'Table 2.5b'!$B62,'Table 2.5a'!$A$8:$A$192&amp;'Table 2.5a'!$B$8:$B$192,0))/INDEX('Table 2.5a'!$L$8:$L$192,MATCH('Table 2.5b'!$A62&amp;'Table 2.5b'!$B62,'Table 2.5a'!$A$8:$A$192&amp;'Table 2.5a'!$B$8:$B$192,0)),"")</f>
        <v>1.1989738884255689E-2</v>
      </c>
      <c r="L62" s="658" t="s">
        <v>356</v>
      </c>
      <c r="M62" s="709">
        <f t="array" ref="M62">INDEX(UtilityList!Q$4:Q$251,MATCH('Table 2.5b'!$A62&amp;'Table 2.5b'!$B62,UtilityList!$A$4:$A$251&amp;UtilityList!$C$4:$C$251,0))</f>
        <v>0</v>
      </c>
      <c r="N62" s="709" t="str">
        <f t="array" ref="N62">INDEX(UtilityList!J$4:J$251,MATCH('Table 2.5b'!$A62&amp;'Table 2.5b'!$B62,UtilityList!$A$4:$A$251&amp;UtilityList!$C$4:$C$251,0))</f>
        <v>Yukon-Koyukuk/Upper Tanana</v>
      </c>
      <c r="O62" s="709" t="str">
        <f t="array" ref="O62">INDEX(UtilityList!K$4:K$251,MATCH('Table 2.5b'!$A62&amp;'Table 2.5b'!$B62,UtilityList!$A$4:$A$251&amp;UtilityList!$C$4:$C$251,0))</f>
        <v>Yukon-Koyukuk (CA)</v>
      </c>
      <c r="P62" s="709" t="str">
        <f t="array" ref="P62">INDEX(UtilityList!L$4:L$251,MATCH('Table 2.5b'!$A62&amp;'Table 2.5b'!$B62,UtilityList!$A$4:$A$251&amp;UtilityList!$C$4:$C$251,0))</f>
        <v>Doyon</v>
      </c>
      <c r="Q62" s="709" t="str">
        <f t="array" ref="Q62">INDEX(UtilityList!M$4:M$251,MATCH('Table 2.5b'!$A62&amp;'Table 2.5b'!$B62,UtilityList!$A$4:$A$251&amp;UtilityList!$C$4:$C$251,0))</f>
        <v>YU</v>
      </c>
    </row>
    <row r="63" spans="1:17" s="267" customFormat="1" ht="60" x14ac:dyDescent="0.25">
      <c r="A63" s="361" t="s">
        <v>524</v>
      </c>
      <c r="B63" s="654" t="s">
        <v>96</v>
      </c>
      <c r="C63" s="655">
        <f t="array" ref="C63">IFERROR((INDEX('Table 2.5a'!$D$8:$D$192,MATCH('Table 2.5b'!A63&amp;'Table 2.5b'!B63,'Table 2.5a'!$A$8:$A$192&amp;'Table 2.5a'!$B$8:$B$192,0))/INDEX('Table 2.5a'!$E$8:$E$192,MATCH('Table 2.5b'!A63&amp;'Table 2.5b'!B63,'Table 2.5a'!$A$8:$A$192&amp;'Table 2.5a'!$B$8:$B$192,0)))*1000, "")</f>
        <v>4619.1962491055219</v>
      </c>
      <c r="D63" s="655">
        <f t="array" ref="D63">IFERROR((INDEX('Table 2.5a'!$C$8:$C$192,MATCH('Table 2.5b'!A63&amp;'Table 2.5b'!B63,'Table 2.5a'!$A$8:$A$192&amp;'Table 2.5a'!$B$8:$B$192,0))/INDEX('Table 2.5a'!$E$8:$E$192,MATCH('Table 2.5b'!A63&amp;'Table 2.5b'!B63,'Table 2.5a'!$A$8:$A$192&amp;'Table 2.5a'!$B$8:$B$192,0)))*1000, "")</f>
        <v>2469.5608906592856</v>
      </c>
      <c r="E63" s="705">
        <f t="array" ref="E63">IFERROR(INDEX('Table 2.5a'!$C$8:$C$192,MATCH('Table 2.5b'!$A63&amp;'Table 2.5b'!$B63,'Table 2.5a'!$A$8:$A$192&amp;'Table 2.5a'!$B$8:$B$192,0))/INDEX('Table 2.5a'!$D$8:$D$192,MATCH('Table 2.5b'!$A63&amp;'Table 2.5b'!$B63,'Table 2.5a'!$A$8:$A$192&amp;'Table 2.5a'!$B$8:$B$192,0)),"")</f>
        <v>0.53463000000000005</v>
      </c>
      <c r="F63" s="655">
        <f t="array" ref="F63">IFERROR((INDEX('Table 2.5a'!$H$8:$H$192,MATCH('Table 2.5b'!$A63&amp;'Table 2.5b'!$B63,'Table 2.5a'!$A$8:$A$192&amp;'Table 2.5a'!$B$8:$B$192,0))/INDEX('Table 2.5a'!$I$8:$I$192,MATCH('Table 2.5b'!$A63&amp;'Table 2.5b'!$B63,'Table 2.5a'!$A$8:$A$192&amp;'Table 2.5a'!$B$8:$B$192,0)))*1000, "")</f>
        <v>9016.6666666666661</v>
      </c>
      <c r="G63" s="655">
        <f t="array" ref="G63">IFERROR((INDEX('Table 2.5a'!$G$8:$G$192,MATCH('Table 2.5b'!$A63&amp;'Table 2.5b'!$B63,'Table 2.5a'!$A$8:$A$192&amp;'Table 2.5a'!$B$8:$B$192,0))/INDEX('Table 2.5a'!$I$8:$I$192,MATCH('Table 2.5b'!$A63&amp;'Table 2.5b'!$B63,'Table 2.5a'!$A$8:$A$192&amp;'Table 2.5a'!$B$8:$B$192,0)))*1000, "")</f>
        <v>4820.5805</v>
      </c>
      <c r="H63" s="705">
        <f t="array" ref="H63">IFERROR(INDEX('Table 2.5a'!$G$8:$G$192,MATCH('Table 2.5b'!$A63&amp;'Table 2.5b'!$B63,'Table 2.5a'!$A$8:$A$192&amp;'Table 2.5a'!$B$8:$B$192,0))/INDEX('Table 2.5a'!$H$8:$H$192,MATCH('Table 2.5b'!$A63&amp;'Table 2.5b'!$B63,'Table 2.5a'!$A$8:$A$192&amp;'Table 2.5a'!$B$8:$B$192,0)),"")</f>
        <v>0.53463000000000005</v>
      </c>
      <c r="I63" s="655">
        <f t="array" ref="I63">IFERROR((INDEX('Table 2.5a'!$L$8:$L$192,MATCH('Table 2.5b'!$A63&amp;'Table 2.5b'!$B63,'Table 2.5a'!$A$8:$A$192&amp;'Table 2.5a'!$B$8:$B$192,0))/INDEX('Table 2.5a'!$I$8:$I$192,MATCH('Table 2.5b'!$A63&amp;'Table 2.5b'!$B63,'Table 2.5a'!$A$8:$A$192&amp;'Table 2.5a'!$B$8:$B$192,0)))*1000, "")</f>
        <v>16745.38095238095</v>
      </c>
      <c r="J63" s="655">
        <f t="array" ref="J63">IFERROR((INDEX('Table 2.5a'!$K$8:$K$192,MATCH('Table 2.5b'!$A63&amp;'Table 2.5b'!$B63,'Table 2.5a'!$A$8:$A$192&amp;'Table 2.5a'!$B$8:$B$192,0))/INDEX('Table 2.5a'!$I$8:$I$192,MATCH('Table 2.5b'!$A63&amp;'Table 2.5b'!$B63,'Table 2.5a'!$A$8:$A$192&amp;'Table 2.5a'!$B$8:$B$192,0)))*1000, "")</f>
        <v>8952.5830185714294</v>
      </c>
      <c r="K63" s="705">
        <f t="array" ref="K63">IFERROR(INDEX('Table 2.5a'!$I$8:$I$192,MATCH('Table 2.5b'!$A63&amp;'Table 2.5b'!$B63,'Table 2.5a'!$A$8:$A$192&amp;'Table 2.5a'!$B$8:$B$192,0))/INDEX('Table 2.5a'!$L$8:$L$192,MATCH('Table 2.5b'!$A63&amp;'Table 2.5b'!$B63,'Table 2.5a'!$A$8:$A$192&amp;'Table 2.5a'!$B$8:$B$192,0)),"")</f>
        <v>5.9717960603208275E-2</v>
      </c>
      <c r="L63" s="658" t="s">
        <v>356</v>
      </c>
      <c r="M63" s="709" t="str">
        <f t="array" ref="M63">INDEX(UtilityList!Q$4:Q$251,MATCH('Table 2.5b'!$A63&amp;'Table 2.5b'!$B63,UtilityList!$A$4:$A$251&amp;UtilityList!$C$4:$C$251,0))</f>
        <v>Receives power from Kasigluk. Please refer to Kasigluk for fuel use and cost.</v>
      </c>
      <c r="N63" s="709" t="str">
        <f t="array" ref="N63">INDEX(UtilityList!J$4:J$251,MATCH('Table 2.5b'!$A63&amp;'Table 2.5b'!$B63,UtilityList!$A$4:$A$251&amp;UtilityList!$C$4:$C$251,0))</f>
        <v>Lower Yukon-Kuskokwim</v>
      </c>
      <c r="O63" s="709" t="str">
        <f t="array" ref="O63">INDEX(UtilityList!K$4:K$251,MATCH('Table 2.5b'!$A63&amp;'Table 2.5b'!$B63,UtilityList!$A$4:$A$251&amp;UtilityList!$C$4:$C$251,0))</f>
        <v>Bethel (CA)</v>
      </c>
      <c r="P63" s="709" t="str">
        <f t="array" ref="P63">INDEX(UtilityList!L$4:L$251,MATCH('Table 2.5b'!$A63&amp;'Table 2.5b'!$B63,UtilityList!$A$4:$A$251&amp;UtilityList!$C$4:$C$251,0))</f>
        <v>Calista</v>
      </c>
      <c r="Q63" s="709" t="str">
        <f t="array" ref="Q63">INDEX(UtilityList!M$4:M$251,MATCH('Table 2.5b'!$A63&amp;'Table 2.5b'!$B63,UtilityList!$A$4:$A$251&amp;UtilityList!$C$4:$C$251,0))</f>
        <v>SW</v>
      </c>
    </row>
    <row r="64" spans="1:17" s="267" customFormat="1" ht="30" x14ac:dyDescent="0.25">
      <c r="A64" s="361" t="s">
        <v>524</v>
      </c>
      <c r="B64" s="654" t="s">
        <v>97</v>
      </c>
      <c r="C64" s="655">
        <f t="array" ref="C64">IFERROR((INDEX('Table 2.5a'!$D$8:$D$192,MATCH('Table 2.5b'!A64&amp;'Table 2.5b'!B64,'Table 2.5a'!$A$8:$A$192&amp;'Table 2.5a'!$B$8:$B$192,0))/INDEX('Table 2.5a'!$E$8:$E$192,MATCH('Table 2.5b'!A64&amp;'Table 2.5b'!B64,'Table 2.5a'!$A$8:$A$192&amp;'Table 2.5a'!$B$8:$B$192,0)))*1000, "")</f>
        <v>3681.8506939589611</v>
      </c>
      <c r="D64" s="655">
        <f t="array" ref="D64">IFERROR((INDEX('Table 2.5a'!$C$8:$C$192,MATCH('Table 2.5b'!A64&amp;'Table 2.5b'!B64,'Table 2.5a'!$A$8:$A$192&amp;'Table 2.5a'!$B$8:$B$192,0))/INDEX('Table 2.5a'!$E$8:$E$192,MATCH('Table 2.5b'!A64&amp;'Table 2.5b'!B64,'Table 2.5a'!$A$8:$A$192&amp;'Table 2.5a'!$B$8:$B$192,0)))*1000, "")</f>
        <v>2121.5744161265025</v>
      </c>
      <c r="E64" s="705">
        <f t="array" ref="E64">IFERROR(INDEX('Table 2.5a'!$C$8:$C$192,MATCH('Table 2.5b'!$A64&amp;'Table 2.5b'!$B64,'Table 2.5a'!$A$8:$A$192&amp;'Table 2.5a'!$B$8:$B$192,0))/INDEX('Table 2.5a'!$D$8:$D$192,MATCH('Table 2.5b'!$A64&amp;'Table 2.5b'!$B64,'Table 2.5a'!$A$8:$A$192&amp;'Table 2.5a'!$B$8:$B$192,0)),"")</f>
        <v>0.57622499999999999</v>
      </c>
      <c r="F64" s="655">
        <f t="array" ref="F64">IFERROR((INDEX('Table 2.5a'!$H$8:$H$192,MATCH('Table 2.5b'!$A64&amp;'Table 2.5b'!$B64,'Table 2.5a'!$A$8:$A$192&amp;'Table 2.5a'!$B$8:$B$192,0))/INDEX('Table 2.5a'!$I$8:$I$192,MATCH('Table 2.5b'!$A64&amp;'Table 2.5b'!$B64,'Table 2.5a'!$A$8:$A$192&amp;'Table 2.5a'!$B$8:$B$192,0)))*1000, "")</f>
        <v>6721.9622641509432</v>
      </c>
      <c r="G64" s="655">
        <f t="array" ref="G64">IFERROR((INDEX('Table 2.5a'!$G$8:$G$192,MATCH('Table 2.5b'!$A64&amp;'Table 2.5b'!$B64,'Table 2.5a'!$A$8:$A$192&amp;'Table 2.5a'!$B$8:$B$192,0))/INDEX('Table 2.5a'!$I$8:$I$192,MATCH('Table 2.5b'!$A64&amp;'Table 2.5b'!$B64,'Table 2.5a'!$A$8:$A$192&amp;'Table 2.5a'!$B$8:$B$192,0)))*1000, "")</f>
        <v>3873.3627056603773</v>
      </c>
      <c r="H64" s="705">
        <f t="array" ref="H64">IFERROR(INDEX('Table 2.5a'!$G$8:$G$192,MATCH('Table 2.5b'!$A64&amp;'Table 2.5b'!$B64,'Table 2.5a'!$A$8:$A$192&amp;'Table 2.5a'!$B$8:$B$192,0))/INDEX('Table 2.5a'!$H$8:$H$192,MATCH('Table 2.5b'!$A64&amp;'Table 2.5b'!$B64,'Table 2.5a'!$A$8:$A$192&amp;'Table 2.5a'!$B$8:$B$192,0)),"")</f>
        <v>0.57622499999999999</v>
      </c>
      <c r="I64" s="655">
        <f t="array" ref="I64">IFERROR((INDEX('Table 2.5a'!$L$8:$L$192,MATCH('Table 2.5b'!$A64&amp;'Table 2.5b'!$B64,'Table 2.5a'!$A$8:$A$192&amp;'Table 2.5a'!$B$8:$B$192,0))/INDEX('Table 2.5a'!$I$8:$I$192,MATCH('Table 2.5b'!$A64&amp;'Table 2.5b'!$B64,'Table 2.5a'!$A$8:$A$192&amp;'Table 2.5a'!$B$8:$B$192,0)))*1000, "")</f>
        <v>22126.867924528302</v>
      </c>
      <c r="J64" s="655">
        <f t="array" ref="J64">IFERROR((INDEX('Table 2.5a'!$K$8:$K$192,MATCH('Table 2.5b'!$A64&amp;'Table 2.5b'!$B64,'Table 2.5a'!$A$8:$A$192&amp;'Table 2.5a'!$B$8:$B$192,0))/INDEX('Table 2.5a'!$I$8:$I$192,MATCH('Table 2.5b'!$A64&amp;'Table 2.5b'!$B64,'Table 2.5a'!$A$8:$A$192&amp;'Table 2.5a'!$B$8:$B$192,0)))*1000, "")</f>
        <v>12750.054469811319</v>
      </c>
      <c r="K64" s="705">
        <f t="array" ref="K64">IFERROR(INDEX('Table 2.5a'!$I$8:$I$192,MATCH('Table 2.5b'!$A64&amp;'Table 2.5b'!$B64,'Table 2.5a'!$A$8:$A$192&amp;'Table 2.5a'!$B$8:$B$192,0))/INDEX('Table 2.5a'!$L$8:$L$192,MATCH('Table 2.5b'!$A64&amp;'Table 2.5b'!$B64,'Table 2.5a'!$A$8:$A$192&amp;'Table 2.5a'!$B$8:$B$192,0)),"")</f>
        <v>4.5193924572192609E-2</v>
      </c>
      <c r="L64" s="658" t="s">
        <v>356</v>
      </c>
      <c r="M64" s="709">
        <f t="array" ref="M64">INDEX(UtilityList!Q$4:Q$251,MATCH('Table 2.5b'!$A64&amp;'Table 2.5b'!$B64,UtilityList!$A$4:$A$251&amp;UtilityList!$C$4:$C$251,0))</f>
        <v>0</v>
      </c>
      <c r="N64" s="709" t="str">
        <f t="array" ref="N64">INDEX(UtilityList!J$4:J$251,MATCH('Table 2.5b'!$A64&amp;'Table 2.5b'!$B64,UtilityList!$A$4:$A$251&amp;UtilityList!$C$4:$C$251,0))</f>
        <v>Kodiak</v>
      </c>
      <c r="O64" s="709" t="str">
        <f t="array" ref="O64">INDEX(UtilityList!K$4:K$251,MATCH('Table 2.5b'!$A64&amp;'Table 2.5b'!$B64,UtilityList!$A$4:$A$251&amp;UtilityList!$C$4:$C$251,0))</f>
        <v>Kodiak Island</v>
      </c>
      <c r="P64" s="709" t="str">
        <f t="array" ref="P64">INDEX(UtilityList!L$4:L$251,MATCH('Table 2.5b'!$A64&amp;'Table 2.5b'!$B64,UtilityList!$A$4:$A$251&amp;UtilityList!$C$4:$C$251,0))</f>
        <v>Koniag</v>
      </c>
      <c r="Q64" s="709" t="str">
        <f t="array" ref="Q64">INDEX(UtilityList!M$4:M$251,MATCH('Table 2.5b'!$A64&amp;'Table 2.5b'!$B64,UtilityList!$A$4:$A$251&amp;UtilityList!$C$4:$C$251,0))</f>
        <v>SC</v>
      </c>
    </row>
    <row r="65" spans="1:17" s="267" customFormat="1" ht="30" x14ac:dyDescent="0.25">
      <c r="A65" s="361" t="s">
        <v>524</v>
      </c>
      <c r="B65" s="654" t="s">
        <v>98</v>
      </c>
      <c r="C65" s="655">
        <f t="array" ref="C65">IFERROR((INDEX('Table 2.5a'!$D$8:$D$192,MATCH('Table 2.5b'!A65&amp;'Table 2.5b'!B65,'Table 2.5a'!$A$8:$A$192&amp;'Table 2.5a'!$B$8:$B$192,0))/INDEX('Table 2.5a'!$E$8:$E$192,MATCH('Table 2.5b'!A65&amp;'Table 2.5b'!B65,'Table 2.5a'!$A$8:$A$192&amp;'Table 2.5a'!$B$8:$B$192,0)))*1000, "")</f>
        <v>5417.651332475918</v>
      </c>
      <c r="D65" s="655">
        <f t="array" ref="D65">IFERROR((INDEX('Table 2.5a'!$C$8:$C$192,MATCH('Table 2.5b'!A65&amp;'Table 2.5b'!B65,'Table 2.5a'!$A$8:$A$192&amp;'Table 2.5a'!$B$8:$B$192,0))/INDEX('Table 2.5a'!$E$8:$E$192,MATCH('Table 2.5b'!A65&amp;'Table 2.5b'!B65,'Table 2.5a'!$A$8:$A$192&amp;'Table 2.5a'!$B$8:$B$192,0)))*1000, "")</f>
        <v>2902.1455065596374</v>
      </c>
      <c r="E65" s="705">
        <f t="array" ref="E65">IFERROR(INDEX('Table 2.5a'!$C$8:$C$192,MATCH('Table 2.5b'!$A65&amp;'Table 2.5b'!$B65,'Table 2.5a'!$A$8:$A$192&amp;'Table 2.5a'!$B$8:$B$192,0))/INDEX('Table 2.5a'!$D$8:$D$192,MATCH('Table 2.5b'!$A65&amp;'Table 2.5b'!$B65,'Table 2.5a'!$A$8:$A$192&amp;'Table 2.5a'!$B$8:$B$192,0)),"")</f>
        <v>0.53568333000000001</v>
      </c>
      <c r="F65" s="655">
        <f t="array" ref="F65">IFERROR((INDEX('Table 2.5a'!$H$8:$H$192,MATCH('Table 2.5b'!$A65&amp;'Table 2.5b'!$B65,'Table 2.5a'!$A$8:$A$192&amp;'Table 2.5a'!$B$8:$B$192,0))/INDEX('Table 2.5a'!$I$8:$I$192,MATCH('Table 2.5b'!$A65&amp;'Table 2.5b'!$B65,'Table 2.5a'!$A$8:$A$192&amp;'Table 2.5a'!$B$8:$B$192,0)))*1000, "")</f>
        <v>17885.509433962266</v>
      </c>
      <c r="G65" s="655">
        <f t="array" ref="G65">IFERROR((INDEX('Table 2.5a'!$G$8:$G$192,MATCH('Table 2.5b'!$A65&amp;'Table 2.5b'!$B65,'Table 2.5a'!$A$8:$A$192&amp;'Table 2.5a'!$B$8:$B$192,0))/INDEX('Table 2.5a'!$I$8:$I$192,MATCH('Table 2.5b'!$A65&amp;'Table 2.5b'!$B65,'Table 2.5a'!$A$8:$A$192&amp;'Table 2.5a'!$B$8:$B$192,0)))*1000, "")</f>
        <v>9580.9692523313224</v>
      </c>
      <c r="H65" s="705">
        <f t="array" ref="H65">IFERROR(INDEX('Table 2.5a'!$G$8:$G$192,MATCH('Table 2.5b'!$A65&amp;'Table 2.5b'!$B65,'Table 2.5a'!$A$8:$A$192&amp;'Table 2.5a'!$B$8:$B$192,0))/INDEX('Table 2.5a'!$H$8:$H$192,MATCH('Table 2.5b'!$A65&amp;'Table 2.5b'!$B65,'Table 2.5a'!$A$8:$A$192&amp;'Table 2.5a'!$B$8:$B$192,0)),"")</f>
        <v>0.53568333000000001</v>
      </c>
      <c r="I65" s="655">
        <f t="array" ref="I65">IFERROR((INDEX('Table 2.5a'!$L$8:$L$192,MATCH('Table 2.5b'!$A65&amp;'Table 2.5b'!$B65,'Table 2.5a'!$A$8:$A$192&amp;'Table 2.5a'!$B$8:$B$192,0))/INDEX('Table 2.5a'!$I$8:$I$192,MATCH('Table 2.5b'!$A65&amp;'Table 2.5b'!$B65,'Table 2.5a'!$A$8:$A$192&amp;'Table 2.5a'!$B$8:$B$192,0)))*1000, "")</f>
        <v>54768.226415094337</v>
      </c>
      <c r="J65" s="655">
        <f t="array" ref="J65">IFERROR((INDEX('Table 2.5a'!$K$8:$K$192,MATCH('Table 2.5b'!$A65&amp;'Table 2.5b'!$B65,'Table 2.5a'!$A$8:$A$192&amp;'Table 2.5a'!$B$8:$B$192,0))/INDEX('Table 2.5a'!$I$8:$I$192,MATCH('Table 2.5b'!$A65&amp;'Table 2.5b'!$B65,'Table 2.5a'!$A$8:$A$192&amp;'Table 2.5a'!$B$8:$B$192,0)))*1000, "")</f>
        <v>29338.425904231699</v>
      </c>
      <c r="K65" s="705">
        <f t="array" ref="K65">IFERROR(INDEX('Table 2.5a'!$I$8:$I$192,MATCH('Table 2.5b'!$A65&amp;'Table 2.5b'!$B65,'Table 2.5a'!$A$8:$A$192&amp;'Table 2.5a'!$B$8:$B$192,0))/INDEX('Table 2.5a'!$L$8:$L$192,MATCH('Table 2.5b'!$A65&amp;'Table 2.5b'!$B65,'Table 2.5a'!$A$8:$A$192&amp;'Table 2.5a'!$B$8:$B$192,0)),"")</f>
        <v>1.8258761794126607E-2</v>
      </c>
      <c r="L65" s="658" t="s">
        <v>356</v>
      </c>
      <c r="M65" s="709">
        <f t="array" ref="M65">INDEX(UtilityList!Q$4:Q$251,MATCH('Table 2.5b'!$A65&amp;'Table 2.5b'!$B65,UtilityList!$A$4:$A$251&amp;UtilityList!$C$4:$C$251,0))</f>
        <v>0</v>
      </c>
      <c r="N65" s="709" t="str">
        <f t="array" ref="N65">INDEX(UtilityList!J$4:J$251,MATCH('Table 2.5b'!$A65&amp;'Table 2.5b'!$B65,UtilityList!$A$4:$A$251&amp;UtilityList!$C$4:$C$251,0))</f>
        <v>Lower Yukon-Kuskokwim</v>
      </c>
      <c r="O65" s="709" t="str">
        <f t="array" ref="O65">INDEX(UtilityList!K$4:K$251,MATCH('Table 2.5b'!$A65&amp;'Table 2.5b'!$B65,UtilityList!$A$4:$A$251&amp;UtilityList!$C$4:$C$251,0))</f>
        <v>Wade Hampton (CA)</v>
      </c>
      <c r="P65" s="709" t="str">
        <f t="array" ref="P65">INDEX(UtilityList!L$4:L$251,MATCH('Table 2.5b'!$A65&amp;'Table 2.5b'!$B65,UtilityList!$A$4:$A$251&amp;UtilityList!$C$4:$C$251,0))</f>
        <v>Calista</v>
      </c>
      <c r="Q65" s="709" t="str">
        <f t="array" ref="Q65">INDEX(UtilityList!M$4:M$251,MATCH('Table 2.5b'!$A65&amp;'Table 2.5b'!$B65,UtilityList!$A$4:$A$251&amp;UtilityList!$C$4:$C$251,0))</f>
        <v>YU</v>
      </c>
    </row>
    <row r="66" spans="1:17" s="267" customFormat="1" ht="60" x14ac:dyDescent="0.25">
      <c r="A66" s="361" t="s">
        <v>524</v>
      </c>
      <c r="B66" s="654" t="s">
        <v>99</v>
      </c>
      <c r="C66" s="655">
        <f t="array" ref="C66">IFERROR((INDEX('Table 2.5a'!$D$8:$D$192,MATCH('Table 2.5b'!A66&amp;'Table 2.5b'!B66,'Table 2.5a'!$A$8:$A$192&amp;'Table 2.5a'!$B$8:$B$192,0))/INDEX('Table 2.5a'!$E$8:$E$192,MATCH('Table 2.5b'!A66&amp;'Table 2.5b'!B66,'Table 2.5a'!$A$8:$A$192&amp;'Table 2.5a'!$B$8:$B$192,0)))*1000, "")</f>
        <v>3139.9771428571426</v>
      </c>
      <c r="D66" s="655">
        <f t="array" ref="D66">IFERROR((INDEX('Table 2.5a'!$C$8:$C$192,MATCH('Table 2.5b'!A66&amp;'Table 2.5b'!B66,'Table 2.5a'!$A$8:$A$192&amp;'Table 2.5a'!$B$8:$B$192,0))/INDEX('Table 2.5a'!$E$8:$E$192,MATCH('Table 2.5b'!A66&amp;'Table 2.5b'!B66,'Table 2.5a'!$A$8:$A$192&amp;'Table 2.5a'!$B$8:$B$192,0)))*1000, "")</f>
        <v>1558.6532539428572</v>
      </c>
      <c r="E66" s="705">
        <f t="array" ref="E66">IFERROR(INDEX('Table 2.5a'!$C$8:$C$192,MATCH('Table 2.5b'!$A66&amp;'Table 2.5b'!$B66,'Table 2.5a'!$A$8:$A$192&amp;'Table 2.5a'!$B$8:$B$192,0))/INDEX('Table 2.5a'!$D$8:$D$192,MATCH('Table 2.5b'!$A66&amp;'Table 2.5b'!$B66,'Table 2.5a'!$A$8:$A$192&amp;'Table 2.5a'!$B$8:$B$192,0)),"")</f>
        <v>0.49639000000000005</v>
      </c>
      <c r="F66" s="655">
        <f t="array" ref="F66">IFERROR((INDEX('Table 2.5a'!$H$8:$H$192,MATCH('Table 2.5b'!$A66&amp;'Table 2.5b'!$B66,'Table 2.5a'!$A$8:$A$192&amp;'Table 2.5a'!$B$8:$B$192,0))/INDEX('Table 2.5a'!$I$8:$I$192,MATCH('Table 2.5b'!$A66&amp;'Table 2.5b'!$B66,'Table 2.5a'!$A$8:$A$192&amp;'Table 2.5a'!$B$8:$B$192,0)))*1000, "")</f>
        <v>9069.5732375185016</v>
      </c>
      <c r="G66" s="655">
        <f t="array" ref="G66">IFERROR((INDEX('Table 2.5a'!$G$8:$G$192,MATCH('Table 2.5b'!$A66&amp;'Table 2.5b'!$B66,'Table 2.5a'!$A$8:$A$192&amp;'Table 2.5a'!$B$8:$B$192,0))/INDEX('Table 2.5a'!$I$8:$I$192,MATCH('Table 2.5b'!$A66&amp;'Table 2.5b'!$B66,'Table 2.5a'!$A$8:$A$192&amp;'Table 2.5a'!$B$8:$B$192,0)))*1000, "")</f>
        <v>4502.0454593718086</v>
      </c>
      <c r="H66" s="705">
        <f t="array" ref="H66">IFERROR(INDEX('Table 2.5a'!$G$8:$G$192,MATCH('Table 2.5b'!$A66&amp;'Table 2.5b'!$B66,'Table 2.5a'!$A$8:$A$192&amp;'Table 2.5a'!$B$8:$B$192,0))/INDEX('Table 2.5a'!$H$8:$H$192,MATCH('Table 2.5b'!$A66&amp;'Table 2.5b'!$B66,'Table 2.5a'!$A$8:$A$192&amp;'Table 2.5a'!$B$8:$B$192,0)),"")</f>
        <v>0.49639000000000005</v>
      </c>
      <c r="I66" s="655">
        <f t="array" ref="I66">IFERROR((INDEX('Table 2.5a'!$L$8:$L$192,MATCH('Table 2.5b'!$A66&amp;'Table 2.5b'!$B66,'Table 2.5a'!$A$8:$A$192&amp;'Table 2.5a'!$B$8:$B$192,0))/INDEX('Table 2.5a'!$I$8:$I$192,MATCH('Table 2.5b'!$A66&amp;'Table 2.5b'!$B66,'Table 2.5a'!$A$8:$A$192&amp;'Table 2.5a'!$B$8:$B$192,0)))*1000, "")</f>
        <v>23682.742105230158</v>
      </c>
      <c r="J66" s="655">
        <f t="array" ref="J66">IFERROR((INDEX('Table 2.5a'!$K$8:$K$192,MATCH('Table 2.5b'!$A66&amp;'Table 2.5b'!$B66,'Table 2.5a'!$A$8:$A$192&amp;'Table 2.5a'!$B$8:$B$192,0))/INDEX('Table 2.5a'!$I$8:$I$192,MATCH('Table 2.5b'!$A66&amp;'Table 2.5b'!$B66,'Table 2.5a'!$A$8:$A$192&amp;'Table 2.5a'!$B$8:$B$192,0)))*1000, "")</f>
        <v>11755.876353615198</v>
      </c>
      <c r="K66" s="705">
        <f t="array" ref="K66">IFERROR(INDEX('Table 2.5a'!$I$8:$I$192,MATCH('Table 2.5b'!$A66&amp;'Table 2.5b'!$B66,'Table 2.5a'!$A$8:$A$192&amp;'Table 2.5a'!$B$8:$B$192,0))/INDEX('Table 2.5a'!$L$8:$L$192,MATCH('Table 2.5b'!$A66&amp;'Table 2.5b'!$B66,'Table 2.5a'!$A$8:$A$192&amp;'Table 2.5a'!$B$8:$B$192,0)),"")</f>
        <v>4.2224840162371123E-2</v>
      </c>
      <c r="L66" s="658" t="s">
        <v>356</v>
      </c>
      <c r="M66" s="709" t="str">
        <f t="array" ref="M66">INDEX(UtilityList!Q$4:Q$251,MATCH('Table 2.5b'!$A66&amp;'Table 2.5b'!$B66,UtilityList!$A$4:$A$251&amp;UtilityList!$C$4:$C$251,0))</f>
        <v>Receives power from Saint Mary's via intertie. For fuel use and cost, please refer to Saint Mary's.</v>
      </c>
      <c r="N66" s="709" t="str">
        <f t="array" ref="N66">INDEX(UtilityList!J$4:J$251,MATCH('Table 2.5b'!$A66&amp;'Table 2.5b'!$B66,UtilityList!$A$4:$A$251&amp;UtilityList!$C$4:$C$251,0))</f>
        <v>Lower Yukon-Kuskokwim</v>
      </c>
      <c r="O66" s="709" t="str">
        <f t="array" ref="O66">INDEX(UtilityList!K$4:K$251,MATCH('Table 2.5b'!$A66&amp;'Table 2.5b'!$B66,UtilityList!$A$4:$A$251&amp;UtilityList!$C$4:$C$251,0))</f>
        <v>Wade Hampton (CA)</v>
      </c>
      <c r="P66" s="709" t="str">
        <f t="array" ref="P66">INDEX(UtilityList!L$4:L$251,MATCH('Table 2.5b'!$A66&amp;'Table 2.5b'!$B66,UtilityList!$A$4:$A$251&amp;UtilityList!$C$4:$C$251,0))</f>
        <v>Calista</v>
      </c>
      <c r="Q66" s="709" t="str">
        <f t="array" ref="Q66">INDEX(UtilityList!M$4:M$251,MATCH('Table 2.5b'!$A66&amp;'Table 2.5b'!$B66,UtilityList!$A$4:$A$251&amp;UtilityList!$C$4:$C$251,0))</f>
        <v>YU</v>
      </c>
    </row>
    <row r="67" spans="1:17" s="267" customFormat="1" ht="30" x14ac:dyDescent="0.25">
      <c r="A67" s="361" t="s">
        <v>524</v>
      </c>
      <c r="B67" s="654" t="s">
        <v>100</v>
      </c>
      <c r="C67" s="655">
        <f t="array" ref="C67">IFERROR((INDEX('Table 2.5a'!$D$8:$D$192,MATCH('Table 2.5b'!A67&amp;'Table 2.5b'!B67,'Table 2.5a'!$A$8:$A$192&amp;'Table 2.5a'!$B$8:$B$192,0))/INDEX('Table 2.5a'!$E$8:$E$192,MATCH('Table 2.5b'!A67&amp;'Table 2.5b'!B67,'Table 2.5a'!$A$8:$A$192&amp;'Table 2.5a'!$B$8:$B$192,0)))*1000, "")</f>
        <v>4888.0669710806696</v>
      </c>
      <c r="D67" s="655">
        <f t="array" ref="D67">IFERROR((INDEX('Table 2.5a'!$C$8:$C$192,MATCH('Table 2.5b'!A67&amp;'Table 2.5b'!B67,'Table 2.5a'!$A$8:$A$192&amp;'Table 2.5a'!$B$8:$B$192,0))/INDEX('Table 2.5a'!$E$8:$E$192,MATCH('Table 2.5b'!A67&amp;'Table 2.5b'!B67,'Table 2.5a'!$A$8:$A$192&amp;'Table 2.5a'!$B$8:$B$192,0)))*1000, "")</f>
        <v>2623.2626241068492</v>
      </c>
      <c r="E67" s="705">
        <f t="array" ref="E67">IFERROR(INDEX('Table 2.5a'!$C$8:$C$192,MATCH('Table 2.5b'!$A67&amp;'Table 2.5b'!$B67,'Table 2.5a'!$A$8:$A$192&amp;'Table 2.5a'!$B$8:$B$192,0))/INDEX('Table 2.5a'!$D$8:$D$192,MATCH('Table 2.5b'!$A67&amp;'Table 2.5b'!$B67,'Table 2.5a'!$A$8:$A$192&amp;'Table 2.5a'!$B$8:$B$192,0)),"")</f>
        <v>0.53666667000000001</v>
      </c>
      <c r="F67" s="655">
        <f t="array" ref="F67">IFERROR((INDEX('Table 2.5a'!$H$8:$H$192,MATCH('Table 2.5b'!$A67&amp;'Table 2.5b'!$B67,'Table 2.5a'!$A$8:$A$192&amp;'Table 2.5a'!$B$8:$B$192,0))/INDEX('Table 2.5a'!$I$8:$I$192,MATCH('Table 2.5b'!$A67&amp;'Table 2.5b'!$B67,'Table 2.5a'!$A$8:$A$192&amp;'Table 2.5a'!$B$8:$B$192,0)))*1000, "")</f>
        <v>23322.492753623188</v>
      </c>
      <c r="G67" s="655">
        <f t="array" ref="G67">IFERROR((INDEX('Table 2.5a'!$G$8:$G$192,MATCH('Table 2.5b'!$A67&amp;'Table 2.5b'!$B67,'Table 2.5a'!$A$8:$A$192&amp;'Table 2.5a'!$B$8:$B$192,0))/INDEX('Table 2.5a'!$I$8:$I$192,MATCH('Table 2.5b'!$A67&amp;'Table 2.5b'!$B67,'Table 2.5a'!$A$8:$A$192&amp;'Table 2.5a'!$B$8:$B$192,0)))*1000, "")</f>
        <v>12516.404522186087</v>
      </c>
      <c r="H67" s="705">
        <f t="array" ref="H67">IFERROR(INDEX('Table 2.5a'!$G$8:$G$192,MATCH('Table 2.5b'!$A67&amp;'Table 2.5b'!$B67,'Table 2.5a'!$A$8:$A$192&amp;'Table 2.5a'!$B$8:$B$192,0))/INDEX('Table 2.5a'!$H$8:$H$192,MATCH('Table 2.5b'!$A67&amp;'Table 2.5b'!$B67,'Table 2.5a'!$A$8:$A$192&amp;'Table 2.5a'!$B$8:$B$192,0)),"")</f>
        <v>0.53666667000000001</v>
      </c>
      <c r="I67" s="655">
        <f t="array" ref="I67">IFERROR((INDEX('Table 2.5a'!$L$8:$L$192,MATCH('Table 2.5b'!$A67&amp;'Table 2.5b'!$B67,'Table 2.5a'!$A$8:$A$192&amp;'Table 2.5a'!$B$8:$B$192,0))/INDEX('Table 2.5a'!$I$8:$I$192,MATCH('Table 2.5b'!$A67&amp;'Table 2.5b'!$B67,'Table 2.5a'!$A$8:$A$192&amp;'Table 2.5a'!$B$8:$B$192,0)))*1000, "")</f>
        <v>30678.840579710148</v>
      </c>
      <c r="J67" s="655">
        <f t="array" ref="J67">IFERROR((INDEX('Table 2.5a'!$K$8:$K$192,MATCH('Table 2.5b'!$A67&amp;'Table 2.5b'!$B67,'Table 2.5a'!$A$8:$A$192&amp;'Table 2.5a'!$B$8:$B$192,0))/INDEX('Table 2.5a'!$I$8:$I$192,MATCH('Table 2.5b'!$A67&amp;'Table 2.5b'!$B67,'Table 2.5a'!$A$8:$A$192&amp;'Table 2.5a'!$B$8:$B$192,0)))*1000, "")</f>
        <v>16464.311213373916</v>
      </c>
      <c r="K67" s="705">
        <f t="array" ref="K67">IFERROR(INDEX('Table 2.5a'!$I$8:$I$192,MATCH('Table 2.5b'!$A67&amp;'Table 2.5b'!$B67,'Table 2.5a'!$A$8:$A$192&amp;'Table 2.5a'!$B$8:$B$192,0))/INDEX('Table 2.5a'!$L$8:$L$192,MATCH('Table 2.5b'!$A67&amp;'Table 2.5b'!$B67,'Table 2.5a'!$A$8:$A$192&amp;'Table 2.5a'!$B$8:$B$192,0)),"")</f>
        <v>3.2595755938096403E-2</v>
      </c>
      <c r="L67" s="658" t="s">
        <v>356</v>
      </c>
      <c r="M67" s="709">
        <f t="array" ref="M67">INDEX(UtilityList!Q$4:Q$251,MATCH('Table 2.5b'!$A67&amp;'Table 2.5b'!$B67,UtilityList!$A$4:$A$251&amp;UtilityList!$C$4:$C$251,0))</f>
        <v>0</v>
      </c>
      <c r="N67" s="709" t="str">
        <f t="array" ref="N67">INDEX(UtilityList!J$4:J$251,MATCH('Table 2.5b'!$A67&amp;'Table 2.5b'!$B67,UtilityList!$A$4:$A$251&amp;UtilityList!$C$4:$C$251,0))</f>
        <v>Lower Yukon-Kuskokwim</v>
      </c>
      <c r="O67" s="709" t="str">
        <f t="array" ref="O67">INDEX(UtilityList!K$4:K$251,MATCH('Table 2.5b'!$A67&amp;'Table 2.5b'!$B67,UtilityList!$A$4:$A$251&amp;UtilityList!$C$4:$C$251,0))</f>
        <v>Bethel (CA)</v>
      </c>
      <c r="P67" s="709" t="str">
        <f t="array" ref="P67">INDEX(UtilityList!L$4:L$251,MATCH('Table 2.5b'!$A67&amp;'Table 2.5b'!$B67,UtilityList!$A$4:$A$251&amp;UtilityList!$C$4:$C$251,0))</f>
        <v>Calista</v>
      </c>
      <c r="Q67" s="709" t="str">
        <f t="array" ref="Q67">INDEX(UtilityList!M$4:M$251,MATCH('Table 2.5b'!$A67&amp;'Table 2.5b'!$B67,UtilityList!$A$4:$A$251&amp;UtilityList!$C$4:$C$251,0))</f>
        <v>SW</v>
      </c>
    </row>
    <row r="68" spans="1:17" s="267" customFormat="1" ht="30" x14ac:dyDescent="0.25">
      <c r="A68" s="361" t="s">
        <v>524</v>
      </c>
      <c r="B68" s="654" t="s">
        <v>101</v>
      </c>
      <c r="C68" s="655">
        <f t="array" ref="C68">IFERROR((INDEX('Table 2.5a'!$D$8:$D$192,MATCH('Table 2.5b'!A68&amp;'Table 2.5b'!B68,'Table 2.5a'!$A$8:$A$192&amp;'Table 2.5a'!$B$8:$B$192,0))/INDEX('Table 2.5a'!$E$8:$E$192,MATCH('Table 2.5b'!A68&amp;'Table 2.5b'!B68,'Table 2.5a'!$A$8:$A$192&amp;'Table 2.5a'!$B$8:$B$192,0)))*1000, "")</f>
        <v>4581.8902563641241</v>
      </c>
      <c r="D68" s="655">
        <f t="array" ref="D68">IFERROR((INDEX('Table 2.5a'!$C$8:$C$192,MATCH('Table 2.5b'!A68&amp;'Table 2.5b'!B68,'Table 2.5a'!$A$8:$A$192&amp;'Table 2.5a'!$B$8:$B$192,0))/INDEX('Table 2.5a'!$E$8:$E$192,MATCH('Table 2.5b'!A68&amp;'Table 2.5b'!B68,'Table 2.5a'!$A$8:$A$192&amp;'Table 2.5a'!$B$8:$B$192,0)))*1000, "")</f>
        <v>2503.5066689315217</v>
      </c>
      <c r="E68" s="705">
        <f t="array" ref="E68">IFERROR(INDEX('Table 2.5a'!$C$8:$C$192,MATCH('Table 2.5b'!$A68&amp;'Table 2.5b'!$B68,'Table 2.5a'!$A$8:$A$192&amp;'Table 2.5a'!$B$8:$B$192,0))/INDEX('Table 2.5a'!$D$8:$D$192,MATCH('Table 2.5b'!$A68&amp;'Table 2.5b'!$B68,'Table 2.5a'!$A$8:$A$192&amp;'Table 2.5a'!$B$8:$B$192,0)),"")</f>
        <v>0.54639167</v>
      </c>
      <c r="F68" s="655">
        <f t="array" ref="F68">IFERROR((INDEX('Table 2.5a'!$H$8:$H$192,MATCH('Table 2.5b'!$A68&amp;'Table 2.5b'!$B68,'Table 2.5a'!$A$8:$A$192&amp;'Table 2.5a'!$B$8:$B$192,0))/INDEX('Table 2.5a'!$I$8:$I$192,MATCH('Table 2.5b'!$A68&amp;'Table 2.5b'!$B68,'Table 2.5a'!$A$8:$A$192&amp;'Table 2.5a'!$B$8:$B$192,0)))*1000, "")</f>
        <v>6829.3584905660382</v>
      </c>
      <c r="G68" s="655">
        <f t="array" ref="G68">IFERROR((INDEX('Table 2.5a'!$G$8:$G$192,MATCH('Table 2.5b'!$A68&amp;'Table 2.5b'!$B68,'Table 2.5a'!$A$8:$A$192&amp;'Table 2.5a'!$B$8:$B$192,0))/INDEX('Table 2.5a'!$I$8:$I$192,MATCH('Table 2.5b'!$A68&amp;'Table 2.5b'!$B68,'Table 2.5a'!$A$8:$A$192&amp;'Table 2.5a'!$B$8:$B$192,0)))*1000, "")</f>
        <v>3731.5045906890568</v>
      </c>
      <c r="H68" s="705">
        <f t="array" ref="H68">IFERROR(INDEX('Table 2.5a'!$G$8:$G$192,MATCH('Table 2.5b'!$A68&amp;'Table 2.5b'!$B68,'Table 2.5a'!$A$8:$A$192&amp;'Table 2.5a'!$B$8:$B$192,0))/INDEX('Table 2.5a'!$H$8:$H$192,MATCH('Table 2.5b'!$A68&amp;'Table 2.5b'!$B68,'Table 2.5a'!$A$8:$A$192&amp;'Table 2.5a'!$B$8:$B$192,0)),"")</f>
        <v>0.54639167</v>
      </c>
      <c r="I68" s="655">
        <f t="array" ref="I68">IFERROR((INDEX('Table 2.5a'!$L$8:$L$192,MATCH('Table 2.5b'!$A68&amp;'Table 2.5b'!$B68,'Table 2.5a'!$A$8:$A$192&amp;'Table 2.5a'!$B$8:$B$192,0))/INDEX('Table 2.5a'!$I$8:$I$192,MATCH('Table 2.5b'!$A68&amp;'Table 2.5b'!$B68,'Table 2.5a'!$A$8:$A$192&amp;'Table 2.5a'!$B$8:$B$192,0)))*1000, "")</f>
        <v>46017.811320754714</v>
      </c>
      <c r="J68" s="655">
        <f t="array" ref="J68">IFERROR((INDEX('Table 2.5a'!$K$8:$K$192,MATCH('Table 2.5b'!$A68&amp;'Table 2.5b'!$B68,'Table 2.5a'!$A$8:$A$192&amp;'Table 2.5a'!$B$8:$B$192,0))/INDEX('Table 2.5a'!$I$8:$I$192,MATCH('Table 2.5b'!$A68&amp;'Table 2.5b'!$B68,'Table 2.5a'!$A$8:$A$192&amp;'Table 2.5a'!$B$8:$B$192,0)))*1000, "")</f>
        <v>25143.748777292076</v>
      </c>
      <c r="K68" s="705">
        <f t="array" ref="K68">IFERROR(INDEX('Table 2.5a'!$I$8:$I$192,MATCH('Table 2.5b'!$A68&amp;'Table 2.5b'!$B68,'Table 2.5a'!$A$8:$A$192&amp;'Table 2.5a'!$B$8:$B$192,0))/INDEX('Table 2.5a'!$L$8:$L$192,MATCH('Table 2.5b'!$A68&amp;'Table 2.5b'!$B68,'Table 2.5a'!$A$8:$A$192&amp;'Table 2.5a'!$B$8:$B$192,0)),"")</f>
        <v>2.1730716244407415E-2</v>
      </c>
      <c r="L68" s="658" t="s">
        <v>356</v>
      </c>
      <c r="M68" s="709">
        <f t="array" ref="M68">INDEX(UtilityList!Q$4:Q$251,MATCH('Table 2.5b'!$A68&amp;'Table 2.5b'!$B68,UtilityList!$A$4:$A$251&amp;UtilityList!$C$4:$C$251,0))</f>
        <v>0</v>
      </c>
      <c r="N68" s="709" t="str">
        <f t="array" ref="N68">INDEX(UtilityList!J$4:J$251,MATCH('Table 2.5b'!$A68&amp;'Table 2.5b'!$B68,UtilityList!$A$4:$A$251&amp;UtilityList!$C$4:$C$251,0))</f>
        <v>Lower Yukon-Kuskokwim</v>
      </c>
      <c r="O68" s="709" t="str">
        <f t="array" ref="O68">INDEX(UtilityList!K$4:K$251,MATCH('Table 2.5b'!$A68&amp;'Table 2.5b'!$B68,UtilityList!$A$4:$A$251&amp;UtilityList!$C$4:$C$251,0))</f>
        <v>Wade Hampton (CA)</v>
      </c>
      <c r="P68" s="709" t="str">
        <f t="array" ref="P68">INDEX(UtilityList!L$4:L$251,MATCH('Table 2.5b'!$A68&amp;'Table 2.5b'!$B68,UtilityList!$A$4:$A$251&amp;UtilityList!$C$4:$C$251,0))</f>
        <v>Calista</v>
      </c>
      <c r="Q68" s="709" t="str">
        <f t="array" ref="Q68">INDEX(UtilityList!M$4:M$251,MATCH('Table 2.5b'!$A68&amp;'Table 2.5b'!$B68,UtilityList!$A$4:$A$251&amp;UtilityList!$C$4:$C$251,0))</f>
        <v>YU</v>
      </c>
    </row>
    <row r="69" spans="1:17" s="267" customFormat="1" ht="90" x14ac:dyDescent="0.25">
      <c r="A69" s="361" t="s">
        <v>524</v>
      </c>
      <c r="B69" s="654" t="s">
        <v>993</v>
      </c>
      <c r="C69" s="655">
        <f t="array" ref="C69">IFERROR((INDEX('Table 2.5a'!$D$8:$D$192,MATCH('Table 2.5b'!A69&amp;'Table 2.5b'!B69,'Table 2.5a'!$A$8:$A$192&amp;'Table 2.5a'!$B$8:$B$192,0))/INDEX('Table 2.5a'!$E$8:$E$192,MATCH('Table 2.5b'!A69&amp;'Table 2.5b'!B69,'Table 2.5a'!$A$8:$A$192&amp;'Table 2.5a'!$B$8:$B$192,0)))*1000, "")</f>
        <v>4439.5975960733549</v>
      </c>
      <c r="D69" s="655">
        <f t="array" ref="D69">IFERROR((INDEX('Table 2.5a'!$C$8:$C$192,MATCH('Table 2.5b'!A69&amp;'Table 2.5b'!B69,'Table 2.5a'!$A$8:$A$192&amp;'Table 2.5a'!$B$8:$B$192,0))/INDEX('Table 2.5a'!$E$8:$E$192,MATCH('Table 2.5b'!A69&amp;'Table 2.5b'!B69,'Table 2.5a'!$A$8:$A$192&amp;'Table 2.5a'!$B$8:$B$192,0)))*1000, "")</f>
        <v>2191.5703714536367</v>
      </c>
      <c r="E69" s="705">
        <f t="array" ref="E69">IFERROR(INDEX('Table 2.5a'!$C$8:$C$192,MATCH('Table 2.5b'!$A69&amp;'Table 2.5b'!$B69,'Table 2.5a'!$A$8:$A$192&amp;'Table 2.5a'!$B$8:$B$192,0))/INDEX('Table 2.5a'!$D$8:$D$192,MATCH('Table 2.5b'!$A69&amp;'Table 2.5b'!$B69,'Table 2.5a'!$A$8:$A$192&amp;'Table 2.5a'!$B$8:$B$192,0)),"")</f>
        <v>0.49364167000000003</v>
      </c>
      <c r="F69" s="655">
        <f t="array" ref="F69">IFERROR((INDEX('Table 2.5a'!$H$8:$H$192,MATCH('Table 2.5b'!$A69&amp;'Table 2.5b'!$B69,'Table 2.5a'!$A$8:$A$192&amp;'Table 2.5a'!$B$8:$B$192,0))/INDEX('Table 2.5a'!$I$8:$I$192,MATCH('Table 2.5b'!$A69&amp;'Table 2.5b'!$B69,'Table 2.5a'!$A$8:$A$192&amp;'Table 2.5a'!$B$8:$B$192,0)))*1000, "")</f>
        <v>23869.901507516035</v>
      </c>
      <c r="G69" s="655">
        <f t="array" ref="G69">IFERROR((INDEX('Table 2.5a'!$G$8:$G$192,MATCH('Table 2.5b'!$A69&amp;'Table 2.5b'!$B69,'Table 2.5a'!$A$8:$A$192&amp;'Table 2.5a'!$B$8:$B$192,0))/INDEX('Table 2.5a'!$I$8:$I$192,MATCH('Table 2.5b'!$A69&amp;'Table 2.5b'!$B69,'Table 2.5a'!$A$8:$A$192&amp;'Table 2.5a'!$B$8:$B$192,0)))*1000, "")</f>
        <v>11783.178042905734</v>
      </c>
      <c r="H69" s="705">
        <f t="array" ref="H69">IFERROR(INDEX('Table 2.5a'!$G$8:$G$192,MATCH('Table 2.5b'!$A69&amp;'Table 2.5b'!$B69,'Table 2.5a'!$A$8:$A$192&amp;'Table 2.5a'!$B$8:$B$192,0))/INDEX('Table 2.5a'!$H$8:$H$192,MATCH('Table 2.5b'!$A69&amp;'Table 2.5b'!$B69,'Table 2.5a'!$A$8:$A$192&amp;'Table 2.5a'!$B$8:$B$192,0)),"")</f>
        <v>0.49364167000000003</v>
      </c>
      <c r="I69" s="655">
        <f t="array" ref="I69">IFERROR((INDEX('Table 2.5a'!$L$8:$L$192,MATCH('Table 2.5b'!$A69&amp;'Table 2.5b'!$B69,'Table 2.5a'!$A$8:$A$192&amp;'Table 2.5a'!$B$8:$B$192,0))/INDEX('Table 2.5a'!$I$8:$I$192,MATCH('Table 2.5b'!$A69&amp;'Table 2.5b'!$B69,'Table 2.5a'!$A$8:$A$192&amp;'Table 2.5a'!$B$8:$B$192,0)))*1000, "")</f>
        <v>31020.525618711192</v>
      </c>
      <c r="J69" s="655">
        <f t="array" ref="J69">IFERROR((INDEX('Table 2.5a'!$K$8:$K$192,MATCH('Table 2.5b'!$A69&amp;'Table 2.5b'!$B69,'Table 2.5a'!$A$8:$A$192&amp;'Table 2.5a'!$B$8:$B$192,0))/INDEX('Table 2.5a'!$I$8:$I$192,MATCH('Table 2.5b'!$A69&amp;'Table 2.5b'!$B69,'Table 2.5a'!$A$8:$A$192&amp;'Table 2.5a'!$B$8:$B$192,0)))*1000, "")</f>
        <v>15313.024070698377</v>
      </c>
      <c r="K69" s="705">
        <f t="array" ref="K69">IFERROR(INDEX('Table 2.5a'!$I$8:$I$192,MATCH('Table 2.5b'!$A69&amp;'Table 2.5b'!$B69,'Table 2.5a'!$A$8:$A$192&amp;'Table 2.5a'!$B$8:$B$192,0))/INDEX('Table 2.5a'!$L$8:$L$192,MATCH('Table 2.5b'!$A69&amp;'Table 2.5b'!$B69,'Table 2.5a'!$A$8:$A$192&amp;'Table 2.5a'!$B$8:$B$192,0)),"")</f>
        <v>3.223672004438289E-2</v>
      </c>
      <c r="L69" s="658" t="s">
        <v>356</v>
      </c>
      <c r="M69" s="709" t="str">
        <f t="array" ref="M69">INDEX(UtilityList!Q$4:Q$251,MATCH('Table 2.5b'!$A69&amp;'Table 2.5b'!$B69,UtilityList!$A$4:$A$251&amp;UtilityList!$C$4:$C$251,0))</f>
        <v>Provides power to Andreafsky and Pitkas Point via intertie. Includes Andreafsky's information. Fuel use and cost also includes Pitkas Point.</v>
      </c>
      <c r="N69" s="709" t="str">
        <f t="array" ref="N69">INDEX(UtilityList!J$4:J$251,MATCH('Table 2.5b'!$A69&amp;'Table 2.5b'!$B69,UtilityList!$A$4:$A$251&amp;UtilityList!$C$4:$C$251,0))</f>
        <v>Lower Yukon-Kuskokwim</v>
      </c>
      <c r="O69" s="709" t="str">
        <f t="array" ref="O69">INDEX(UtilityList!K$4:K$251,MATCH('Table 2.5b'!$A69&amp;'Table 2.5b'!$B69,UtilityList!$A$4:$A$251&amp;UtilityList!$C$4:$C$251,0))</f>
        <v>Wade Hampton (CA)</v>
      </c>
      <c r="P69" s="709" t="str">
        <f t="array" ref="P69">INDEX(UtilityList!L$4:L$251,MATCH('Table 2.5b'!$A69&amp;'Table 2.5b'!$B69,UtilityList!$A$4:$A$251&amp;UtilityList!$C$4:$C$251,0))</f>
        <v>Calista</v>
      </c>
      <c r="Q69" s="709" t="str">
        <f t="array" ref="Q69">INDEX(UtilityList!M$4:M$251,MATCH('Table 2.5b'!$A69&amp;'Table 2.5b'!$B69,UtilityList!$A$4:$A$251&amp;UtilityList!$C$4:$C$251,0))</f>
        <v>YU</v>
      </c>
    </row>
    <row r="70" spans="1:17" s="267" customFormat="1" ht="30" x14ac:dyDescent="0.25">
      <c r="A70" s="361" t="s">
        <v>524</v>
      </c>
      <c r="B70" s="654" t="s">
        <v>102</v>
      </c>
      <c r="C70" s="655">
        <f t="array" ref="C70">IFERROR((INDEX('Table 2.5a'!$D$8:$D$192,MATCH('Table 2.5b'!A70&amp;'Table 2.5b'!B70,'Table 2.5a'!$A$8:$A$192&amp;'Table 2.5a'!$B$8:$B$192,0))/INDEX('Table 2.5a'!$E$8:$E$192,MATCH('Table 2.5b'!A70&amp;'Table 2.5b'!B70,'Table 2.5a'!$A$8:$A$192&amp;'Table 2.5a'!$B$8:$B$192,0)))*1000, "")</f>
        <v>6094.5464358349891</v>
      </c>
      <c r="D70" s="655">
        <f t="array" ref="D70">IFERROR((INDEX('Table 2.5a'!$C$8:$C$192,MATCH('Table 2.5b'!A70&amp;'Table 2.5b'!B70,'Table 2.5a'!$A$8:$A$192&amp;'Table 2.5a'!$B$8:$B$192,0))/INDEX('Table 2.5a'!$E$8:$E$192,MATCH('Table 2.5b'!A70&amp;'Table 2.5b'!B70,'Table 2.5a'!$A$8:$A$192&amp;'Table 2.5a'!$B$8:$B$192,0)))*1000, "")</f>
        <v>3372.5188663583763</v>
      </c>
      <c r="E70" s="705">
        <f t="array" ref="E70">IFERROR(INDEX('Table 2.5a'!$C$8:$C$192,MATCH('Table 2.5b'!$A70&amp;'Table 2.5b'!$B70,'Table 2.5a'!$A$8:$A$192&amp;'Table 2.5a'!$B$8:$B$192,0))/INDEX('Table 2.5a'!$D$8:$D$192,MATCH('Table 2.5b'!$A70&amp;'Table 2.5b'!$B70,'Table 2.5a'!$A$8:$A$192&amp;'Table 2.5a'!$B$8:$B$192,0)),"")</f>
        <v>0.55336666999999995</v>
      </c>
      <c r="F70" s="655">
        <f t="array" ref="F70">IFERROR((INDEX('Table 2.5a'!$H$8:$H$192,MATCH('Table 2.5b'!$A70&amp;'Table 2.5b'!$B70,'Table 2.5a'!$A$8:$A$192&amp;'Table 2.5a'!$B$8:$B$192,0))/INDEX('Table 2.5a'!$I$8:$I$192,MATCH('Table 2.5b'!$A70&amp;'Table 2.5b'!$B70,'Table 2.5a'!$A$8:$A$192&amp;'Table 2.5a'!$B$8:$B$192,0)))*1000, "")</f>
        <v>30501.122452024039</v>
      </c>
      <c r="G70" s="655">
        <f t="array" ref="G70">IFERROR((INDEX('Table 2.5a'!$G$8:$G$192,MATCH('Table 2.5b'!$A70&amp;'Table 2.5b'!$B70,'Table 2.5a'!$A$8:$A$192&amp;'Table 2.5a'!$B$8:$B$192,0))/INDEX('Table 2.5a'!$I$8:$I$192,MATCH('Table 2.5b'!$A70&amp;'Table 2.5b'!$B70,'Table 2.5a'!$A$8:$A$192&amp;'Table 2.5a'!$B$8:$B$192,0)))*1000, "")</f>
        <v>16878.304562538775</v>
      </c>
      <c r="H70" s="705">
        <f t="array" ref="H70">IFERROR(INDEX('Table 2.5a'!$G$8:$G$192,MATCH('Table 2.5b'!$A70&amp;'Table 2.5b'!$B70,'Table 2.5a'!$A$8:$A$192&amp;'Table 2.5a'!$B$8:$B$192,0))/INDEX('Table 2.5a'!$H$8:$H$192,MATCH('Table 2.5b'!$A70&amp;'Table 2.5b'!$B70,'Table 2.5a'!$A$8:$A$192&amp;'Table 2.5a'!$B$8:$B$192,0)),"")</f>
        <v>0.55336666999999995</v>
      </c>
      <c r="I70" s="655">
        <f t="array" ref="I70">IFERROR((INDEX('Table 2.5a'!$L$8:$L$192,MATCH('Table 2.5b'!$A70&amp;'Table 2.5b'!$B70,'Table 2.5a'!$A$8:$A$192&amp;'Table 2.5a'!$B$8:$B$192,0))/INDEX('Table 2.5a'!$I$8:$I$192,MATCH('Table 2.5b'!$A70&amp;'Table 2.5b'!$B70,'Table 2.5a'!$A$8:$A$192&amp;'Table 2.5a'!$B$8:$B$192,0)))*1000, "")</f>
        <v>56164.108050298411</v>
      </c>
      <c r="J70" s="655">
        <f t="array" ref="J70">IFERROR((INDEX('Table 2.5a'!$K$8:$K$192,MATCH('Table 2.5b'!$A70&amp;'Table 2.5b'!$B70,'Table 2.5a'!$A$8:$A$192&amp;'Table 2.5a'!$B$8:$B$192,0))/INDEX('Table 2.5a'!$I$8:$I$192,MATCH('Table 2.5b'!$A70&amp;'Table 2.5b'!$B70,'Table 2.5a'!$A$8:$A$192&amp;'Table 2.5a'!$B$8:$B$192,0)))*1000, "")</f>
        <v>31079.345445313822</v>
      </c>
      <c r="K70" s="705">
        <f t="array" ref="K70">IFERROR(INDEX('Table 2.5a'!$I$8:$I$192,MATCH('Table 2.5b'!$A70&amp;'Table 2.5b'!$B70,'Table 2.5a'!$A$8:$A$192&amp;'Table 2.5a'!$B$8:$B$192,0))/INDEX('Table 2.5a'!$L$8:$L$192,MATCH('Table 2.5b'!$A70&amp;'Table 2.5b'!$B70,'Table 2.5a'!$A$8:$A$192&amp;'Table 2.5a'!$B$8:$B$192,0)),"")</f>
        <v>1.7804965390075072E-2</v>
      </c>
      <c r="L70" s="658" t="s">
        <v>356</v>
      </c>
      <c r="M70" s="709">
        <f t="array" ref="M70">INDEX(UtilityList!Q$4:Q$251,MATCH('Table 2.5b'!$A70&amp;'Table 2.5b'!$B70,UtilityList!$A$4:$A$251&amp;UtilityList!$C$4:$C$251,0))</f>
        <v>0</v>
      </c>
      <c r="N70" s="709" t="str">
        <f t="array" ref="N70">INDEX(UtilityList!J$4:J$251,MATCH('Table 2.5b'!$A70&amp;'Table 2.5b'!$B70,UtilityList!$A$4:$A$251&amp;UtilityList!$C$4:$C$251,0))</f>
        <v>Bering Straits</v>
      </c>
      <c r="O70" s="709" t="str">
        <f t="array" ref="O70">INDEX(UtilityList!K$4:K$251,MATCH('Table 2.5b'!$A70&amp;'Table 2.5b'!$B70,UtilityList!$A$4:$A$251&amp;UtilityList!$C$4:$C$251,0))</f>
        <v>Nome (CA)</v>
      </c>
      <c r="P70" s="709" t="str">
        <f t="array" ref="P70">INDEX(UtilityList!L$4:L$251,MATCH('Table 2.5b'!$A70&amp;'Table 2.5b'!$B70,UtilityList!$A$4:$A$251&amp;UtilityList!$C$4:$C$251,0))</f>
        <v>Bering Straits</v>
      </c>
      <c r="Q70" s="709" t="str">
        <f t="array" ref="Q70">INDEX(UtilityList!M$4:M$251,MATCH('Table 2.5b'!$A70&amp;'Table 2.5b'!$B70,UtilityList!$A$4:$A$251&amp;UtilityList!$C$4:$C$251,0))</f>
        <v>AN</v>
      </c>
    </row>
    <row r="71" spans="1:17" s="267" customFormat="1" ht="30" x14ac:dyDescent="0.25">
      <c r="A71" s="361" t="s">
        <v>524</v>
      </c>
      <c r="B71" s="654" t="s">
        <v>103</v>
      </c>
      <c r="C71" s="655">
        <f t="array" ref="C71">IFERROR((INDEX('Table 2.5a'!$D$8:$D$192,MATCH('Table 2.5b'!A71&amp;'Table 2.5b'!B71,'Table 2.5a'!$A$8:$A$192&amp;'Table 2.5a'!$B$8:$B$192,0))/INDEX('Table 2.5a'!$E$8:$E$192,MATCH('Table 2.5b'!A71&amp;'Table 2.5b'!B71,'Table 2.5a'!$A$8:$A$192&amp;'Table 2.5a'!$B$8:$B$192,0)))*1000, "")</f>
        <v>5580.9317961503866</v>
      </c>
      <c r="D71" s="655">
        <f t="array" ref="D71">IFERROR((INDEX('Table 2.5a'!$C$8:$C$192,MATCH('Table 2.5b'!A71&amp;'Table 2.5b'!B71,'Table 2.5a'!$A$8:$A$192&amp;'Table 2.5a'!$B$8:$B$192,0))/INDEX('Table 2.5a'!$E$8:$E$192,MATCH('Table 2.5b'!A71&amp;'Table 2.5b'!B71,'Table 2.5a'!$A$8:$A$192&amp;'Table 2.5a'!$B$8:$B$192,0)))*1000, "")</f>
        <v>2739.586384597183</v>
      </c>
      <c r="E71" s="705">
        <f t="array" ref="E71">IFERROR(INDEX('Table 2.5a'!$C$8:$C$192,MATCH('Table 2.5b'!$A71&amp;'Table 2.5b'!$B71,'Table 2.5a'!$A$8:$A$192&amp;'Table 2.5a'!$B$8:$B$192,0))/INDEX('Table 2.5a'!$D$8:$D$192,MATCH('Table 2.5b'!$A71&amp;'Table 2.5b'!$B71,'Table 2.5a'!$A$8:$A$192&amp;'Table 2.5a'!$B$8:$B$192,0)),"")</f>
        <v>0.49088333000000001</v>
      </c>
      <c r="F71" s="655">
        <f t="array" ref="F71">IFERROR((INDEX('Table 2.5a'!$H$8:$H$192,MATCH('Table 2.5b'!$A71&amp;'Table 2.5b'!$B71,'Table 2.5a'!$A$8:$A$192&amp;'Table 2.5a'!$B$8:$B$192,0))/INDEX('Table 2.5a'!$I$8:$I$192,MATCH('Table 2.5b'!$A71&amp;'Table 2.5b'!$B71,'Table 2.5a'!$A$8:$A$192&amp;'Table 2.5a'!$B$8:$B$192,0)))*1000, "")</f>
        <v>26764.981132075474</v>
      </c>
      <c r="G71" s="655">
        <f t="array" ref="G71">IFERROR((INDEX('Table 2.5a'!$G$8:$G$192,MATCH('Table 2.5b'!$A71&amp;'Table 2.5b'!$B71,'Table 2.5a'!$A$8:$A$192&amp;'Table 2.5a'!$B$8:$B$192,0))/INDEX('Table 2.5a'!$I$8:$I$192,MATCH('Table 2.5b'!$A71&amp;'Table 2.5b'!$B71,'Table 2.5a'!$A$8:$A$192&amp;'Table 2.5a'!$B$8:$B$192,0)))*1000, "")</f>
        <v>13138.483065500377</v>
      </c>
      <c r="H71" s="705">
        <f t="array" ref="H71">IFERROR(INDEX('Table 2.5a'!$G$8:$G$192,MATCH('Table 2.5b'!$A71&amp;'Table 2.5b'!$B71,'Table 2.5a'!$A$8:$A$192&amp;'Table 2.5a'!$B$8:$B$192,0))/INDEX('Table 2.5a'!$H$8:$H$192,MATCH('Table 2.5b'!$A71&amp;'Table 2.5b'!$B71,'Table 2.5a'!$A$8:$A$192&amp;'Table 2.5a'!$B$8:$B$192,0)),"")</f>
        <v>0.49088333000000001</v>
      </c>
      <c r="I71" s="655">
        <f t="array" ref="I71">IFERROR((INDEX('Table 2.5a'!$L$8:$L$192,MATCH('Table 2.5b'!$A71&amp;'Table 2.5b'!$B71,'Table 2.5a'!$A$8:$A$192&amp;'Table 2.5a'!$B$8:$B$192,0))/INDEX('Table 2.5a'!$I$8:$I$192,MATCH('Table 2.5b'!$A71&amp;'Table 2.5b'!$B71,'Table 2.5a'!$A$8:$A$192&amp;'Table 2.5a'!$B$8:$B$192,0)))*1000, "")</f>
        <v>65743.773584905663</v>
      </c>
      <c r="J71" s="655">
        <f t="array" ref="J71">IFERROR((INDEX('Table 2.5a'!$K$8:$K$192,MATCH('Table 2.5b'!$A71&amp;'Table 2.5b'!$B71,'Table 2.5a'!$A$8:$A$192&amp;'Table 2.5a'!$B$8:$B$192,0))/INDEX('Table 2.5a'!$I$8:$I$192,MATCH('Table 2.5b'!$A71&amp;'Table 2.5b'!$B71,'Table 2.5a'!$A$8:$A$192&amp;'Table 2.5a'!$B$8:$B$192,0)))*1000, "")</f>
        <v>32272.522504124532</v>
      </c>
      <c r="K71" s="705">
        <f t="array" ref="K71">IFERROR(INDEX('Table 2.5a'!$I$8:$I$192,MATCH('Table 2.5b'!$A71&amp;'Table 2.5b'!$B71,'Table 2.5a'!$A$8:$A$192&amp;'Table 2.5a'!$B$8:$B$192,0))/INDEX('Table 2.5a'!$L$8:$L$192,MATCH('Table 2.5b'!$A71&amp;'Table 2.5b'!$B71,'Table 2.5a'!$A$8:$A$192&amp;'Table 2.5a'!$B$8:$B$192,0)),"")</f>
        <v>1.5210565890449486E-2</v>
      </c>
      <c r="L71" s="658" t="s">
        <v>356</v>
      </c>
      <c r="M71" s="709">
        <f t="array" ref="M71">INDEX(UtilityList!Q$4:Q$251,MATCH('Table 2.5b'!$A71&amp;'Table 2.5b'!$B71,UtilityList!$A$4:$A$251&amp;UtilityList!$C$4:$C$251,0))</f>
        <v>0</v>
      </c>
      <c r="N71" s="709" t="str">
        <f t="array" ref="N71">INDEX(UtilityList!J$4:J$251,MATCH('Table 2.5b'!$A71&amp;'Table 2.5b'!$B71,UtilityList!$A$4:$A$251&amp;UtilityList!$C$4:$C$251,0))</f>
        <v>Bering Straits</v>
      </c>
      <c r="O71" s="709" t="str">
        <f t="array" ref="O71">INDEX(UtilityList!K$4:K$251,MATCH('Table 2.5b'!$A71&amp;'Table 2.5b'!$B71,UtilityList!$A$4:$A$251&amp;UtilityList!$C$4:$C$251,0))</f>
        <v>Nome (CA)</v>
      </c>
      <c r="P71" s="709" t="str">
        <f t="array" ref="P71">INDEX(UtilityList!L$4:L$251,MATCH('Table 2.5b'!$A71&amp;'Table 2.5b'!$B71,UtilityList!$A$4:$A$251&amp;UtilityList!$C$4:$C$251,0))</f>
        <v>Bering Straits</v>
      </c>
      <c r="Q71" s="709" t="str">
        <f t="array" ref="Q71">INDEX(UtilityList!M$4:M$251,MATCH('Table 2.5b'!$A71&amp;'Table 2.5b'!$B71,UtilityList!$A$4:$A$251&amp;UtilityList!$C$4:$C$251,0))</f>
        <v>AN</v>
      </c>
    </row>
    <row r="72" spans="1:17" s="267" customFormat="1" ht="30" x14ac:dyDescent="0.25">
      <c r="A72" s="361" t="s">
        <v>524</v>
      </c>
      <c r="B72" s="654" t="s">
        <v>104</v>
      </c>
      <c r="C72" s="655">
        <f t="array" ref="C72">IFERROR((INDEX('Table 2.5a'!$D$8:$D$192,MATCH('Table 2.5b'!A72&amp;'Table 2.5b'!B72,'Table 2.5a'!$A$8:$A$192&amp;'Table 2.5a'!$B$8:$B$192,0))/INDEX('Table 2.5a'!$E$8:$E$192,MATCH('Table 2.5b'!A72&amp;'Table 2.5b'!B72,'Table 2.5a'!$A$8:$A$192&amp;'Table 2.5a'!$B$8:$B$192,0)))*1000, "")</f>
        <v>5447.2927222179615</v>
      </c>
      <c r="D72" s="655">
        <f t="array" ref="D72">IFERROR((INDEX('Table 2.5a'!$C$8:$C$192,MATCH('Table 2.5b'!A72&amp;'Table 2.5b'!B72,'Table 2.5a'!$A$8:$A$192&amp;'Table 2.5a'!$B$8:$B$192,0))/INDEX('Table 2.5a'!$E$8:$E$192,MATCH('Table 2.5b'!A72&amp;'Table 2.5b'!B72,'Table 2.5a'!$A$8:$A$192&amp;'Table 2.5a'!$B$8:$B$192,0)))*1000, "")</f>
        <v>3085.6189625003644</v>
      </c>
      <c r="E72" s="705">
        <f t="array" ref="E72">IFERROR(INDEX('Table 2.5a'!$C$8:$C$192,MATCH('Table 2.5b'!$A72&amp;'Table 2.5b'!$B72,'Table 2.5a'!$A$8:$A$192&amp;'Table 2.5a'!$B$8:$B$192,0))/INDEX('Table 2.5a'!$D$8:$D$192,MATCH('Table 2.5b'!$A72&amp;'Table 2.5b'!$B72,'Table 2.5a'!$A$8:$A$192&amp;'Table 2.5a'!$B$8:$B$192,0)),"")</f>
        <v>0.56645000000000001</v>
      </c>
      <c r="F72" s="655">
        <f t="array" ref="F72">IFERROR((INDEX('Table 2.5a'!$H$8:$H$192,MATCH('Table 2.5b'!$A72&amp;'Table 2.5b'!$B72,'Table 2.5a'!$A$8:$A$192&amp;'Table 2.5a'!$B$8:$B$192,0))/INDEX('Table 2.5a'!$I$8:$I$192,MATCH('Table 2.5b'!$A72&amp;'Table 2.5b'!$B72,'Table 2.5a'!$A$8:$A$192&amp;'Table 2.5a'!$B$8:$B$192,0)))*1000, "")</f>
        <v>12190.89029747631</v>
      </c>
      <c r="G72" s="655">
        <f t="array" ref="G72">IFERROR((INDEX('Table 2.5a'!$G$8:$G$192,MATCH('Table 2.5b'!$A72&amp;'Table 2.5b'!$B72,'Table 2.5a'!$A$8:$A$192&amp;'Table 2.5a'!$B$8:$B$192,0))/INDEX('Table 2.5a'!$I$8:$I$192,MATCH('Table 2.5b'!$A72&amp;'Table 2.5b'!$B72,'Table 2.5a'!$A$8:$A$192&amp;'Table 2.5a'!$B$8:$B$192,0)))*1000, "")</f>
        <v>6905.5298090054557</v>
      </c>
      <c r="H72" s="705">
        <f t="array" ref="H72">IFERROR(INDEX('Table 2.5a'!$G$8:$G$192,MATCH('Table 2.5b'!$A72&amp;'Table 2.5b'!$B72,'Table 2.5a'!$A$8:$A$192&amp;'Table 2.5a'!$B$8:$B$192,0))/INDEX('Table 2.5a'!$H$8:$H$192,MATCH('Table 2.5b'!$A72&amp;'Table 2.5b'!$B72,'Table 2.5a'!$A$8:$A$192&amp;'Table 2.5a'!$B$8:$B$192,0)),"")</f>
        <v>0.56645000000000001</v>
      </c>
      <c r="I72" s="655">
        <f t="array" ref="I72">IFERROR((INDEX('Table 2.5a'!$L$8:$L$192,MATCH('Table 2.5b'!$A72&amp;'Table 2.5b'!$B72,'Table 2.5a'!$A$8:$A$192&amp;'Table 2.5a'!$B$8:$B$192,0))/INDEX('Table 2.5a'!$I$8:$I$192,MATCH('Table 2.5b'!$A72&amp;'Table 2.5b'!$B72,'Table 2.5a'!$A$8:$A$192&amp;'Table 2.5a'!$B$8:$B$192,0)))*1000, "")</f>
        <v>44758.521401181373</v>
      </c>
      <c r="J72" s="655">
        <f t="array" ref="J72">IFERROR((INDEX('Table 2.5a'!$K$8:$K$192,MATCH('Table 2.5b'!$A72&amp;'Table 2.5b'!$B72,'Table 2.5a'!$A$8:$A$192&amp;'Table 2.5a'!$B$8:$B$192,0))/INDEX('Table 2.5a'!$I$8:$I$192,MATCH('Table 2.5b'!$A72&amp;'Table 2.5b'!$B72,'Table 2.5a'!$A$8:$A$192&amp;'Table 2.5a'!$B$8:$B$192,0)))*1000, "")</f>
        <v>25353.464447699189</v>
      </c>
      <c r="K72" s="705">
        <f t="array" ref="K72">IFERROR(INDEX('Table 2.5a'!$I$8:$I$192,MATCH('Table 2.5b'!$A72&amp;'Table 2.5b'!$B72,'Table 2.5a'!$A$8:$A$192&amp;'Table 2.5a'!$B$8:$B$192,0))/INDEX('Table 2.5a'!$L$8:$L$192,MATCH('Table 2.5b'!$A72&amp;'Table 2.5b'!$B72,'Table 2.5a'!$A$8:$A$192&amp;'Table 2.5a'!$B$8:$B$192,0)),"")</f>
        <v>2.2342114276670579E-2</v>
      </c>
      <c r="L72" s="658" t="s">
        <v>356</v>
      </c>
      <c r="M72" s="709">
        <f t="array" ref="M72">INDEX(UtilityList!Q$4:Q$251,MATCH('Table 2.5b'!$A72&amp;'Table 2.5b'!$B72,UtilityList!$A$4:$A$251&amp;UtilityList!$C$4:$C$251,0))</f>
        <v>0</v>
      </c>
      <c r="N72" s="709" t="str">
        <f t="array" ref="N72">INDEX(UtilityList!J$4:J$251,MATCH('Table 2.5b'!$A72&amp;'Table 2.5b'!$B72,UtilityList!$A$4:$A$251&amp;UtilityList!$C$4:$C$251,0))</f>
        <v>Lower Yukon-Kuskokwim</v>
      </c>
      <c r="O72" s="709" t="str">
        <f t="array" ref="O72">INDEX(UtilityList!K$4:K$251,MATCH('Table 2.5b'!$A72&amp;'Table 2.5b'!$B72,UtilityList!$A$4:$A$251&amp;UtilityList!$C$4:$C$251,0))</f>
        <v>Wade Hampton (CA)</v>
      </c>
      <c r="P72" s="709" t="str">
        <f t="array" ref="P72">INDEX(UtilityList!L$4:L$251,MATCH('Table 2.5b'!$A72&amp;'Table 2.5b'!$B72,UtilityList!$A$4:$A$251&amp;UtilityList!$C$4:$C$251,0))</f>
        <v>Calista</v>
      </c>
      <c r="Q72" s="709" t="str">
        <f t="array" ref="Q72">INDEX(UtilityList!M$4:M$251,MATCH('Table 2.5b'!$A72&amp;'Table 2.5b'!$B72,UtilityList!$A$4:$A$251&amp;UtilityList!$C$4:$C$251,0))</f>
        <v>YU</v>
      </c>
    </row>
    <row r="73" spans="1:17" s="267" customFormat="1" ht="30" x14ac:dyDescent="0.25">
      <c r="A73" s="361" t="s">
        <v>524</v>
      </c>
      <c r="B73" s="654" t="s">
        <v>105</v>
      </c>
      <c r="C73" s="655">
        <f t="array" ref="C73">IFERROR((INDEX('Table 2.5a'!$D$8:$D$192,MATCH('Table 2.5b'!A73&amp;'Table 2.5b'!B73,'Table 2.5a'!$A$8:$A$192&amp;'Table 2.5a'!$B$8:$B$192,0))/INDEX('Table 2.5a'!$E$8:$E$192,MATCH('Table 2.5b'!A73&amp;'Table 2.5b'!B73,'Table 2.5a'!$A$8:$A$192&amp;'Table 2.5a'!$B$8:$B$192,0)))*1000, "")</f>
        <v>6603.8358662613982</v>
      </c>
      <c r="D73" s="655">
        <f t="array" ref="D73">IFERROR((INDEX('Table 2.5a'!$C$8:$C$192,MATCH('Table 2.5b'!A73&amp;'Table 2.5b'!B73,'Table 2.5a'!$A$8:$A$192&amp;'Table 2.5a'!$B$8:$B$192,0))/INDEX('Table 2.5a'!$E$8:$E$192,MATCH('Table 2.5b'!A73&amp;'Table 2.5b'!B73,'Table 2.5a'!$A$8:$A$192&amp;'Table 2.5a'!$B$8:$B$192,0)))*1000, "")</f>
        <v>3793.6285233266258</v>
      </c>
      <c r="E73" s="705">
        <f t="array" ref="E73">IFERROR(INDEX('Table 2.5a'!$C$8:$C$192,MATCH('Table 2.5b'!$A73&amp;'Table 2.5b'!$B73,'Table 2.5a'!$A$8:$A$192&amp;'Table 2.5a'!$B$8:$B$192,0))/INDEX('Table 2.5a'!$D$8:$D$192,MATCH('Table 2.5b'!$A73&amp;'Table 2.5b'!$B73,'Table 2.5a'!$A$8:$A$192&amp;'Table 2.5a'!$B$8:$B$192,0)),"")</f>
        <v>0.57445833000000002</v>
      </c>
      <c r="F73" s="655">
        <f t="array" ref="F73">IFERROR((INDEX('Table 2.5a'!$H$8:$H$192,MATCH('Table 2.5b'!$A73&amp;'Table 2.5b'!$B73,'Table 2.5a'!$A$8:$A$192&amp;'Table 2.5a'!$B$8:$B$192,0))/INDEX('Table 2.5a'!$I$8:$I$192,MATCH('Table 2.5b'!$A73&amp;'Table 2.5b'!$B73,'Table 2.5a'!$A$8:$A$192&amp;'Table 2.5a'!$B$8:$B$192,0)))*1000, "")</f>
        <v>17029.013140924915</v>
      </c>
      <c r="G73" s="655">
        <f t="array" ref="G73">IFERROR((INDEX('Table 2.5a'!$G$8:$G$192,MATCH('Table 2.5b'!$A73&amp;'Table 2.5b'!$B73,'Table 2.5a'!$A$8:$A$192&amp;'Table 2.5a'!$B$8:$B$192,0))/INDEX('Table 2.5a'!$I$8:$I$192,MATCH('Table 2.5b'!$A73&amp;'Table 2.5b'!$B73,'Table 2.5a'!$A$8:$A$192&amp;'Table 2.5a'!$B$8:$B$192,0)))*1000, "")</f>
        <v>9782.4584504837803</v>
      </c>
      <c r="H73" s="705">
        <f t="array" ref="H73">IFERROR(INDEX('Table 2.5a'!$G$8:$G$192,MATCH('Table 2.5b'!$A73&amp;'Table 2.5b'!$B73,'Table 2.5a'!$A$8:$A$192&amp;'Table 2.5a'!$B$8:$B$192,0))/INDEX('Table 2.5a'!$H$8:$H$192,MATCH('Table 2.5b'!$A73&amp;'Table 2.5b'!$B73,'Table 2.5a'!$A$8:$A$192&amp;'Table 2.5a'!$B$8:$B$192,0)),"")</f>
        <v>0.57445833000000002</v>
      </c>
      <c r="I73" s="655">
        <f t="array" ref="I73">IFERROR((INDEX('Table 2.5a'!$L$8:$L$192,MATCH('Table 2.5b'!$A73&amp;'Table 2.5b'!$B73,'Table 2.5a'!$A$8:$A$192&amp;'Table 2.5a'!$B$8:$B$192,0))/INDEX('Table 2.5a'!$I$8:$I$192,MATCH('Table 2.5b'!$A73&amp;'Table 2.5b'!$B73,'Table 2.5a'!$A$8:$A$192&amp;'Table 2.5a'!$B$8:$B$192,0)))*1000, "")</f>
        <v>55141.968736242816</v>
      </c>
      <c r="J73" s="655">
        <f t="array" ref="J73">IFERROR((INDEX('Table 2.5a'!$K$8:$K$192,MATCH('Table 2.5b'!$A73&amp;'Table 2.5b'!$B73,'Table 2.5a'!$A$8:$A$192&amp;'Table 2.5a'!$B$8:$B$192,0))/INDEX('Table 2.5a'!$I$8:$I$192,MATCH('Table 2.5b'!$A73&amp;'Table 2.5b'!$B73,'Table 2.5a'!$A$8:$A$192&amp;'Table 2.5a'!$B$8:$B$192,0)))*1000, "")</f>
        <v>31676.763273134264</v>
      </c>
      <c r="K73" s="705">
        <f t="array" ref="K73">IFERROR(INDEX('Table 2.5a'!$I$8:$I$192,MATCH('Table 2.5b'!$A73&amp;'Table 2.5b'!$B73,'Table 2.5a'!$A$8:$A$192&amp;'Table 2.5a'!$B$8:$B$192,0))/INDEX('Table 2.5a'!$L$8:$L$192,MATCH('Table 2.5b'!$A73&amp;'Table 2.5b'!$B73,'Table 2.5a'!$A$8:$A$192&amp;'Table 2.5a'!$B$8:$B$192,0)),"")</f>
        <v>1.8135007199021825E-2</v>
      </c>
      <c r="L73" s="658" t="s">
        <v>356</v>
      </c>
      <c r="M73" s="709">
        <f t="array" ref="M73">INDEX(UtilityList!Q$4:Q$251,MATCH('Table 2.5b'!$A73&amp;'Table 2.5b'!$B73,UtilityList!$A$4:$A$251&amp;UtilityList!$C$4:$C$251,0))</f>
        <v>0</v>
      </c>
      <c r="N73" s="709" t="str">
        <f t="array" ref="N73">INDEX(UtilityList!J$4:J$251,MATCH('Table 2.5b'!$A73&amp;'Table 2.5b'!$B73,UtilityList!$A$4:$A$251&amp;UtilityList!$C$4:$C$251,0))</f>
        <v>Northwest Arctic</v>
      </c>
      <c r="O73" s="709" t="str">
        <f t="array" ref="O73">INDEX(UtilityList!K$4:K$251,MATCH('Table 2.5b'!$A73&amp;'Table 2.5b'!$B73,UtilityList!$A$4:$A$251&amp;UtilityList!$C$4:$C$251,0))</f>
        <v>Northwest Arctic</v>
      </c>
      <c r="P73" s="709" t="str">
        <f t="array" ref="P73">INDEX(UtilityList!L$4:L$251,MATCH('Table 2.5b'!$A73&amp;'Table 2.5b'!$B73,UtilityList!$A$4:$A$251&amp;UtilityList!$C$4:$C$251,0))</f>
        <v>NANA</v>
      </c>
      <c r="Q73" s="709" t="str">
        <f t="array" ref="Q73">INDEX(UtilityList!M$4:M$251,MATCH('Table 2.5b'!$A73&amp;'Table 2.5b'!$B73,UtilityList!$A$4:$A$251&amp;UtilityList!$C$4:$C$251,0))</f>
        <v>AN</v>
      </c>
    </row>
    <row r="74" spans="1:17" s="267" customFormat="1" ht="30" x14ac:dyDescent="0.25">
      <c r="A74" s="361" t="s">
        <v>524</v>
      </c>
      <c r="B74" s="654" t="s">
        <v>106</v>
      </c>
      <c r="C74" s="655">
        <f t="array" ref="C74">IFERROR((INDEX('Table 2.5a'!$D$8:$D$192,MATCH('Table 2.5b'!A74&amp;'Table 2.5b'!B74,'Table 2.5a'!$A$8:$A$192&amp;'Table 2.5a'!$B$8:$B$192,0))/INDEX('Table 2.5a'!$E$8:$E$192,MATCH('Table 2.5b'!A74&amp;'Table 2.5b'!B74,'Table 2.5a'!$A$8:$A$192&amp;'Table 2.5a'!$B$8:$B$192,0)))*1000, "")</f>
        <v>2265.1034482758619</v>
      </c>
      <c r="D74" s="655">
        <f t="array" ref="D74">IFERROR((INDEX('Table 2.5a'!$C$8:$C$192,MATCH('Table 2.5b'!A74&amp;'Table 2.5b'!B74,'Table 2.5a'!$A$8:$A$192&amp;'Table 2.5a'!$B$8:$B$192,0))/INDEX('Table 2.5a'!$E$8:$E$192,MATCH('Table 2.5b'!A74&amp;'Table 2.5b'!B74,'Table 2.5a'!$A$8:$A$192&amp;'Table 2.5a'!$B$8:$B$192,0)))*1000, "")</f>
        <v>1359.2319517241378</v>
      </c>
      <c r="E74" s="705">
        <f t="array" ref="E74">IFERROR(INDEX('Table 2.5a'!$C$8:$C$192,MATCH('Table 2.5b'!$A74&amp;'Table 2.5b'!$B74,'Table 2.5a'!$A$8:$A$192&amp;'Table 2.5a'!$B$8:$B$192,0))/INDEX('Table 2.5a'!$D$8:$D$192,MATCH('Table 2.5b'!$A74&amp;'Table 2.5b'!$B74,'Table 2.5a'!$A$8:$A$192&amp;'Table 2.5a'!$B$8:$B$192,0)),"")</f>
        <v>0.60007500000000003</v>
      </c>
      <c r="F74" s="655">
        <f t="array" ref="F74">IFERROR((INDEX('Table 2.5a'!$H$8:$H$192,MATCH('Table 2.5b'!$A74&amp;'Table 2.5b'!$B74,'Table 2.5a'!$A$8:$A$192&amp;'Table 2.5a'!$B$8:$B$192,0))/INDEX('Table 2.5a'!$I$8:$I$192,MATCH('Table 2.5b'!$A74&amp;'Table 2.5b'!$B74,'Table 2.5a'!$A$8:$A$192&amp;'Table 2.5a'!$B$8:$B$192,0)))*1000, "")</f>
        <v>12254.50522517571</v>
      </c>
      <c r="G74" s="655">
        <f t="array" ref="G74">IFERROR((INDEX('Table 2.5a'!$G$8:$G$192,MATCH('Table 2.5b'!$A74&amp;'Table 2.5b'!$B74,'Table 2.5a'!$A$8:$A$192&amp;'Table 2.5a'!$B$8:$B$192,0))/INDEX('Table 2.5a'!$I$8:$I$192,MATCH('Table 2.5b'!$A74&amp;'Table 2.5b'!$B74,'Table 2.5a'!$A$8:$A$192&amp;'Table 2.5a'!$B$8:$B$192,0)))*1000, "")</f>
        <v>7353.6222229973146</v>
      </c>
      <c r="H74" s="705">
        <f t="array" ref="H74">IFERROR(INDEX('Table 2.5a'!$G$8:$G$192,MATCH('Table 2.5b'!$A74&amp;'Table 2.5b'!$B74,'Table 2.5a'!$A$8:$A$192&amp;'Table 2.5a'!$B$8:$B$192,0))/INDEX('Table 2.5a'!$H$8:$H$192,MATCH('Table 2.5b'!$A74&amp;'Table 2.5b'!$B74,'Table 2.5a'!$A$8:$A$192&amp;'Table 2.5a'!$B$8:$B$192,0)),"")</f>
        <v>0.60007500000000003</v>
      </c>
      <c r="I74" s="655">
        <f t="array" ref="I74">IFERROR((INDEX('Table 2.5a'!$L$8:$L$192,MATCH('Table 2.5b'!$A74&amp;'Table 2.5b'!$B74,'Table 2.5a'!$A$8:$A$192&amp;'Table 2.5a'!$B$8:$B$192,0))/INDEX('Table 2.5a'!$I$8:$I$192,MATCH('Table 2.5b'!$A74&amp;'Table 2.5b'!$B74,'Table 2.5a'!$A$8:$A$192&amp;'Table 2.5a'!$B$8:$B$192,0)))*1000, "")</f>
        <v>18145.186414391508</v>
      </c>
      <c r="J74" s="655">
        <f t="array" ref="J74">IFERROR((INDEX('Table 2.5a'!$K$8:$K$192,MATCH('Table 2.5b'!$A74&amp;'Table 2.5b'!$B74,'Table 2.5a'!$A$8:$A$192&amp;'Table 2.5a'!$B$8:$B$192,0))/INDEX('Table 2.5a'!$I$8:$I$192,MATCH('Table 2.5b'!$A74&amp;'Table 2.5b'!$B74,'Table 2.5a'!$A$8:$A$192&amp;'Table 2.5a'!$B$8:$B$192,0)))*1000, "")</f>
        <v>10888.472737615984</v>
      </c>
      <c r="K74" s="705">
        <f t="array" ref="K74">IFERROR(INDEX('Table 2.5a'!$I$8:$I$192,MATCH('Table 2.5b'!$A74&amp;'Table 2.5b'!$B74,'Table 2.5a'!$A$8:$A$192&amp;'Table 2.5a'!$B$8:$B$192,0))/INDEX('Table 2.5a'!$L$8:$L$192,MATCH('Table 2.5b'!$A74&amp;'Table 2.5b'!$B74,'Table 2.5a'!$A$8:$A$192&amp;'Table 2.5a'!$B$8:$B$192,0)),"")</f>
        <v>5.5111034803526138E-2</v>
      </c>
      <c r="L74" s="658" t="s">
        <v>356</v>
      </c>
      <c r="M74" s="709">
        <f t="array" ref="M74">INDEX(UtilityList!Q$4:Q$251,MATCH('Table 2.5b'!$A74&amp;'Table 2.5b'!$B74,UtilityList!$A$4:$A$251&amp;UtilityList!$C$4:$C$251,0))</f>
        <v>0</v>
      </c>
      <c r="N74" s="709" t="str">
        <f t="array" ref="N74">INDEX(UtilityList!J$4:J$251,MATCH('Table 2.5b'!$A74&amp;'Table 2.5b'!$B74,UtilityList!$A$4:$A$251&amp;UtilityList!$C$4:$C$251,0))</f>
        <v>Yukon-Koyukuk/Upper Tanana</v>
      </c>
      <c r="O74" s="709" t="str">
        <f t="array" ref="O74">INDEX(UtilityList!K$4:K$251,MATCH('Table 2.5b'!$A74&amp;'Table 2.5b'!$B74,UtilityList!$A$4:$A$251&amp;UtilityList!$C$4:$C$251,0))</f>
        <v>Yukon-Koyukuk (CA)</v>
      </c>
      <c r="P74" s="709" t="str">
        <f t="array" ref="P74">INDEX(UtilityList!L$4:L$251,MATCH('Table 2.5b'!$A74&amp;'Table 2.5b'!$B74,UtilityList!$A$4:$A$251&amp;UtilityList!$C$4:$C$251,0))</f>
        <v>Doyon</v>
      </c>
      <c r="Q74" s="709" t="str">
        <f t="array" ref="Q74">INDEX(UtilityList!M$4:M$251,MATCH('Table 2.5b'!$A74&amp;'Table 2.5b'!$B74,UtilityList!$A$4:$A$251&amp;UtilityList!$C$4:$C$251,0))</f>
        <v>YU</v>
      </c>
    </row>
    <row r="75" spans="1:17" s="267" customFormat="1" ht="30" x14ac:dyDescent="0.25">
      <c r="A75" s="361" t="s">
        <v>524</v>
      </c>
      <c r="B75" s="654" t="s">
        <v>107</v>
      </c>
      <c r="C75" s="655">
        <f t="array" ref="C75">IFERROR((INDEX('Table 2.5a'!$D$8:$D$192,MATCH('Table 2.5b'!A75&amp;'Table 2.5b'!B75,'Table 2.5a'!$A$8:$A$192&amp;'Table 2.5a'!$B$8:$B$192,0))/INDEX('Table 2.5a'!$E$8:$E$192,MATCH('Table 2.5b'!A75&amp;'Table 2.5b'!B75,'Table 2.5a'!$A$8:$A$192&amp;'Table 2.5a'!$B$8:$B$192,0)))*1000, "")</f>
        <v>5240.6701801315803</v>
      </c>
      <c r="D75" s="655">
        <f t="array" ref="D75">IFERROR((INDEX('Table 2.5a'!$C$8:$C$192,MATCH('Table 2.5b'!A75&amp;'Table 2.5b'!B75,'Table 2.5a'!$A$8:$A$192&amp;'Table 2.5a'!$B$8:$B$192,0))/INDEX('Table 2.5a'!$E$8:$E$192,MATCH('Table 2.5b'!A75&amp;'Table 2.5b'!B75,'Table 2.5a'!$A$8:$A$192&amp;'Table 2.5a'!$B$8:$B$192,0)))*1000, "")</f>
        <v>3014.3898328290852</v>
      </c>
      <c r="E75" s="705">
        <f t="array" ref="E75">IFERROR(INDEX('Table 2.5a'!$C$8:$C$192,MATCH('Table 2.5b'!$A75&amp;'Table 2.5b'!$B75,'Table 2.5a'!$A$8:$A$192&amp;'Table 2.5a'!$B$8:$B$192,0))/INDEX('Table 2.5a'!$D$8:$D$192,MATCH('Table 2.5b'!$A75&amp;'Table 2.5b'!$B75,'Table 2.5a'!$A$8:$A$192&amp;'Table 2.5a'!$B$8:$B$192,0)),"")</f>
        <v>0.57519167000000004</v>
      </c>
      <c r="F75" s="655">
        <f t="array" ref="F75">IFERROR((INDEX('Table 2.5a'!$H$8:$H$192,MATCH('Table 2.5b'!$A75&amp;'Table 2.5b'!$B75,'Table 2.5a'!$A$8:$A$192&amp;'Table 2.5a'!$B$8:$B$192,0))/INDEX('Table 2.5a'!$I$8:$I$192,MATCH('Table 2.5b'!$A75&amp;'Table 2.5b'!$B75,'Table 2.5a'!$A$8:$A$192&amp;'Table 2.5a'!$B$8:$B$192,0)))*1000, "")</f>
        <v>19135.739130434784</v>
      </c>
      <c r="G75" s="655">
        <f t="array" ref="G75">IFERROR((INDEX('Table 2.5a'!$G$8:$G$192,MATCH('Table 2.5b'!$A75&amp;'Table 2.5b'!$B75,'Table 2.5a'!$A$8:$A$192&amp;'Table 2.5a'!$B$8:$B$192,0))/INDEX('Table 2.5a'!$I$8:$I$192,MATCH('Table 2.5b'!$A75&amp;'Table 2.5b'!$B75,'Table 2.5a'!$A$8:$A$192&amp;'Table 2.5a'!$B$8:$B$192,0)))*1000, "")</f>
        <v>11006.717747119132</v>
      </c>
      <c r="H75" s="705">
        <f t="array" ref="H75">IFERROR(INDEX('Table 2.5a'!$G$8:$G$192,MATCH('Table 2.5b'!$A75&amp;'Table 2.5b'!$B75,'Table 2.5a'!$A$8:$A$192&amp;'Table 2.5a'!$B$8:$B$192,0))/INDEX('Table 2.5a'!$H$8:$H$192,MATCH('Table 2.5b'!$A75&amp;'Table 2.5b'!$B75,'Table 2.5a'!$A$8:$A$192&amp;'Table 2.5a'!$B$8:$B$192,0)),"")</f>
        <v>0.57519167000000004</v>
      </c>
      <c r="I75" s="655">
        <f t="array" ref="I75">IFERROR((INDEX('Table 2.5a'!$L$8:$L$192,MATCH('Table 2.5b'!$A75&amp;'Table 2.5b'!$B75,'Table 2.5a'!$A$8:$A$192&amp;'Table 2.5a'!$B$8:$B$192,0))/INDEX('Table 2.5a'!$I$8:$I$192,MATCH('Table 2.5b'!$A75&amp;'Table 2.5b'!$B75,'Table 2.5a'!$A$8:$A$192&amp;'Table 2.5a'!$B$8:$B$192,0)))*1000, "")</f>
        <v>23692.695652173912</v>
      </c>
      <c r="J75" s="655">
        <f t="array" ref="J75">IFERROR((INDEX('Table 2.5a'!$K$8:$K$192,MATCH('Table 2.5b'!$A75&amp;'Table 2.5b'!$B75,'Table 2.5a'!$A$8:$A$192&amp;'Table 2.5a'!$B$8:$B$192,0))/INDEX('Table 2.5a'!$I$8:$I$192,MATCH('Table 2.5b'!$A75&amp;'Table 2.5b'!$B75,'Table 2.5a'!$A$8:$A$192&amp;'Table 2.5a'!$B$8:$B$192,0)))*1000, "")</f>
        <v>13627.841178975654</v>
      </c>
      <c r="K75" s="705">
        <f t="array" ref="K75">IFERROR(INDEX('Table 2.5a'!$I$8:$I$192,MATCH('Table 2.5b'!$A75&amp;'Table 2.5b'!$B75,'Table 2.5a'!$A$8:$A$192&amp;'Table 2.5a'!$B$8:$B$192,0))/INDEX('Table 2.5a'!$L$8:$L$192,MATCH('Table 2.5b'!$A75&amp;'Table 2.5b'!$B75,'Table 2.5a'!$A$8:$A$192&amp;'Table 2.5a'!$B$8:$B$192,0)),"")</f>
        <v>4.2207101069491236E-2</v>
      </c>
      <c r="L75" s="658" t="s">
        <v>356</v>
      </c>
      <c r="M75" s="709">
        <f t="array" ref="M75">INDEX(UtilityList!Q$4:Q$251,MATCH('Table 2.5b'!$A75&amp;'Table 2.5b'!$B75,UtilityList!$A$4:$A$251&amp;UtilityList!$C$4:$C$251,0))</f>
        <v>0</v>
      </c>
      <c r="N75" s="709" t="str">
        <f t="array" ref="N75">INDEX(UtilityList!J$4:J$251,MATCH('Table 2.5b'!$A75&amp;'Table 2.5b'!$B75,UtilityList!$A$4:$A$251&amp;UtilityList!$C$4:$C$251,0))</f>
        <v>Bering Straits</v>
      </c>
      <c r="O75" s="709" t="str">
        <f t="array" ref="O75">INDEX(UtilityList!K$4:K$251,MATCH('Table 2.5b'!$A75&amp;'Table 2.5b'!$B75,UtilityList!$A$4:$A$251&amp;UtilityList!$C$4:$C$251,0))</f>
        <v>Nome (CA)</v>
      </c>
      <c r="P75" s="709" t="str">
        <f t="array" ref="P75">INDEX(UtilityList!L$4:L$251,MATCH('Table 2.5b'!$A75&amp;'Table 2.5b'!$B75,UtilityList!$A$4:$A$251&amp;UtilityList!$C$4:$C$251,0))</f>
        <v>Bering Straits</v>
      </c>
      <c r="Q75" s="709" t="str">
        <f t="array" ref="Q75">INDEX(UtilityList!M$4:M$251,MATCH('Table 2.5b'!$A75&amp;'Table 2.5b'!$B75,UtilityList!$A$4:$A$251&amp;UtilityList!$C$4:$C$251,0))</f>
        <v>AN</v>
      </c>
    </row>
    <row r="76" spans="1:17" s="126" customFormat="1" ht="30" x14ac:dyDescent="0.25">
      <c r="A76" s="361" t="s">
        <v>524</v>
      </c>
      <c r="B76" s="654" t="s">
        <v>108</v>
      </c>
      <c r="C76" s="655">
        <f t="array" ref="C76">IFERROR((INDEX('Table 2.5a'!$D$8:$D$192,MATCH('Table 2.5b'!A76&amp;'Table 2.5b'!B76,'Table 2.5a'!$A$8:$A$192&amp;'Table 2.5a'!$B$8:$B$192,0))/INDEX('Table 2.5a'!$E$8:$E$192,MATCH('Table 2.5b'!A76&amp;'Table 2.5b'!B76,'Table 2.5a'!$A$8:$A$192&amp;'Table 2.5a'!$B$8:$B$192,0)))*1000, "")</f>
        <v>5259.1510791366909</v>
      </c>
      <c r="D76" s="655">
        <f t="array" ref="D76">IFERROR((INDEX('Table 2.5a'!$C$8:$C$192,MATCH('Table 2.5b'!A76&amp;'Table 2.5b'!B76,'Table 2.5a'!$A$8:$A$192&amp;'Table 2.5a'!$B$8:$B$192,0))/INDEX('Table 2.5a'!$E$8:$E$192,MATCH('Table 2.5b'!A76&amp;'Table 2.5b'!B76,'Table 2.5a'!$A$8:$A$192&amp;'Table 2.5a'!$B$8:$B$192,0)))*1000, "")</f>
        <v>3109.6045543165469</v>
      </c>
      <c r="E76" s="705">
        <f t="array" ref="E76">IFERROR(INDEX('Table 2.5a'!$C$8:$C$192,MATCH('Table 2.5b'!$A76&amp;'Table 2.5b'!$B76,'Table 2.5a'!$A$8:$A$192&amp;'Table 2.5a'!$B$8:$B$192,0))/INDEX('Table 2.5a'!$D$8:$D$192,MATCH('Table 2.5b'!$A76&amp;'Table 2.5b'!$B76,'Table 2.5a'!$A$8:$A$192&amp;'Table 2.5a'!$B$8:$B$192,0)),"")</f>
        <v>0.591275</v>
      </c>
      <c r="F76" s="655">
        <f t="array" ref="F76">IFERROR((INDEX('Table 2.5a'!$H$8:$H$192,MATCH('Table 2.5b'!$A76&amp;'Table 2.5b'!$B76,'Table 2.5a'!$A$8:$A$192&amp;'Table 2.5a'!$B$8:$B$192,0))/INDEX('Table 2.5a'!$I$8:$I$192,MATCH('Table 2.5b'!$A76&amp;'Table 2.5b'!$B76,'Table 2.5a'!$A$8:$A$192&amp;'Table 2.5a'!$B$8:$B$192,0)))*1000, "")</f>
        <v>20929.388888888887</v>
      </c>
      <c r="G76" s="655">
        <f t="array" ref="G76">IFERROR((INDEX('Table 2.5a'!$G$8:$G$192,MATCH('Table 2.5b'!$A76&amp;'Table 2.5b'!$B76,'Table 2.5a'!$A$8:$A$192&amp;'Table 2.5a'!$B$8:$B$192,0))/INDEX('Table 2.5a'!$I$8:$I$192,MATCH('Table 2.5b'!$A76&amp;'Table 2.5b'!$B76,'Table 2.5a'!$A$8:$A$192&amp;'Table 2.5a'!$B$8:$B$192,0)))*1000, "")</f>
        <v>12375.024415277776</v>
      </c>
      <c r="H76" s="705">
        <f t="array" ref="H76">IFERROR(INDEX('Table 2.5a'!$G$8:$G$192,MATCH('Table 2.5b'!$A76&amp;'Table 2.5b'!$B76,'Table 2.5a'!$A$8:$A$192&amp;'Table 2.5a'!$B$8:$B$192,0))/INDEX('Table 2.5a'!$H$8:$H$192,MATCH('Table 2.5b'!$A76&amp;'Table 2.5b'!$B76,'Table 2.5a'!$A$8:$A$192&amp;'Table 2.5a'!$B$8:$B$192,0)),"")</f>
        <v>0.591275</v>
      </c>
      <c r="I76" s="655">
        <f t="array" ref="I76">IFERROR((INDEX('Table 2.5a'!$L$8:$L$192,MATCH('Table 2.5b'!$A76&amp;'Table 2.5b'!$B76,'Table 2.5a'!$A$8:$A$192&amp;'Table 2.5a'!$B$8:$B$192,0))/INDEX('Table 2.5a'!$I$8:$I$192,MATCH('Table 2.5b'!$A76&amp;'Table 2.5b'!$B76,'Table 2.5a'!$A$8:$A$192&amp;'Table 2.5a'!$B$8:$B$192,0)))*1000, "")</f>
        <v>26262.666666666668</v>
      </c>
      <c r="J76" s="655">
        <f t="array" ref="J76">IFERROR((INDEX('Table 2.5a'!$K$8:$K$192,MATCH('Table 2.5b'!$A76&amp;'Table 2.5b'!$B76,'Table 2.5a'!$A$8:$A$192&amp;'Table 2.5a'!$B$8:$B$192,0))/INDEX('Table 2.5a'!$I$8:$I$192,MATCH('Table 2.5b'!$A76&amp;'Table 2.5b'!$B76,'Table 2.5a'!$A$8:$A$192&amp;'Table 2.5a'!$B$8:$B$192,0)))*1000, "")</f>
        <v>15528.458233333331</v>
      </c>
      <c r="K76" s="705">
        <f t="array" ref="K76">IFERROR(INDEX('Table 2.5a'!$I$8:$I$192,MATCH('Table 2.5b'!$A76&amp;'Table 2.5b'!$B76,'Table 2.5a'!$A$8:$A$192&amp;'Table 2.5a'!$B$8:$B$192,0))/INDEX('Table 2.5a'!$L$8:$L$192,MATCH('Table 2.5b'!$A76&amp;'Table 2.5b'!$B76,'Table 2.5a'!$A$8:$A$192&amp;'Table 2.5a'!$B$8:$B$192,0)),"")</f>
        <v>3.8076864497131539E-2</v>
      </c>
      <c r="L76" s="658" t="s">
        <v>356</v>
      </c>
      <c r="M76" s="709">
        <f t="array" ref="M76">INDEX(UtilityList!Q$4:Q$251,MATCH('Table 2.5b'!$A76&amp;'Table 2.5b'!$B76,UtilityList!$A$4:$A$251&amp;UtilityList!$C$4:$C$251,0))</f>
        <v>0</v>
      </c>
      <c r="N76" s="709" t="str">
        <f t="array" ref="N76">INDEX(UtilityList!J$4:J$251,MATCH('Table 2.5b'!$A76&amp;'Table 2.5b'!$B76,UtilityList!$A$4:$A$251&amp;UtilityList!$C$4:$C$251,0))</f>
        <v>Bering Straits</v>
      </c>
      <c r="O76" s="709" t="str">
        <f t="array" ref="O76">INDEX(UtilityList!K$4:K$251,MATCH('Table 2.5b'!$A76&amp;'Table 2.5b'!$B76,UtilityList!$A$4:$A$251&amp;UtilityList!$C$4:$C$251,0))</f>
        <v>Nome (CA)</v>
      </c>
      <c r="P76" s="709" t="str">
        <f t="array" ref="P76">INDEX(UtilityList!L$4:L$251,MATCH('Table 2.5b'!$A76&amp;'Table 2.5b'!$B76,UtilityList!$A$4:$A$251&amp;UtilityList!$C$4:$C$251,0))</f>
        <v>Bering Straits</v>
      </c>
      <c r="Q76" s="709" t="str">
        <f t="array" ref="Q76">INDEX(UtilityList!M$4:M$251,MATCH('Table 2.5b'!$A76&amp;'Table 2.5b'!$B76,UtilityList!$A$4:$A$251&amp;UtilityList!$C$4:$C$251,0))</f>
        <v>AN</v>
      </c>
    </row>
    <row r="77" spans="1:17" s="267" customFormat="1" ht="60" x14ac:dyDescent="0.25">
      <c r="A77" s="361" t="s">
        <v>524</v>
      </c>
      <c r="B77" s="654" t="s">
        <v>994</v>
      </c>
      <c r="C77" s="655">
        <f t="array" ref="C77">IFERROR((INDEX('Table 2.5a'!$D$8:$D$192,MATCH('Table 2.5b'!A77&amp;'Table 2.5b'!B77,'Table 2.5a'!$A$8:$A$192&amp;'Table 2.5a'!$B$8:$B$192,0))/INDEX('Table 2.5a'!$E$8:$E$192,MATCH('Table 2.5b'!A77&amp;'Table 2.5b'!B77,'Table 2.5a'!$A$8:$A$192&amp;'Table 2.5a'!$B$8:$B$192,0)))*1000, "")</f>
        <v>5711.028445095596</v>
      </c>
      <c r="D77" s="655">
        <f t="array" ref="D77">IFERROR((INDEX('Table 2.5a'!$C$8:$C$192,MATCH('Table 2.5b'!A77&amp;'Table 2.5b'!B77,'Table 2.5a'!$A$8:$A$192&amp;'Table 2.5a'!$B$8:$B$192,0))/INDEX('Table 2.5a'!$E$8:$E$192,MATCH('Table 2.5b'!A77&amp;'Table 2.5b'!B77,'Table 2.5a'!$A$8:$A$192&amp;'Table 2.5a'!$B$8:$B$192,0)))*1000, "")</f>
        <v>4153.3454366957722</v>
      </c>
      <c r="E77" s="705">
        <f t="array" ref="E77">IFERROR(INDEX('Table 2.5a'!$C$8:$C$192,MATCH('Table 2.5b'!$A77&amp;'Table 2.5b'!$B77,'Table 2.5a'!$A$8:$A$192&amp;'Table 2.5a'!$B$8:$B$192,0))/INDEX('Table 2.5a'!$D$8:$D$192,MATCH('Table 2.5b'!$A77&amp;'Table 2.5b'!$B77,'Table 2.5a'!$A$8:$A$192&amp;'Table 2.5a'!$B$8:$B$192,0)),"")</f>
        <v>0.72724999999999995</v>
      </c>
      <c r="F77" s="655">
        <f t="array" ref="F77">IFERROR((INDEX('Table 2.5a'!$H$8:$H$192,MATCH('Table 2.5b'!$A77&amp;'Table 2.5b'!$B77,'Table 2.5a'!$A$8:$A$192&amp;'Table 2.5a'!$B$8:$B$192,0))/INDEX('Table 2.5a'!$I$8:$I$192,MATCH('Table 2.5b'!$A77&amp;'Table 2.5b'!$B77,'Table 2.5a'!$A$8:$A$192&amp;'Table 2.5a'!$B$8:$B$192,0)))*1000, "")</f>
        <v>50985.316447404322</v>
      </c>
      <c r="G77" s="655">
        <f t="array" ref="G77">IFERROR((INDEX('Table 2.5a'!$G$8:$G$192,MATCH('Table 2.5b'!$A77&amp;'Table 2.5b'!$B77,'Table 2.5a'!$A$8:$A$192&amp;'Table 2.5a'!$B$8:$B$192,0))/INDEX('Table 2.5a'!$I$8:$I$192,MATCH('Table 2.5b'!$A77&amp;'Table 2.5b'!$B77,'Table 2.5a'!$A$8:$A$192&amp;'Table 2.5a'!$B$8:$B$192,0)))*1000, "")</f>
        <v>37079.071386374788</v>
      </c>
      <c r="H77" s="705">
        <f t="array" ref="H77">IFERROR(INDEX('Table 2.5a'!$G$8:$G$192,MATCH('Table 2.5b'!$A77&amp;'Table 2.5b'!$B77,'Table 2.5a'!$A$8:$A$192&amp;'Table 2.5a'!$B$8:$B$192,0))/INDEX('Table 2.5a'!$H$8:$H$192,MATCH('Table 2.5b'!$A77&amp;'Table 2.5b'!$B77,'Table 2.5a'!$A$8:$A$192&amp;'Table 2.5a'!$B$8:$B$192,0)),"")</f>
        <v>0.72724999999999984</v>
      </c>
      <c r="I77" s="655">
        <f t="array" ref="I77">IFERROR((INDEX('Table 2.5a'!$L$8:$L$192,MATCH('Table 2.5b'!$A77&amp;'Table 2.5b'!$B77,'Table 2.5a'!$A$8:$A$192&amp;'Table 2.5a'!$B$8:$B$192,0))/INDEX('Table 2.5a'!$I$8:$I$192,MATCH('Table 2.5b'!$A77&amp;'Table 2.5b'!$B77,'Table 2.5a'!$A$8:$A$192&amp;'Table 2.5a'!$B$8:$B$192,0)))*1000, "")</f>
        <v>27836.89346266133</v>
      </c>
      <c r="J77" s="655">
        <f t="array" ref="J77">IFERROR((INDEX('Table 2.5a'!$K$8:$K$192,MATCH('Table 2.5b'!$A77&amp;'Table 2.5b'!$B77,'Table 2.5a'!$A$8:$A$192&amp;'Table 2.5a'!$B$8:$B$192,0))/INDEX('Table 2.5a'!$I$8:$I$192,MATCH('Table 2.5b'!$A77&amp;'Table 2.5b'!$B77,'Table 2.5a'!$A$8:$A$192&amp;'Table 2.5a'!$B$8:$B$192,0)))*1000, "")</f>
        <v>20244.380770720451</v>
      </c>
      <c r="K77" s="705">
        <f t="array" ref="K77">IFERROR(INDEX('Table 2.5a'!$I$8:$I$192,MATCH('Table 2.5b'!$A77&amp;'Table 2.5b'!$B77,'Table 2.5a'!$A$8:$A$192&amp;'Table 2.5a'!$B$8:$B$192,0))/INDEX('Table 2.5a'!$L$8:$L$192,MATCH('Table 2.5b'!$A77&amp;'Table 2.5b'!$B77,'Table 2.5a'!$A$8:$A$192&amp;'Table 2.5a'!$B$8:$B$192,0)),"")</f>
        <v>3.5923548773189706E-2</v>
      </c>
      <c r="L77" s="658" t="s">
        <v>356</v>
      </c>
      <c r="M77" s="709" t="str">
        <f t="array" ref="M77">INDEX(UtilityList!Q$4:Q$251,MATCH('Table 2.5b'!$A77&amp;'Table 2.5b'!$B77,UtilityList!$A$4:$A$251&amp;UtilityList!$C$4:$C$251,0))</f>
        <v>Provides power to Kobuk via intertie. Fuel use and cost includes Kobuk's information.</v>
      </c>
      <c r="N77" s="709" t="str">
        <f t="array" ref="N77">INDEX(UtilityList!J$4:J$251,MATCH('Table 2.5b'!$A77&amp;'Table 2.5b'!$B77,UtilityList!$A$4:$A$251&amp;UtilityList!$C$4:$C$251,0))</f>
        <v>Northwest Arctic</v>
      </c>
      <c r="O77" s="709" t="str">
        <f t="array" ref="O77">INDEX(UtilityList!K$4:K$251,MATCH('Table 2.5b'!$A77&amp;'Table 2.5b'!$B77,UtilityList!$A$4:$A$251&amp;UtilityList!$C$4:$C$251,0))</f>
        <v>Northwest Arctic</v>
      </c>
      <c r="P77" s="709" t="str">
        <f t="array" ref="P77">INDEX(UtilityList!L$4:L$251,MATCH('Table 2.5b'!$A77&amp;'Table 2.5b'!$B77,UtilityList!$A$4:$A$251&amp;UtilityList!$C$4:$C$251,0))</f>
        <v>NANA</v>
      </c>
      <c r="Q77" s="709" t="str">
        <f t="array" ref="Q77">INDEX(UtilityList!M$4:M$251,MATCH('Table 2.5b'!$A77&amp;'Table 2.5b'!$B77,UtilityList!$A$4:$A$251&amp;UtilityList!$C$4:$C$251,0))</f>
        <v>AN</v>
      </c>
    </row>
    <row r="78" spans="1:17" s="267" customFormat="1" ht="30" x14ac:dyDescent="0.25">
      <c r="A78" s="361" t="s">
        <v>524</v>
      </c>
      <c r="B78" s="654" t="s">
        <v>110</v>
      </c>
      <c r="C78" s="655">
        <f t="array" ref="C78">IFERROR((INDEX('Table 2.5a'!$D$8:$D$192,MATCH('Table 2.5b'!A78&amp;'Table 2.5b'!B78,'Table 2.5a'!$A$8:$A$192&amp;'Table 2.5a'!$B$8:$B$192,0))/INDEX('Table 2.5a'!$E$8:$E$192,MATCH('Table 2.5b'!A78&amp;'Table 2.5b'!B78,'Table 2.5a'!$A$8:$A$192&amp;'Table 2.5a'!$B$8:$B$192,0)))*1000, "")</f>
        <v>3819.3154362416103</v>
      </c>
      <c r="D78" s="655">
        <f t="array" ref="D78">IFERROR((INDEX('Table 2.5a'!$C$8:$C$192,MATCH('Table 2.5b'!A78&amp;'Table 2.5b'!B78,'Table 2.5a'!$A$8:$A$192&amp;'Table 2.5a'!$B$8:$B$192,0))/INDEX('Table 2.5a'!$E$8:$E$192,MATCH('Table 2.5b'!A78&amp;'Table 2.5b'!B78,'Table 2.5a'!$A$8:$A$192&amp;'Table 2.5a'!$B$8:$B$192,0)))*1000, "")</f>
        <v>2132.228325167785</v>
      </c>
      <c r="E78" s="705">
        <f t="array" ref="E78">IFERROR(INDEX('Table 2.5a'!$C$8:$C$192,MATCH('Table 2.5b'!$A78&amp;'Table 2.5b'!$B78,'Table 2.5a'!$A$8:$A$192&amp;'Table 2.5a'!$B$8:$B$192,0))/INDEX('Table 2.5a'!$D$8:$D$192,MATCH('Table 2.5b'!$A78&amp;'Table 2.5b'!$B78,'Table 2.5a'!$A$8:$A$192&amp;'Table 2.5a'!$B$8:$B$192,0)),"")</f>
        <v>0.55827499999999997</v>
      </c>
      <c r="F78" s="655">
        <f t="array" ref="F78">IFERROR((INDEX('Table 2.5a'!$H$8:$H$192,MATCH('Table 2.5b'!$A78&amp;'Table 2.5b'!$B78,'Table 2.5a'!$A$8:$A$192&amp;'Table 2.5a'!$B$8:$B$192,0))/INDEX('Table 2.5a'!$I$8:$I$192,MATCH('Table 2.5b'!$A78&amp;'Table 2.5b'!$B78,'Table 2.5a'!$A$8:$A$192&amp;'Table 2.5a'!$B$8:$B$192,0)))*1000, "")</f>
        <v>17916</v>
      </c>
      <c r="G78" s="655">
        <f t="array" ref="G78">IFERROR((INDEX('Table 2.5a'!$G$8:$G$192,MATCH('Table 2.5b'!$A78&amp;'Table 2.5b'!$B78,'Table 2.5a'!$A$8:$A$192&amp;'Table 2.5a'!$B$8:$B$192,0))/INDEX('Table 2.5a'!$I$8:$I$192,MATCH('Table 2.5b'!$A78&amp;'Table 2.5b'!$B78,'Table 2.5a'!$A$8:$A$192&amp;'Table 2.5a'!$B$8:$B$192,0)))*1000, "")</f>
        <v>10002.054899999999</v>
      </c>
      <c r="H78" s="705">
        <f t="array" ref="H78">IFERROR(INDEX('Table 2.5a'!$G$8:$G$192,MATCH('Table 2.5b'!$A78&amp;'Table 2.5b'!$B78,'Table 2.5a'!$A$8:$A$192&amp;'Table 2.5a'!$B$8:$B$192,0))/INDEX('Table 2.5a'!$H$8:$H$192,MATCH('Table 2.5b'!$A78&amp;'Table 2.5b'!$B78,'Table 2.5a'!$A$8:$A$192&amp;'Table 2.5a'!$B$8:$B$192,0)),"")</f>
        <v>0.55827499999999997</v>
      </c>
      <c r="I78" s="655">
        <f t="array" ref="I78">IFERROR((INDEX('Table 2.5a'!$L$8:$L$192,MATCH('Table 2.5b'!$A78&amp;'Table 2.5b'!$B78,'Table 2.5a'!$A$8:$A$192&amp;'Table 2.5a'!$B$8:$B$192,0))/INDEX('Table 2.5a'!$I$8:$I$192,MATCH('Table 2.5b'!$A78&amp;'Table 2.5b'!$B78,'Table 2.5a'!$A$8:$A$192&amp;'Table 2.5a'!$B$8:$B$192,0)))*1000, "")</f>
        <v>33153.180327868853</v>
      </c>
      <c r="J78" s="655">
        <f t="array" ref="J78">IFERROR((INDEX('Table 2.5a'!$K$8:$K$192,MATCH('Table 2.5b'!$A78&amp;'Table 2.5b'!$B78,'Table 2.5a'!$A$8:$A$192&amp;'Table 2.5a'!$B$8:$B$192,0))/INDEX('Table 2.5a'!$I$8:$I$192,MATCH('Table 2.5b'!$A78&amp;'Table 2.5b'!$B78,'Table 2.5a'!$A$8:$A$192&amp;'Table 2.5a'!$B$8:$B$192,0)))*1000, "")</f>
        <v>18508.591747540984</v>
      </c>
      <c r="K78" s="705">
        <f t="array" ref="K78">IFERROR(INDEX('Table 2.5a'!$I$8:$I$192,MATCH('Table 2.5b'!$A78&amp;'Table 2.5b'!$B78,'Table 2.5a'!$A$8:$A$192&amp;'Table 2.5a'!$B$8:$B$192,0))/INDEX('Table 2.5a'!$L$8:$L$192,MATCH('Table 2.5b'!$A78&amp;'Table 2.5b'!$B78,'Table 2.5a'!$A$8:$A$192&amp;'Table 2.5a'!$B$8:$B$192,0)),"")</f>
        <v>3.0163018754475003E-2</v>
      </c>
      <c r="L78" s="658" t="s">
        <v>356</v>
      </c>
      <c r="M78" s="709">
        <f t="array" ref="M78">INDEX(UtilityList!Q$4:Q$251,MATCH('Table 2.5b'!$A78&amp;'Table 2.5b'!$B78,UtilityList!$A$4:$A$251&amp;UtilityList!$C$4:$C$251,0))</f>
        <v>0</v>
      </c>
      <c r="N78" s="709" t="str">
        <f t="array" ref="N78">INDEX(UtilityList!J$4:J$251,MATCH('Table 2.5b'!$A78&amp;'Table 2.5b'!$B78,UtilityList!$A$4:$A$251&amp;UtilityList!$C$4:$C$251,0))</f>
        <v>Bering Straits</v>
      </c>
      <c r="O78" s="709" t="str">
        <f t="array" ref="O78">INDEX(UtilityList!K$4:K$251,MATCH('Table 2.5b'!$A78&amp;'Table 2.5b'!$B78,UtilityList!$A$4:$A$251&amp;UtilityList!$C$4:$C$251,0))</f>
        <v>Nome (CA)</v>
      </c>
      <c r="P78" s="709" t="str">
        <f t="array" ref="P78">INDEX(UtilityList!L$4:L$251,MATCH('Table 2.5b'!$A78&amp;'Table 2.5b'!$B78,UtilityList!$A$4:$A$251&amp;UtilityList!$C$4:$C$251,0))</f>
        <v>Bering Straits</v>
      </c>
      <c r="Q78" s="709" t="str">
        <f t="array" ref="Q78">INDEX(UtilityList!M$4:M$251,MATCH('Table 2.5b'!$A78&amp;'Table 2.5b'!$B78,UtilityList!$A$4:$A$251&amp;UtilityList!$C$4:$C$251,0))</f>
        <v>AN</v>
      </c>
    </row>
    <row r="79" spans="1:17" s="267" customFormat="1" ht="30" x14ac:dyDescent="0.25">
      <c r="A79" s="361" t="s">
        <v>524</v>
      </c>
      <c r="B79" s="654" t="s">
        <v>111</v>
      </c>
      <c r="C79" s="655">
        <f t="array" ref="C79">IFERROR((INDEX('Table 2.5a'!$D$8:$D$192,MATCH('Table 2.5b'!A79&amp;'Table 2.5b'!B79,'Table 2.5a'!$A$8:$A$192&amp;'Table 2.5a'!$B$8:$B$192,0))/INDEX('Table 2.5a'!$E$8:$E$192,MATCH('Table 2.5b'!A79&amp;'Table 2.5b'!B79,'Table 2.5a'!$A$8:$A$192&amp;'Table 2.5a'!$B$8:$B$192,0)))*1000, "")</f>
        <v>3620.1340123894229</v>
      </c>
      <c r="D79" s="655">
        <f t="array" ref="D79">IFERROR((INDEX('Table 2.5a'!$C$8:$C$192,MATCH('Table 2.5b'!A79&amp;'Table 2.5b'!B79,'Table 2.5a'!$A$8:$A$192&amp;'Table 2.5a'!$B$8:$B$192,0))/INDEX('Table 2.5a'!$E$8:$E$192,MATCH('Table 2.5b'!A79&amp;'Table 2.5b'!B79,'Table 2.5a'!$A$8:$A$192&amp;'Table 2.5a'!$B$8:$B$192,0)))*1000, "")</f>
        <v>2256.2183675053843</v>
      </c>
      <c r="E79" s="705">
        <f t="array" ref="E79">IFERROR(INDEX('Table 2.5a'!$C$8:$C$192,MATCH('Table 2.5b'!$A79&amp;'Table 2.5b'!$B79,'Table 2.5a'!$A$8:$A$192&amp;'Table 2.5a'!$B$8:$B$192,0))/INDEX('Table 2.5a'!$D$8:$D$192,MATCH('Table 2.5b'!$A79&amp;'Table 2.5b'!$B79,'Table 2.5a'!$A$8:$A$192&amp;'Table 2.5a'!$B$8:$B$192,0)),"")</f>
        <v>0.62324166999999997</v>
      </c>
      <c r="F79" s="655">
        <f t="array" ref="F79">IFERROR((INDEX('Table 2.5a'!$H$8:$H$192,MATCH('Table 2.5b'!$A79&amp;'Table 2.5b'!$B79,'Table 2.5a'!$A$8:$A$192&amp;'Table 2.5a'!$B$8:$B$192,0))/INDEX('Table 2.5a'!$I$8:$I$192,MATCH('Table 2.5b'!$A79&amp;'Table 2.5b'!$B79,'Table 2.5a'!$A$8:$A$192&amp;'Table 2.5a'!$B$8:$B$192,0)))*1000, "")</f>
        <v>12354.114964436052</v>
      </c>
      <c r="G79" s="655">
        <f t="array" ref="G79">IFERROR((INDEX('Table 2.5a'!$G$8:$G$192,MATCH('Table 2.5b'!$A79&amp;'Table 2.5b'!$B79,'Table 2.5a'!$A$8:$A$192&amp;'Table 2.5a'!$B$8:$B$192,0))/INDEX('Table 2.5a'!$I$8:$I$192,MATCH('Table 2.5b'!$A79&amp;'Table 2.5b'!$B79,'Table 2.5a'!$A$8:$A$192&amp;'Table 2.5a'!$B$8:$B$192,0)))*1000, "")</f>
        <v>7699.5992418071146</v>
      </c>
      <c r="H79" s="705">
        <f t="array" ref="H79">IFERROR(INDEX('Table 2.5a'!$G$8:$G$192,MATCH('Table 2.5b'!$A79&amp;'Table 2.5b'!$B79,'Table 2.5a'!$A$8:$A$192&amp;'Table 2.5a'!$B$8:$B$192,0))/INDEX('Table 2.5a'!$H$8:$H$192,MATCH('Table 2.5b'!$A79&amp;'Table 2.5b'!$B79,'Table 2.5a'!$A$8:$A$192&amp;'Table 2.5a'!$B$8:$B$192,0)),"")</f>
        <v>0.62324166999999997</v>
      </c>
      <c r="I79" s="655">
        <f t="array" ref="I79">IFERROR((INDEX('Table 2.5a'!$L$8:$L$192,MATCH('Table 2.5b'!$A79&amp;'Table 2.5b'!$B79,'Table 2.5a'!$A$8:$A$192&amp;'Table 2.5a'!$B$8:$B$192,0))/INDEX('Table 2.5a'!$I$8:$I$192,MATCH('Table 2.5b'!$A79&amp;'Table 2.5b'!$B79,'Table 2.5a'!$A$8:$A$192&amp;'Table 2.5a'!$B$8:$B$192,0)))*1000, "")</f>
        <v>25931.618495073082</v>
      </c>
      <c r="J79" s="655">
        <f t="array" ref="J79">IFERROR((INDEX('Table 2.5a'!$K$8:$K$192,MATCH('Table 2.5b'!$A79&amp;'Table 2.5b'!$B79,'Table 2.5a'!$A$8:$A$192&amp;'Table 2.5a'!$B$8:$B$192,0))/INDEX('Table 2.5a'!$I$8:$I$192,MATCH('Table 2.5b'!$A79&amp;'Table 2.5b'!$B79,'Table 2.5a'!$A$8:$A$192&amp;'Table 2.5a'!$B$8:$B$192,0)))*1000, "")</f>
        <v>16161.665216672232</v>
      </c>
      <c r="K79" s="705">
        <f t="array" ref="K79">IFERROR(INDEX('Table 2.5a'!$I$8:$I$192,MATCH('Table 2.5b'!$A79&amp;'Table 2.5b'!$B79,'Table 2.5a'!$A$8:$A$192&amp;'Table 2.5a'!$B$8:$B$192,0))/INDEX('Table 2.5a'!$L$8:$L$192,MATCH('Table 2.5b'!$A79&amp;'Table 2.5b'!$B79,'Table 2.5a'!$A$8:$A$192&amp;'Table 2.5a'!$B$8:$B$192,0)),"")</f>
        <v>3.8562961281803393E-2</v>
      </c>
      <c r="L79" s="658" t="s">
        <v>356</v>
      </c>
      <c r="M79" s="709">
        <f t="array" ref="M79">INDEX(UtilityList!Q$4:Q$251,MATCH('Table 2.5b'!$A79&amp;'Table 2.5b'!$B79,UtilityList!$A$4:$A$251&amp;UtilityList!$C$4:$C$251,0))</f>
        <v>0</v>
      </c>
      <c r="N79" s="709" t="str">
        <f t="array" ref="N79">INDEX(UtilityList!J$4:J$251,MATCH('Table 2.5b'!$A79&amp;'Table 2.5b'!$B79,UtilityList!$A$4:$A$251&amp;UtilityList!$C$4:$C$251,0))</f>
        <v>Bering Straits</v>
      </c>
      <c r="O79" s="709" t="str">
        <f t="array" ref="O79">INDEX(UtilityList!K$4:K$251,MATCH('Table 2.5b'!$A79&amp;'Table 2.5b'!$B79,UtilityList!$A$4:$A$251&amp;UtilityList!$C$4:$C$251,0))</f>
        <v>Nome (CA)</v>
      </c>
      <c r="P79" s="709" t="str">
        <f t="array" ref="P79">INDEX(UtilityList!L$4:L$251,MATCH('Table 2.5b'!$A79&amp;'Table 2.5b'!$B79,UtilityList!$A$4:$A$251&amp;UtilityList!$C$4:$C$251,0))</f>
        <v>Bering Straits</v>
      </c>
      <c r="Q79" s="709" t="str">
        <f t="array" ref="Q79">INDEX(UtilityList!M$4:M$251,MATCH('Table 2.5b'!$A79&amp;'Table 2.5b'!$B79,UtilityList!$A$4:$A$251&amp;UtilityList!$C$4:$C$251,0))</f>
        <v>AN</v>
      </c>
    </row>
    <row r="80" spans="1:17" s="267" customFormat="1" ht="30" x14ac:dyDescent="0.25">
      <c r="A80" s="361" t="s">
        <v>524</v>
      </c>
      <c r="B80" s="654" t="s">
        <v>112</v>
      </c>
      <c r="C80" s="655">
        <f t="array" ref="C80">IFERROR((INDEX('Table 2.5a'!$D$8:$D$192,MATCH('Table 2.5b'!A80&amp;'Table 2.5b'!B80,'Table 2.5a'!$A$8:$A$192&amp;'Table 2.5a'!$B$8:$B$192,0))/INDEX('Table 2.5a'!$E$8:$E$192,MATCH('Table 2.5b'!A80&amp;'Table 2.5b'!B80,'Table 2.5a'!$A$8:$A$192&amp;'Table 2.5a'!$B$8:$B$192,0)))*1000, "")</f>
        <v>5210.0949135773253</v>
      </c>
      <c r="D80" s="655">
        <f t="array" ref="D80">IFERROR((INDEX('Table 2.5a'!$C$8:$C$192,MATCH('Table 2.5b'!A80&amp;'Table 2.5b'!B80,'Table 2.5a'!$A$8:$A$192&amp;'Table 2.5a'!$B$8:$B$192,0))/INDEX('Table 2.5a'!$E$8:$E$192,MATCH('Table 2.5b'!A80&amp;'Table 2.5b'!B80,'Table 2.5a'!$A$8:$A$192&amp;'Table 2.5a'!$B$8:$B$192,0)))*1000, "")</f>
        <v>2961.1140440410431</v>
      </c>
      <c r="E80" s="705">
        <f t="array" ref="E80">IFERROR(INDEX('Table 2.5a'!$C$8:$C$192,MATCH('Table 2.5b'!$A80&amp;'Table 2.5b'!$B80,'Table 2.5a'!$A$8:$A$192&amp;'Table 2.5a'!$B$8:$B$192,0))/INDEX('Table 2.5a'!$D$8:$D$192,MATCH('Table 2.5b'!$A80&amp;'Table 2.5b'!$B80,'Table 2.5a'!$A$8:$A$192&amp;'Table 2.5a'!$B$8:$B$192,0)),"")</f>
        <v>0.56834167000000002</v>
      </c>
      <c r="F80" s="655">
        <f t="array" ref="F80">IFERROR((INDEX('Table 2.5a'!$H$8:$H$192,MATCH('Table 2.5b'!$A80&amp;'Table 2.5b'!$B80,'Table 2.5a'!$A$8:$A$192&amp;'Table 2.5a'!$B$8:$B$192,0))/INDEX('Table 2.5a'!$I$8:$I$192,MATCH('Table 2.5b'!$A80&amp;'Table 2.5b'!$B80,'Table 2.5a'!$A$8:$A$192&amp;'Table 2.5a'!$B$8:$B$192,0)))*1000, "")</f>
        <v>31435.345322684825</v>
      </c>
      <c r="G80" s="655">
        <f t="array" ref="G80">IFERROR((INDEX('Table 2.5a'!$G$8:$G$192,MATCH('Table 2.5b'!$A80&amp;'Table 2.5b'!$B80,'Table 2.5a'!$A$8:$A$192&amp;'Table 2.5a'!$B$8:$B$192,0))/INDEX('Table 2.5a'!$I$8:$I$192,MATCH('Table 2.5b'!$A80&amp;'Table 2.5b'!$B80,'Table 2.5a'!$A$8:$A$192&amp;'Table 2.5a'!$B$8:$B$192,0)))*1000, "")</f>
        <v>17866.016657721382</v>
      </c>
      <c r="H80" s="705">
        <f t="array" ref="H80">IFERROR(INDEX('Table 2.5a'!$G$8:$G$192,MATCH('Table 2.5b'!$A80&amp;'Table 2.5b'!$B80,'Table 2.5a'!$A$8:$A$192&amp;'Table 2.5a'!$B$8:$B$192,0))/INDEX('Table 2.5a'!$H$8:$H$192,MATCH('Table 2.5b'!$A80&amp;'Table 2.5b'!$B80,'Table 2.5a'!$A$8:$A$192&amp;'Table 2.5a'!$B$8:$B$192,0)),"")</f>
        <v>0.56834167000000002</v>
      </c>
      <c r="I80" s="655">
        <f t="array" ref="I80">IFERROR((INDEX('Table 2.5a'!$L$8:$L$192,MATCH('Table 2.5b'!$A80&amp;'Table 2.5b'!$B80,'Table 2.5a'!$A$8:$A$192&amp;'Table 2.5a'!$B$8:$B$192,0))/INDEX('Table 2.5a'!$I$8:$I$192,MATCH('Table 2.5b'!$A80&amp;'Table 2.5b'!$B80,'Table 2.5a'!$A$8:$A$192&amp;'Table 2.5a'!$B$8:$B$192,0)))*1000, "")</f>
        <v>34297.245064809234</v>
      </c>
      <c r="J80" s="655">
        <f t="array" ref="J80">IFERROR((INDEX('Table 2.5a'!$K$8:$K$192,MATCH('Table 2.5b'!$A80&amp;'Table 2.5b'!$B80,'Table 2.5a'!$A$8:$A$192&amp;'Table 2.5a'!$B$8:$B$192,0))/INDEX('Table 2.5a'!$I$8:$I$192,MATCH('Table 2.5b'!$A80&amp;'Table 2.5b'!$B80,'Table 2.5a'!$A$8:$A$192&amp;'Table 2.5a'!$B$8:$B$192,0)))*1000, "")</f>
        <v>19492.553536532938</v>
      </c>
      <c r="K80" s="705">
        <f t="array" ref="K80">IFERROR(INDEX('Table 2.5a'!$I$8:$I$192,MATCH('Table 2.5b'!$A80&amp;'Table 2.5b'!$B80,'Table 2.5a'!$A$8:$A$192&amp;'Table 2.5a'!$B$8:$B$192,0))/INDEX('Table 2.5a'!$L$8:$L$192,MATCH('Table 2.5b'!$A80&amp;'Table 2.5b'!$B80,'Table 2.5a'!$A$8:$A$192&amp;'Table 2.5a'!$B$8:$B$192,0)),"")</f>
        <v>2.9156860794806293E-2</v>
      </c>
      <c r="L80" s="658" t="s">
        <v>356</v>
      </c>
      <c r="M80" s="709">
        <f t="array" ref="M80">INDEX(UtilityList!Q$4:Q$251,MATCH('Table 2.5b'!$A80&amp;'Table 2.5b'!$B80,UtilityList!$A$4:$A$251&amp;UtilityList!$C$4:$C$251,0))</f>
        <v>0</v>
      </c>
      <c r="N80" s="709" t="str">
        <f t="array" ref="N80">INDEX(UtilityList!J$4:J$251,MATCH('Table 2.5b'!$A80&amp;'Table 2.5b'!$B80,UtilityList!$A$4:$A$251&amp;UtilityList!$C$4:$C$251,0))</f>
        <v>Bristol Bay</v>
      </c>
      <c r="O80" s="709" t="str">
        <f t="array" ref="O80">INDEX(UtilityList!K$4:K$251,MATCH('Table 2.5b'!$A80&amp;'Table 2.5b'!$B80,UtilityList!$A$4:$A$251&amp;UtilityList!$C$4:$C$251,0))</f>
        <v>Dillingham (CA)</v>
      </c>
      <c r="P80" s="709" t="str">
        <f t="array" ref="P80">INDEX(UtilityList!L$4:L$251,MATCH('Table 2.5b'!$A80&amp;'Table 2.5b'!$B80,UtilityList!$A$4:$A$251&amp;UtilityList!$C$4:$C$251,0))</f>
        <v>Bristol Bay</v>
      </c>
      <c r="Q80" s="709" t="str">
        <f t="array" ref="Q80">INDEX(UtilityList!M$4:M$251,MATCH('Table 2.5b'!$A80&amp;'Table 2.5b'!$B80,UtilityList!$A$4:$A$251&amp;UtilityList!$C$4:$C$251,0))</f>
        <v>SW</v>
      </c>
    </row>
    <row r="81" spans="1:17" s="267" customFormat="1" ht="90" x14ac:dyDescent="0.25">
      <c r="A81" s="361" t="s">
        <v>524</v>
      </c>
      <c r="B81" s="654" t="s">
        <v>996</v>
      </c>
      <c r="C81" s="655">
        <f t="array" ref="C81">IFERROR((INDEX('Table 2.5a'!$D$8:$D$192,MATCH('Table 2.5b'!A81&amp;'Table 2.5b'!B81,'Table 2.5a'!$A$8:$A$192&amp;'Table 2.5a'!$B$8:$B$192,0))/INDEX('Table 2.5a'!$E$8:$E$192,MATCH('Table 2.5b'!A81&amp;'Table 2.5b'!B81,'Table 2.5a'!$A$8:$A$192&amp;'Table 2.5a'!$B$8:$B$192,0)))*1000, "")</f>
        <v>5291.3069679849341</v>
      </c>
      <c r="D81" s="655">
        <f t="array" ref="D81">IFERROR((INDEX('Table 2.5a'!$C$8:$C$192,MATCH('Table 2.5b'!A81&amp;'Table 2.5b'!B81,'Table 2.5a'!$A$8:$A$192&amp;'Table 2.5a'!$B$8:$B$192,0))/INDEX('Table 2.5a'!$E$8:$E$192,MATCH('Table 2.5b'!A81&amp;'Table 2.5b'!B81,'Table 2.5a'!$A$8:$A$192&amp;'Table 2.5a'!$B$8:$B$192,0)))*1000, "")</f>
        <v>2735.8702677966103</v>
      </c>
      <c r="E81" s="705">
        <f t="array" ref="E81">IFERROR(INDEX('Table 2.5a'!$C$8:$C$192,MATCH('Table 2.5b'!$A81&amp;'Table 2.5b'!$B81,'Table 2.5a'!$A$8:$A$192&amp;'Table 2.5a'!$B$8:$B$192,0))/INDEX('Table 2.5a'!$D$8:$D$192,MATCH('Table 2.5b'!$A81&amp;'Table 2.5b'!$B81,'Table 2.5a'!$A$8:$A$192&amp;'Table 2.5a'!$B$8:$B$192,0)),"")</f>
        <v>0.51705000000000001</v>
      </c>
      <c r="F81" s="655">
        <f t="array" ref="F81">IFERROR((INDEX('Table 2.5a'!$H$8:$H$192,MATCH('Table 2.5b'!$A81&amp;'Table 2.5b'!$B81,'Table 2.5a'!$A$8:$A$192&amp;'Table 2.5a'!$B$8:$B$192,0))/INDEX('Table 2.5a'!$I$8:$I$192,MATCH('Table 2.5b'!$A81&amp;'Table 2.5b'!$B81,'Table 2.5a'!$A$8:$A$192&amp;'Table 2.5a'!$B$8:$B$192,0)))*1000, "")</f>
        <v>15251.64533139989</v>
      </c>
      <c r="G81" s="655">
        <f t="array" ref="G81">IFERROR((INDEX('Table 2.5a'!$G$8:$G$192,MATCH('Table 2.5b'!$A81&amp;'Table 2.5b'!$B81,'Table 2.5a'!$A$8:$A$192&amp;'Table 2.5a'!$B$8:$B$192,0))/INDEX('Table 2.5a'!$I$8:$I$192,MATCH('Table 2.5b'!$A81&amp;'Table 2.5b'!$B81,'Table 2.5a'!$A$8:$A$192&amp;'Table 2.5a'!$B$8:$B$192,0)))*1000, "")</f>
        <v>7885.8632186003133</v>
      </c>
      <c r="H81" s="705">
        <f t="array" ref="H81">IFERROR(INDEX('Table 2.5a'!$G$8:$G$192,MATCH('Table 2.5b'!$A81&amp;'Table 2.5b'!$B81,'Table 2.5a'!$A$8:$A$192&amp;'Table 2.5a'!$B$8:$B$192,0))/INDEX('Table 2.5a'!$H$8:$H$192,MATCH('Table 2.5b'!$A81&amp;'Table 2.5b'!$B81,'Table 2.5a'!$A$8:$A$192&amp;'Table 2.5a'!$B$8:$B$192,0)),"")</f>
        <v>0.51705000000000001</v>
      </c>
      <c r="I81" s="655">
        <f t="array" ref="I81">IFERROR((INDEX('Table 2.5a'!$L$8:$L$192,MATCH('Table 2.5b'!$A81&amp;'Table 2.5b'!$B81,'Table 2.5a'!$A$8:$A$192&amp;'Table 2.5a'!$B$8:$B$192,0))/INDEX('Table 2.5a'!$I$8:$I$192,MATCH('Table 2.5b'!$A81&amp;'Table 2.5b'!$B81,'Table 2.5a'!$A$8:$A$192&amp;'Table 2.5a'!$B$8:$B$192,0)))*1000, "")</f>
        <v>43312.048362415349</v>
      </c>
      <c r="J81" s="655">
        <f t="array" ref="J81">IFERROR((INDEX('Table 2.5a'!$K$8:$K$192,MATCH('Table 2.5b'!$A81&amp;'Table 2.5b'!$B81,'Table 2.5a'!$A$8:$A$192&amp;'Table 2.5a'!$B$8:$B$192,0))/INDEX('Table 2.5a'!$I$8:$I$192,MATCH('Table 2.5b'!$A81&amp;'Table 2.5b'!$B81,'Table 2.5a'!$A$8:$A$192&amp;'Table 2.5a'!$B$8:$B$192,0)))*1000, "")</f>
        <v>22394.494605786855</v>
      </c>
      <c r="K81" s="705">
        <f t="array" ref="K81">IFERROR(INDEX('Table 2.5a'!$I$8:$I$192,MATCH('Table 2.5b'!$A81&amp;'Table 2.5b'!$B81,'Table 2.5a'!$A$8:$A$192&amp;'Table 2.5a'!$B$8:$B$192,0))/INDEX('Table 2.5a'!$L$8:$L$192,MATCH('Table 2.5b'!$A81&amp;'Table 2.5b'!$B81,'Table 2.5a'!$A$8:$A$192&amp;'Table 2.5a'!$B$8:$B$192,0)),"")</f>
        <v>2.3088263839023702E-2</v>
      </c>
      <c r="L81" s="658" t="s">
        <v>356</v>
      </c>
      <c r="M81" s="709" t="str">
        <f t="array" ref="M81">INDEX(UtilityList!Q$4:Q$251,MATCH('Table 2.5b'!$A81&amp;'Table 2.5b'!$B81,UtilityList!$A$4:$A$251&amp;UtilityList!$C$4:$C$251,0))</f>
        <v>Provides power to Nightmute and Tununak via intertie. Fuel use and cost includes Nightmute's and Tununak's information.</v>
      </c>
      <c r="N81" s="709" t="str">
        <f t="array" ref="N81">INDEX(UtilityList!J$4:J$251,MATCH('Table 2.5b'!$A81&amp;'Table 2.5b'!$B81,UtilityList!$A$4:$A$251&amp;UtilityList!$C$4:$C$251,0))</f>
        <v>Lower Yukon-Kuskokwim</v>
      </c>
      <c r="O81" s="709" t="str">
        <f t="array" ref="O81">INDEX(UtilityList!K$4:K$251,MATCH('Table 2.5b'!$A81&amp;'Table 2.5b'!$B81,UtilityList!$A$4:$A$251&amp;UtilityList!$C$4:$C$251,0))</f>
        <v>Bethel (CA)</v>
      </c>
      <c r="P81" s="709" t="str">
        <f t="array" ref="P81">INDEX(UtilityList!L$4:L$251,MATCH('Table 2.5b'!$A81&amp;'Table 2.5b'!$B81,UtilityList!$A$4:$A$251&amp;UtilityList!$C$4:$C$251,0))</f>
        <v>Calista</v>
      </c>
      <c r="Q81" s="709" t="str">
        <f t="array" ref="Q81">INDEX(UtilityList!M$4:M$251,MATCH('Table 2.5b'!$A81&amp;'Table 2.5b'!$B81,UtilityList!$A$4:$A$251&amp;UtilityList!$C$4:$C$251,0))</f>
        <v>SW</v>
      </c>
    </row>
    <row r="82" spans="1:17" s="267" customFormat="1" ht="75" x14ac:dyDescent="0.25">
      <c r="A82" s="361" t="s">
        <v>524</v>
      </c>
      <c r="B82" s="654" t="s">
        <v>114</v>
      </c>
      <c r="C82" s="655">
        <f t="array" ref="C82">IFERROR((INDEX('Table 2.5a'!$D$8:$D$192,MATCH('Table 2.5b'!A82&amp;'Table 2.5b'!B82,'Table 2.5a'!$A$8:$A$192&amp;'Table 2.5a'!$B$8:$B$192,0))/INDEX('Table 2.5a'!$E$8:$E$192,MATCH('Table 2.5b'!A82&amp;'Table 2.5b'!B82,'Table 2.5a'!$A$8:$A$192&amp;'Table 2.5a'!$B$8:$B$192,0)))*1000, "")</f>
        <v>4248.7877655492357</v>
      </c>
      <c r="D82" s="655">
        <f t="array" ref="D82">IFERROR((INDEX('Table 2.5a'!$C$8:$C$192,MATCH('Table 2.5b'!A82&amp;'Table 2.5b'!B82,'Table 2.5a'!$A$8:$A$192&amp;'Table 2.5a'!$B$8:$B$192,0))/INDEX('Table 2.5a'!$E$8:$E$192,MATCH('Table 2.5b'!A82&amp;'Table 2.5b'!B82,'Table 2.5a'!$A$8:$A$192&amp;'Table 2.5a'!$B$8:$B$192,0)))*1000, "")</f>
        <v>2200.6171352885708</v>
      </c>
      <c r="E82" s="705">
        <f t="array" ref="E82">IFERROR(INDEX('Table 2.5a'!$C$8:$C$192,MATCH('Table 2.5b'!$A82&amp;'Table 2.5b'!$B82,'Table 2.5a'!$A$8:$A$192&amp;'Table 2.5a'!$B$8:$B$192,0))/INDEX('Table 2.5a'!$D$8:$D$192,MATCH('Table 2.5b'!$A82&amp;'Table 2.5b'!$B82,'Table 2.5a'!$A$8:$A$192&amp;'Table 2.5a'!$B$8:$B$192,0)),"")</f>
        <v>0.51793999999999996</v>
      </c>
      <c r="F82" s="655">
        <f t="array" ref="F82">IFERROR((INDEX('Table 2.5a'!$H$8:$H$192,MATCH('Table 2.5b'!$A82&amp;'Table 2.5b'!$B82,'Table 2.5a'!$A$8:$A$192&amp;'Table 2.5a'!$B$8:$B$192,0))/INDEX('Table 2.5a'!$I$8:$I$192,MATCH('Table 2.5b'!$A82&amp;'Table 2.5b'!$B82,'Table 2.5a'!$A$8:$A$192&amp;'Table 2.5a'!$B$8:$B$192,0)))*1000, "")</f>
        <v>7250.1743020087424</v>
      </c>
      <c r="G82" s="655">
        <f t="array" ref="G82">IFERROR((INDEX('Table 2.5a'!$G$8:$G$192,MATCH('Table 2.5b'!$A82&amp;'Table 2.5b'!$B82,'Table 2.5a'!$A$8:$A$192&amp;'Table 2.5a'!$B$8:$B$192,0))/INDEX('Table 2.5a'!$I$8:$I$192,MATCH('Table 2.5b'!$A82&amp;'Table 2.5b'!$B82,'Table 2.5a'!$A$8:$A$192&amp;'Table 2.5a'!$B$8:$B$192,0)))*1000, "")</f>
        <v>3755.1552779824078</v>
      </c>
      <c r="H82" s="705">
        <f t="array" ref="H82">IFERROR(INDEX('Table 2.5a'!$G$8:$G$192,MATCH('Table 2.5b'!$A82&amp;'Table 2.5b'!$B82,'Table 2.5a'!$A$8:$A$192&amp;'Table 2.5a'!$B$8:$B$192,0))/INDEX('Table 2.5a'!$H$8:$H$192,MATCH('Table 2.5b'!$A82&amp;'Table 2.5b'!$B82,'Table 2.5a'!$A$8:$A$192&amp;'Table 2.5a'!$B$8:$B$192,0)),"")</f>
        <v>0.51793999999999996</v>
      </c>
      <c r="I82" s="655">
        <f t="array" ref="I82">IFERROR((INDEX('Table 2.5a'!$L$8:$L$192,MATCH('Table 2.5b'!$A82&amp;'Table 2.5b'!$B82,'Table 2.5a'!$A$8:$A$192&amp;'Table 2.5a'!$B$8:$B$192,0))/INDEX('Table 2.5a'!$I$8:$I$192,MATCH('Table 2.5b'!$A82&amp;'Table 2.5b'!$B82,'Table 2.5a'!$A$8:$A$192&amp;'Table 2.5a'!$B$8:$B$192,0)))*1000, "")</f>
        <v>23176.428908015332</v>
      </c>
      <c r="J82" s="655">
        <f t="array" ref="J82">IFERROR((INDEX('Table 2.5a'!$K$8:$K$192,MATCH('Table 2.5b'!$A82&amp;'Table 2.5b'!$B82,'Table 2.5a'!$A$8:$A$192&amp;'Table 2.5a'!$B$8:$B$192,0))/INDEX('Table 2.5a'!$I$8:$I$192,MATCH('Table 2.5b'!$A82&amp;'Table 2.5b'!$B82,'Table 2.5a'!$A$8:$A$192&amp;'Table 2.5a'!$B$8:$B$192,0)))*1000, "")</f>
        <v>12003.999588617458</v>
      </c>
      <c r="K82" s="705">
        <f t="array" ref="K82">IFERROR(INDEX('Table 2.5a'!$I$8:$I$192,MATCH('Table 2.5b'!$A82&amp;'Table 2.5b'!$B82,'Table 2.5a'!$A$8:$A$192&amp;'Table 2.5a'!$B$8:$B$192,0))/INDEX('Table 2.5a'!$L$8:$L$192,MATCH('Table 2.5b'!$A82&amp;'Table 2.5b'!$B82,'Table 2.5a'!$A$8:$A$192&amp;'Table 2.5a'!$B$8:$B$192,0)),"")</f>
        <v>4.3147285717264242E-2</v>
      </c>
      <c r="L82" s="658" t="s">
        <v>356</v>
      </c>
      <c r="M82" s="709" t="str">
        <f t="array" ref="M82">INDEX(UtilityList!Q$4:Q$251,MATCH('Table 2.5b'!$A82&amp;'Table 2.5b'!$B82,UtilityList!$A$4:$A$251&amp;UtilityList!$C$4:$C$251,0))</f>
        <v>Receives power from Toksook Bay via intertie. For fuel use and cost, please refer to Toksook Bay.</v>
      </c>
      <c r="N82" s="709" t="str">
        <f t="array" ref="N82">INDEX(UtilityList!J$4:J$251,MATCH('Table 2.5b'!$A82&amp;'Table 2.5b'!$B82,UtilityList!$A$4:$A$251&amp;UtilityList!$C$4:$C$251,0))</f>
        <v>Lower Yukon-Kuskokwim</v>
      </c>
      <c r="O82" s="709" t="str">
        <f t="array" ref="O82">INDEX(UtilityList!K$4:K$251,MATCH('Table 2.5b'!$A82&amp;'Table 2.5b'!$B82,UtilityList!$A$4:$A$251&amp;UtilityList!$C$4:$C$251,0))</f>
        <v>Bethel (CA)</v>
      </c>
      <c r="P82" s="709" t="str">
        <f t="array" ref="P82">INDEX(UtilityList!L$4:L$251,MATCH('Table 2.5b'!$A82&amp;'Table 2.5b'!$B82,UtilityList!$A$4:$A$251&amp;UtilityList!$C$4:$C$251,0))</f>
        <v>Calista</v>
      </c>
      <c r="Q82" s="709" t="str">
        <f t="array" ref="Q82">INDEX(UtilityList!M$4:M$251,MATCH('Table 2.5b'!$A82&amp;'Table 2.5b'!$B82,UtilityList!$A$4:$A$251&amp;UtilityList!$C$4:$C$251,0))</f>
        <v>SW</v>
      </c>
    </row>
    <row r="83" spans="1:17" s="285" customFormat="1" ht="30" x14ac:dyDescent="0.25">
      <c r="A83" s="361" t="s">
        <v>524</v>
      </c>
      <c r="B83" s="654" t="s">
        <v>116</v>
      </c>
      <c r="C83" s="655">
        <f t="array" ref="C83">IFERROR((INDEX('Table 2.5a'!$D$8:$D$192,MATCH('Table 2.5b'!A83&amp;'Table 2.5b'!B83,'Table 2.5a'!$A$8:$A$192&amp;'Table 2.5a'!$B$8:$B$192,0))/INDEX('Table 2.5a'!$E$8:$E$192,MATCH('Table 2.5b'!A83&amp;'Table 2.5b'!B83,'Table 2.5a'!$A$8:$A$192&amp;'Table 2.5a'!$B$8:$B$192,0)))*1000, "")</f>
        <v>4635.7365307607661</v>
      </c>
      <c r="D83" s="655">
        <f t="array" ref="D83">IFERROR((INDEX('Table 2.5a'!$C$8:$C$192,MATCH('Table 2.5b'!A83&amp;'Table 2.5b'!B83,'Table 2.5a'!$A$8:$A$192&amp;'Table 2.5a'!$B$8:$B$192,0))/INDEX('Table 2.5a'!$E$8:$E$192,MATCH('Table 2.5b'!A83&amp;'Table 2.5b'!B83,'Table 2.5a'!$A$8:$A$192&amp;'Table 2.5a'!$B$8:$B$192,0)))*1000, "")</f>
        <v>2985.2598167113629</v>
      </c>
      <c r="E83" s="705">
        <f t="array" ref="E83">IFERROR(INDEX('Table 2.5a'!$C$8:$C$192,MATCH('Table 2.5b'!$A83&amp;'Table 2.5b'!$B83,'Table 2.5a'!$A$8:$A$192&amp;'Table 2.5a'!$B$8:$B$192,0))/INDEX('Table 2.5a'!$D$8:$D$192,MATCH('Table 2.5b'!$A83&amp;'Table 2.5b'!$B83,'Table 2.5a'!$A$8:$A$192&amp;'Table 2.5a'!$B$8:$B$192,0)),"")</f>
        <v>0.64396666999999996</v>
      </c>
      <c r="F83" s="655">
        <f t="array" ref="F83">IFERROR((INDEX('Table 2.5a'!$H$8:$H$192,MATCH('Table 2.5b'!$A83&amp;'Table 2.5b'!$B83,'Table 2.5a'!$A$8:$A$192&amp;'Table 2.5a'!$B$8:$B$192,0))/INDEX('Table 2.5a'!$I$8:$I$192,MATCH('Table 2.5b'!$A83&amp;'Table 2.5b'!$B83,'Table 2.5a'!$A$8:$A$192&amp;'Table 2.5a'!$B$8:$B$192,0)))*1000, "")</f>
        <v>10868.464673873739</v>
      </c>
      <c r="G83" s="655">
        <f t="array" ref="G83">IFERROR((INDEX('Table 2.5a'!$G$8:$G$192,MATCH('Table 2.5b'!$A83&amp;'Table 2.5b'!$B83,'Table 2.5a'!$A$8:$A$192&amp;'Table 2.5a'!$B$8:$B$192,0))/INDEX('Table 2.5a'!$I$8:$I$192,MATCH('Table 2.5b'!$A83&amp;'Table 2.5b'!$B83,'Table 2.5a'!$A$8:$A$192&amp;'Table 2.5a'!$B$8:$B$192,0)))*1000, "")</f>
        <v>6998.9290040471069</v>
      </c>
      <c r="H83" s="705">
        <f t="array" ref="H83">IFERROR(INDEX('Table 2.5a'!$G$8:$G$192,MATCH('Table 2.5b'!$A83&amp;'Table 2.5b'!$B83,'Table 2.5a'!$A$8:$A$192&amp;'Table 2.5a'!$B$8:$B$192,0))/INDEX('Table 2.5a'!$H$8:$H$192,MATCH('Table 2.5b'!$A83&amp;'Table 2.5b'!$B83,'Table 2.5a'!$A$8:$A$192&amp;'Table 2.5a'!$B$8:$B$192,0)),"")</f>
        <v>0.64396666999999996</v>
      </c>
      <c r="I83" s="655">
        <f t="array" ref="I83">IFERROR((INDEX('Table 2.5a'!$L$8:$L$192,MATCH('Table 2.5b'!$A83&amp;'Table 2.5b'!$B83,'Table 2.5a'!$A$8:$A$192&amp;'Table 2.5a'!$B$8:$B$192,0))/INDEX('Table 2.5a'!$I$8:$I$192,MATCH('Table 2.5b'!$A83&amp;'Table 2.5b'!$B83,'Table 2.5a'!$A$8:$A$192&amp;'Table 2.5a'!$B$8:$B$192,0)))*1000, "")</f>
        <v>21372.536477590591</v>
      </c>
      <c r="J83" s="655">
        <f t="array" ref="J83">IFERROR((INDEX('Table 2.5a'!$K$8:$K$192,MATCH('Table 2.5b'!$A83&amp;'Table 2.5b'!$B83,'Table 2.5a'!$A$8:$A$192&amp;'Table 2.5a'!$B$8:$B$192,0))/INDEX('Table 2.5a'!$I$8:$I$192,MATCH('Table 2.5b'!$A83&amp;'Table 2.5b'!$B83,'Table 2.5a'!$A$8:$A$192&amp;'Table 2.5a'!$B$8:$B$192,0)))*1000, "")</f>
        <v>13763.201144927541</v>
      </c>
      <c r="K83" s="705">
        <f t="array" ref="K83">IFERROR(INDEX('Table 2.5a'!$I$8:$I$192,MATCH('Table 2.5b'!$A83&amp;'Table 2.5b'!$B83,'Table 2.5a'!$A$8:$A$192&amp;'Table 2.5a'!$B$8:$B$192,0))/INDEX('Table 2.5a'!$L$8:$L$192,MATCH('Table 2.5b'!$A83&amp;'Table 2.5b'!$B83,'Table 2.5a'!$A$8:$A$192&amp;'Table 2.5a'!$B$8:$B$192,0)),"")</f>
        <v>4.6789018282809541E-2</v>
      </c>
      <c r="L83" s="658" t="s">
        <v>356</v>
      </c>
      <c r="M83" s="709">
        <f t="array" ref="M83">INDEX(UtilityList!Q$4:Q$251,MATCH('Table 2.5b'!$A83&amp;'Table 2.5b'!$B83,UtilityList!$A$4:$A$251&amp;UtilityList!$C$4:$C$251,0))</f>
        <v>0</v>
      </c>
      <c r="N83" s="709" t="str">
        <f t="array" ref="N83">INDEX(UtilityList!J$4:J$251,MATCH('Table 2.5b'!$A83&amp;'Table 2.5b'!$B83,UtilityList!$A$4:$A$251&amp;UtilityList!$C$4:$C$251,0))</f>
        <v>Bering Straits</v>
      </c>
      <c r="O83" s="709" t="str">
        <f t="array" ref="O83">INDEX(UtilityList!K$4:K$251,MATCH('Table 2.5b'!$A83&amp;'Table 2.5b'!$B83,UtilityList!$A$4:$A$251&amp;UtilityList!$C$4:$C$251,0))</f>
        <v>Nome (CA)</v>
      </c>
      <c r="P83" s="709" t="str">
        <f t="array" ref="P83">INDEX(UtilityList!L$4:L$251,MATCH('Table 2.5b'!$A83&amp;'Table 2.5b'!$B83,UtilityList!$A$4:$A$251&amp;UtilityList!$C$4:$C$251,0))</f>
        <v>Bering Straits</v>
      </c>
      <c r="Q83" s="709" t="str">
        <f t="array" ref="Q83">INDEX(UtilityList!M$4:M$251,MATCH('Table 2.5b'!$A83&amp;'Table 2.5b'!$B83,UtilityList!$A$4:$A$251&amp;UtilityList!$C$4:$C$251,0))</f>
        <v>AN</v>
      </c>
    </row>
    <row r="84" spans="1:17" s="267" customFormat="1" ht="30" x14ac:dyDescent="0.25">
      <c r="A84" s="361" t="s">
        <v>117</v>
      </c>
      <c r="B84" s="654" t="s">
        <v>118</v>
      </c>
      <c r="C84" s="655">
        <f t="array" ref="C84">IFERROR((INDEX('Table 2.5a'!$D$8:$D$192,MATCH('Table 2.5b'!A84&amp;'Table 2.5b'!B84,'Table 2.5a'!$A$8:$A$192&amp;'Table 2.5a'!$B$8:$B$192,0))/INDEX('Table 2.5a'!$E$8:$E$192,MATCH('Table 2.5b'!A84&amp;'Table 2.5b'!B84,'Table 2.5a'!$A$8:$A$192&amp;'Table 2.5a'!$B$8:$B$192,0)))*1000, "")</f>
        <v>6519.6454045659384</v>
      </c>
      <c r="D84" s="655">
        <f t="array" ref="D84">IFERROR((INDEX('Table 2.5a'!$C$8:$C$192,MATCH('Table 2.5b'!A84&amp;'Table 2.5b'!B84,'Table 2.5a'!$A$8:$A$192&amp;'Table 2.5a'!$B$8:$B$192,0))/INDEX('Table 2.5a'!$E$8:$E$192,MATCH('Table 2.5b'!A84&amp;'Table 2.5b'!B84,'Table 2.5a'!$A$8:$A$192&amp;'Table 2.5a'!$B$8:$B$192,0)))*1000, "")</f>
        <v>3911.7872427395632</v>
      </c>
      <c r="E84" s="705">
        <f t="array" ref="E84">IFERROR(INDEX('Table 2.5a'!$C$8:$C$192,MATCH('Table 2.5b'!$A84&amp;'Table 2.5b'!$B84,'Table 2.5a'!$A$8:$A$192&amp;'Table 2.5a'!$B$8:$B$192,0))/INDEX('Table 2.5a'!$D$8:$D$192,MATCH('Table 2.5b'!$A84&amp;'Table 2.5b'!$B84,'Table 2.5a'!$A$8:$A$192&amp;'Table 2.5a'!$B$8:$B$192,0)),"")</f>
        <v>0.6</v>
      </c>
      <c r="F84" s="655">
        <f t="array" ref="F84">IFERROR((INDEX('Table 2.5a'!$H$8:$H$192,MATCH('Table 2.5b'!$A84&amp;'Table 2.5b'!$B84,'Table 2.5a'!$A$8:$A$192&amp;'Table 2.5a'!$B$8:$B$192,0))/INDEX('Table 2.5a'!$I$8:$I$192,MATCH('Table 2.5b'!$A84&amp;'Table 2.5b'!$B84,'Table 2.5a'!$A$8:$A$192&amp;'Table 2.5a'!$B$8:$B$192,0)))*1000, "")</f>
        <v>9912.2772280700683</v>
      </c>
      <c r="G84" s="655">
        <f t="array" ref="G84">IFERROR((INDEX('Table 2.5a'!$G$8:$G$192,MATCH('Table 2.5b'!$A84&amp;'Table 2.5b'!$B84,'Table 2.5a'!$A$8:$A$192&amp;'Table 2.5a'!$B$8:$B$192,0))/INDEX('Table 2.5a'!$I$8:$I$192,MATCH('Table 2.5b'!$A84&amp;'Table 2.5b'!$B84,'Table 2.5a'!$A$8:$A$192&amp;'Table 2.5a'!$B$8:$B$192,0)))*1000, "")</f>
        <v>5947.3663368420412</v>
      </c>
      <c r="H84" s="705">
        <f t="array" ref="H84">IFERROR(INDEX('Table 2.5a'!$G$8:$G$192,MATCH('Table 2.5b'!$A84&amp;'Table 2.5b'!$B84,'Table 2.5a'!$A$8:$A$192&amp;'Table 2.5a'!$B$8:$B$192,0))/INDEX('Table 2.5a'!$H$8:$H$192,MATCH('Table 2.5b'!$A84&amp;'Table 2.5b'!$B84,'Table 2.5a'!$A$8:$A$192&amp;'Table 2.5a'!$B$8:$B$192,0)),"")</f>
        <v>0.6</v>
      </c>
      <c r="I84" s="655">
        <f t="array" ref="I84">IFERROR((INDEX('Table 2.5a'!$L$8:$L$192,MATCH('Table 2.5b'!$A84&amp;'Table 2.5b'!$B84,'Table 2.5a'!$A$8:$A$192&amp;'Table 2.5a'!$B$8:$B$192,0))/INDEX('Table 2.5a'!$I$8:$I$192,MATCH('Table 2.5b'!$A84&amp;'Table 2.5b'!$B84,'Table 2.5a'!$A$8:$A$192&amp;'Table 2.5a'!$B$8:$B$192,0)))*1000, "")</f>
        <v>2103.9692955067476</v>
      </c>
      <c r="J84" s="655">
        <f t="array" ref="J84">IFERROR((INDEX('Table 2.5a'!$K$8:$K$192,MATCH('Table 2.5b'!$A84&amp;'Table 2.5b'!$B84,'Table 2.5a'!$A$8:$A$192&amp;'Table 2.5a'!$B$8:$B$192,0))/INDEX('Table 2.5a'!$I$8:$I$192,MATCH('Table 2.5b'!$A84&amp;'Table 2.5b'!$B84,'Table 2.5a'!$A$8:$A$192&amp;'Table 2.5a'!$B$8:$B$192,0)))*1000, "")</f>
        <v>1262.3815773040485</v>
      </c>
      <c r="K84" s="705">
        <f t="array" ref="K84">IFERROR(INDEX('Table 2.5a'!$I$8:$I$192,MATCH('Table 2.5b'!$A84&amp;'Table 2.5b'!$B84,'Table 2.5a'!$A$8:$A$192&amp;'Table 2.5a'!$B$8:$B$192,0))/INDEX('Table 2.5a'!$L$8:$L$192,MATCH('Table 2.5b'!$A84&amp;'Table 2.5b'!$B84,'Table 2.5a'!$A$8:$A$192&amp;'Table 2.5a'!$B$8:$B$192,0)),"")</f>
        <v>0.4752921072259027</v>
      </c>
      <c r="L84" s="658" t="s">
        <v>356</v>
      </c>
      <c r="M84" s="709">
        <f t="array" ref="M84">INDEX(UtilityList!Q$4:Q$251,MATCH('Table 2.5b'!$A84&amp;'Table 2.5b'!$B84,UtilityList!$A$4:$A$251&amp;UtilityList!$C$4:$C$251,0))</f>
        <v>0</v>
      </c>
      <c r="N84" s="709" t="str">
        <f t="array" ref="N84">INDEX(UtilityList!J$4:J$251,MATCH('Table 2.5b'!$A84&amp;'Table 2.5b'!$B84,UtilityList!$A$4:$A$251&amp;UtilityList!$C$4:$C$251,0))</f>
        <v>Kodiak</v>
      </c>
      <c r="O84" s="709" t="str">
        <f t="array" ref="O84">INDEX(UtilityList!K$4:K$251,MATCH('Table 2.5b'!$A84&amp;'Table 2.5b'!$B84,UtilityList!$A$4:$A$251&amp;UtilityList!$C$4:$C$251,0))</f>
        <v>Kodiak Island</v>
      </c>
      <c r="P84" s="709" t="str">
        <f t="array" ref="P84">INDEX(UtilityList!L$4:L$251,MATCH('Table 2.5b'!$A84&amp;'Table 2.5b'!$B84,UtilityList!$A$4:$A$251&amp;UtilityList!$C$4:$C$251,0))</f>
        <v>Koniag</v>
      </c>
      <c r="Q84" s="709" t="str">
        <f t="array" ref="Q84">INDEX(UtilityList!M$4:M$251,MATCH('Table 2.5b'!$A84&amp;'Table 2.5b'!$B84,UtilityList!$A$4:$A$251&amp;UtilityList!$C$4:$C$251,0))</f>
        <v>SC</v>
      </c>
    </row>
    <row r="85" spans="1:17" s="267" customFormat="1" ht="30" x14ac:dyDescent="0.25">
      <c r="A85" s="361" t="s">
        <v>119</v>
      </c>
      <c r="B85" s="361" t="s">
        <v>121</v>
      </c>
      <c r="C85" s="655">
        <f t="array" ref="C85">IFERROR((INDEX('Table 2.5a'!$D$8:$D$192,MATCH('Table 2.5b'!A85&amp;'Table 2.5b'!B85,'Table 2.5a'!$A$8:$A$192&amp;'Table 2.5a'!$B$8:$B$192,0))/INDEX('Table 2.5a'!$E$8:$E$192,MATCH('Table 2.5b'!A85&amp;'Table 2.5b'!B85,'Table 2.5a'!$A$8:$A$192&amp;'Table 2.5a'!$B$8:$B$192,0)))*1000, "")</f>
        <v>5919.0190107810058</v>
      </c>
      <c r="D85" s="655">
        <f t="array" ref="D85">IFERROR((INDEX('Table 2.5a'!$C$8:$C$192,MATCH('Table 2.5b'!A85&amp;'Table 2.5b'!B85,'Table 2.5a'!$A$8:$A$192&amp;'Table 2.5a'!$B$8:$B$192,0))/INDEX('Table 2.5a'!$E$8:$E$192,MATCH('Table 2.5b'!A85&amp;'Table 2.5b'!B85,'Table 2.5a'!$A$8:$A$192&amp;'Table 2.5a'!$B$8:$B$192,0)))*1000, "")</f>
        <v>770.82133157764804</v>
      </c>
      <c r="E85" s="705">
        <f t="array" ref="E85">IFERROR(INDEX('Table 2.5a'!$C$8:$C$192,MATCH('Table 2.5b'!$A85&amp;'Table 2.5b'!$B85,'Table 2.5a'!$A$8:$A$192&amp;'Table 2.5a'!$B$8:$B$192,0))/INDEX('Table 2.5a'!$D$8:$D$192,MATCH('Table 2.5b'!$A85&amp;'Table 2.5b'!$B85,'Table 2.5a'!$A$8:$A$192&amp;'Table 2.5a'!$B$8:$B$192,0)),"")</f>
        <v>0.13022788576513444</v>
      </c>
      <c r="F85" s="655">
        <f t="array" ref="F85">IFERROR((INDEX('Table 2.5a'!$H$8:$H$192,MATCH('Table 2.5b'!$A85&amp;'Table 2.5b'!$B85,'Table 2.5a'!$A$8:$A$192&amp;'Table 2.5a'!$B$8:$B$192,0))/INDEX('Table 2.5a'!$I$8:$I$192,MATCH('Table 2.5b'!$A85&amp;'Table 2.5b'!$B85,'Table 2.5a'!$A$8:$A$192&amp;'Table 2.5a'!$B$8:$B$192,0)))*1000, "")</f>
        <v>153594.50880812568</v>
      </c>
      <c r="G85" s="655">
        <f t="array" ref="G85">IFERROR((INDEX('Table 2.5a'!$G$8:$G$192,MATCH('Table 2.5b'!$A85&amp;'Table 2.5b'!$B85,'Table 2.5a'!$A$8:$A$192&amp;'Table 2.5a'!$B$8:$B$192,0))/INDEX('Table 2.5a'!$I$8:$I$192,MATCH('Table 2.5b'!$A85&amp;'Table 2.5b'!$B85,'Table 2.5a'!$A$8:$A$192&amp;'Table 2.5a'!$B$8:$B$192,0)))*1000, "")</f>
        <v>15534.565941913983</v>
      </c>
      <c r="H85" s="705">
        <f t="array" ref="H85">IFERROR(INDEX('Table 2.5a'!$G$8:$G$192,MATCH('Table 2.5b'!$A85&amp;'Table 2.5b'!$B85,'Table 2.5a'!$A$8:$A$192&amp;'Table 2.5a'!$B$8:$B$192,0))/INDEX('Table 2.5a'!$H$8:$H$192,MATCH('Table 2.5b'!$A85&amp;'Table 2.5b'!$B85,'Table 2.5a'!$A$8:$A$192&amp;'Table 2.5a'!$B$8:$B$192,0)),"")</f>
        <v>0.10114011277135025</v>
      </c>
      <c r="I85" s="655">
        <f t="array" ref="I85">IFERROR((INDEX('Table 2.5a'!$L$8:$L$192,MATCH('Table 2.5b'!$A85&amp;'Table 2.5b'!$B85,'Table 2.5a'!$A$8:$A$192&amp;'Table 2.5a'!$B$8:$B$192,0))/INDEX('Table 2.5a'!$I$8:$I$192,MATCH('Table 2.5b'!$A85&amp;'Table 2.5b'!$B85,'Table 2.5a'!$A$8:$A$192&amp;'Table 2.5a'!$B$8:$B$192,0)))*1000, "")</f>
        <v>0</v>
      </c>
      <c r="J85" s="655">
        <f t="array" ref="J85">IFERROR((INDEX('Table 2.5a'!$K$8:$K$192,MATCH('Table 2.5b'!$A85&amp;'Table 2.5b'!$B85,'Table 2.5a'!$A$8:$A$192&amp;'Table 2.5a'!$B$8:$B$192,0))/INDEX('Table 2.5a'!$I$8:$I$192,MATCH('Table 2.5b'!$A85&amp;'Table 2.5b'!$B85,'Table 2.5a'!$A$8:$A$192&amp;'Table 2.5a'!$B$8:$B$192,0)))*1000, "")</f>
        <v>0</v>
      </c>
      <c r="K85" s="705" t="str">
        <f t="array" ref="K85">IFERROR(INDEX('Table 2.5a'!$I$8:$I$192,MATCH('Table 2.5b'!$A85&amp;'Table 2.5b'!$B85,'Table 2.5a'!$A$8:$A$192&amp;'Table 2.5a'!$B$8:$B$192,0))/INDEX('Table 2.5a'!$L$8:$L$192,MATCH('Table 2.5b'!$A85&amp;'Table 2.5b'!$B85,'Table 2.5a'!$A$8:$A$192&amp;'Table 2.5a'!$B$8:$B$192,0)),"")</f>
        <v/>
      </c>
      <c r="L85" s="707" t="s">
        <v>558</v>
      </c>
      <c r="M85" s="709">
        <f t="array" ref="M85">INDEX(UtilityList!Q$4:Q$251,MATCH('Table 2.5b'!$A85&amp;'Table 2.5b'!$B85,UtilityList!$A$4:$A$251&amp;UtilityList!$C$4:$C$251,0))</f>
        <v>0</v>
      </c>
      <c r="N85" s="709" t="str">
        <f t="array" ref="N85">INDEX(UtilityList!J$4:J$251,MATCH('Table 2.5b'!$A85&amp;'Table 2.5b'!$B85,UtilityList!$A$4:$A$251&amp;UtilityList!$C$4:$C$251,0))</f>
        <v>Railbelt</v>
      </c>
      <c r="O85" s="709" t="str">
        <f t="array" ref="O85">INDEX(UtilityList!K$4:K$251,MATCH('Table 2.5b'!$A85&amp;'Table 2.5b'!$B85,UtilityList!$A$4:$A$251&amp;UtilityList!$C$4:$C$251,0))</f>
        <v>Anchorage</v>
      </c>
      <c r="P85" s="709" t="str">
        <f t="array" ref="P85">INDEX(UtilityList!L$4:L$251,MATCH('Table 2.5b'!$A85&amp;'Table 2.5b'!$B85,UtilityList!$A$4:$A$251&amp;UtilityList!$C$4:$C$251,0))</f>
        <v>Cook Inlet</v>
      </c>
      <c r="Q85" s="709" t="str">
        <f t="array" ref="Q85">INDEX(UtilityList!M$4:M$251,MATCH('Table 2.5b'!$A85&amp;'Table 2.5b'!$B85,UtilityList!$A$4:$A$251&amp;UtilityList!$C$4:$C$251,0))</f>
        <v>SC</v>
      </c>
    </row>
    <row r="86" spans="1:17" s="267" customFormat="1" x14ac:dyDescent="0.25">
      <c r="A86" s="361" t="s">
        <v>123</v>
      </c>
      <c r="B86" s="654" t="s">
        <v>124</v>
      </c>
      <c r="C86" s="655">
        <f t="array" ref="C86">IFERROR((INDEX('Table 2.5a'!$D$8:$D$192,MATCH('Table 2.5b'!A86&amp;'Table 2.5b'!B86,'Table 2.5a'!$A$8:$A$192&amp;'Table 2.5a'!$B$8:$B$192,0))/INDEX('Table 2.5a'!$E$8:$E$192,MATCH('Table 2.5b'!A86&amp;'Table 2.5b'!B86,'Table 2.5a'!$A$8:$A$192&amp;'Table 2.5a'!$B$8:$B$192,0)))*1000, "")</f>
        <v>5361.6111587393762</v>
      </c>
      <c r="D86" s="655">
        <f t="array" ref="D86">IFERROR((INDEX('Table 2.5a'!$C$8:$C$192,MATCH('Table 2.5b'!A86&amp;'Table 2.5b'!B86,'Table 2.5a'!$A$8:$A$192&amp;'Table 2.5a'!$B$8:$B$192,0))/INDEX('Table 2.5a'!$E$8:$E$192,MATCH('Table 2.5b'!A86&amp;'Table 2.5b'!B86,'Table 2.5a'!$A$8:$A$192&amp;'Table 2.5a'!$B$8:$B$192,0)))*1000, "")</f>
        <v>3853.5239800649583</v>
      </c>
      <c r="E86" s="705">
        <f t="array" ref="E86">IFERROR(INDEX('Table 2.5a'!$C$8:$C$192,MATCH('Table 2.5b'!$A86&amp;'Table 2.5b'!$B86,'Table 2.5a'!$A$8:$A$192&amp;'Table 2.5a'!$B$8:$B$192,0))/INDEX('Table 2.5a'!$D$8:$D$192,MATCH('Table 2.5b'!$A86&amp;'Table 2.5b'!$B86,'Table 2.5a'!$A$8:$A$192&amp;'Table 2.5a'!$B$8:$B$192,0)),"")</f>
        <v>0.71872499999999995</v>
      </c>
      <c r="F86" s="655">
        <f t="array" ref="F86">IFERROR((INDEX('Table 2.5a'!$H$8:$H$192,MATCH('Table 2.5b'!$A86&amp;'Table 2.5b'!$B86,'Table 2.5a'!$A$8:$A$192&amp;'Table 2.5a'!$B$8:$B$192,0))/INDEX('Table 2.5a'!$I$8:$I$192,MATCH('Table 2.5b'!$A86&amp;'Table 2.5b'!$B86,'Table 2.5a'!$A$8:$A$192&amp;'Table 2.5a'!$B$8:$B$192,0)))*1000, "")</f>
        <v>25231.206896551725</v>
      </c>
      <c r="G86" s="655">
        <f t="array" ref="G86">IFERROR((INDEX('Table 2.5a'!$G$8:$G$192,MATCH('Table 2.5b'!$A86&amp;'Table 2.5b'!$B86,'Table 2.5a'!$A$8:$A$192&amp;'Table 2.5a'!$B$8:$B$192,0))/INDEX('Table 2.5a'!$I$8:$I$192,MATCH('Table 2.5b'!$A86&amp;'Table 2.5b'!$B86,'Table 2.5a'!$A$8:$A$192&amp;'Table 2.5a'!$B$8:$B$192,0)))*1000, "")</f>
        <v>18134.299176724136</v>
      </c>
      <c r="H86" s="705">
        <f t="array" ref="H86">IFERROR(INDEX('Table 2.5a'!$G$8:$G$192,MATCH('Table 2.5b'!$A86&amp;'Table 2.5b'!$B86,'Table 2.5a'!$A$8:$A$192&amp;'Table 2.5a'!$B$8:$B$192,0))/INDEX('Table 2.5a'!$H$8:$H$192,MATCH('Table 2.5b'!$A86&amp;'Table 2.5b'!$B86,'Table 2.5a'!$A$8:$A$192&amp;'Table 2.5a'!$B$8:$B$192,0)),"")</f>
        <v>0.71872500000000006</v>
      </c>
      <c r="I86" s="655">
        <f t="array" ref="I86">IFERROR((INDEX('Table 2.5a'!$L$8:$L$192,MATCH('Table 2.5b'!$A86&amp;'Table 2.5b'!$B86,'Table 2.5a'!$A$8:$A$192&amp;'Table 2.5a'!$B$8:$B$192,0))/INDEX('Table 2.5a'!$I$8:$I$192,MATCH('Table 2.5b'!$A86&amp;'Table 2.5b'!$B86,'Table 2.5a'!$A$8:$A$192&amp;'Table 2.5a'!$B$8:$B$192,0)))*1000, "")</f>
        <v>15253.551724137931</v>
      </c>
      <c r="J86" s="655">
        <f t="array" ref="J86">IFERROR((INDEX('Table 2.5a'!$K$8:$K$192,MATCH('Table 2.5b'!$A86&amp;'Table 2.5b'!$B86,'Table 2.5a'!$A$8:$A$192&amp;'Table 2.5a'!$B$8:$B$192,0))/INDEX('Table 2.5a'!$I$8:$I$192,MATCH('Table 2.5b'!$A86&amp;'Table 2.5b'!$B86,'Table 2.5a'!$A$8:$A$192&amp;'Table 2.5a'!$B$8:$B$192,0)))*1000, "")</f>
        <v>10963.108962931035</v>
      </c>
      <c r="K86" s="705">
        <f t="array" ref="K86">IFERROR(INDEX('Table 2.5a'!$I$8:$I$192,MATCH('Table 2.5b'!$A86&amp;'Table 2.5b'!$B86,'Table 2.5a'!$A$8:$A$192&amp;'Table 2.5a'!$B$8:$B$192,0))/INDEX('Table 2.5a'!$L$8:$L$192,MATCH('Table 2.5b'!$A86&amp;'Table 2.5b'!$B86,'Table 2.5a'!$A$8:$A$192&amp;'Table 2.5a'!$B$8:$B$192,0)),"")</f>
        <v>6.5558501920411974E-2</v>
      </c>
      <c r="L86" s="658" t="s">
        <v>356</v>
      </c>
      <c r="M86" s="709">
        <f t="array" ref="M86">INDEX(UtilityList!Q$4:Q$251,MATCH('Table 2.5b'!$A86&amp;'Table 2.5b'!$B86,UtilityList!$A$4:$A$251&amp;UtilityList!$C$4:$C$251,0))</f>
        <v>0</v>
      </c>
      <c r="N86" s="709" t="str">
        <f t="array" ref="N86">INDEX(UtilityList!J$4:J$251,MATCH('Table 2.5b'!$A86&amp;'Table 2.5b'!$B86,UtilityList!$A$4:$A$251&amp;UtilityList!$C$4:$C$251,0))</f>
        <v>Lower Yukon-Kuskokwim</v>
      </c>
      <c r="O86" s="709" t="str">
        <f t="array" ref="O86">INDEX(UtilityList!K$4:K$251,MATCH('Table 2.5b'!$A86&amp;'Table 2.5b'!$B86,UtilityList!$A$4:$A$251&amp;UtilityList!$C$4:$C$251,0))</f>
        <v>Bethel (CA)</v>
      </c>
      <c r="P86" s="709" t="str">
        <f t="array" ref="P86">INDEX(UtilityList!L$4:L$251,MATCH('Table 2.5b'!$A86&amp;'Table 2.5b'!$B86,UtilityList!$A$4:$A$251&amp;UtilityList!$C$4:$C$251,0))</f>
        <v>Calista</v>
      </c>
      <c r="Q86" s="709" t="str">
        <f t="array" ref="Q86">INDEX(UtilityList!M$4:M$251,MATCH('Table 2.5b'!$A86&amp;'Table 2.5b'!$B86,UtilityList!$A$4:$A$251&amp;UtilityList!$C$4:$C$251,0))</f>
        <v>SW</v>
      </c>
    </row>
    <row r="87" spans="1:17" s="267" customFormat="1" x14ac:dyDescent="0.25">
      <c r="A87" s="361" t="s">
        <v>127</v>
      </c>
      <c r="B87" s="654" t="s">
        <v>128</v>
      </c>
      <c r="C87" s="655">
        <f t="array" ref="C87">IFERROR((INDEX('Table 2.5a'!$D$8:$D$192,MATCH('Table 2.5b'!A87&amp;'Table 2.5b'!B87,'Table 2.5a'!$A$8:$A$192&amp;'Table 2.5a'!$B$8:$B$192,0))/INDEX('Table 2.5a'!$E$8:$E$192,MATCH('Table 2.5b'!A87&amp;'Table 2.5b'!B87,'Table 2.5a'!$A$8:$A$192&amp;'Table 2.5a'!$B$8:$B$192,0)))*1000, "")</f>
        <v>5828.3571428571422</v>
      </c>
      <c r="D87" s="655">
        <f t="array" ref="D87">IFERROR((INDEX('Table 2.5a'!$C$8:$C$192,MATCH('Table 2.5b'!A87&amp;'Table 2.5b'!B87,'Table 2.5a'!$A$8:$A$192&amp;'Table 2.5a'!$B$8:$B$192,0))/INDEX('Table 2.5a'!$E$8:$E$192,MATCH('Table 2.5b'!A87&amp;'Table 2.5b'!B87,'Table 2.5a'!$A$8:$A$192&amp;'Table 2.5a'!$B$8:$B$192,0)))*1000, "")</f>
        <v>4089.5639479992856</v>
      </c>
      <c r="E87" s="705">
        <f t="array" ref="E87">IFERROR(INDEX('Table 2.5a'!$C$8:$C$192,MATCH('Table 2.5b'!$A87&amp;'Table 2.5b'!$B87,'Table 2.5a'!$A$8:$A$192&amp;'Table 2.5a'!$B$8:$B$192,0))/INDEX('Table 2.5a'!$D$8:$D$192,MATCH('Table 2.5b'!$A87&amp;'Table 2.5b'!$B87,'Table 2.5a'!$A$8:$A$192&amp;'Table 2.5a'!$B$8:$B$192,0)),"")</f>
        <v>0.70166667000000005</v>
      </c>
      <c r="F87" s="655">
        <f t="array" ref="F87">IFERROR((INDEX('Table 2.5a'!$H$8:$H$192,MATCH('Table 2.5b'!$A87&amp;'Table 2.5b'!$B87,'Table 2.5a'!$A$8:$A$192&amp;'Table 2.5a'!$B$8:$B$192,0))/INDEX('Table 2.5a'!$I$8:$I$192,MATCH('Table 2.5b'!$A87&amp;'Table 2.5b'!$B87,'Table 2.5a'!$A$8:$A$192&amp;'Table 2.5a'!$B$8:$B$192,0)))*1000, "")</f>
        <v>12317.704514173622</v>
      </c>
      <c r="G87" s="655">
        <f t="array" ref="G87">IFERROR((INDEX('Table 2.5a'!$G$8:$G$192,MATCH('Table 2.5b'!$A87&amp;'Table 2.5b'!$B87,'Table 2.5a'!$A$8:$A$192&amp;'Table 2.5a'!$B$8:$B$192,0))/INDEX('Table 2.5a'!$I$8:$I$192,MATCH('Table 2.5b'!$A87&amp;'Table 2.5b'!$B87,'Table 2.5a'!$A$8:$A$192&amp;'Table 2.5a'!$B$8:$B$192,0)))*1000, "")</f>
        <v>8642.922708504173</v>
      </c>
      <c r="H87" s="705">
        <f t="array" ref="H87">IFERROR(INDEX('Table 2.5a'!$G$8:$G$192,MATCH('Table 2.5b'!$A87&amp;'Table 2.5b'!$B87,'Table 2.5a'!$A$8:$A$192&amp;'Table 2.5a'!$B$8:$B$192,0))/INDEX('Table 2.5a'!$H$8:$H$192,MATCH('Table 2.5b'!$A87&amp;'Table 2.5b'!$B87,'Table 2.5a'!$A$8:$A$192&amp;'Table 2.5a'!$B$8:$B$192,0)),"")</f>
        <v>0.70166667000000005</v>
      </c>
      <c r="I87" s="655">
        <f t="array" ref="I87">IFERROR((INDEX('Table 2.5a'!$L$8:$L$192,MATCH('Table 2.5b'!$A87&amp;'Table 2.5b'!$B87,'Table 2.5a'!$A$8:$A$192&amp;'Table 2.5a'!$B$8:$B$192,0))/INDEX('Table 2.5a'!$I$8:$I$192,MATCH('Table 2.5b'!$A87&amp;'Table 2.5b'!$B87,'Table 2.5a'!$A$8:$A$192&amp;'Table 2.5a'!$B$8:$B$192,0)))*1000, "")</f>
        <v>9923.9996746229626</v>
      </c>
      <c r="J87" s="655">
        <f t="array" ref="J87">IFERROR((INDEX('Table 2.5a'!$K$8:$K$192,MATCH('Table 2.5b'!$A87&amp;'Table 2.5b'!$B87,'Table 2.5a'!$A$8:$A$192&amp;'Table 2.5a'!$B$8:$B$192,0))/INDEX('Table 2.5a'!$I$8:$I$192,MATCH('Table 2.5b'!$A87&amp;'Table 2.5b'!$B87,'Table 2.5a'!$A$8:$A$192&amp;'Table 2.5a'!$B$8:$B$192,0)))*1000, "")</f>
        <v>6963.3398047737774</v>
      </c>
      <c r="K87" s="705">
        <f t="array" ref="K87">IFERROR(INDEX('Table 2.5a'!$I$8:$I$192,MATCH('Table 2.5b'!$A87&amp;'Table 2.5b'!$B87,'Table 2.5a'!$A$8:$A$192&amp;'Table 2.5a'!$B$8:$B$192,0))/INDEX('Table 2.5a'!$L$8:$L$192,MATCH('Table 2.5b'!$A87&amp;'Table 2.5b'!$B87,'Table 2.5a'!$A$8:$A$192&amp;'Table 2.5a'!$B$8:$B$192,0)),"")</f>
        <v>0.10076582353757409</v>
      </c>
      <c r="L87" s="658" t="s">
        <v>356</v>
      </c>
      <c r="M87" s="709">
        <f t="array" ref="M87">INDEX(UtilityList!Q$4:Q$251,MATCH('Table 2.5b'!$A87&amp;'Table 2.5b'!$B87,UtilityList!$A$4:$A$251&amp;UtilityList!$C$4:$C$251,0))</f>
        <v>0</v>
      </c>
      <c r="N87" s="709" t="str">
        <f t="array" ref="N87">INDEX(UtilityList!J$4:J$251,MATCH('Table 2.5b'!$A87&amp;'Table 2.5b'!$B87,UtilityList!$A$4:$A$251&amp;UtilityList!$C$4:$C$251,0))</f>
        <v>Aleutians</v>
      </c>
      <c r="O87" s="709" t="str">
        <f t="array" ref="O87">INDEX(UtilityList!K$4:K$251,MATCH('Table 2.5b'!$A87&amp;'Table 2.5b'!$B87,UtilityList!$A$4:$A$251&amp;UtilityList!$C$4:$C$251,0))</f>
        <v>Aleutians West (CA)</v>
      </c>
      <c r="P87" s="709" t="str">
        <f t="array" ref="P87">INDEX(UtilityList!L$4:L$251,MATCH('Table 2.5b'!$A87&amp;'Table 2.5b'!$B87,UtilityList!$A$4:$A$251&amp;UtilityList!$C$4:$C$251,0))</f>
        <v>Aleut</v>
      </c>
      <c r="Q87" s="709" t="str">
        <f t="array" ref="Q87">INDEX(UtilityList!M$4:M$251,MATCH('Table 2.5b'!$A87&amp;'Table 2.5b'!$B87,UtilityList!$A$4:$A$251&amp;UtilityList!$C$4:$C$251,0))</f>
        <v>SW</v>
      </c>
    </row>
    <row r="88" spans="1:17" s="267" customFormat="1" ht="30" x14ac:dyDescent="0.25">
      <c r="A88" s="361" t="s">
        <v>129</v>
      </c>
      <c r="B88" s="654" t="s">
        <v>130</v>
      </c>
      <c r="C88" s="655">
        <f t="array" ref="C88">IFERROR((INDEX('Table 2.5a'!$D$8:$D$192,MATCH('Table 2.5b'!A88&amp;'Table 2.5b'!B88,'Table 2.5a'!$A$8:$A$192&amp;'Table 2.5a'!$B$8:$B$192,0))/INDEX('Table 2.5a'!$E$8:$E$192,MATCH('Table 2.5b'!A88&amp;'Table 2.5b'!B88,'Table 2.5a'!$A$8:$A$192&amp;'Table 2.5a'!$B$8:$B$192,0)))*1000, "")</f>
        <v>4092.6338028169012</v>
      </c>
      <c r="D88" s="655">
        <f t="array" ref="D88">IFERROR((INDEX('Table 2.5a'!$C$8:$C$192,MATCH('Table 2.5b'!A88&amp;'Table 2.5b'!B88,'Table 2.5a'!$A$8:$A$192&amp;'Table 2.5a'!$B$8:$B$192,0))/INDEX('Table 2.5a'!$E$8:$E$192,MATCH('Table 2.5b'!A88&amp;'Table 2.5b'!B88,'Table 2.5a'!$A$8:$A$192&amp;'Table 2.5a'!$B$8:$B$192,0)))*1000, "")</f>
        <v>2859.1139746478871</v>
      </c>
      <c r="E88" s="705">
        <f t="array" ref="E88">IFERROR(INDEX('Table 2.5a'!$C$8:$C$192,MATCH('Table 2.5b'!$A88&amp;'Table 2.5b'!$B88,'Table 2.5a'!$A$8:$A$192&amp;'Table 2.5a'!$B$8:$B$192,0))/INDEX('Table 2.5a'!$D$8:$D$192,MATCH('Table 2.5b'!$A88&amp;'Table 2.5b'!$B88,'Table 2.5a'!$A$8:$A$192&amp;'Table 2.5a'!$B$8:$B$192,0)),"")</f>
        <v>0.6986</v>
      </c>
      <c r="F88" s="655">
        <f t="array" ref="F88">IFERROR((INDEX('Table 2.5a'!$H$8:$H$192,MATCH('Table 2.5b'!$A88&amp;'Table 2.5b'!$B88,'Table 2.5a'!$A$8:$A$192&amp;'Table 2.5a'!$B$8:$B$192,0))/INDEX('Table 2.5a'!$I$8:$I$192,MATCH('Table 2.5b'!$A88&amp;'Table 2.5b'!$B88,'Table 2.5a'!$A$8:$A$192&amp;'Table 2.5a'!$B$8:$B$192,0)))*1000, "")</f>
        <v>36904.666666666664</v>
      </c>
      <c r="G88" s="655">
        <f t="array" ref="G88">IFERROR((INDEX('Table 2.5a'!$G$8:$G$192,MATCH('Table 2.5b'!$A88&amp;'Table 2.5b'!$B88,'Table 2.5a'!$A$8:$A$192&amp;'Table 2.5a'!$B$8:$B$192,0))/INDEX('Table 2.5a'!$I$8:$I$192,MATCH('Table 2.5b'!$A88&amp;'Table 2.5b'!$B88,'Table 2.5a'!$A$8:$A$192&amp;'Table 2.5a'!$B$8:$B$192,0)))*1000, "")</f>
        <v>25781.60013333333</v>
      </c>
      <c r="H88" s="705">
        <f t="array" ref="H88">IFERROR(INDEX('Table 2.5a'!$G$8:$G$192,MATCH('Table 2.5b'!$A88&amp;'Table 2.5b'!$B88,'Table 2.5a'!$A$8:$A$192&amp;'Table 2.5a'!$B$8:$B$192,0))/INDEX('Table 2.5a'!$H$8:$H$192,MATCH('Table 2.5b'!$A88&amp;'Table 2.5b'!$B88,'Table 2.5a'!$A$8:$A$192&amp;'Table 2.5a'!$B$8:$B$192,0)),"")</f>
        <v>0.6986</v>
      </c>
      <c r="I88" s="655">
        <f t="array" ref="I88">IFERROR((INDEX('Table 2.5a'!$L$8:$L$192,MATCH('Table 2.5b'!$A88&amp;'Table 2.5b'!$B88,'Table 2.5a'!$A$8:$A$192&amp;'Table 2.5a'!$B$8:$B$192,0))/INDEX('Table 2.5a'!$I$8:$I$192,MATCH('Table 2.5b'!$A88&amp;'Table 2.5b'!$B88,'Table 2.5a'!$A$8:$A$192&amp;'Table 2.5a'!$B$8:$B$192,0)))*1000, "")</f>
        <v>9348.3333333333339</v>
      </c>
      <c r="J88" s="655">
        <f t="array" ref="J88">IFERROR((INDEX('Table 2.5a'!$K$8:$K$192,MATCH('Table 2.5b'!$A88&amp;'Table 2.5b'!$B88,'Table 2.5a'!$A$8:$A$192&amp;'Table 2.5a'!$B$8:$B$192,0))/INDEX('Table 2.5a'!$I$8:$I$192,MATCH('Table 2.5b'!$A88&amp;'Table 2.5b'!$B88,'Table 2.5a'!$A$8:$A$192&amp;'Table 2.5a'!$B$8:$B$192,0)))*1000, "")</f>
        <v>6530.7456666666676</v>
      </c>
      <c r="K88" s="705">
        <f t="array" ref="K88">IFERROR(INDEX('Table 2.5a'!$I$8:$I$192,MATCH('Table 2.5b'!$A88&amp;'Table 2.5b'!$B88,'Table 2.5a'!$A$8:$A$192&amp;'Table 2.5a'!$B$8:$B$192,0))/INDEX('Table 2.5a'!$L$8:$L$192,MATCH('Table 2.5b'!$A88&amp;'Table 2.5b'!$B88,'Table 2.5a'!$A$8:$A$192&amp;'Table 2.5a'!$B$8:$B$192,0)),"")</f>
        <v>0.10697093956141913</v>
      </c>
      <c r="L88" s="658" t="s">
        <v>356</v>
      </c>
      <c r="M88" s="709">
        <f t="array" ref="M88">INDEX(UtilityList!Q$4:Q$251,MATCH('Table 2.5b'!$A88&amp;'Table 2.5b'!$B88,UtilityList!$A$4:$A$251&amp;UtilityList!$C$4:$C$251,0))</f>
        <v>0</v>
      </c>
      <c r="N88" s="709" t="str">
        <f t="array" ref="N88">INDEX(UtilityList!J$4:J$251,MATCH('Table 2.5b'!$A88&amp;'Table 2.5b'!$B88,UtilityList!$A$4:$A$251&amp;UtilityList!$C$4:$C$251,0))</f>
        <v>Lower Yukon-Kuskokwim</v>
      </c>
      <c r="O88" s="709" t="str">
        <f t="array" ref="O88">INDEX(UtilityList!K$4:K$251,MATCH('Table 2.5b'!$A88&amp;'Table 2.5b'!$B88,UtilityList!$A$4:$A$251&amp;UtilityList!$C$4:$C$251,0))</f>
        <v>Bethel (CA)</v>
      </c>
      <c r="P88" s="709" t="str">
        <f t="array" ref="P88">INDEX(UtilityList!L$4:L$251,MATCH('Table 2.5b'!$A88&amp;'Table 2.5b'!$B88,UtilityList!$A$4:$A$251&amp;UtilityList!$C$4:$C$251,0))</f>
        <v>Calista</v>
      </c>
      <c r="Q88" s="709" t="str">
        <f t="array" ref="Q88">INDEX(UtilityList!M$4:M$251,MATCH('Table 2.5b'!$A88&amp;'Table 2.5b'!$B88,UtilityList!$A$4:$A$251&amp;UtilityList!$C$4:$C$251,0))</f>
        <v>SW</v>
      </c>
    </row>
    <row r="89" spans="1:17" s="267" customFormat="1" ht="45" x14ac:dyDescent="0.25">
      <c r="A89" s="361" t="s">
        <v>570</v>
      </c>
      <c r="B89" s="708" t="s">
        <v>133</v>
      </c>
      <c r="C89" s="655">
        <f t="array" ref="C89">IFERROR((INDEX('Table 2.5a'!$D$8:$D$192,MATCH('Table 2.5b'!A89&amp;'Table 2.5b'!B89,'Table 2.5a'!$A$8:$A$192&amp;'Table 2.5a'!$B$8:$B$192,0))/INDEX('Table 2.5a'!$E$8:$E$192,MATCH('Table 2.5b'!A89&amp;'Table 2.5b'!B89,'Table 2.5a'!$A$8:$A$192&amp;'Table 2.5a'!$B$8:$B$192,0)))*1000, "")</f>
        <v>7728.7087912087909</v>
      </c>
      <c r="D89" s="655">
        <f t="array" ref="D89">IFERROR((INDEX('Table 2.5a'!$C$8:$C$192,MATCH('Table 2.5b'!A89&amp;'Table 2.5b'!B89,'Table 2.5a'!$A$8:$A$192&amp;'Table 2.5a'!$B$8:$B$192,0))/INDEX('Table 2.5a'!$E$8:$E$192,MATCH('Table 2.5b'!A89&amp;'Table 2.5b'!B89,'Table 2.5a'!$A$8:$A$192&amp;'Table 2.5a'!$B$8:$B$192,0)))*1000, "")</f>
        <v>895.60439560439568</v>
      </c>
      <c r="E89" s="705">
        <f t="array" ref="E89">IFERROR(INDEX('Table 2.5a'!$C$8:$C$192,MATCH('Table 2.5b'!$A89&amp;'Table 2.5b'!$B89,'Table 2.5a'!$A$8:$A$192&amp;'Table 2.5a'!$B$8:$B$192,0))/INDEX('Table 2.5a'!$D$8:$D$192,MATCH('Table 2.5b'!$A89&amp;'Table 2.5b'!$B89,'Table 2.5a'!$A$8:$A$192&amp;'Table 2.5a'!$B$8:$B$192,0)),"")</f>
        <v>0.11588020972185195</v>
      </c>
      <c r="F89" s="655">
        <f t="array" ref="F89">IFERROR((INDEX('Table 2.5a'!$H$8:$H$192,MATCH('Table 2.5b'!$A89&amp;'Table 2.5b'!$B89,'Table 2.5a'!$A$8:$A$192&amp;'Table 2.5a'!$B$8:$B$192,0))/INDEX('Table 2.5a'!$I$8:$I$192,MATCH('Table 2.5b'!$A89&amp;'Table 2.5b'!$B89,'Table 2.5a'!$A$8:$A$192&amp;'Table 2.5a'!$B$8:$B$192,0)))*1000, "")</f>
        <v>98474.619289340102</v>
      </c>
      <c r="G89" s="655">
        <f t="array" ref="G89">IFERROR((INDEX('Table 2.5a'!$G$8:$G$192,MATCH('Table 2.5b'!$A89&amp;'Table 2.5b'!$B89,'Table 2.5a'!$A$8:$A$192&amp;'Table 2.5a'!$B$8:$B$192,0))/INDEX('Table 2.5a'!$I$8:$I$192,MATCH('Table 2.5b'!$A89&amp;'Table 2.5b'!$B89,'Table 2.5a'!$A$8:$A$192&amp;'Table 2.5a'!$B$8:$B$192,0)))*1000, "")</f>
        <v>9941.6243654822338</v>
      </c>
      <c r="H89" s="705">
        <f t="array" ref="H89">IFERROR(INDEX('Table 2.5a'!$G$8:$G$192,MATCH('Table 2.5b'!$A89&amp;'Table 2.5b'!$B89,'Table 2.5a'!$A$8:$A$192&amp;'Table 2.5a'!$B$8:$B$192,0))/INDEX('Table 2.5a'!$H$8:$H$192,MATCH('Table 2.5b'!$A89&amp;'Table 2.5b'!$B89,'Table 2.5a'!$A$8:$A$192&amp;'Table 2.5a'!$B$8:$B$192,0)),"")</f>
        <v>0.10095621021160339</v>
      </c>
      <c r="I89" s="655">
        <f t="array" ref="I89">IFERROR((INDEX('Table 2.5a'!$L$8:$L$192,MATCH('Table 2.5b'!$A89&amp;'Table 2.5b'!$B89,'Table 2.5a'!$A$8:$A$192&amp;'Table 2.5a'!$B$8:$B$192,0))/INDEX('Table 2.5a'!$I$8:$I$192,MATCH('Table 2.5b'!$A89&amp;'Table 2.5b'!$B89,'Table 2.5a'!$A$8:$A$192&amp;'Table 2.5a'!$B$8:$B$192,0)))*1000, "")</f>
        <v>0</v>
      </c>
      <c r="J89" s="655">
        <f t="array" ref="J89">IFERROR((INDEX('Table 2.5a'!$K$8:$K$192,MATCH('Table 2.5b'!$A89&amp;'Table 2.5b'!$B89,'Table 2.5a'!$A$8:$A$192&amp;'Table 2.5a'!$B$8:$B$192,0))/INDEX('Table 2.5a'!$I$8:$I$192,MATCH('Table 2.5b'!$A89&amp;'Table 2.5b'!$B89,'Table 2.5a'!$A$8:$A$192&amp;'Table 2.5a'!$B$8:$B$192,0)))*1000, "")</f>
        <v>0</v>
      </c>
      <c r="K89" s="705" t="str">
        <f t="array" ref="K89">IFERROR(INDEX('Table 2.5a'!$I$8:$I$192,MATCH('Table 2.5b'!$A89&amp;'Table 2.5b'!$B89,'Table 2.5a'!$A$8:$A$192&amp;'Table 2.5a'!$B$8:$B$192,0))/INDEX('Table 2.5a'!$L$8:$L$192,MATCH('Table 2.5b'!$A89&amp;'Table 2.5b'!$B89,'Table 2.5a'!$A$8:$A$192&amp;'Table 2.5a'!$B$8:$B$192,0)),"")</f>
        <v/>
      </c>
      <c r="L89" s="707" t="s">
        <v>558</v>
      </c>
      <c r="M89" s="709">
        <f t="array" ref="M89">INDEX(UtilityList!Q$4:Q$251,MATCH('Table 2.5b'!$A89&amp;'Table 2.5b'!$B89,UtilityList!$A$4:$A$251&amp;UtilityList!$C$4:$C$251,0))</f>
        <v>0</v>
      </c>
      <c r="N89" s="709" t="str">
        <f t="array" ref="N89">INDEX(UtilityList!J$4:J$251,MATCH('Table 2.5b'!$A89&amp;'Table 2.5b'!$B89,UtilityList!$A$4:$A$251&amp;UtilityList!$C$4:$C$251,0))</f>
        <v>North Slope</v>
      </c>
      <c r="O89" s="709" t="str">
        <f t="array" ref="O89">INDEX(UtilityList!K$4:K$251,MATCH('Table 2.5b'!$A89&amp;'Table 2.5b'!$B89,UtilityList!$A$4:$A$251&amp;UtilityList!$C$4:$C$251,0))</f>
        <v>North Slope</v>
      </c>
      <c r="P89" s="709" t="str">
        <f t="array" ref="P89">INDEX(UtilityList!L$4:L$251,MATCH('Table 2.5b'!$A89&amp;'Table 2.5b'!$B89,UtilityList!$A$4:$A$251&amp;UtilityList!$C$4:$C$251,0))</f>
        <v>Arctic Slope</v>
      </c>
      <c r="Q89" s="709" t="str">
        <f t="array" ref="Q89">INDEX(UtilityList!M$4:M$251,MATCH('Table 2.5b'!$A89&amp;'Table 2.5b'!$B89,UtilityList!$A$4:$A$251&amp;UtilityList!$C$4:$C$251,0))</f>
        <v>AN</v>
      </c>
    </row>
    <row r="90" spans="1:17" s="267" customFormat="1" x14ac:dyDescent="0.25">
      <c r="A90" s="361" t="s">
        <v>134</v>
      </c>
      <c r="B90" s="654" t="s">
        <v>135</v>
      </c>
      <c r="C90" s="655">
        <f t="array" ref="C90">IFERROR((INDEX('Table 2.5a'!$D$8:$D$192,MATCH('Table 2.5b'!A90&amp;'Table 2.5b'!B90,'Table 2.5a'!$A$8:$A$192&amp;'Table 2.5a'!$B$8:$B$192,0))/INDEX('Table 2.5a'!$E$8:$E$192,MATCH('Table 2.5b'!A90&amp;'Table 2.5b'!B90,'Table 2.5a'!$A$8:$A$192&amp;'Table 2.5a'!$B$8:$B$192,0)))*1000, "")</f>
        <v>2699.6790123456794</v>
      </c>
      <c r="D90" s="655">
        <f t="array" ref="D90">IFERROR((INDEX('Table 2.5a'!$C$8:$C$192,MATCH('Table 2.5b'!A90&amp;'Table 2.5b'!B90,'Table 2.5a'!$A$8:$A$192&amp;'Table 2.5a'!$B$8:$B$192,0))/INDEX('Table 2.5a'!$E$8:$E$192,MATCH('Table 2.5b'!A90&amp;'Table 2.5b'!B90,'Table 2.5a'!$A$8:$A$192&amp;'Table 2.5a'!$B$8:$B$192,0)))*1000, "")</f>
        <v>1754.7913580246914</v>
      </c>
      <c r="E90" s="705">
        <f t="array" ref="E90">IFERROR(INDEX('Table 2.5a'!$C$8:$C$192,MATCH('Table 2.5b'!$A90&amp;'Table 2.5b'!$B90,'Table 2.5a'!$A$8:$A$192&amp;'Table 2.5a'!$B$8:$B$192,0))/INDEX('Table 2.5a'!$D$8:$D$192,MATCH('Table 2.5b'!$A90&amp;'Table 2.5b'!$B90,'Table 2.5a'!$A$8:$A$192&amp;'Table 2.5a'!$B$8:$B$192,0)),"")</f>
        <v>0.65</v>
      </c>
      <c r="F90" s="655">
        <f t="array" ref="F90">IFERROR((INDEX('Table 2.5a'!$H$8:$H$192,MATCH('Table 2.5b'!$A90&amp;'Table 2.5b'!$B90,'Table 2.5a'!$A$8:$A$192&amp;'Table 2.5a'!$B$8:$B$192,0))/INDEX('Table 2.5a'!$I$8:$I$192,MATCH('Table 2.5b'!$A90&amp;'Table 2.5b'!$B90,'Table 2.5a'!$A$8:$A$192&amp;'Table 2.5a'!$B$8:$B$192,0)))*1000, "")</f>
        <v>12059.229800338708</v>
      </c>
      <c r="G90" s="655">
        <f t="array" ref="G90">IFERROR((INDEX('Table 2.5a'!$G$8:$G$192,MATCH('Table 2.5b'!$A90&amp;'Table 2.5b'!$B90,'Table 2.5a'!$A$8:$A$192&amp;'Table 2.5a'!$B$8:$B$192,0))/INDEX('Table 2.5a'!$I$8:$I$192,MATCH('Table 2.5b'!$A90&amp;'Table 2.5b'!$B90,'Table 2.5a'!$A$8:$A$192&amp;'Table 2.5a'!$B$8:$B$192,0)))*1000, "")</f>
        <v>7838.4993702201618</v>
      </c>
      <c r="H90" s="705">
        <f t="array" ref="H90">IFERROR(INDEX('Table 2.5a'!$G$8:$G$192,MATCH('Table 2.5b'!$A90&amp;'Table 2.5b'!$B90,'Table 2.5a'!$A$8:$A$192&amp;'Table 2.5a'!$B$8:$B$192,0))/INDEX('Table 2.5a'!$H$8:$H$192,MATCH('Table 2.5b'!$A90&amp;'Table 2.5b'!$B90,'Table 2.5a'!$A$8:$A$192&amp;'Table 2.5a'!$B$8:$B$192,0)),"")</f>
        <v>0.65000000000000013</v>
      </c>
      <c r="I90" s="655">
        <f t="array" ref="I90">IFERROR((INDEX('Table 2.5a'!$L$8:$L$192,MATCH('Table 2.5b'!$A90&amp;'Table 2.5b'!$B90,'Table 2.5a'!$A$8:$A$192&amp;'Table 2.5a'!$B$8:$B$192,0))/INDEX('Table 2.5a'!$I$8:$I$192,MATCH('Table 2.5b'!$A90&amp;'Table 2.5b'!$B90,'Table 2.5a'!$A$8:$A$192&amp;'Table 2.5a'!$B$8:$B$192,0)))*1000, "")</f>
        <v>8554.2388460271122</v>
      </c>
      <c r="J90" s="655">
        <f t="array" ref="J90">IFERROR((INDEX('Table 2.5a'!$K$8:$K$192,MATCH('Table 2.5b'!$A90&amp;'Table 2.5b'!$B90,'Table 2.5a'!$A$8:$A$192&amp;'Table 2.5a'!$B$8:$B$192,0))/INDEX('Table 2.5a'!$I$8:$I$192,MATCH('Table 2.5b'!$A90&amp;'Table 2.5b'!$B90,'Table 2.5a'!$A$8:$A$192&amp;'Table 2.5a'!$B$8:$B$192,0)))*1000, "")</f>
        <v>5560.2552499176236</v>
      </c>
      <c r="K90" s="705">
        <f t="array" ref="K90">IFERROR(INDEX('Table 2.5a'!$I$8:$I$192,MATCH('Table 2.5b'!$A90&amp;'Table 2.5b'!$B90,'Table 2.5a'!$A$8:$A$192&amp;'Table 2.5a'!$B$8:$B$192,0))/INDEX('Table 2.5a'!$L$8:$L$192,MATCH('Table 2.5b'!$A90&amp;'Table 2.5b'!$B90,'Table 2.5a'!$A$8:$A$192&amp;'Table 2.5a'!$B$8:$B$192,0)),"")</f>
        <v>0.11690110809384693</v>
      </c>
      <c r="L90" s="658" t="s">
        <v>356</v>
      </c>
      <c r="M90" s="709">
        <f t="array" ref="M90">INDEX(UtilityList!Q$4:Q$251,MATCH('Table 2.5b'!$A90&amp;'Table 2.5b'!$B90,UtilityList!$A$4:$A$251&amp;UtilityList!$C$4:$C$251,0))</f>
        <v>0</v>
      </c>
      <c r="N90" s="709" t="str">
        <f t="array" ref="N90">INDEX(UtilityList!J$4:J$251,MATCH('Table 2.5b'!$A90&amp;'Table 2.5b'!$B90,UtilityList!$A$4:$A$251&amp;UtilityList!$C$4:$C$251,0))</f>
        <v>Yukon-Koyukuk/Upper Tanana</v>
      </c>
      <c r="O90" s="709" t="str">
        <f t="array" ref="O90">INDEX(UtilityList!K$4:K$251,MATCH('Table 2.5b'!$A90&amp;'Table 2.5b'!$B90,UtilityList!$A$4:$A$251&amp;UtilityList!$C$4:$C$251,0))</f>
        <v>Yukon-Koyukuk (CA)</v>
      </c>
      <c r="P90" s="709" t="str">
        <f t="array" ref="P90">INDEX(UtilityList!L$4:L$251,MATCH('Table 2.5b'!$A90&amp;'Table 2.5b'!$B90,UtilityList!$A$4:$A$251&amp;UtilityList!$C$4:$C$251,0))</f>
        <v>Doyon</v>
      </c>
      <c r="Q90" s="709" t="str">
        <f t="array" ref="Q90">INDEX(UtilityList!M$4:M$251,MATCH('Table 2.5b'!$A90&amp;'Table 2.5b'!$B90,UtilityList!$A$4:$A$251&amp;UtilityList!$C$4:$C$251,0))</f>
        <v>YU</v>
      </c>
    </row>
    <row r="91" spans="1:17" s="285" customFormat="1" ht="75" x14ac:dyDescent="0.25">
      <c r="A91" s="361" t="s">
        <v>502</v>
      </c>
      <c r="B91" s="654" t="s">
        <v>679</v>
      </c>
      <c r="C91" s="655">
        <f t="array" ref="C91">IFERROR((INDEX('Table 2.5a'!$D$8:$D$192,MATCH('Table 2.5b'!A91&amp;'Table 2.5b'!B91,'Table 2.5a'!$A$8:$A$192&amp;'Table 2.5a'!$B$8:$B$192,0))/INDEX('Table 2.5a'!$E$8:$E$192,MATCH('Table 2.5b'!A91&amp;'Table 2.5b'!B91,'Table 2.5a'!$A$8:$A$192&amp;'Table 2.5a'!$B$8:$B$192,0)))*1000, "")</f>
        <v>6021.0348784549733</v>
      </c>
      <c r="D91" s="655">
        <f t="array" ref="D91">IFERROR((INDEX('Table 2.5a'!$C$8:$C$192,MATCH('Table 2.5b'!A91&amp;'Table 2.5b'!B91,'Table 2.5a'!$A$8:$A$192&amp;'Table 2.5a'!$B$8:$B$192,0))/INDEX('Table 2.5a'!$E$8:$E$192,MATCH('Table 2.5b'!A91&amp;'Table 2.5b'!B91,'Table 2.5a'!$A$8:$A$192&amp;'Table 2.5a'!$B$8:$B$192,0)))*1000, "")</f>
        <v>3091.0989359473592</v>
      </c>
      <c r="E91" s="705">
        <f t="array" ref="E91">IFERROR(INDEX('Table 2.5a'!$C$8:$C$192,MATCH('Table 2.5b'!$A91&amp;'Table 2.5b'!$B91,'Table 2.5a'!$A$8:$A$192&amp;'Table 2.5a'!$B$8:$B$192,0))/INDEX('Table 2.5a'!$D$8:$D$192,MATCH('Table 2.5b'!$A91&amp;'Table 2.5b'!$B91,'Table 2.5a'!$A$8:$A$192&amp;'Table 2.5a'!$B$8:$B$192,0)),"")</f>
        <v>0.51338333000000003</v>
      </c>
      <c r="F91" s="655">
        <f t="array" ref="F91">IFERROR((INDEX('Table 2.5a'!$H$8:$H$192,MATCH('Table 2.5b'!$A91&amp;'Table 2.5b'!$B91,'Table 2.5a'!$A$8:$A$192&amp;'Table 2.5a'!$B$8:$B$192,0))/INDEX('Table 2.5a'!$I$8:$I$192,MATCH('Table 2.5b'!$A91&amp;'Table 2.5b'!$B91,'Table 2.5a'!$A$8:$A$192&amp;'Table 2.5a'!$B$8:$B$192,0)))*1000, "")</f>
        <v>24640.648464689108</v>
      </c>
      <c r="G91" s="655">
        <f t="array" ref="G91">IFERROR((INDEX('Table 2.5a'!$G$8:$G$192,MATCH('Table 2.5b'!$A91&amp;'Table 2.5b'!$B91,'Table 2.5a'!$A$8:$A$192&amp;'Table 2.5a'!$B$8:$B$192,0))/INDEX('Table 2.5a'!$I$8:$I$192,MATCH('Table 2.5b'!$A91&amp;'Table 2.5b'!$B91,'Table 2.5a'!$A$8:$A$192&amp;'Table 2.5a'!$B$8:$B$192,0)))*1000, "")</f>
        <v>12650.098162161485</v>
      </c>
      <c r="H91" s="705">
        <f t="array" ref="H91">IFERROR(INDEX('Table 2.5a'!$G$8:$G$192,MATCH('Table 2.5b'!$A91&amp;'Table 2.5b'!$B91,'Table 2.5a'!$A$8:$A$192&amp;'Table 2.5a'!$B$8:$B$192,0))/INDEX('Table 2.5a'!$H$8:$H$192,MATCH('Table 2.5b'!$A91&amp;'Table 2.5b'!$B91,'Table 2.5a'!$A$8:$A$192&amp;'Table 2.5a'!$B$8:$B$192,0)),"")</f>
        <v>0.51338333000000003</v>
      </c>
      <c r="I91" s="655">
        <f t="array" ref="I91">IFERROR((INDEX('Table 2.5a'!$L$8:$L$192,MATCH('Table 2.5b'!$A91&amp;'Table 2.5b'!$B91,'Table 2.5a'!$A$8:$A$192&amp;'Table 2.5a'!$B$8:$B$192,0))/INDEX('Table 2.5a'!$I$8:$I$192,MATCH('Table 2.5b'!$A91&amp;'Table 2.5b'!$B91,'Table 2.5a'!$A$8:$A$192&amp;'Table 2.5a'!$B$8:$B$192,0)))*1000, "")</f>
        <v>4015.594608793223</v>
      </c>
      <c r="J91" s="655">
        <f t="array" ref="J91">IFERROR((INDEX('Table 2.5a'!$K$8:$K$192,MATCH('Table 2.5b'!$A91&amp;'Table 2.5b'!$B91,'Table 2.5a'!$A$8:$A$192&amp;'Table 2.5a'!$B$8:$B$192,0))/INDEX('Table 2.5a'!$I$8:$I$192,MATCH('Table 2.5b'!$A91&amp;'Table 2.5b'!$B91,'Table 2.5a'!$A$8:$A$192&amp;'Table 2.5a'!$B$8:$B$192,0)))*1000, "")</f>
        <v>2061.5393321923125</v>
      </c>
      <c r="K91" s="705">
        <f t="array" ref="K91">IFERROR(INDEX('Table 2.5a'!$I$8:$I$192,MATCH('Table 2.5b'!$A91&amp;'Table 2.5b'!$B91,'Table 2.5a'!$A$8:$A$192&amp;'Table 2.5a'!$B$8:$B$192,0))/INDEX('Table 2.5a'!$L$8:$L$192,MATCH('Table 2.5b'!$A91&amp;'Table 2.5b'!$B91,'Table 2.5a'!$A$8:$A$192&amp;'Table 2.5a'!$B$8:$B$192,0)),"")</f>
        <v>0.24902912206581596</v>
      </c>
      <c r="L91" s="658" t="s">
        <v>356</v>
      </c>
      <c r="M91" s="709" t="str">
        <f t="array" ref="M91">INDEX(UtilityList!Q$4:Q$251,MATCH('Table 2.5b'!$A91&amp;'Table 2.5b'!$B91,UtilityList!$A$4:$A$251&amp;UtilityList!$C$4:$C$251,0))</f>
        <v>Provides power to Oscarville and sells power to Napakiak Ircinraq via intertie. Data includes Oscarville's information.</v>
      </c>
      <c r="N91" s="709" t="str">
        <f t="array" ref="N91">INDEX(UtilityList!J$4:J$251,MATCH('Table 2.5b'!$A91&amp;'Table 2.5b'!$B91,UtilityList!$A$4:$A$251&amp;UtilityList!$C$4:$C$251,0))</f>
        <v>Lower Yukon-Kuskokwim</v>
      </c>
      <c r="O91" s="709" t="str">
        <f t="array" ref="O91">INDEX(UtilityList!K$4:K$251,MATCH('Table 2.5b'!$A91&amp;'Table 2.5b'!$B91,UtilityList!$A$4:$A$251&amp;UtilityList!$C$4:$C$251,0))</f>
        <v>Bethel (CA)</v>
      </c>
      <c r="P91" s="709" t="str">
        <f t="array" ref="P91">INDEX(UtilityList!L$4:L$251,MATCH('Table 2.5b'!$A91&amp;'Table 2.5b'!$B91,UtilityList!$A$4:$A$251&amp;UtilityList!$C$4:$C$251,0))</f>
        <v>Calista</v>
      </c>
      <c r="Q91" s="709" t="str">
        <f t="array" ref="Q91">INDEX(UtilityList!M$4:M$251,MATCH('Table 2.5b'!$A91&amp;'Table 2.5b'!$B91,UtilityList!$A$4:$A$251&amp;UtilityList!$C$4:$C$251,0))</f>
        <v>SW</v>
      </c>
    </row>
    <row r="92" spans="1:17" s="267" customFormat="1" x14ac:dyDescent="0.25">
      <c r="A92" s="361" t="s">
        <v>139</v>
      </c>
      <c r="B92" s="654" t="s">
        <v>140</v>
      </c>
      <c r="C92" s="655">
        <f t="array" ref="C92">IFERROR((INDEX('Table 2.5a'!$D$8:$D$192,MATCH('Table 2.5b'!A92&amp;'Table 2.5b'!B92,'Table 2.5a'!$A$8:$A$192&amp;'Table 2.5a'!$B$8:$B$192,0))/INDEX('Table 2.5a'!$E$8:$E$192,MATCH('Table 2.5b'!A92&amp;'Table 2.5b'!B92,'Table 2.5a'!$A$8:$A$192&amp;'Table 2.5a'!$B$8:$B$192,0)))*1000, "")</f>
        <v>6225.8214285714284</v>
      </c>
      <c r="D92" s="655">
        <f t="array" ref="D92">IFERROR((INDEX('Table 2.5a'!$C$8:$C$192,MATCH('Table 2.5b'!A92&amp;'Table 2.5b'!B92,'Table 2.5a'!$A$8:$A$192&amp;'Table 2.5a'!$B$8:$B$192,0))/INDEX('Table 2.5a'!$E$8:$E$192,MATCH('Table 2.5b'!A92&amp;'Table 2.5b'!B92,'Table 2.5a'!$A$8:$A$192&amp;'Table 2.5a'!$B$8:$B$192,0)))*1000, "")</f>
        <v>2951.6619392857147</v>
      </c>
      <c r="E92" s="705">
        <f t="array" ref="E92">IFERROR(INDEX('Table 2.5a'!$C$8:$C$192,MATCH('Table 2.5b'!$A92&amp;'Table 2.5b'!$B92,'Table 2.5a'!$A$8:$A$192&amp;'Table 2.5a'!$B$8:$B$192,0))/INDEX('Table 2.5a'!$D$8:$D$192,MATCH('Table 2.5b'!$A92&amp;'Table 2.5b'!$B92,'Table 2.5a'!$A$8:$A$192&amp;'Table 2.5a'!$B$8:$B$192,0)),"")</f>
        <v>0.47410000000000002</v>
      </c>
      <c r="F92" s="655">
        <f t="array" ref="F92">IFERROR((INDEX('Table 2.5a'!$H$8:$H$192,MATCH('Table 2.5b'!$A92&amp;'Table 2.5b'!$B92,'Table 2.5a'!$A$8:$A$192&amp;'Table 2.5a'!$B$8:$B$192,0))/INDEX('Table 2.5a'!$I$8:$I$192,MATCH('Table 2.5b'!$A92&amp;'Table 2.5b'!$B92,'Table 2.5a'!$A$8:$A$192&amp;'Table 2.5a'!$B$8:$B$192,0)))*1000, "")</f>
        <v>44850.25</v>
      </c>
      <c r="G92" s="655">
        <f t="array" ref="G92">IFERROR((INDEX('Table 2.5a'!$G$8:$G$192,MATCH('Table 2.5b'!$A92&amp;'Table 2.5b'!$B92,'Table 2.5a'!$A$8:$A$192&amp;'Table 2.5a'!$B$8:$B$192,0))/INDEX('Table 2.5a'!$I$8:$I$192,MATCH('Table 2.5b'!$A92&amp;'Table 2.5b'!$B92,'Table 2.5a'!$A$8:$A$192&amp;'Table 2.5a'!$B$8:$B$192,0)))*1000, "")</f>
        <v>21263.503525</v>
      </c>
      <c r="H92" s="705">
        <f t="array" ref="H92">IFERROR(INDEX('Table 2.5a'!$G$8:$G$192,MATCH('Table 2.5b'!$A92&amp;'Table 2.5b'!$B92,'Table 2.5a'!$A$8:$A$192&amp;'Table 2.5a'!$B$8:$B$192,0))/INDEX('Table 2.5a'!$H$8:$H$192,MATCH('Table 2.5b'!$A92&amp;'Table 2.5b'!$B92,'Table 2.5a'!$A$8:$A$192&amp;'Table 2.5a'!$B$8:$B$192,0)),"")</f>
        <v>0.47409999999999997</v>
      </c>
      <c r="I92" s="655">
        <f t="array" ref="I92">IFERROR((INDEX('Table 2.5a'!$L$8:$L$192,MATCH('Table 2.5b'!$A92&amp;'Table 2.5b'!$B92,'Table 2.5a'!$A$8:$A$192&amp;'Table 2.5a'!$B$8:$B$192,0))/INDEX('Table 2.5a'!$I$8:$I$192,MATCH('Table 2.5b'!$A92&amp;'Table 2.5b'!$B92,'Table 2.5a'!$A$8:$A$192&amp;'Table 2.5a'!$B$8:$B$192,0)))*1000, "")</f>
        <v>4922.9375</v>
      </c>
      <c r="J92" s="655">
        <f t="array" ref="J92">IFERROR((INDEX('Table 2.5a'!$K$8:$K$192,MATCH('Table 2.5b'!$A92&amp;'Table 2.5b'!$B92,'Table 2.5a'!$A$8:$A$192&amp;'Table 2.5a'!$B$8:$B$192,0))/INDEX('Table 2.5a'!$I$8:$I$192,MATCH('Table 2.5b'!$A92&amp;'Table 2.5b'!$B92,'Table 2.5a'!$A$8:$A$192&amp;'Table 2.5a'!$B$8:$B$192,0)))*1000, "")</f>
        <v>2333.9646687500003</v>
      </c>
      <c r="K92" s="705">
        <f t="array" ref="K92">IFERROR(INDEX('Table 2.5a'!$I$8:$I$192,MATCH('Table 2.5b'!$A92&amp;'Table 2.5b'!$B92,'Table 2.5a'!$A$8:$A$192&amp;'Table 2.5a'!$B$8:$B$192,0))/INDEX('Table 2.5a'!$L$8:$L$192,MATCH('Table 2.5b'!$A92&amp;'Table 2.5b'!$B92,'Table 2.5a'!$A$8:$A$192&amp;'Table 2.5a'!$B$8:$B$192,0)),"")</f>
        <v>0.20313075272639558</v>
      </c>
      <c r="L92" s="658" t="s">
        <v>356</v>
      </c>
      <c r="M92" s="709">
        <f t="array" ref="M92">INDEX(UtilityList!Q$4:Q$251,MATCH('Table 2.5b'!$A92&amp;'Table 2.5b'!$B92,UtilityList!$A$4:$A$251&amp;UtilityList!$C$4:$C$251,0))</f>
        <v>0</v>
      </c>
      <c r="N92" s="709" t="str">
        <f t="array" ref="N92">INDEX(UtilityList!J$4:J$251,MATCH('Table 2.5b'!$A92&amp;'Table 2.5b'!$B92,UtilityList!$A$4:$A$251&amp;UtilityList!$C$4:$C$251,0))</f>
        <v>Northwest Arctic</v>
      </c>
      <c r="O92" s="709" t="str">
        <f t="array" ref="O92">INDEX(UtilityList!K$4:K$251,MATCH('Table 2.5b'!$A92&amp;'Table 2.5b'!$B92,UtilityList!$A$4:$A$251&amp;UtilityList!$C$4:$C$251,0))</f>
        <v>Northwest Arctic</v>
      </c>
      <c r="P92" s="709" t="str">
        <f t="array" ref="P92">INDEX(UtilityList!L$4:L$251,MATCH('Table 2.5b'!$A92&amp;'Table 2.5b'!$B92,UtilityList!$A$4:$A$251&amp;UtilityList!$C$4:$C$251,0))</f>
        <v>NANA</v>
      </c>
      <c r="Q92" s="709" t="str">
        <f t="array" ref="Q92">INDEX(UtilityList!M$4:M$251,MATCH('Table 2.5b'!$A92&amp;'Table 2.5b'!$B92,UtilityList!$A$4:$A$251&amp;UtilityList!$C$4:$C$251,0))</f>
        <v>AN</v>
      </c>
    </row>
    <row r="93" spans="1:17" s="267" customFormat="1" ht="30" x14ac:dyDescent="0.25">
      <c r="A93" s="361" t="s">
        <v>141</v>
      </c>
      <c r="B93" s="654" t="s">
        <v>142</v>
      </c>
      <c r="C93" s="655">
        <f t="array" ref="C93">IFERROR((INDEX('Table 2.5a'!$D$8:$D$192,MATCH('Table 2.5b'!A93&amp;'Table 2.5b'!B93,'Table 2.5a'!$A$8:$A$192&amp;'Table 2.5a'!$B$8:$B$192,0))/INDEX('Table 2.5a'!$E$8:$E$192,MATCH('Table 2.5b'!A93&amp;'Table 2.5b'!B93,'Table 2.5a'!$A$8:$A$192&amp;'Table 2.5a'!$B$8:$B$192,0)))*1000, "")</f>
        <v>1504.7044025157231</v>
      </c>
      <c r="D93" s="655">
        <f t="array" ref="D93">IFERROR((INDEX('Table 2.5a'!$C$8:$C$192,MATCH('Table 2.5b'!A93&amp;'Table 2.5b'!B93,'Table 2.5a'!$A$8:$A$192&amp;'Table 2.5a'!$B$8:$B$192,0))/INDEX('Table 2.5a'!$E$8:$E$192,MATCH('Table 2.5b'!A93&amp;'Table 2.5b'!B93,'Table 2.5a'!$A$8:$A$192&amp;'Table 2.5a'!$B$8:$B$192,0)))*1000, "")</f>
        <v>1429.469182389937</v>
      </c>
      <c r="E93" s="705">
        <f t="array" ref="E93">IFERROR(INDEX('Table 2.5a'!$C$8:$C$192,MATCH('Table 2.5b'!$A93&amp;'Table 2.5b'!$B93,'Table 2.5a'!$A$8:$A$192&amp;'Table 2.5a'!$B$8:$B$192,0))/INDEX('Table 2.5a'!$D$8:$D$192,MATCH('Table 2.5b'!$A93&amp;'Table 2.5b'!$B93,'Table 2.5a'!$A$8:$A$192&amp;'Table 2.5a'!$B$8:$B$192,0)),"")</f>
        <v>0.95</v>
      </c>
      <c r="F93" s="655">
        <f t="array" ref="F93">IFERROR((INDEX('Table 2.5a'!$H$8:$H$192,MATCH('Table 2.5b'!$A93&amp;'Table 2.5b'!$B93,'Table 2.5a'!$A$8:$A$192&amp;'Table 2.5a'!$B$8:$B$192,0))/INDEX('Table 2.5a'!$I$8:$I$192,MATCH('Table 2.5b'!$A93&amp;'Table 2.5b'!$B93,'Table 2.5a'!$A$8:$A$192&amp;'Table 2.5a'!$B$8:$B$192,0)))*1000, "")</f>
        <v>7818.6666666666661</v>
      </c>
      <c r="G93" s="655">
        <f t="array" ref="G93">IFERROR((INDEX('Table 2.5a'!$G$8:$G$192,MATCH('Table 2.5b'!$A93&amp;'Table 2.5b'!$B93,'Table 2.5a'!$A$8:$A$192&amp;'Table 2.5a'!$B$8:$B$192,0))/INDEX('Table 2.5a'!$I$8:$I$192,MATCH('Table 2.5b'!$A93&amp;'Table 2.5b'!$B93,'Table 2.5a'!$A$8:$A$192&amp;'Table 2.5a'!$B$8:$B$192,0)))*1000, "")</f>
        <v>7427.7333333333327</v>
      </c>
      <c r="H93" s="705">
        <f t="array" ref="H93">IFERROR(INDEX('Table 2.5a'!$G$8:$G$192,MATCH('Table 2.5b'!$A93&amp;'Table 2.5b'!$B93,'Table 2.5a'!$A$8:$A$192&amp;'Table 2.5a'!$B$8:$B$192,0))/INDEX('Table 2.5a'!$H$8:$H$192,MATCH('Table 2.5b'!$A93&amp;'Table 2.5b'!$B93,'Table 2.5a'!$A$8:$A$192&amp;'Table 2.5a'!$B$8:$B$192,0)),"")</f>
        <v>0.95</v>
      </c>
      <c r="I93" s="655">
        <f t="array" ref="I93">IFERROR((INDEX('Table 2.5a'!$L$8:$L$192,MATCH('Table 2.5b'!$A93&amp;'Table 2.5b'!$B93,'Table 2.5a'!$A$8:$A$192&amp;'Table 2.5a'!$B$8:$B$192,0))/INDEX('Table 2.5a'!$I$8:$I$192,MATCH('Table 2.5b'!$A93&amp;'Table 2.5b'!$B93,'Table 2.5a'!$A$8:$A$192&amp;'Table 2.5a'!$B$8:$B$192,0)))*1000, "")</f>
        <v>17812.5</v>
      </c>
      <c r="J93" s="655">
        <f t="array" ref="J93">IFERROR((INDEX('Table 2.5a'!$K$8:$K$192,MATCH('Table 2.5b'!$A93&amp;'Table 2.5b'!$B93,'Table 2.5a'!$A$8:$A$192&amp;'Table 2.5a'!$B$8:$B$192,0))/INDEX('Table 2.5a'!$I$8:$I$192,MATCH('Table 2.5b'!$A93&amp;'Table 2.5b'!$B93,'Table 2.5a'!$A$8:$A$192&amp;'Table 2.5a'!$B$8:$B$192,0)))*1000, "")</f>
        <v>16921.875</v>
      </c>
      <c r="K93" s="705">
        <f t="array" ref="K93">IFERROR(INDEX('Table 2.5a'!$I$8:$I$192,MATCH('Table 2.5b'!$A93&amp;'Table 2.5b'!$B93,'Table 2.5a'!$A$8:$A$192&amp;'Table 2.5a'!$B$8:$B$192,0))/INDEX('Table 2.5a'!$L$8:$L$192,MATCH('Table 2.5b'!$A93&amp;'Table 2.5b'!$B93,'Table 2.5a'!$A$8:$A$192&amp;'Table 2.5a'!$B$8:$B$192,0)),"")</f>
        <v>5.6140350877192984E-2</v>
      </c>
      <c r="L93" s="658" t="s">
        <v>356</v>
      </c>
      <c r="M93" s="709">
        <f t="array" ref="M93">INDEX(UtilityList!Q$4:Q$251,MATCH('Table 2.5b'!$A93&amp;'Table 2.5b'!$B93,UtilityList!$A$4:$A$251&amp;UtilityList!$C$4:$C$251,0))</f>
        <v>0</v>
      </c>
      <c r="N93" s="709" t="str">
        <f t="array" ref="N93">INDEX(UtilityList!J$4:J$251,MATCH('Table 2.5b'!$A93&amp;'Table 2.5b'!$B93,UtilityList!$A$4:$A$251&amp;UtilityList!$C$4:$C$251,0))</f>
        <v>Yukon-Koyukuk/Upper Tanana</v>
      </c>
      <c r="O93" s="709" t="str">
        <f t="array" ref="O93">INDEX(UtilityList!K$4:K$251,MATCH('Table 2.5b'!$A93&amp;'Table 2.5b'!$B93,UtilityList!$A$4:$A$251&amp;UtilityList!$C$4:$C$251,0))</f>
        <v>Yukon-Koyukuk (CA)</v>
      </c>
      <c r="P93" s="709" t="str">
        <f t="array" ref="P93">INDEX(UtilityList!L$4:L$251,MATCH('Table 2.5b'!$A93&amp;'Table 2.5b'!$B93,UtilityList!$A$4:$A$251&amp;UtilityList!$C$4:$C$251,0))</f>
        <v>Doyon</v>
      </c>
      <c r="Q93" s="709" t="str">
        <f t="array" ref="Q93">INDEX(UtilityList!M$4:M$251,MATCH('Table 2.5b'!$A93&amp;'Table 2.5b'!$B93,UtilityList!$A$4:$A$251&amp;UtilityList!$C$4:$C$251,0))</f>
        <v>YU</v>
      </c>
    </row>
    <row r="94" spans="1:17" s="267" customFormat="1" x14ac:dyDescent="0.25">
      <c r="A94" s="361" t="s">
        <v>143</v>
      </c>
      <c r="B94" s="654" t="s">
        <v>144</v>
      </c>
      <c r="C94" s="655">
        <f t="array" ref="C94">IFERROR((INDEX('Table 2.5a'!$D$8:$D$192,MATCH('Table 2.5b'!A94&amp;'Table 2.5b'!B94,'Table 2.5a'!$A$8:$A$192&amp;'Table 2.5a'!$B$8:$B$192,0))/INDEX('Table 2.5a'!$E$8:$E$192,MATCH('Table 2.5b'!A94&amp;'Table 2.5b'!B94,'Table 2.5a'!$A$8:$A$192&amp;'Table 2.5a'!$B$8:$B$192,0)))*1000, "")</f>
        <v>4350.2800000000007</v>
      </c>
      <c r="D94" s="655">
        <f t="array" ref="D94">IFERROR((INDEX('Table 2.5a'!$C$8:$C$192,MATCH('Table 2.5b'!A94&amp;'Table 2.5b'!B94,'Table 2.5a'!$A$8:$A$192&amp;'Table 2.5a'!$B$8:$B$192,0))/INDEX('Table 2.5a'!$E$8:$E$192,MATCH('Table 2.5b'!A94&amp;'Table 2.5b'!B94,'Table 2.5a'!$A$8:$A$192&amp;'Table 2.5a'!$B$8:$B$192,0)))*1000, "")</f>
        <v>1892.3718000000001</v>
      </c>
      <c r="E94" s="705">
        <f t="array" ref="E94">IFERROR(INDEX('Table 2.5a'!$C$8:$C$192,MATCH('Table 2.5b'!$A94&amp;'Table 2.5b'!$B94,'Table 2.5a'!$A$8:$A$192&amp;'Table 2.5a'!$B$8:$B$192,0))/INDEX('Table 2.5a'!$D$8:$D$192,MATCH('Table 2.5b'!$A94&amp;'Table 2.5b'!$B94,'Table 2.5a'!$A$8:$A$192&amp;'Table 2.5a'!$B$8:$B$192,0)),"")</f>
        <v>0.43499999999999994</v>
      </c>
      <c r="F94" s="655">
        <f t="array" ref="F94">IFERROR((INDEX('Table 2.5a'!$H$8:$H$192,MATCH('Table 2.5b'!$A94&amp;'Table 2.5b'!$B94,'Table 2.5a'!$A$8:$A$192&amp;'Table 2.5a'!$B$8:$B$192,0))/INDEX('Table 2.5a'!$I$8:$I$192,MATCH('Table 2.5b'!$A94&amp;'Table 2.5b'!$B94,'Table 2.5a'!$A$8:$A$192&amp;'Table 2.5a'!$B$8:$B$192,0)))*1000, "")</f>
        <v>11733.272727272726</v>
      </c>
      <c r="G94" s="655">
        <f t="array" ref="G94">IFERROR((INDEX('Table 2.5a'!$G$8:$G$192,MATCH('Table 2.5b'!$A94&amp;'Table 2.5b'!$B94,'Table 2.5a'!$A$8:$A$192&amp;'Table 2.5a'!$B$8:$B$192,0))/INDEX('Table 2.5a'!$I$8:$I$192,MATCH('Table 2.5b'!$A94&amp;'Table 2.5b'!$B94,'Table 2.5a'!$A$8:$A$192&amp;'Table 2.5a'!$B$8:$B$192,0)))*1000, "")</f>
        <v>5103.9736363636366</v>
      </c>
      <c r="H94" s="705">
        <f t="array" ref="H94">IFERROR(INDEX('Table 2.5a'!$G$8:$G$192,MATCH('Table 2.5b'!$A94&amp;'Table 2.5b'!$B94,'Table 2.5a'!$A$8:$A$192&amp;'Table 2.5a'!$B$8:$B$192,0))/INDEX('Table 2.5a'!$H$8:$H$192,MATCH('Table 2.5b'!$A94&amp;'Table 2.5b'!$B94,'Table 2.5a'!$A$8:$A$192&amp;'Table 2.5a'!$B$8:$B$192,0)),"")</f>
        <v>0.435</v>
      </c>
      <c r="I94" s="655">
        <f t="array" ref="I94">IFERROR((INDEX('Table 2.5a'!$L$8:$L$192,MATCH('Table 2.5b'!$A94&amp;'Table 2.5b'!$B94,'Table 2.5a'!$A$8:$A$192&amp;'Table 2.5a'!$B$8:$B$192,0))/INDEX('Table 2.5a'!$I$8:$I$192,MATCH('Table 2.5b'!$A94&amp;'Table 2.5b'!$B94,'Table 2.5a'!$A$8:$A$192&amp;'Table 2.5a'!$B$8:$B$192,0)))*1000, "")</f>
        <v>4845</v>
      </c>
      <c r="J94" s="655">
        <f t="array" ref="J94">IFERROR((INDEX('Table 2.5a'!$K$8:$K$192,MATCH('Table 2.5b'!$A94&amp;'Table 2.5b'!$B94,'Table 2.5a'!$A$8:$A$192&amp;'Table 2.5a'!$B$8:$B$192,0))/INDEX('Table 2.5a'!$I$8:$I$192,MATCH('Table 2.5b'!$A94&amp;'Table 2.5b'!$B94,'Table 2.5a'!$A$8:$A$192&amp;'Table 2.5a'!$B$8:$B$192,0)))*1000, "")</f>
        <v>2107.5750000000003</v>
      </c>
      <c r="K94" s="705">
        <f t="array" ref="K94">IFERROR(INDEX('Table 2.5a'!$I$8:$I$192,MATCH('Table 2.5b'!$A94&amp;'Table 2.5b'!$B94,'Table 2.5a'!$A$8:$A$192&amp;'Table 2.5a'!$B$8:$B$192,0))/INDEX('Table 2.5a'!$L$8:$L$192,MATCH('Table 2.5b'!$A94&amp;'Table 2.5b'!$B94,'Table 2.5a'!$A$8:$A$192&amp;'Table 2.5a'!$B$8:$B$192,0)),"")</f>
        <v>0.20639834881320948</v>
      </c>
      <c r="L94" s="658" t="s">
        <v>356</v>
      </c>
      <c r="M94" s="709">
        <f t="array" ref="M94">INDEX(UtilityList!Q$4:Q$251,MATCH('Table 2.5b'!$A94&amp;'Table 2.5b'!$B94,UtilityList!$A$4:$A$251&amp;UtilityList!$C$4:$C$251,0))</f>
        <v>0</v>
      </c>
      <c r="N94" s="709" t="str">
        <f t="array" ref="N94">INDEX(UtilityList!J$4:J$251,MATCH('Table 2.5b'!$A94&amp;'Table 2.5b'!$B94,UtilityList!$A$4:$A$251&amp;UtilityList!$C$4:$C$251,0))</f>
        <v>Copper River/Chugach</v>
      </c>
      <c r="O94" s="709" t="str">
        <f t="array" ref="O94">INDEX(UtilityList!K$4:K$251,MATCH('Table 2.5b'!$A94&amp;'Table 2.5b'!$B94,UtilityList!$A$4:$A$251&amp;UtilityList!$C$4:$C$251,0))</f>
        <v>Valdez-Cordova (CA)</v>
      </c>
      <c r="P94" s="709" t="str">
        <f t="array" ref="P94">INDEX(UtilityList!L$4:L$251,MATCH('Table 2.5b'!$A94&amp;'Table 2.5b'!$B94,UtilityList!$A$4:$A$251&amp;UtilityList!$C$4:$C$251,0))</f>
        <v>Chugach</v>
      </c>
      <c r="Q94" s="709" t="str">
        <f t="array" ref="Q94">INDEX(UtilityList!M$4:M$251,MATCH('Table 2.5b'!$A94&amp;'Table 2.5b'!$B94,UtilityList!$A$4:$A$251&amp;UtilityList!$C$4:$C$251,0))</f>
        <v>SC</v>
      </c>
    </row>
    <row r="95" spans="1:17" s="267" customFormat="1" ht="30" x14ac:dyDescent="0.25">
      <c r="A95" s="361" t="s">
        <v>145</v>
      </c>
      <c r="B95" s="654" t="s">
        <v>146</v>
      </c>
      <c r="C95" s="655">
        <f t="array" ref="C95">IFERROR((INDEX('Table 2.5a'!$D$8:$D$192,MATCH('Table 2.5b'!A95&amp;'Table 2.5b'!B95,'Table 2.5a'!$A$8:$A$192&amp;'Table 2.5a'!$B$8:$B$192,0))/INDEX('Table 2.5a'!$E$8:$E$192,MATCH('Table 2.5b'!A95&amp;'Table 2.5b'!B95,'Table 2.5a'!$A$8:$A$192&amp;'Table 2.5a'!$B$8:$B$192,0)))*1000, "")</f>
        <v>4413.5063603376593</v>
      </c>
      <c r="D95" s="655">
        <f t="array" ref="D95">IFERROR((INDEX('Table 2.5a'!$C$8:$C$192,MATCH('Table 2.5b'!A95&amp;'Table 2.5b'!B95,'Table 2.5a'!$A$8:$A$192&amp;'Table 2.5a'!$B$8:$B$192,0))/INDEX('Table 2.5a'!$E$8:$E$192,MATCH('Table 2.5b'!A95&amp;'Table 2.5b'!B95,'Table 2.5a'!$A$8:$A$192&amp;'Table 2.5a'!$B$8:$B$192,0)))*1000, "")</f>
        <v>3053.0430247635759</v>
      </c>
      <c r="E95" s="705">
        <f t="array" ref="E95">IFERROR(INDEX('Table 2.5a'!$C$8:$C$192,MATCH('Table 2.5b'!$A95&amp;'Table 2.5b'!$B95,'Table 2.5a'!$A$8:$A$192&amp;'Table 2.5a'!$B$8:$B$192,0))/INDEX('Table 2.5a'!$D$8:$D$192,MATCH('Table 2.5b'!$A95&amp;'Table 2.5b'!$B95,'Table 2.5a'!$A$8:$A$192&amp;'Table 2.5a'!$B$8:$B$192,0)),"")</f>
        <v>0.69174999999999998</v>
      </c>
      <c r="F95" s="655">
        <f t="array" ref="F95">IFERROR((INDEX('Table 2.5a'!$H$8:$H$192,MATCH('Table 2.5b'!$A95&amp;'Table 2.5b'!$B95,'Table 2.5a'!$A$8:$A$192&amp;'Table 2.5a'!$B$8:$B$192,0))/INDEX('Table 2.5a'!$I$8:$I$192,MATCH('Table 2.5b'!$A95&amp;'Table 2.5b'!$B95,'Table 2.5a'!$A$8:$A$192&amp;'Table 2.5a'!$B$8:$B$192,0)))*1000, "")</f>
        <v>19873.363184696293</v>
      </c>
      <c r="G95" s="655">
        <f t="array" ref="G95">IFERROR((INDEX('Table 2.5a'!$G$8:$G$192,MATCH('Table 2.5b'!$A95&amp;'Table 2.5b'!$B95,'Table 2.5a'!$A$8:$A$192&amp;'Table 2.5a'!$B$8:$B$192,0))/INDEX('Table 2.5a'!$I$8:$I$192,MATCH('Table 2.5b'!$A95&amp;'Table 2.5b'!$B95,'Table 2.5a'!$A$8:$A$192&amp;'Table 2.5a'!$B$8:$B$192,0)))*1000, "")</f>
        <v>13747.398983013658</v>
      </c>
      <c r="H95" s="705">
        <f t="array" ref="H95">IFERROR(INDEX('Table 2.5a'!$G$8:$G$192,MATCH('Table 2.5b'!$A95&amp;'Table 2.5b'!$B95,'Table 2.5a'!$A$8:$A$192&amp;'Table 2.5a'!$B$8:$B$192,0))/INDEX('Table 2.5a'!$H$8:$H$192,MATCH('Table 2.5b'!$A95&amp;'Table 2.5b'!$B95,'Table 2.5a'!$A$8:$A$192&amp;'Table 2.5a'!$B$8:$B$192,0)),"")</f>
        <v>0.69174999999999998</v>
      </c>
      <c r="I95" s="655">
        <f t="array" ref="I95">IFERROR((INDEX('Table 2.5a'!$L$8:$L$192,MATCH('Table 2.5b'!$A95&amp;'Table 2.5b'!$B95,'Table 2.5a'!$A$8:$A$192&amp;'Table 2.5a'!$B$8:$B$192,0))/INDEX('Table 2.5a'!$I$8:$I$192,MATCH('Table 2.5b'!$A95&amp;'Table 2.5b'!$B95,'Table 2.5a'!$A$8:$A$192&amp;'Table 2.5a'!$B$8:$B$192,0)))*1000, "")</f>
        <v>9552.1361465423615</v>
      </c>
      <c r="J95" s="655">
        <f t="array" ref="J95">IFERROR((INDEX('Table 2.5a'!$K$8:$K$192,MATCH('Table 2.5b'!$A95&amp;'Table 2.5b'!$B95,'Table 2.5a'!$A$8:$A$192&amp;'Table 2.5a'!$B$8:$B$192,0))/INDEX('Table 2.5a'!$I$8:$I$192,MATCH('Table 2.5b'!$A95&amp;'Table 2.5b'!$B95,'Table 2.5a'!$A$8:$A$192&amp;'Table 2.5a'!$B$8:$B$192,0)))*1000, "")</f>
        <v>6607.6901793706784</v>
      </c>
      <c r="K95" s="705">
        <f t="array" ref="K95">IFERROR(INDEX('Table 2.5a'!$I$8:$I$192,MATCH('Table 2.5b'!$A95&amp;'Table 2.5b'!$B95,'Table 2.5a'!$A$8:$A$192&amp;'Table 2.5a'!$B$8:$B$192,0))/INDEX('Table 2.5a'!$L$8:$L$192,MATCH('Table 2.5b'!$A95&amp;'Table 2.5b'!$B95,'Table 2.5a'!$A$8:$A$192&amp;'Table 2.5a'!$B$8:$B$192,0)),"")</f>
        <v>0.10468862510528344</v>
      </c>
      <c r="L95" s="658" t="s">
        <v>356</v>
      </c>
      <c r="M95" s="709">
        <f t="array" ref="M95">INDEX(UtilityList!Q$4:Q$251,MATCH('Table 2.5b'!$A95&amp;'Table 2.5b'!$B95,UtilityList!$A$4:$A$251&amp;UtilityList!$C$4:$C$251,0))</f>
        <v>0</v>
      </c>
      <c r="N95" s="709" t="str">
        <f t="array" ref="N95">INDEX(UtilityList!J$4:J$251,MATCH('Table 2.5b'!$A95&amp;'Table 2.5b'!$B95,UtilityList!$A$4:$A$251&amp;UtilityList!$C$4:$C$251,0))</f>
        <v>Bristol Bay</v>
      </c>
      <c r="O95" s="709" t="str">
        <f t="array" ref="O95">INDEX(UtilityList!K$4:K$251,MATCH('Table 2.5b'!$A95&amp;'Table 2.5b'!$B95,UtilityList!$A$4:$A$251&amp;UtilityList!$C$4:$C$251,0))</f>
        <v>Lake and Peninsula</v>
      </c>
      <c r="P95" s="709" t="str">
        <f t="array" ref="P95">INDEX(UtilityList!L$4:L$251,MATCH('Table 2.5b'!$A95&amp;'Table 2.5b'!$B95,UtilityList!$A$4:$A$251&amp;UtilityList!$C$4:$C$251,0))</f>
        <v>Bristol Bay</v>
      </c>
      <c r="Q95" s="709" t="str">
        <f t="array" ref="Q95">INDEX(UtilityList!M$4:M$251,MATCH('Table 2.5b'!$A95&amp;'Table 2.5b'!$B95,UtilityList!$A$4:$A$251&amp;UtilityList!$C$4:$C$251,0))</f>
        <v>SW</v>
      </c>
    </row>
    <row r="96" spans="1:17" s="267" customFormat="1" ht="30" x14ac:dyDescent="0.25">
      <c r="A96" s="361" t="s">
        <v>147</v>
      </c>
      <c r="B96" s="654" t="s">
        <v>148</v>
      </c>
      <c r="C96" s="655">
        <f t="array" ref="C96">IFERROR((INDEX('Table 2.5a'!$D$8:$D$192,MATCH('Table 2.5b'!A96&amp;'Table 2.5b'!B96,'Table 2.5a'!$A$8:$A$192&amp;'Table 2.5a'!$B$8:$B$192,0))/INDEX('Table 2.5a'!$E$8:$E$192,MATCH('Table 2.5b'!A96&amp;'Table 2.5b'!B96,'Table 2.5a'!$A$8:$A$192&amp;'Table 2.5a'!$B$8:$B$192,0)))*1000, "")</f>
        <v>2292.2000000000003</v>
      </c>
      <c r="D96" s="655">
        <f t="array" ref="D96">IFERROR((INDEX('Table 2.5a'!$C$8:$C$192,MATCH('Table 2.5b'!A96&amp;'Table 2.5b'!B96,'Table 2.5a'!$A$8:$A$192&amp;'Table 2.5a'!$B$8:$B$192,0))/INDEX('Table 2.5a'!$E$8:$E$192,MATCH('Table 2.5b'!A96&amp;'Table 2.5b'!B96,'Table 2.5a'!$A$8:$A$192&amp;'Table 2.5a'!$B$8:$B$192,0)))*1000, "")</f>
        <v>1542.6506000000002</v>
      </c>
      <c r="E96" s="705">
        <f t="array" ref="E96">IFERROR(INDEX('Table 2.5a'!$C$8:$C$192,MATCH('Table 2.5b'!$A96&amp;'Table 2.5b'!$B96,'Table 2.5a'!$A$8:$A$192&amp;'Table 2.5a'!$B$8:$B$192,0))/INDEX('Table 2.5a'!$D$8:$D$192,MATCH('Table 2.5b'!$A96&amp;'Table 2.5b'!$B96,'Table 2.5a'!$A$8:$A$192&amp;'Table 2.5a'!$B$8:$B$192,0)),"")</f>
        <v>0.67300000000000004</v>
      </c>
      <c r="F96" s="655">
        <f t="array" ref="F96">IFERROR((INDEX('Table 2.5a'!$H$8:$H$192,MATCH('Table 2.5b'!$A96&amp;'Table 2.5b'!$B96,'Table 2.5a'!$A$8:$A$192&amp;'Table 2.5a'!$B$8:$B$192,0))/INDEX('Table 2.5a'!$I$8:$I$192,MATCH('Table 2.5b'!$A96&amp;'Table 2.5b'!$B96,'Table 2.5a'!$A$8:$A$192&amp;'Table 2.5a'!$B$8:$B$192,0)))*1000, "")</f>
        <v>17694.5</v>
      </c>
      <c r="G96" s="655">
        <f t="array" ref="G96">IFERROR((INDEX('Table 2.5a'!$G$8:$G$192,MATCH('Table 2.5b'!$A96&amp;'Table 2.5b'!$B96,'Table 2.5a'!$A$8:$A$192&amp;'Table 2.5a'!$B$8:$B$192,0))/INDEX('Table 2.5a'!$I$8:$I$192,MATCH('Table 2.5b'!$A96&amp;'Table 2.5b'!$B96,'Table 2.5a'!$A$8:$A$192&amp;'Table 2.5a'!$B$8:$B$192,0)))*1000, "")</f>
        <v>11908.398500000003</v>
      </c>
      <c r="H96" s="705">
        <f t="array" ref="H96">IFERROR(INDEX('Table 2.5a'!$G$8:$G$192,MATCH('Table 2.5b'!$A96&amp;'Table 2.5b'!$B96,'Table 2.5a'!$A$8:$A$192&amp;'Table 2.5a'!$B$8:$B$192,0))/INDEX('Table 2.5a'!$H$8:$H$192,MATCH('Table 2.5b'!$A96&amp;'Table 2.5b'!$B96,'Table 2.5a'!$A$8:$A$192&amp;'Table 2.5a'!$B$8:$B$192,0)),"")</f>
        <v>0.67300000000000004</v>
      </c>
      <c r="I96" s="655">
        <f t="array" ref="I96">IFERROR((INDEX('Table 2.5a'!$L$8:$L$192,MATCH('Table 2.5b'!$A96&amp;'Table 2.5b'!$B96,'Table 2.5a'!$A$8:$A$192&amp;'Table 2.5a'!$B$8:$B$192,0))/INDEX('Table 2.5a'!$I$8:$I$192,MATCH('Table 2.5b'!$A96&amp;'Table 2.5b'!$B96,'Table 2.5a'!$A$8:$A$192&amp;'Table 2.5a'!$B$8:$B$192,0)))*1000, "")</f>
        <v>32234</v>
      </c>
      <c r="J96" s="655">
        <f t="array" ref="J96">IFERROR((INDEX('Table 2.5a'!$K$8:$K$192,MATCH('Table 2.5b'!$A96&amp;'Table 2.5b'!$B96,'Table 2.5a'!$A$8:$A$192&amp;'Table 2.5a'!$B$8:$B$192,0))/INDEX('Table 2.5a'!$I$8:$I$192,MATCH('Table 2.5b'!$A96&amp;'Table 2.5b'!$B96,'Table 2.5a'!$A$8:$A$192&amp;'Table 2.5a'!$B$8:$B$192,0)))*1000, "")</f>
        <v>21693.482000000004</v>
      </c>
      <c r="K96" s="705">
        <f t="array" ref="K96">IFERROR(INDEX('Table 2.5a'!$I$8:$I$192,MATCH('Table 2.5b'!$A96&amp;'Table 2.5b'!$B96,'Table 2.5a'!$A$8:$A$192&amp;'Table 2.5a'!$B$8:$B$192,0))/INDEX('Table 2.5a'!$L$8:$L$192,MATCH('Table 2.5b'!$A96&amp;'Table 2.5b'!$B96,'Table 2.5a'!$A$8:$A$192&amp;'Table 2.5a'!$B$8:$B$192,0)),"")</f>
        <v>3.1023143264875597E-2</v>
      </c>
      <c r="L96" s="658" t="s">
        <v>356</v>
      </c>
      <c r="M96" s="709">
        <f t="array" ref="M96">INDEX(UtilityList!Q$4:Q$251,MATCH('Table 2.5b'!$A96&amp;'Table 2.5b'!$B96,UtilityList!$A$4:$A$251&amp;UtilityList!$C$4:$C$251,0))</f>
        <v>0</v>
      </c>
      <c r="N96" s="709" t="str">
        <f t="array" ref="N96">INDEX(UtilityList!J$4:J$251,MATCH('Table 2.5b'!$A96&amp;'Table 2.5b'!$B96,UtilityList!$A$4:$A$251&amp;UtilityList!$C$4:$C$251,0))</f>
        <v>Bristol Bay</v>
      </c>
      <c r="O96" s="709" t="str">
        <f t="array" ref="O96">INDEX(UtilityList!K$4:K$251,MATCH('Table 2.5b'!$A96&amp;'Table 2.5b'!$B96,UtilityList!$A$4:$A$251&amp;UtilityList!$C$4:$C$251,0))</f>
        <v>Lake and Peninsula</v>
      </c>
      <c r="P96" s="709" t="str">
        <f t="array" ref="P96">INDEX(UtilityList!L$4:L$251,MATCH('Table 2.5b'!$A96&amp;'Table 2.5b'!$B96,UtilityList!$A$4:$A$251&amp;UtilityList!$C$4:$C$251,0))</f>
        <v>Bristol Bay</v>
      </c>
      <c r="Q96" s="709" t="str">
        <f t="array" ref="Q96">INDEX(UtilityList!M$4:M$251,MATCH('Table 2.5b'!$A96&amp;'Table 2.5b'!$B96,UtilityList!$A$4:$A$251&amp;UtilityList!$C$4:$C$251,0))</f>
        <v>SW</v>
      </c>
    </row>
    <row r="97" spans="1:17" s="267" customFormat="1" x14ac:dyDescent="0.25">
      <c r="A97" s="361" t="s">
        <v>149</v>
      </c>
      <c r="B97" s="654" t="s">
        <v>150</v>
      </c>
      <c r="C97" s="655">
        <f t="array" ref="C97">IFERROR((INDEX('Table 2.5a'!$D$8:$D$192,MATCH('Table 2.5b'!A97&amp;'Table 2.5b'!B97,'Table 2.5a'!$A$8:$A$192&amp;'Table 2.5a'!$B$8:$B$192,0))/INDEX('Table 2.5a'!$E$8:$E$192,MATCH('Table 2.5b'!A97&amp;'Table 2.5b'!B97,'Table 2.5a'!$A$8:$A$192&amp;'Table 2.5a'!$B$8:$B$192,0)))*1000, "")</f>
        <v>3241.8770225278877</v>
      </c>
      <c r="D97" s="655">
        <f t="array" ref="D97">IFERROR((INDEX('Table 2.5a'!$C$8:$C$192,MATCH('Table 2.5b'!A97&amp;'Table 2.5b'!B97,'Table 2.5a'!$A$8:$A$192&amp;'Table 2.5a'!$B$8:$B$192,0))/INDEX('Table 2.5a'!$E$8:$E$192,MATCH('Table 2.5b'!A97&amp;'Table 2.5b'!B97,'Table 2.5a'!$A$8:$A$192&amp;'Table 2.5a'!$B$8:$B$192,0)))*1000, "")</f>
        <v>1541.7286601531025</v>
      </c>
      <c r="E97" s="705">
        <f t="array" ref="E97">IFERROR(INDEX('Table 2.5a'!$C$8:$C$192,MATCH('Table 2.5b'!$A97&amp;'Table 2.5b'!$B97,'Table 2.5a'!$A$8:$A$192&amp;'Table 2.5a'!$B$8:$B$192,0))/INDEX('Table 2.5a'!$D$8:$D$192,MATCH('Table 2.5b'!$A97&amp;'Table 2.5b'!$B97,'Table 2.5a'!$A$8:$A$192&amp;'Table 2.5a'!$B$8:$B$192,0)),"")</f>
        <v>0.47556667000000002</v>
      </c>
      <c r="F97" s="655">
        <f t="array" ref="F97">IFERROR((INDEX('Table 2.5a'!$H$8:$H$192,MATCH('Table 2.5b'!$A97&amp;'Table 2.5b'!$B97,'Table 2.5a'!$A$8:$A$192&amp;'Table 2.5a'!$B$8:$B$192,0))/INDEX('Table 2.5a'!$I$8:$I$192,MATCH('Table 2.5b'!$A97&amp;'Table 2.5b'!$B97,'Table 2.5a'!$A$8:$A$192&amp;'Table 2.5a'!$B$8:$B$192,0)))*1000, "")</f>
        <v>17848.157056582095</v>
      </c>
      <c r="G97" s="655">
        <f t="array" ref="G97">IFERROR((INDEX('Table 2.5a'!$G$8:$G$192,MATCH('Table 2.5b'!$A97&amp;'Table 2.5b'!$B97,'Table 2.5a'!$A$8:$A$192&amp;'Table 2.5a'!$B$8:$B$192,0))/INDEX('Table 2.5a'!$I$8:$I$192,MATCH('Table 2.5b'!$A97&amp;'Table 2.5b'!$B97,'Table 2.5a'!$A$8:$A$192&amp;'Table 2.5a'!$B$8:$B$192,0)))*1000, "")</f>
        <v>8487.9886170357495</v>
      </c>
      <c r="H97" s="705">
        <f t="array" ref="H97">IFERROR(INDEX('Table 2.5a'!$G$8:$G$192,MATCH('Table 2.5b'!$A97&amp;'Table 2.5b'!$B97,'Table 2.5a'!$A$8:$A$192&amp;'Table 2.5a'!$B$8:$B$192,0))/INDEX('Table 2.5a'!$H$8:$H$192,MATCH('Table 2.5b'!$A97&amp;'Table 2.5b'!$B97,'Table 2.5a'!$A$8:$A$192&amp;'Table 2.5a'!$B$8:$B$192,0)),"")</f>
        <v>0.47556667000000002</v>
      </c>
      <c r="I97" s="655">
        <f t="array" ref="I97">IFERROR((INDEX('Table 2.5a'!$L$8:$L$192,MATCH('Table 2.5b'!$A97&amp;'Table 2.5b'!$B97,'Table 2.5a'!$A$8:$A$192&amp;'Table 2.5a'!$B$8:$B$192,0))/INDEX('Table 2.5a'!$I$8:$I$192,MATCH('Table 2.5b'!$A97&amp;'Table 2.5b'!$B97,'Table 2.5a'!$A$8:$A$192&amp;'Table 2.5a'!$B$8:$B$192,0)))*1000, "")</f>
        <v>3557.0603266761527</v>
      </c>
      <c r="J97" s="655">
        <f t="array" ref="J97">IFERROR((INDEX('Table 2.5a'!$K$8:$K$192,MATCH('Table 2.5b'!$A97&amp;'Table 2.5b'!$B97,'Table 2.5a'!$A$8:$A$192&amp;'Table 2.5a'!$B$8:$B$192,0))/INDEX('Table 2.5a'!$I$8:$I$192,MATCH('Table 2.5b'!$A97&amp;'Table 2.5b'!$B97,'Table 2.5a'!$A$8:$A$192&amp;'Table 2.5a'!$B$8:$B$192,0)))*1000, "")</f>
        <v>1691.6193345464901</v>
      </c>
      <c r="K97" s="705">
        <f t="array" ref="K97">IFERROR(INDEX('Table 2.5a'!$I$8:$I$192,MATCH('Table 2.5b'!$A97&amp;'Table 2.5b'!$B97,'Table 2.5a'!$A$8:$A$192&amp;'Table 2.5a'!$B$8:$B$192,0))/INDEX('Table 2.5a'!$L$8:$L$192,MATCH('Table 2.5b'!$A97&amp;'Table 2.5b'!$B97,'Table 2.5a'!$A$8:$A$192&amp;'Table 2.5a'!$B$8:$B$192,0)),"")</f>
        <v>0.28113102060724299</v>
      </c>
      <c r="L97" s="658" t="s">
        <v>356</v>
      </c>
      <c r="M97" s="709">
        <f t="array" ref="M97">INDEX(UtilityList!Q$4:Q$251,MATCH('Table 2.5b'!$A97&amp;'Table 2.5b'!$B97,UtilityList!$A$4:$A$251&amp;UtilityList!$C$4:$C$251,0))</f>
        <v>0</v>
      </c>
      <c r="N97" s="709" t="str">
        <f t="array" ref="N97">INDEX(UtilityList!J$4:J$251,MATCH('Table 2.5b'!$A97&amp;'Table 2.5b'!$B97,UtilityList!$A$4:$A$251&amp;UtilityList!$C$4:$C$251,0))</f>
        <v>Bristol Bay</v>
      </c>
      <c r="O97" s="709" t="str">
        <f t="array" ref="O97">INDEX(UtilityList!K$4:K$251,MATCH('Table 2.5b'!$A97&amp;'Table 2.5b'!$B97,UtilityList!$A$4:$A$251&amp;UtilityList!$C$4:$C$251,0))</f>
        <v>Lake and Peninsula</v>
      </c>
      <c r="P97" s="709" t="str">
        <f t="array" ref="P97">INDEX(UtilityList!L$4:L$251,MATCH('Table 2.5b'!$A97&amp;'Table 2.5b'!$B97,UtilityList!$A$4:$A$251&amp;UtilityList!$C$4:$C$251,0))</f>
        <v>Bristol Bay</v>
      </c>
      <c r="Q97" s="709" t="str">
        <f t="array" ref="Q97">INDEX(UtilityList!M$4:M$251,MATCH('Table 2.5b'!$A97&amp;'Table 2.5b'!$B97,UtilityList!$A$4:$A$251&amp;UtilityList!$C$4:$C$251,0))</f>
        <v>SW</v>
      </c>
    </row>
    <row r="98" spans="1:17" s="267" customFormat="1" x14ac:dyDescent="0.25">
      <c r="A98" s="361" t="s">
        <v>151</v>
      </c>
      <c r="B98" s="654" t="s">
        <v>152</v>
      </c>
      <c r="C98" s="655">
        <f t="array" ref="C98">IFERROR((INDEX('Table 2.5a'!$D$8:$D$192,MATCH('Table 2.5b'!A98&amp;'Table 2.5b'!B98,'Table 2.5a'!$A$8:$A$192&amp;'Table 2.5a'!$B$8:$B$192,0))/INDEX('Table 2.5a'!$E$8:$E$192,MATCH('Table 2.5b'!A98&amp;'Table 2.5b'!B98,'Table 2.5a'!$A$8:$A$192&amp;'Table 2.5a'!$B$8:$B$192,0)))*1000, "")</f>
        <v>3196.4523107376385</v>
      </c>
      <c r="D98" s="655">
        <f t="array" ref="D98">IFERROR((INDEX('Table 2.5a'!$C$8:$C$192,MATCH('Table 2.5b'!A98&amp;'Table 2.5b'!B98,'Table 2.5a'!$A$8:$A$192&amp;'Table 2.5a'!$B$8:$B$192,0))/INDEX('Table 2.5a'!$E$8:$E$192,MATCH('Table 2.5b'!A98&amp;'Table 2.5b'!B98,'Table 2.5a'!$A$8:$A$192&amp;'Table 2.5a'!$B$8:$B$192,0)))*1000, "")</f>
        <v>2011.1012561606055</v>
      </c>
      <c r="E98" s="705">
        <f t="array" ref="E98">IFERROR(INDEX('Table 2.5a'!$C$8:$C$192,MATCH('Table 2.5b'!$A98&amp;'Table 2.5b'!$B98,'Table 2.5a'!$A$8:$A$192&amp;'Table 2.5a'!$B$8:$B$192,0))/INDEX('Table 2.5a'!$D$8:$D$192,MATCH('Table 2.5b'!$A98&amp;'Table 2.5b'!$B98,'Table 2.5a'!$A$8:$A$192&amp;'Table 2.5a'!$B$8:$B$192,0)),"")</f>
        <v>0.62916667000000004</v>
      </c>
      <c r="F98" s="655">
        <f t="array" ref="F98">IFERROR((INDEX('Table 2.5a'!$H$8:$H$192,MATCH('Table 2.5b'!$A98&amp;'Table 2.5b'!$B98,'Table 2.5a'!$A$8:$A$192&amp;'Table 2.5a'!$B$8:$B$192,0))/INDEX('Table 2.5a'!$I$8:$I$192,MATCH('Table 2.5b'!$A98&amp;'Table 2.5b'!$B98,'Table 2.5a'!$A$8:$A$192&amp;'Table 2.5a'!$B$8:$B$192,0)))*1000, "")</f>
        <v>10169.831883361345</v>
      </c>
      <c r="G98" s="655">
        <f t="array" ref="G98">IFERROR((INDEX('Table 2.5a'!$G$8:$G$192,MATCH('Table 2.5b'!$A98&amp;'Table 2.5b'!$B98,'Table 2.5a'!$A$8:$A$192&amp;'Table 2.5a'!$B$8:$B$192,0))/INDEX('Table 2.5a'!$I$8:$I$192,MATCH('Table 2.5b'!$A98&amp;'Table 2.5b'!$B98,'Table 2.5a'!$A$8:$A$192&amp;'Table 2.5a'!$B$8:$B$192,0)))*1000, "")</f>
        <v>6398.5192605142865</v>
      </c>
      <c r="H98" s="705">
        <f t="array" ref="H98">IFERROR(INDEX('Table 2.5a'!$G$8:$G$192,MATCH('Table 2.5b'!$A98&amp;'Table 2.5b'!$B98,'Table 2.5a'!$A$8:$A$192&amp;'Table 2.5a'!$B$8:$B$192,0))/INDEX('Table 2.5a'!$H$8:$H$192,MATCH('Table 2.5b'!$A98&amp;'Table 2.5b'!$B98,'Table 2.5a'!$A$8:$A$192&amp;'Table 2.5a'!$B$8:$B$192,0)),"")</f>
        <v>0.62916667000000004</v>
      </c>
      <c r="I98" s="655">
        <f t="array" ref="I98">IFERROR((INDEX('Table 2.5a'!$L$8:$L$192,MATCH('Table 2.5b'!$A98&amp;'Table 2.5b'!$B98,'Table 2.5a'!$A$8:$A$192&amp;'Table 2.5a'!$B$8:$B$192,0))/INDEX('Table 2.5a'!$I$8:$I$192,MATCH('Table 2.5b'!$A98&amp;'Table 2.5b'!$B98,'Table 2.5a'!$A$8:$A$192&amp;'Table 2.5a'!$B$8:$B$192,0)))*1000, "")</f>
        <v>2944.6153022485232</v>
      </c>
      <c r="J98" s="655">
        <f t="array" ref="J98">IFERROR((INDEX('Table 2.5a'!$K$8:$K$192,MATCH('Table 2.5b'!$A98&amp;'Table 2.5b'!$B98,'Table 2.5a'!$A$8:$A$192&amp;'Table 2.5a'!$B$8:$B$192,0))/INDEX('Table 2.5a'!$I$8:$I$192,MATCH('Table 2.5b'!$A98&amp;'Table 2.5b'!$B98,'Table 2.5a'!$A$8:$A$192&amp;'Table 2.5a'!$B$8:$B$192,0)))*1000, "")</f>
        <v>1852.653804146747</v>
      </c>
      <c r="K98" s="705">
        <f t="array" ref="K98">IFERROR(INDEX('Table 2.5a'!$I$8:$I$192,MATCH('Table 2.5b'!$A98&amp;'Table 2.5b'!$B98,'Table 2.5a'!$A$8:$A$192&amp;'Table 2.5a'!$B$8:$B$192,0))/INDEX('Table 2.5a'!$L$8:$L$192,MATCH('Table 2.5b'!$A98&amp;'Table 2.5b'!$B98,'Table 2.5a'!$A$8:$A$192&amp;'Table 2.5a'!$B$8:$B$192,0)),"")</f>
        <v>0.33960293530920488</v>
      </c>
      <c r="L98" s="658" t="s">
        <v>356</v>
      </c>
      <c r="M98" s="709">
        <f t="array" ref="M98">INDEX(UtilityList!Q$4:Q$251,MATCH('Table 2.5b'!$A98&amp;'Table 2.5b'!$B98,UtilityList!$A$4:$A$251&amp;UtilityList!$C$4:$C$251,0))</f>
        <v>0</v>
      </c>
      <c r="N98" s="709" t="str">
        <f t="array" ref="N98">INDEX(UtilityList!J$4:J$251,MATCH('Table 2.5b'!$A98&amp;'Table 2.5b'!$B98,UtilityList!$A$4:$A$251&amp;UtilityList!$C$4:$C$251,0))</f>
        <v>Copper River/Chugach</v>
      </c>
      <c r="O98" s="709" t="str">
        <f t="array" ref="O98">INDEX(UtilityList!K$4:K$251,MATCH('Table 2.5b'!$A98&amp;'Table 2.5b'!$B98,UtilityList!$A$4:$A$251&amp;UtilityList!$C$4:$C$251,0))</f>
        <v>Valdez-Cordova (CA)</v>
      </c>
      <c r="P98" s="709" t="str">
        <f t="array" ref="P98">INDEX(UtilityList!L$4:L$251,MATCH('Table 2.5b'!$A98&amp;'Table 2.5b'!$B98,UtilityList!$A$4:$A$251&amp;UtilityList!$C$4:$C$251,0))</f>
        <v>Ahtna</v>
      </c>
      <c r="Q98" s="709" t="str">
        <f t="array" ref="Q98">INDEX(UtilityList!M$4:M$251,MATCH('Table 2.5b'!$A98&amp;'Table 2.5b'!$B98,UtilityList!$A$4:$A$251&amp;UtilityList!$C$4:$C$251,0))</f>
        <v>SC</v>
      </c>
    </row>
    <row r="99" spans="1:17" s="267" customFormat="1" ht="30" x14ac:dyDescent="0.25">
      <c r="A99" s="361" t="s">
        <v>153</v>
      </c>
      <c r="B99" s="708"/>
      <c r="C99" s="655">
        <f t="array" ref="C99">IFERROR((INDEX('Table 2.5a'!$D$8:$D$192,MATCH('Table 2.5b'!A99&amp;'Table 2.5b'!B99,'Table 2.5a'!$A$8:$A$192&amp;'Table 2.5a'!$B$8:$B$192,0))/INDEX('Table 2.5a'!$E$8:$E$192,MATCH('Table 2.5b'!A99&amp;'Table 2.5b'!B99,'Table 2.5a'!$A$8:$A$192&amp;'Table 2.5a'!$B$8:$B$192,0)))*1000, "")</f>
        <v>7817.8232872979679</v>
      </c>
      <c r="D99" s="655">
        <f t="array" ref="D99">IFERROR((INDEX('Table 2.5a'!$C$8:$C$192,MATCH('Table 2.5b'!A99&amp;'Table 2.5b'!B99,'Table 2.5a'!$A$8:$A$192&amp;'Table 2.5a'!$B$8:$B$192,0))/INDEX('Table 2.5a'!$E$8:$E$192,MATCH('Table 2.5b'!A99&amp;'Table 2.5b'!B99,'Table 2.5a'!$A$8:$A$192&amp;'Table 2.5a'!$B$8:$B$192,0)))*1000, "")</f>
        <v>1112.5213325875891</v>
      </c>
      <c r="E99" s="705">
        <f t="array" ref="E99">IFERROR(INDEX('Table 2.5a'!$C$8:$C$192,MATCH('Table 2.5b'!$A99&amp;'Table 2.5b'!$B99,'Table 2.5a'!$A$8:$A$192&amp;'Table 2.5a'!$B$8:$B$192,0))/INDEX('Table 2.5a'!$D$8:$D$192,MATCH('Table 2.5b'!$A99&amp;'Table 2.5b'!$B99,'Table 2.5a'!$A$8:$A$192&amp;'Table 2.5a'!$B$8:$B$192,0)),"")</f>
        <v>0.14230576615810203</v>
      </c>
      <c r="F99" s="655">
        <f t="array" ref="F99">IFERROR((INDEX('Table 2.5a'!$H$8:$H$192,MATCH('Table 2.5b'!$A99&amp;'Table 2.5b'!$B99,'Table 2.5a'!$A$8:$A$192&amp;'Table 2.5a'!$B$8:$B$192,0))/INDEX('Table 2.5a'!$I$8:$I$192,MATCH('Table 2.5b'!$A99&amp;'Table 2.5b'!$B99,'Table 2.5a'!$A$8:$A$192&amp;'Table 2.5a'!$B$8:$B$192,0)))*1000, "")</f>
        <v>61500.758396533041</v>
      </c>
      <c r="G99" s="655">
        <f t="array" ref="G99">IFERROR((INDEX('Table 2.5a'!$G$8:$G$192,MATCH('Table 2.5b'!$A99&amp;'Table 2.5b'!$B99,'Table 2.5a'!$A$8:$A$192&amp;'Table 2.5a'!$B$8:$B$192,0))/INDEX('Table 2.5a'!$I$8:$I$192,MATCH('Table 2.5b'!$A99&amp;'Table 2.5b'!$B99,'Table 2.5a'!$A$8:$A$192&amp;'Table 2.5a'!$B$8:$B$192,0)))*1000, "")</f>
        <v>7372.6977248104004</v>
      </c>
      <c r="H99" s="705">
        <f t="array" ref="H99">IFERROR(INDEX('Table 2.5a'!$G$8:$G$192,MATCH('Table 2.5b'!$A99&amp;'Table 2.5b'!$B99,'Table 2.5a'!$A$8:$A$192&amp;'Table 2.5a'!$B$8:$B$192,0))/INDEX('Table 2.5a'!$H$8:$H$192,MATCH('Table 2.5b'!$A99&amp;'Table 2.5b'!$B99,'Table 2.5a'!$A$8:$A$192&amp;'Table 2.5a'!$B$8:$B$192,0)),"")</f>
        <v>0.11987978550238526</v>
      </c>
      <c r="I99" s="655">
        <f t="array" ref="I99">IFERROR((INDEX('Table 2.5a'!$L$8:$L$192,MATCH('Table 2.5b'!$A99&amp;'Table 2.5b'!$B99,'Table 2.5a'!$A$8:$A$192&amp;'Table 2.5a'!$B$8:$B$192,0))/INDEX('Table 2.5a'!$I$8:$I$192,MATCH('Table 2.5b'!$A99&amp;'Table 2.5b'!$B99,'Table 2.5a'!$A$8:$A$192&amp;'Table 2.5a'!$B$8:$B$192,0)))*1000, "")</f>
        <v>5802.2751895991332</v>
      </c>
      <c r="J99" s="655">
        <f t="array" ref="J99">IFERROR((INDEX('Table 2.5a'!$K$8:$K$192,MATCH('Table 2.5b'!$A99&amp;'Table 2.5b'!$B99,'Table 2.5a'!$A$8:$A$192&amp;'Table 2.5a'!$B$8:$B$192,0))/INDEX('Table 2.5a'!$I$8:$I$192,MATCH('Table 2.5b'!$A99&amp;'Table 2.5b'!$B99,'Table 2.5a'!$A$8:$A$192&amp;'Table 2.5a'!$B$8:$B$192,0)))*1000, "")</f>
        <v>633.69447453954501</v>
      </c>
      <c r="K99" s="705">
        <f t="array" ref="K99">IFERROR(INDEX('Table 2.5a'!$I$8:$I$192,MATCH('Table 2.5b'!$A99&amp;'Table 2.5b'!$B99,'Table 2.5a'!$A$8:$A$192&amp;'Table 2.5a'!$B$8:$B$192,0))/INDEX('Table 2.5a'!$L$8:$L$192,MATCH('Table 2.5b'!$A99&amp;'Table 2.5b'!$B99,'Table 2.5a'!$A$8:$A$192&amp;'Table 2.5a'!$B$8:$B$192,0)),"")</f>
        <v>0.17234618616375688</v>
      </c>
      <c r="L99" s="707" t="s">
        <v>558</v>
      </c>
      <c r="M99" s="709">
        <f t="array" ref="M99">INDEX(UtilityList!Q$4:Q$251,MATCH('Table 2.5b'!$A99&amp;'Table 2.5b'!$B99,UtilityList!$A$4:$A$251&amp;UtilityList!$C$4:$C$251,0))</f>
        <v>0</v>
      </c>
      <c r="N99" s="709" t="str">
        <f t="array" ref="N99">INDEX(UtilityList!J$4:J$251,MATCH('Table 2.5b'!$A99&amp;'Table 2.5b'!$B99,UtilityList!$A$4:$A$251&amp;UtilityList!$C$4:$C$251,0))</f>
        <v>Railbelt</v>
      </c>
      <c r="O99" s="709" t="str">
        <f t="array" ref="O99">INDEX(UtilityList!K$4:K$251,MATCH('Table 2.5b'!$A99&amp;'Table 2.5b'!$B99,UtilityList!$A$4:$A$251&amp;UtilityList!$C$4:$C$251,0))</f>
        <v>Anchorage</v>
      </c>
      <c r="P99" s="709" t="str">
        <f t="array" ref="P99">INDEX(UtilityList!L$4:L$251,MATCH('Table 2.5b'!$A99&amp;'Table 2.5b'!$B99,UtilityList!$A$4:$A$251&amp;UtilityList!$C$4:$C$251,0))</f>
        <v>Cook Inlet</v>
      </c>
      <c r="Q99" s="709" t="str">
        <f t="array" ref="Q99">INDEX(UtilityList!M$4:M$251,MATCH('Table 2.5b'!$A99&amp;'Table 2.5b'!$B99,UtilityList!$A$4:$A$251&amp;UtilityList!$C$4:$C$251,0))</f>
        <v>SC</v>
      </c>
    </row>
    <row r="100" spans="1:17" s="267" customFormat="1" x14ac:dyDescent="0.25">
      <c r="A100" s="361" t="s">
        <v>160</v>
      </c>
      <c r="B100" s="654" t="s">
        <v>161</v>
      </c>
      <c r="C100" s="655">
        <f t="array" ref="C100">IFERROR((INDEX('Table 2.5a'!$D$8:$D$192,MATCH('Table 2.5b'!A100&amp;'Table 2.5b'!B100,'Table 2.5a'!$A$8:$A$192&amp;'Table 2.5a'!$B$8:$B$192,0))/INDEX('Table 2.5a'!$E$8:$E$192,MATCH('Table 2.5b'!A100&amp;'Table 2.5b'!B100,'Table 2.5a'!$A$8:$A$192&amp;'Table 2.5a'!$B$8:$B$192,0)))*1000, "")</f>
        <v>3544.0352727775121</v>
      </c>
      <c r="D100" s="655">
        <f t="array" ref="D100">IFERROR((INDEX('Table 2.5a'!$C$8:$C$192,MATCH('Table 2.5b'!A100&amp;'Table 2.5b'!B100,'Table 2.5a'!$A$8:$A$192&amp;'Table 2.5a'!$B$8:$B$192,0))/INDEX('Table 2.5a'!$E$8:$E$192,MATCH('Table 2.5b'!A100&amp;'Table 2.5b'!B100,'Table 2.5a'!$A$8:$A$192&amp;'Table 2.5a'!$B$8:$B$192,0)))*1000, "")</f>
        <v>2744.8257969523606</v>
      </c>
      <c r="E100" s="705">
        <f t="array" ref="E100">IFERROR(INDEX('Table 2.5a'!$C$8:$C$192,MATCH('Table 2.5b'!$A100&amp;'Table 2.5b'!$B100,'Table 2.5a'!$A$8:$A$192&amp;'Table 2.5a'!$B$8:$B$192,0))/INDEX('Table 2.5a'!$D$8:$D$192,MATCH('Table 2.5b'!$A100&amp;'Table 2.5b'!$B100,'Table 2.5a'!$A$8:$A$192&amp;'Table 2.5a'!$B$8:$B$192,0)),"")</f>
        <v>0.77449166999999997</v>
      </c>
      <c r="F100" s="655">
        <f t="array" ref="F100">IFERROR((INDEX('Table 2.5a'!$H$8:$H$192,MATCH('Table 2.5b'!$A100&amp;'Table 2.5b'!$B100,'Table 2.5a'!$A$8:$A$192&amp;'Table 2.5a'!$B$8:$B$192,0))/INDEX('Table 2.5a'!$I$8:$I$192,MATCH('Table 2.5b'!$A100&amp;'Table 2.5b'!$B100,'Table 2.5a'!$A$8:$A$192&amp;'Table 2.5a'!$B$8:$B$192,0)))*1000, "")</f>
        <v>11282.25</v>
      </c>
      <c r="G100" s="655">
        <f t="array" ref="G100">IFERROR((INDEX('Table 2.5a'!$G$8:$G$192,MATCH('Table 2.5b'!$A100&amp;'Table 2.5b'!$B100,'Table 2.5a'!$A$8:$A$192&amp;'Table 2.5a'!$B$8:$B$192,0))/INDEX('Table 2.5a'!$I$8:$I$192,MATCH('Table 2.5b'!$A100&amp;'Table 2.5b'!$B100,'Table 2.5a'!$A$8:$A$192&amp;'Table 2.5a'!$B$8:$B$192,0)))*1000, "")</f>
        <v>8738.0086438574999</v>
      </c>
      <c r="H100" s="705">
        <f t="array" ref="H100">IFERROR(INDEX('Table 2.5a'!$G$8:$G$192,MATCH('Table 2.5b'!$A100&amp;'Table 2.5b'!$B100,'Table 2.5a'!$A$8:$A$192&amp;'Table 2.5a'!$B$8:$B$192,0))/INDEX('Table 2.5a'!$H$8:$H$192,MATCH('Table 2.5b'!$A100&amp;'Table 2.5b'!$B100,'Table 2.5a'!$A$8:$A$192&amp;'Table 2.5a'!$B$8:$B$192,0)),"")</f>
        <v>0.77449166999999997</v>
      </c>
      <c r="I100" s="655">
        <f t="array" ref="I100">IFERROR((INDEX('Table 2.5a'!$L$8:$L$192,MATCH('Table 2.5b'!$A100&amp;'Table 2.5b'!$B100,'Table 2.5a'!$A$8:$A$192&amp;'Table 2.5a'!$B$8:$B$192,0))/INDEX('Table 2.5a'!$I$8:$I$192,MATCH('Table 2.5b'!$A100&amp;'Table 2.5b'!$B100,'Table 2.5a'!$A$8:$A$192&amp;'Table 2.5a'!$B$8:$B$192,0)))*1000, "")</f>
        <v>16899</v>
      </c>
      <c r="J100" s="655">
        <f t="array" ref="J100">IFERROR((INDEX('Table 2.5a'!$K$8:$K$192,MATCH('Table 2.5b'!$A100&amp;'Table 2.5b'!$B100,'Table 2.5a'!$A$8:$A$192&amp;'Table 2.5a'!$B$8:$B$192,0))/INDEX('Table 2.5a'!$I$8:$I$192,MATCH('Table 2.5b'!$A100&amp;'Table 2.5b'!$B100,'Table 2.5a'!$A$8:$A$192&amp;'Table 2.5a'!$B$8:$B$192,0)))*1000, "")</f>
        <v>13088.134731329999</v>
      </c>
      <c r="K100" s="705">
        <f t="array" ref="K100">IFERROR(INDEX('Table 2.5a'!$I$8:$I$192,MATCH('Table 2.5b'!$A100&amp;'Table 2.5b'!$B100,'Table 2.5a'!$A$8:$A$192&amp;'Table 2.5a'!$B$8:$B$192,0))/INDEX('Table 2.5a'!$L$8:$L$192,MATCH('Table 2.5b'!$A100&amp;'Table 2.5b'!$B100,'Table 2.5a'!$A$8:$A$192&amp;'Table 2.5a'!$B$8:$B$192,0)),"")</f>
        <v>5.9175099118291018E-2</v>
      </c>
      <c r="L100" s="658" t="s">
        <v>356</v>
      </c>
      <c r="M100" s="709">
        <f t="array" ref="M100">INDEX(UtilityList!Q$4:Q$251,MATCH('Table 2.5b'!$A100&amp;'Table 2.5b'!$B100,UtilityList!$A$4:$A$251&amp;UtilityList!$C$4:$C$251,0))</f>
        <v>0</v>
      </c>
      <c r="N100" s="709" t="str">
        <f t="array" ref="N100">INDEX(UtilityList!J$4:J$251,MATCH('Table 2.5b'!$A100&amp;'Table 2.5b'!$B100,UtilityList!$A$4:$A$251&amp;UtilityList!$C$4:$C$251,0))</f>
        <v>Yukon-Koyukuk/Upper Tanana</v>
      </c>
      <c r="O100" s="709" t="str">
        <f t="array" ref="O100">INDEX(UtilityList!K$4:K$251,MATCH('Table 2.5b'!$A100&amp;'Table 2.5b'!$B100,UtilityList!$A$4:$A$251&amp;UtilityList!$C$4:$C$251,0))</f>
        <v>Yukon-Koyukuk (CA)</v>
      </c>
      <c r="P100" s="709" t="str">
        <f t="array" ref="P100">INDEX(UtilityList!L$4:L$251,MATCH('Table 2.5b'!$A100&amp;'Table 2.5b'!$B100,UtilityList!$A$4:$A$251&amp;UtilityList!$C$4:$C$251,0))</f>
        <v>Doyon</v>
      </c>
      <c r="Q100" s="709" t="str">
        <f t="array" ref="Q100">INDEX(UtilityList!M$4:M$251,MATCH('Table 2.5b'!$A100&amp;'Table 2.5b'!$B100,UtilityList!$A$4:$A$251&amp;UtilityList!$C$4:$C$251,0))</f>
        <v>YU</v>
      </c>
    </row>
    <row r="101" spans="1:17" s="267" customFormat="1" ht="30" x14ac:dyDescent="0.25">
      <c r="A101" s="361" t="s">
        <v>164</v>
      </c>
      <c r="B101" s="708" t="s">
        <v>167</v>
      </c>
      <c r="C101" s="655">
        <f t="array" ref="C101">IFERROR((INDEX('Table 2.5a'!$D$8:$D$192,MATCH('Table 2.5b'!A101&amp;'Table 2.5b'!B101,'Table 2.5a'!$A$8:$A$192&amp;'Table 2.5a'!$B$8:$B$192,0))/INDEX('Table 2.5a'!$E$8:$E$192,MATCH('Table 2.5b'!A101&amp;'Table 2.5b'!B101,'Table 2.5a'!$A$8:$A$192&amp;'Table 2.5a'!$B$8:$B$192,0)))*1000, "")</f>
        <v>6109.13364674278</v>
      </c>
      <c r="D101" s="655">
        <f t="array" ref="D101">IFERROR((INDEX('Table 2.5a'!$C$8:$C$192,MATCH('Table 2.5b'!A101&amp;'Table 2.5b'!B101,'Table 2.5a'!$A$8:$A$192&amp;'Table 2.5a'!$B$8:$B$192,0))/INDEX('Table 2.5a'!$E$8:$E$192,MATCH('Table 2.5b'!A101&amp;'Table 2.5b'!B101,'Table 2.5a'!$A$8:$A$192&amp;'Table 2.5a'!$B$8:$B$192,0)))*1000, "")</f>
        <v>1737.4076561450638</v>
      </c>
      <c r="E101" s="705">
        <f t="array" ref="E101">IFERROR(INDEX('Table 2.5a'!$C$8:$C$192,MATCH('Table 2.5b'!$A101&amp;'Table 2.5b'!$B101,'Table 2.5a'!$A$8:$A$192&amp;'Table 2.5a'!$B$8:$B$192,0))/INDEX('Table 2.5a'!$D$8:$D$192,MATCH('Table 2.5b'!$A101&amp;'Table 2.5b'!$B101,'Table 2.5a'!$A$8:$A$192&amp;'Table 2.5a'!$B$8:$B$192,0)),"")</f>
        <v>0.28439509701533555</v>
      </c>
      <c r="F101" s="655">
        <f t="array" ref="F101">IFERROR((INDEX('Table 2.5a'!$H$8:$H$192,MATCH('Table 2.5b'!$A101&amp;'Table 2.5b'!$B101,'Table 2.5a'!$A$8:$A$192&amp;'Table 2.5a'!$B$8:$B$192,0))/INDEX('Table 2.5a'!$I$8:$I$192,MATCH('Table 2.5b'!$A101&amp;'Table 2.5b'!$B101,'Table 2.5a'!$A$8:$A$192&amp;'Table 2.5a'!$B$8:$B$192,0)))*1000, "")</f>
        <v>79069.885641677261</v>
      </c>
      <c r="G101" s="655">
        <f t="array" ref="G101">IFERROR((INDEX('Table 2.5a'!$G$8:$G$192,MATCH('Table 2.5b'!$A101&amp;'Table 2.5b'!$B101,'Table 2.5a'!$A$8:$A$192&amp;'Table 2.5a'!$B$8:$B$192,0))/INDEX('Table 2.5a'!$I$8:$I$192,MATCH('Table 2.5b'!$A101&amp;'Table 2.5b'!$B101,'Table 2.5a'!$A$8:$A$192&amp;'Table 2.5a'!$B$8:$B$192,0)))*1000, "")</f>
        <v>19506.988564167725</v>
      </c>
      <c r="H101" s="705">
        <f t="array" ref="H101">IFERROR(INDEX('Table 2.5a'!$G$8:$G$192,MATCH('Table 2.5b'!$A101&amp;'Table 2.5b'!$B101,'Table 2.5a'!$A$8:$A$192&amp;'Table 2.5a'!$B$8:$B$192,0))/INDEX('Table 2.5a'!$H$8:$H$192,MATCH('Table 2.5b'!$A101&amp;'Table 2.5b'!$B101,'Table 2.5a'!$A$8:$A$192&amp;'Table 2.5a'!$B$8:$B$192,0)),"")</f>
        <v>0.24670566304557434</v>
      </c>
      <c r="I101" s="655">
        <f t="array" ref="I101">IFERROR((INDEX('Table 2.5a'!$L$8:$L$192,MATCH('Table 2.5b'!$A101&amp;'Table 2.5b'!$B101,'Table 2.5a'!$A$8:$A$192&amp;'Table 2.5a'!$B$8:$B$192,0))/INDEX('Table 2.5a'!$I$8:$I$192,MATCH('Table 2.5b'!$A101&amp;'Table 2.5b'!$B101,'Table 2.5a'!$A$8:$A$192&amp;'Table 2.5a'!$B$8:$B$192,0)))*1000, "")</f>
        <v>0</v>
      </c>
      <c r="J101" s="655">
        <f t="array" ref="J101">IFERROR((INDEX('Table 2.5a'!$K$8:$K$192,MATCH('Table 2.5b'!$A101&amp;'Table 2.5b'!$B101,'Table 2.5a'!$A$8:$A$192&amp;'Table 2.5a'!$B$8:$B$192,0))/INDEX('Table 2.5a'!$I$8:$I$192,MATCH('Table 2.5b'!$A101&amp;'Table 2.5b'!$B101,'Table 2.5a'!$A$8:$A$192&amp;'Table 2.5a'!$B$8:$B$192,0)))*1000, "")</f>
        <v>0</v>
      </c>
      <c r="K101" s="705" t="str">
        <f t="array" ref="K101">IFERROR(INDEX('Table 2.5a'!$I$8:$I$192,MATCH('Table 2.5b'!$A101&amp;'Table 2.5b'!$B101,'Table 2.5a'!$A$8:$A$192&amp;'Table 2.5a'!$B$8:$B$192,0))/INDEX('Table 2.5a'!$L$8:$L$192,MATCH('Table 2.5b'!$A101&amp;'Table 2.5b'!$B101,'Table 2.5a'!$A$8:$A$192&amp;'Table 2.5a'!$B$8:$B$192,0)),"")</f>
        <v/>
      </c>
      <c r="L101" s="707" t="s">
        <v>558</v>
      </c>
      <c r="M101" s="709">
        <f t="array" ref="M101">INDEX(UtilityList!Q$4:Q$251,MATCH('Table 2.5b'!$A101&amp;'Table 2.5b'!$B101,UtilityList!$A$4:$A$251&amp;UtilityList!$C$4:$C$251,0))</f>
        <v>0</v>
      </c>
      <c r="N101" s="709" t="str">
        <f t="array" ref="N101">INDEX(UtilityList!J$4:J$251,MATCH('Table 2.5b'!$A101&amp;'Table 2.5b'!$B101,UtilityList!$A$4:$A$251&amp;UtilityList!$C$4:$C$251,0))</f>
        <v>Copper River/Chugach</v>
      </c>
      <c r="O101" s="709" t="str">
        <f t="array" ref="O101">INDEX(UtilityList!K$4:K$251,MATCH('Table 2.5b'!$A101&amp;'Table 2.5b'!$B101,UtilityList!$A$4:$A$251&amp;UtilityList!$C$4:$C$251,0))</f>
        <v>Valdez-Cordova (CA)</v>
      </c>
      <c r="P101" s="709" t="str">
        <f t="array" ref="P101">INDEX(UtilityList!L$4:L$251,MATCH('Table 2.5b'!$A101&amp;'Table 2.5b'!$B101,UtilityList!$A$4:$A$251&amp;UtilityList!$C$4:$C$251,0))</f>
        <v>Chugach</v>
      </c>
      <c r="Q101" s="709" t="str">
        <f t="array" ref="Q101">INDEX(UtilityList!M$4:M$251,MATCH('Table 2.5b'!$A101&amp;'Table 2.5b'!$B101,UtilityList!$A$4:$A$251&amp;UtilityList!$C$4:$C$251,0))</f>
        <v>SC</v>
      </c>
    </row>
    <row r="102" spans="1:17" s="267" customFormat="1" ht="30" x14ac:dyDescent="0.25">
      <c r="A102" s="361" t="s">
        <v>533</v>
      </c>
      <c r="B102" s="654" t="s">
        <v>1092</v>
      </c>
      <c r="C102" s="655">
        <f t="array" ref="C102">IFERROR((INDEX('Table 2.5a'!$D$8:$D$192,MATCH('Table 2.5b'!A102&amp;'Table 2.5b'!B102,'Table 2.5a'!$A$8:$A$192&amp;'Table 2.5a'!$B$8:$B$192,0))/INDEX('Table 2.5a'!$E$8:$E$192,MATCH('Table 2.5b'!A102&amp;'Table 2.5b'!B102,'Table 2.5a'!$A$8:$A$192&amp;'Table 2.5a'!$B$8:$B$192,0)))*1000, "")</f>
        <v>6063.8576555023928</v>
      </c>
      <c r="D102" s="655">
        <f t="array" ref="D102">IFERROR((INDEX('Table 2.5a'!$C$8:$C$192,MATCH('Table 2.5b'!A102&amp;'Table 2.5b'!B102,'Table 2.5a'!$A$8:$A$192&amp;'Table 2.5a'!$B$8:$B$192,0))/INDEX('Table 2.5a'!$E$8:$E$192,MATCH('Table 2.5b'!A102&amp;'Table 2.5b'!B102,'Table 2.5a'!$A$8:$A$192&amp;'Table 2.5a'!$B$8:$B$192,0)))*1000, "")</f>
        <v>2553.8947361219498</v>
      </c>
      <c r="E102" s="705">
        <f t="array" ref="E102">IFERROR(INDEX('Table 2.5a'!$C$8:$C$192,MATCH('Table 2.5b'!$A102&amp;'Table 2.5b'!$B102,'Table 2.5a'!$A$8:$A$192&amp;'Table 2.5a'!$B$8:$B$192,0))/INDEX('Table 2.5a'!$D$8:$D$192,MATCH('Table 2.5b'!$A102&amp;'Table 2.5b'!$B102,'Table 2.5a'!$A$8:$A$192&amp;'Table 2.5a'!$B$8:$B$192,0)),"")</f>
        <v>0.42116666999999997</v>
      </c>
      <c r="F102" s="655">
        <f t="array" ref="F102">IFERROR((INDEX('Table 2.5a'!$H$8:$H$192,MATCH('Table 2.5b'!$A102&amp;'Table 2.5b'!$B102,'Table 2.5a'!$A$8:$A$192&amp;'Table 2.5a'!$B$8:$B$192,0))/INDEX('Table 2.5a'!$I$8:$I$192,MATCH('Table 2.5b'!$A102&amp;'Table 2.5b'!$B102,'Table 2.5a'!$A$8:$A$192&amp;'Table 2.5a'!$B$8:$B$192,0)))*1000, "")</f>
        <v>25057.719008264463</v>
      </c>
      <c r="G102" s="655">
        <f t="array" ref="G102">IFERROR((INDEX('Table 2.5a'!$G$8:$G$192,MATCH('Table 2.5b'!$A102&amp;'Table 2.5b'!$B102,'Table 2.5a'!$A$8:$A$192&amp;'Table 2.5a'!$B$8:$B$192,0))/INDEX('Table 2.5a'!$I$8:$I$192,MATCH('Table 2.5b'!$A102&amp;'Table 2.5b'!$B102,'Table 2.5a'!$A$8:$A$192&amp;'Table 2.5a'!$B$8:$B$192,0)))*1000, "")</f>
        <v>10553.476072506444</v>
      </c>
      <c r="H102" s="705">
        <f t="array" ref="H102">IFERROR(INDEX('Table 2.5a'!$G$8:$G$192,MATCH('Table 2.5b'!$A102&amp;'Table 2.5b'!$B102,'Table 2.5a'!$A$8:$A$192&amp;'Table 2.5a'!$B$8:$B$192,0))/INDEX('Table 2.5a'!$H$8:$H$192,MATCH('Table 2.5b'!$A102&amp;'Table 2.5b'!$B102,'Table 2.5a'!$A$8:$A$192&amp;'Table 2.5a'!$B$8:$B$192,0)),"")</f>
        <v>0.42116667000000002</v>
      </c>
      <c r="I102" s="655">
        <f t="array" ref="I102">IFERROR((INDEX('Table 2.5a'!$L$8:$L$192,MATCH('Table 2.5b'!$A102&amp;'Table 2.5b'!$B102,'Table 2.5a'!$A$8:$A$192&amp;'Table 2.5a'!$B$8:$B$192,0))/INDEX('Table 2.5a'!$I$8:$I$192,MATCH('Table 2.5b'!$A102&amp;'Table 2.5b'!$B102,'Table 2.5a'!$A$8:$A$192&amp;'Table 2.5a'!$B$8:$B$192,0)))*1000, "")</f>
        <v>7373.1507280598189</v>
      </c>
      <c r="J102" s="655">
        <f t="array" ref="J102">IFERROR((INDEX('Table 2.5a'!$K$8:$K$192,MATCH('Table 2.5b'!$A102&amp;'Table 2.5b'!$B102,'Table 2.5a'!$A$8:$A$192&amp;'Table 2.5a'!$B$8:$B$192,0))/INDEX('Table 2.5a'!$I$8:$I$192,MATCH('Table 2.5b'!$A102&amp;'Table 2.5b'!$B102,'Table 2.5a'!$A$8:$A$192&amp;'Table 2.5a'!$B$8:$B$192,0)))*1000, "")</f>
        <v>3105.3253395450297</v>
      </c>
      <c r="K102" s="705">
        <f t="array" ref="K102">IFERROR(INDEX('Table 2.5a'!$I$8:$I$192,MATCH('Table 2.5b'!$A102&amp;'Table 2.5b'!$B102,'Table 2.5a'!$A$8:$A$192&amp;'Table 2.5a'!$B$8:$B$192,0))/INDEX('Table 2.5a'!$L$8:$L$192,MATCH('Table 2.5b'!$A102&amp;'Table 2.5b'!$B102,'Table 2.5a'!$A$8:$A$192&amp;'Table 2.5a'!$B$8:$B$192,0)),"")</f>
        <v>0.13562722869536961</v>
      </c>
      <c r="L102" s="658" t="s">
        <v>356</v>
      </c>
      <c r="M102" s="709"/>
      <c r="N102" s="709" t="str">
        <f t="array" ref="N102">INDEX(UtilityList!J$4:J$251,MATCH('Table 2.5b'!$A102&amp;'Table 2.5b'!$B102,UtilityList!$A$4:$A$251&amp;UtilityList!$C$4:$C$251,0))</f>
        <v>Copper River/Chugach</v>
      </c>
      <c r="O102" s="709" t="str">
        <f t="array" ref="O102">INDEX(UtilityList!K$4:K$251,MATCH('Table 2.5b'!$A102&amp;'Table 2.5b'!$B102,UtilityList!$A$4:$A$251&amp;UtilityList!$C$4:$C$251,0))</f>
        <v>Valdez-Cordova (CA)</v>
      </c>
      <c r="P102" s="709" t="str">
        <f t="array" ref="P102">INDEX(UtilityList!L$4:L$251,MATCH('Table 2.5b'!$A102&amp;'Table 2.5b'!$B102,UtilityList!$A$4:$A$251&amp;UtilityList!$C$4:$C$251,0))</f>
        <v>Chugach</v>
      </c>
      <c r="Q102" s="709" t="str">
        <f t="array" ref="Q102">INDEX(UtilityList!M$4:M$251,MATCH('Table 2.5b'!$A102&amp;'Table 2.5b'!$B102,UtilityList!$A$4:$A$251&amp;UtilityList!$C$4:$C$251,0))</f>
        <v>SC</v>
      </c>
    </row>
    <row r="103" spans="1:17" s="267" customFormat="1" ht="30" x14ac:dyDescent="0.25">
      <c r="A103" s="361" t="s">
        <v>640</v>
      </c>
      <c r="B103" s="654" t="s">
        <v>170</v>
      </c>
      <c r="C103" s="655">
        <f t="array" ref="C103">IFERROR((INDEX('Table 2.5a'!$D$8:$D$192,MATCH('Table 2.5b'!A103&amp;'Table 2.5b'!B103,'Table 2.5a'!$A$8:$A$192&amp;'Table 2.5a'!$B$8:$B$192,0))/INDEX('Table 2.5a'!$E$8:$E$192,MATCH('Table 2.5b'!A103&amp;'Table 2.5b'!B103,'Table 2.5a'!$A$8:$A$192&amp;'Table 2.5a'!$B$8:$B$192,0)))*1000, "")</f>
        <v>2796.3034658670226</v>
      </c>
      <c r="D103" s="655">
        <f t="array" ref="D103">IFERROR((INDEX('Table 2.5a'!$C$8:$C$192,MATCH('Table 2.5b'!A103&amp;'Table 2.5b'!B103,'Table 2.5a'!$A$8:$A$192&amp;'Table 2.5a'!$B$8:$B$192,0))/INDEX('Table 2.5a'!$E$8:$E$192,MATCH('Table 2.5b'!A103&amp;'Table 2.5b'!B103,'Table 2.5a'!$A$8:$A$192&amp;'Table 2.5a'!$B$8:$B$192,0)))*1000, "")</f>
        <v>1677.7820795202135</v>
      </c>
      <c r="E103" s="705">
        <f t="array" ref="E103">IFERROR(INDEX('Table 2.5a'!$C$8:$C$192,MATCH('Table 2.5b'!$A103&amp;'Table 2.5b'!$B103,'Table 2.5a'!$A$8:$A$192&amp;'Table 2.5a'!$B$8:$B$192,0))/INDEX('Table 2.5a'!$D$8:$D$192,MATCH('Table 2.5b'!$A103&amp;'Table 2.5b'!$B103,'Table 2.5a'!$A$8:$A$192&amp;'Table 2.5a'!$B$8:$B$192,0)),"")</f>
        <v>0.6</v>
      </c>
      <c r="F103" s="655">
        <f t="array" ref="F103">IFERROR((INDEX('Table 2.5a'!$H$8:$H$192,MATCH('Table 2.5b'!$A103&amp;'Table 2.5b'!$B103,'Table 2.5a'!$A$8:$A$192&amp;'Table 2.5a'!$B$8:$B$192,0))/INDEX('Table 2.5a'!$I$8:$I$192,MATCH('Table 2.5b'!$A103&amp;'Table 2.5b'!$B103,'Table 2.5a'!$A$8:$A$192&amp;'Table 2.5a'!$B$8:$B$192,0)))*1000, "")</f>
        <v>18522.075463051886</v>
      </c>
      <c r="G103" s="655">
        <f t="array" ref="G103">IFERROR((INDEX('Table 2.5a'!$G$8:$G$192,MATCH('Table 2.5b'!$A103&amp;'Table 2.5b'!$B103,'Table 2.5a'!$A$8:$A$192&amp;'Table 2.5a'!$B$8:$B$192,0))/INDEX('Table 2.5a'!$I$8:$I$192,MATCH('Table 2.5b'!$A103&amp;'Table 2.5b'!$B103,'Table 2.5a'!$A$8:$A$192&amp;'Table 2.5a'!$B$8:$B$192,0)))*1000, "")</f>
        <v>11113.245277831133</v>
      </c>
      <c r="H103" s="705">
        <f t="array" ref="H103">IFERROR(INDEX('Table 2.5a'!$G$8:$G$192,MATCH('Table 2.5b'!$A103&amp;'Table 2.5b'!$B103,'Table 2.5a'!$A$8:$A$192&amp;'Table 2.5a'!$B$8:$B$192,0))/INDEX('Table 2.5a'!$H$8:$H$192,MATCH('Table 2.5b'!$A103&amp;'Table 2.5b'!$B103,'Table 2.5a'!$A$8:$A$192&amp;'Table 2.5a'!$B$8:$B$192,0)),"")</f>
        <v>0.6</v>
      </c>
      <c r="I103" s="655">
        <f t="array" ref="I103">IFERROR((INDEX('Table 2.5a'!$L$8:$L$192,MATCH('Table 2.5b'!$A103&amp;'Table 2.5b'!$B103,'Table 2.5a'!$A$8:$A$192&amp;'Table 2.5a'!$B$8:$B$192,0))/INDEX('Table 2.5a'!$I$8:$I$192,MATCH('Table 2.5b'!$A103&amp;'Table 2.5b'!$B103,'Table 2.5a'!$A$8:$A$192&amp;'Table 2.5a'!$B$8:$B$192,0)))*1000, "")</f>
        <v>3309.0000827250019</v>
      </c>
      <c r="J103" s="655">
        <f t="array" ref="J103">IFERROR((INDEX('Table 2.5a'!$K$8:$K$192,MATCH('Table 2.5b'!$A103&amp;'Table 2.5b'!$B103,'Table 2.5a'!$A$8:$A$192&amp;'Table 2.5a'!$B$8:$B$192,0))/INDEX('Table 2.5a'!$I$8:$I$192,MATCH('Table 2.5b'!$A103&amp;'Table 2.5b'!$B103,'Table 2.5a'!$A$8:$A$192&amp;'Table 2.5a'!$B$8:$B$192,0)))*1000, "")</f>
        <v>1985.4000496350011</v>
      </c>
      <c r="K103" s="705">
        <f t="array" ref="K103">IFERROR(INDEX('Table 2.5a'!$I$8:$I$192,MATCH('Table 2.5b'!$A103&amp;'Table 2.5b'!$B103,'Table 2.5a'!$A$8:$A$192&amp;'Table 2.5a'!$B$8:$B$192,0))/INDEX('Table 2.5a'!$L$8:$L$192,MATCH('Table 2.5b'!$A103&amp;'Table 2.5b'!$B103,'Table 2.5a'!$A$8:$A$192&amp;'Table 2.5a'!$B$8:$B$192,0)),"")</f>
        <v>0.30220609700815959</v>
      </c>
      <c r="L103" s="658" t="s">
        <v>356</v>
      </c>
      <c r="M103" s="709">
        <f t="array" ref="M103">INDEX(UtilityList!Q$4:Q$251,MATCH('Table 2.5b'!$A103&amp;'Table 2.5b'!$B103,UtilityList!$A$4:$A$251&amp;UtilityList!$C$4:$C$251,0))</f>
        <v>0</v>
      </c>
      <c r="N103" s="709" t="str">
        <f t="array" ref="N103">INDEX(UtilityList!J$4:J$251,MATCH('Table 2.5b'!$A103&amp;'Table 2.5b'!$B103,UtilityList!$A$4:$A$251&amp;UtilityList!$C$4:$C$251,0))</f>
        <v>Bering Straits</v>
      </c>
      <c r="O103" s="709" t="str">
        <f t="array" ref="O103">INDEX(UtilityList!K$4:K$251,MATCH('Table 2.5b'!$A103&amp;'Table 2.5b'!$B103,UtilityList!$A$4:$A$251&amp;UtilityList!$C$4:$C$251,0))</f>
        <v>Nome (CA)</v>
      </c>
      <c r="P103" s="709" t="str">
        <f t="array" ref="P103">INDEX(UtilityList!L$4:L$251,MATCH('Table 2.5b'!$A103&amp;'Table 2.5b'!$B103,UtilityList!$A$4:$A$251&amp;UtilityList!$C$4:$C$251,0))</f>
        <v>Bering Straits</v>
      </c>
      <c r="Q103" s="709" t="str">
        <f t="array" ref="Q103">INDEX(UtilityList!M$4:M$251,MATCH('Table 2.5b'!$A103&amp;'Table 2.5b'!$B103,UtilityList!$A$4:$A$251&amp;UtilityList!$C$4:$C$251,0))</f>
        <v>AN</v>
      </c>
    </row>
    <row r="104" spans="1:17" s="267" customFormat="1" ht="30" x14ac:dyDescent="0.25">
      <c r="A104" s="361" t="s">
        <v>171</v>
      </c>
      <c r="B104" s="654" t="s">
        <v>172</v>
      </c>
      <c r="C104" s="655">
        <f t="array" ref="C104">IFERROR((INDEX('Table 2.5a'!$D$8:$D$192,MATCH('Table 2.5b'!A104&amp;'Table 2.5b'!B104,'Table 2.5a'!$A$8:$A$192&amp;'Table 2.5a'!$B$8:$B$192,0))/INDEX('Table 2.5a'!$E$8:$E$192,MATCH('Table 2.5b'!A104&amp;'Table 2.5b'!B104,'Table 2.5a'!$A$8:$A$192&amp;'Table 2.5a'!$B$8:$B$192,0)))*1000, "")</f>
        <v>1771.2235294117647</v>
      </c>
      <c r="D104" s="655">
        <f t="array" ref="D104">IFERROR((INDEX('Table 2.5a'!$C$8:$C$192,MATCH('Table 2.5b'!A104&amp;'Table 2.5b'!B104,'Table 2.5a'!$A$8:$A$192&amp;'Table 2.5a'!$B$8:$B$192,0))/INDEX('Table 2.5a'!$E$8:$E$192,MATCH('Table 2.5b'!A104&amp;'Table 2.5b'!B104,'Table 2.5a'!$A$8:$A$192&amp;'Table 2.5a'!$B$8:$B$192,0)))*1000, "")</f>
        <v>1523.2522352941176</v>
      </c>
      <c r="E104" s="705">
        <f t="array" ref="E104">IFERROR(INDEX('Table 2.5a'!$C$8:$C$192,MATCH('Table 2.5b'!$A104&amp;'Table 2.5b'!$B104,'Table 2.5a'!$A$8:$A$192&amp;'Table 2.5a'!$B$8:$B$192,0))/INDEX('Table 2.5a'!$D$8:$D$192,MATCH('Table 2.5b'!$A104&amp;'Table 2.5b'!$B104,'Table 2.5a'!$A$8:$A$192&amp;'Table 2.5a'!$B$8:$B$192,0)),"")</f>
        <v>0.86</v>
      </c>
      <c r="F104" s="655">
        <f t="array" ref="F104">IFERROR((INDEX('Table 2.5a'!$H$8:$H$192,MATCH('Table 2.5b'!$A104&amp;'Table 2.5b'!$B104,'Table 2.5a'!$A$8:$A$192&amp;'Table 2.5a'!$B$8:$B$192,0))/INDEX('Table 2.5a'!$I$8:$I$192,MATCH('Table 2.5b'!$A104&amp;'Table 2.5b'!$B104,'Table 2.5a'!$A$8:$A$192&amp;'Table 2.5a'!$B$8:$B$192,0)))*1000, "")</f>
        <v>6593.4602637384114</v>
      </c>
      <c r="G104" s="655">
        <f t="array" ref="G104">IFERROR((INDEX('Table 2.5a'!$G$8:$G$192,MATCH('Table 2.5b'!$A104&amp;'Table 2.5b'!$B104,'Table 2.5a'!$A$8:$A$192&amp;'Table 2.5a'!$B$8:$B$192,0))/INDEX('Table 2.5a'!$I$8:$I$192,MATCH('Table 2.5b'!$A104&amp;'Table 2.5b'!$B104,'Table 2.5a'!$A$8:$A$192&amp;'Table 2.5a'!$B$8:$B$192,0)))*1000, "")</f>
        <v>5670.3758268150332</v>
      </c>
      <c r="H104" s="705">
        <f t="array" ref="H104">IFERROR(INDEX('Table 2.5a'!$G$8:$G$192,MATCH('Table 2.5b'!$A104&amp;'Table 2.5b'!$B104,'Table 2.5a'!$A$8:$A$192&amp;'Table 2.5a'!$B$8:$B$192,0))/INDEX('Table 2.5a'!$H$8:$H$192,MATCH('Table 2.5b'!$A104&amp;'Table 2.5b'!$B104,'Table 2.5a'!$A$8:$A$192&amp;'Table 2.5a'!$B$8:$B$192,0)),"")</f>
        <v>0.86</v>
      </c>
      <c r="I104" s="655">
        <f t="array" ref="I104">IFERROR((INDEX('Table 2.5a'!$L$8:$L$192,MATCH('Table 2.5b'!$A104&amp;'Table 2.5b'!$B104,'Table 2.5a'!$A$8:$A$192&amp;'Table 2.5a'!$B$8:$B$192,0))/INDEX('Table 2.5a'!$I$8:$I$192,MATCH('Table 2.5b'!$A104&amp;'Table 2.5b'!$B104,'Table 2.5a'!$A$8:$A$192&amp;'Table 2.5a'!$B$8:$B$192,0)))*1000, "")</f>
        <v>4131.3601652544066</v>
      </c>
      <c r="J104" s="655">
        <f t="array" ref="J104">IFERROR((INDEX('Table 2.5a'!$K$8:$K$192,MATCH('Table 2.5b'!$A104&amp;'Table 2.5b'!$B104,'Table 2.5a'!$A$8:$A$192&amp;'Table 2.5a'!$B$8:$B$192,0))/INDEX('Table 2.5a'!$I$8:$I$192,MATCH('Table 2.5b'!$A104&amp;'Table 2.5b'!$B104,'Table 2.5a'!$A$8:$A$192&amp;'Table 2.5a'!$B$8:$B$192,0)))*1000, "")</f>
        <v>3552.9697421187898</v>
      </c>
      <c r="K104" s="705">
        <f t="array" ref="K104">IFERROR(INDEX('Table 2.5a'!$I$8:$I$192,MATCH('Table 2.5b'!$A104&amp;'Table 2.5b'!$B104,'Table 2.5a'!$A$8:$A$192&amp;'Table 2.5a'!$B$8:$B$192,0))/INDEX('Table 2.5a'!$L$8:$L$192,MATCH('Table 2.5b'!$A104&amp;'Table 2.5b'!$B104,'Table 2.5a'!$A$8:$A$192&amp;'Table 2.5a'!$B$8:$B$192,0)),"")</f>
        <v>0.2420510340420588</v>
      </c>
      <c r="L104" s="658" t="s">
        <v>356</v>
      </c>
      <c r="M104" s="709">
        <f t="array" ref="M104">INDEX(UtilityList!Q$4:Q$251,MATCH('Table 2.5b'!$A104&amp;'Table 2.5b'!$B104,UtilityList!$A$4:$A$251&amp;UtilityList!$C$4:$C$251,0))</f>
        <v>0</v>
      </c>
      <c r="N104" s="709" t="str">
        <f t="array" ref="N104">INDEX(UtilityList!J$4:J$251,MATCH('Table 2.5b'!$A104&amp;'Table 2.5b'!$B104,UtilityList!$A$4:$A$251&amp;UtilityList!$C$4:$C$251,0))</f>
        <v>Bristol Bay</v>
      </c>
      <c r="O104" s="709" t="str">
        <f t="array" ref="O104">INDEX(UtilityList!K$4:K$251,MATCH('Table 2.5b'!$A104&amp;'Table 2.5b'!$B104,UtilityList!$A$4:$A$251&amp;UtilityList!$C$4:$C$251,0))</f>
        <v>Lake and Peninsula</v>
      </c>
      <c r="P104" s="709" t="str">
        <f t="array" ref="P104">INDEX(UtilityList!L$4:L$251,MATCH('Table 2.5b'!$A104&amp;'Table 2.5b'!$B104,UtilityList!$A$4:$A$251&amp;UtilityList!$C$4:$C$251,0))</f>
        <v>Bristol Bay</v>
      </c>
      <c r="Q104" s="709" t="str">
        <f t="array" ref="Q104">INDEX(UtilityList!M$4:M$251,MATCH('Table 2.5b'!$A104&amp;'Table 2.5b'!$B104,UtilityList!$A$4:$A$251&amp;UtilityList!$C$4:$C$251,0))</f>
        <v>SW</v>
      </c>
    </row>
    <row r="105" spans="1:17" s="267" customFormat="1" ht="30" x14ac:dyDescent="0.25">
      <c r="A105" s="361" t="s">
        <v>174</v>
      </c>
      <c r="B105" s="654" t="s">
        <v>175</v>
      </c>
      <c r="C105" s="655">
        <f t="array" ref="C105">IFERROR((INDEX('Table 2.5a'!$D$8:$D$192,MATCH('Table 2.5b'!A105&amp;'Table 2.5b'!B105,'Table 2.5a'!$A$8:$A$192&amp;'Table 2.5a'!$B$8:$B$192,0))/INDEX('Table 2.5a'!$E$8:$E$192,MATCH('Table 2.5b'!A105&amp;'Table 2.5b'!B105,'Table 2.5a'!$A$8:$A$192&amp;'Table 2.5a'!$B$8:$B$192,0)))*1000, "")</f>
        <v>1778.6694458341046</v>
      </c>
      <c r="D105" s="655">
        <f t="array" ref="D105">IFERROR((INDEX('Table 2.5a'!$C$8:$C$192,MATCH('Table 2.5b'!A105&amp;'Table 2.5b'!B105,'Table 2.5a'!$A$8:$A$192&amp;'Table 2.5a'!$B$8:$B$192,0))/INDEX('Table 2.5a'!$E$8:$E$192,MATCH('Table 2.5b'!A105&amp;'Table 2.5b'!B105,'Table 2.5a'!$A$8:$A$192&amp;'Table 2.5a'!$B$8:$B$192,0)))*1000, "")</f>
        <v>1326.9170570119043</v>
      </c>
      <c r="E105" s="705">
        <f t="array" ref="E105">IFERROR(INDEX('Table 2.5a'!$C$8:$C$192,MATCH('Table 2.5b'!$A105&amp;'Table 2.5b'!$B105,'Table 2.5a'!$A$8:$A$192&amp;'Table 2.5a'!$B$8:$B$192,0))/INDEX('Table 2.5a'!$D$8:$D$192,MATCH('Table 2.5b'!$A105&amp;'Table 2.5b'!$B105,'Table 2.5a'!$A$8:$A$192&amp;'Table 2.5a'!$B$8:$B$192,0)),"")</f>
        <v>0.74601667000000005</v>
      </c>
      <c r="F105" s="655">
        <f t="array" ref="F105">IFERROR((INDEX('Table 2.5a'!$H$8:$H$192,MATCH('Table 2.5b'!$A105&amp;'Table 2.5b'!$B105,'Table 2.5a'!$A$8:$A$192&amp;'Table 2.5a'!$B$8:$B$192,0))/INDEX('Table 2.5a'!$I$8:$I$192,MATCH('Table 2.5b'!$A105&amp;'Table 2.5b'!$B105,'Table 2.5a'!$A$8:$A$192&amp;'Table 2.5a'!$B$8:$B$192,0)))*1000, "")</f>
        <v>5337.5609756097556</v>
      </c>
      <c r="G105" s="655">
        <f t="array" ref="G105">IFERROR((INDEX('Table 2.5a'!$G$8:$G$192,MATCH('Table 2.5b'!$A105&amp;'Table 2.5b'!$B105,'Table 2.5a'!$A$8:$A$192&amp;'Table 2.5a'!$B$8:$B$192,0))/INDEX('Table 2.5a'!$I$8:$I$192,MATCH('Table 2.5b'!$A105&amp;'Table 2.5b'!$B105,'Table 2.5a'!$A$8:$A$192&amp;'Table 2.5a'!$B$8:$B$192,0)))*1000, "")</f>
        <v>3981.9094649463418</v>
      </c>
      <c r="H105" s="705">
        <f t="array" ref="H105">IFERROR(INDEX('Table 2.5a'!$G$8:$G$192,MATCH('Table 2.5b'!$A105&amp;'Table 2.5b'!$B105,'Table 2.5a'!$A$8:$A$192&amp;'Table 2.5a'!$B$8:$B$192,0))/INDEX('Table 2.5a'!$H$8:$H$192,MATCH('Table 2.5b'!$A105&amp;'Table 2.5b'!$B105,'Table 2.5a'!$A$8:$A$192&amp;'Table 2.5a'!$B$8:$B$192,0)),"")</f>
        <v>0.74601667000000005</v>
      </c>
      <c r="I105" s="655">
        <f t="array" ref="I105">IFERROR((INDEX('Table 2.5a'!$L$8:$L$192,MATCH('Table 2.5b'!$A105&amp;'Table 2.5b'!$B105,'Table 2.5a'!$A$8:$A$192&amp;'Table 2.5a'!$B$8:$B$192,0))/INDEX('Table 2.5a'!$I$8:$I$192,MATCH('Table 2.5b'!$A105&amp;'Table 2.5b'!$B105,'Table 2.5a'!$A$8:$A$192&amp;'Table 2.5a'!$B$8:$B$192,0)))*1000, "")</f>
        <v>374.76422764227641</v>
      </c>
      <c r="J105" s="655">
        <f t="array" ref="J105">IFERROR((INDEX('Table 2.5a'!$K$8:$K$192,MATCH('Table 2.5b'!$A105&amp;'Table 2.5b'!$B105,'Table 2.5a'!$A$8:$A$192&amp;'Table 2.5a'!$B$8:$B$192,0))/INDEX('Table 2.5a'!$I$8:$I$192,MATCH('Table 2.5b'!$A105&amp;'Table 2.5b'!$B105,'Table 2.5a'!$A$8:$A$192&amp;'Table 2.5a'!$B$8:$B$192,0)))*1000, "")</f>
        <v>279.58036114081301</v>
      </c>
      <c r="K105" s="705">
        <f t="array" ref="K105">IFERROR(INDEX('Table 2.5a'!$I$8:$I$192,MATCH('Table 2.5b'!$A105&amp;'Table 2.5b'!$B105,'Table 2.5a'!$A$8:$A$192&amp;'Table 2.5a'!$B$8:$B$192,0))/INDEX('Table 2.5a'!$L$8:$L$192,MATCH('Table 2.5b'!$A105&amp;'Table 2.5b'!$B105,'Table 2.5a'!$A$8:$A$192&amp;'Table 2.5a'!$B$8:$B$192,0)),"")</f>
        <v>2.6683443248871921</v>
      </c>
      <c r="L105" s="658" t="s">
        <v>356</v>
      </c>
      <c r="M105" s="709">
        <f t="array" ref="M105">INDEX(UtilityList!Q$4:Q$251,MATCH('Table 2.5b'!$A105&amp;'Table 2.5b'!$B105,UtilityList!$A$4:$A$251&amp;UtilityList!$C$4:$C$251,0))</f>
        <v>0</v>
      </c>
      <c r="N105" s="709" t="str">
        <f t="array" ref="N105">INDEX(UtilityList!J$4:J$251,MATCH('Table 2.5b'!$A105&amp;'Table 2.5b'!$B105,UtilityList!$A$4:$A$251&amp;UtilityList!$C$4:$C$251,0))</f>
        <v>Southeast</v>
      </c>
      <c r="O105" s="709" t="str">
        <f t="array" ref="O105">INDEX(UtilityList!K$4:K$251,MATCH('Table 2.5b'!$A105&amp;'Table 2.5b'!$B105,UtilityList!$A$4:$A$251&amp;UtilityList!$C$4:$C$251,0))</f>
        <v>Hoonah-Angoon (CA)</v>
      </c>
      <c r="P105" s="709" t="str">
        <f t="array" ref="P105">INDEX(UtilityList!L$4:L$251,MATCH('Table 2.5b'!$A105&amp;'Table 2.5b'!$B105,UtilityList!$A$4:$A$251&amp;UtilityList!$C$4:$C$251,0))</f>
        <v>Sealaska</v>
      </c>
      <c r="Q105" s="709" t="str">
        <f t="array" ref="Q105">INDEX(UtilityList!M$4:M$251,MATCH('Table 2.5b'!$A105&amp;'Table 2.5b'!$B105,UtilityList!$A$4:$A$251&amp;UtilityList!$C$4:$C$251,0))</f>
        <v>SE</v>
      </c>
    </row>
    <row r="106" spans="1:17" s="267" customFormat="1" x14ac:dyDescent="0.25">
      <c r="A106" s="361" t="s">
        <v>176</v>
      </c>
      <c r="B106" s="654" t="s">
        <v>177</v>
      </c>
      <c r="C106" s="655">
        <f t="array" ref="C106">IFERROR((INDEX('Table 2.5a'!$D$8:$D$192,MATCH('Table 2.5b'!A106&amp;'Table 2.5b'!B106,'Table 2.5a'!$A$8:$A$192&amp;'Table 2.5a'!$B$8:$B$192,0))/INDEX('Table 2.5a'!$E$8:$E$192,MATCH('Table 2.5b'!A106&amp;'Table 2.5b'!B106,'Table 2.5a'!$A$8:$A$192&amp;'Table 2.5a'!$B$8:$B$192,0)))*1000, "")</f>
        <v>3303.7307692307695</v>
      </c>
      <c r="D106" s="655">
        <f t="array" ref="D106">IFERROR((INDEX('Table 2.5a'!$C$8:$C$192,MATCH('Table 2.5b'!A106&amp;'Table 2.5b'!B106,'Table 2.5a'!$A$8:$A$192&amp;'Table 2.5a'!$B$8:$B$192,0))/INDEX('Table 2.5a'!$E$8:$E$192,MATCH('Table 2.5b'!A106&amp;'Table 2.5b'!B106,'Table 2.5a'!$A$8:$A$192&amp;'Table 2.5a'!$B$8:$B$192,0)))*1000, "")</f>
        <v>1695.4471106919232</v>
      </c>
      <c r="E106" s="705">
        <f t="array" ref="E106">IFERROR(INDEX('Table 2.5a'!$C$8:$C$192,MATCH('Table 2.5b'!$A106&amp;'Table 2.5b'!$B106,'Table 2.5a'!$A$8:$A$192&amp;'Table 2.5a'!$B$8:$B$192,0))/INDEX('Table 2.5a'!$D$8:$D$192,MATCH('Table 2.5b'!$A106&amp;'Table 2.5b'!$B106,'Table 2.5a'!$A$8:$A$192&amp;'Table 2.5a'!$B$8:$B$192,0)),"")</f>
        <v>0.51319166999999999</v>
      </c>
      <c r="F106" s="655">
        <f t="array" ref="F106">IFERROR((INDEX('Table 2.5a'!$H$8:$H$192,MATCH('Table 2.5b'!$A106&amp;'Table 2.5b'!$B106,'Table 2.5a'!$A$8:$A$192&amp;'Table 2.5a'!$B$8:$B$192,0))/INDEX('Table 2.5a'!$I$8:$I$192,MATCH('Table 2.5b'!$A106&amp;'Table 2.5b'!$B106,'Table 2.5a'!$A$8:$A$192&amp;'Table 2.5a'!$B$8:$B$192,0)))*1000, "")</f>
        <v>16500.76923076923</v>
      </c>
      <c r="G106" s="655">
        <f t="array" ref="G106">IFERROR((INDEX('Table 2.5a'!$G$8:$G$192,MATCH('Table 2.5b'!$A106&amp;'Table 2.5b'!$B106,'Table 2.5a'!$A$8:$A$192&amp;'Table 2.5a'!$B$8:$B$192,0))/INDEX('Table 2.5a'!$I$8:$I$192,MATCH('Table 2.5b'!$A106&amp;'Table 2.5b'!$B106,'Table 2.5a'!$A$8:$A$192&amp;'Table 2.5a'!$B$8:$B$192,0)))*1000, "")</f>
        <v>8468.057317823077</v>
      </c>
      <c r="H106" s="705">
        <f t="array" ref="H106">IFERROR(INDEX('Table 2.5a'!$G$8:$G$192,MATCH('Table 2.5b'!$A106&amp;'Table 2.5b'!$B106,'Table 2.5a'!$A$8:$A$192&amp;'Table 2.5a'!$B$8:$B$192,0))/INDEX('Table 2.5a'!$H$8:$H$192,MATCH('Table 2.5b'!$A106&amp;'Table 2.5b'!$B106,'Table 2.5a'!$A$8:$A$192&amp;'Table 2.5a'!$B$8:$B$192,0)),"")</f>
        <v>0.51319166999999999</v>
      </c>
      <c r="I106" s="655">
        <f t="array" ref="I106">IFERROR((INDEX('Table 2.5a'!$L$8:$L$192,MATCH('Table 2.5b'!$A106&amp;'Table 2.5b'!$B106,'Table 2.5a'!$A$8:$A$192&amp;'Table 2.5a'!$B$8:$B$192,0))/INDEX('Table 2.5a'!$I$8:$I$192,MATCH('Table 2.5b'!$A106&amp;'Table 2.5b'!$B106,'Table 2.5a'!$A$8:$A$192&amp;'Table 2.5a'!$B$8:$B$192,0)))*1000, "")</f>
        <v>6800.6923076923076</v>
      </c>
      <c r="J106" s="655">
        <f t="array" ref="J106">IFERROR((INDEX('Table 2.5a'!$K$8:$K$192,MATCH('Table 2.5b'!$A106&amp;'Table 2.5b'!$B106,'Table 2.5a'!$A$8:$A$192&amp;'Table 2.5a'!$B$8:$B$192,0))/INDEX('Table 2.5a'!$I$8:$I$192,MATCH('Table 2.5b'!$A106&amp;'Table 2.5b'!$B106,'Table 2.5a'!$A$8:$A$192&amp;'Table 2.5a'!$B$8:$B$192,0)))*1000, "")</f>
        <v>3490.0586425407691</v>
      </c>
      <c r="K106" s="705">
        <f t="array" ref="K106">IFERROR(INDEX('Table 2.5a'!$I$8:$I$192,MATCH('Table 2.5b'!$A106&amp;'Table 2.5b'!$B106,'Table 2.5a'!$A$8:$A$192&amp;'Table 2.5a'!$B$8:$B$192,0))/INDEX('Table 2.5a'!$L$8:$L$192,MATCH('Table 2.5b'!$A106&amp;'Table 2.5b'!$B106,'Table 2.5a'!$A$8:$A$192&amp;'Table 2.5a'!$B$8:$B$192,0)),"")</f>
        <v>0.14704385300139125</v>
      </c>
      <c r="L106" s="658" t="s">
        <v>356</v>
      </c>
      <c r="M106" s="709">
        <f t="array" ref="M106">INDEX(UtilityList!Q$4:Q$251,MATCH('Table 2.5b'!$A106&amp;'Table 2.5b'!$B106,UtilityList!$A$4:$A$251&amp;UtilityList!$C$4:$C$251,0))</f>
        <v>0</v>
      </c>
      <c r="N106" s="709" t="str">
        <f t="array" ref="N106">INDEX(UtilityList!J$4:J$251,MATCH('Table 2.5b'!$A106&amp;'Table 2.5b'!$B106,UtilityList!$A$4:$A$251&amp;UtilityList!$C$4:$C$251,0))</f>
        <v>Aleutians</v>
      </c>
      <c r="O106" s="709" t="str">
        <f t="array" ref="O106">INDEX(UtilityList!K$4:K$251,MATCH('Table 2.5b'!$A106&amp;'Table 2.5b'!$B106,UtilityList!$A$4:$A$251&amp;UtilityList!$C$4:$C$251,0))</f>
        <v>Aleutians East</v>
      </c>
      <c r="P106" s="709" t="str">
        <f t="array" ref="P106">INDEX(UtilityList!L$4:L$251,MATCH('Table 2.5b'!$A106&amp;'Table 2.5b'!$B106,UtilityList!$A$4:$A$251&amp;UtilityList!$C$4:$C$251,0))</f>
        <v>Aleut</v>
      </c>
      <c r="Q106" s="709" t="str">
        <f t="array" ref="Q106">INDEX(UtilityList!M$4:M$251,MATCH('Table 2.5b'!$A106&amp;'Table 2.5b'!$B106,UtilityList!$A$4:$A$251&amp;UtilityList!$C$4:$C$251,0))</f>
        <v>SW</v>
      </c>
    </row>
    <row r="107" spans="1:17" s="267" customFormat="1" x14ac:dyDescent="0.25">
      <c r="A107" s="361" t="s">
        <v>178</v>
      </c>
      <c r="B107" s="654" t="s">
        <v>179</v>
      </c>
      <c r="C107" s="655">
        <f t="array" ref="C107">IFERROR((INDEX('Table 2.5a'!$D$8:$D$192,MATCH('Table 2.5b'!A107&amp;'Table 2.5b'!B107,'Table 2.5a'!$A$8:$A$192&amp;'Table 2.5a'!$B$8:$B$192,0))/INDEX('Table 2.5a'!$E$8:$E$192,MATCH('Table 2.5b'!A107&amp;'Table 2.5b'!B107,'Table 2.5a'!$A$8:$A$192&amp;'Table 2.5a'!$B$8:$B$192,0)))*1000, "")</f>
        <v>5087.6226548358709</v>
      </c>
      <c r="D107" s="655">
        <f t="array" ref="D107">IFERROR((INDEX('Table 2.5a'!$C$8:$C$192,MATCH('Table 2.5b'!A107&amp;'Table 2.5b'!B107,'Table 2.5a'!$A$8:$A$192&amp;'Table 2.5a'!$B$8:$B$192,0))/INDEX('Table 2.5a'!$E$8:$E$192,MATCH('Table 2.5b'!A107&amp;'Table 2.5b'!B107,'Table 2.5a'!$A$8:$A$192&amp;'Table 2.5a'!$B$8:$B$192,0)))*1000, "")</f>
        <v>3638.4981522755293</v>
      </c>
      <c r="E107" s="705">
        <f t="array" ref="E107">IFERROR(INDEX('Table 2.5a'!$C$8:$C$192,MATCH('Table 2.5b'!$A107&amp;'Table 2.5b'!$B107,'Table 2.5a'!$A$8:$A$192&amp;'Table 2.5a'!$B$8:$B$192,0))/INDEX('Table 2.5a'!$D$8:$D$192,MATCH('Table 2.5b'!$A107&amp;'Table 2.5b'!$B107,'Table 2.5a'!$A$8:$A$192&amp;'Table 2.5a'!$B$8:$B$192,0)),"")</f>
        <v>0.71516667</v>
      </c>
      <c r="F107" s="655">
        <f t="array" ref="F107">IFERROR((INDEX('Table 2.5a'!$H$8:$H$192,MATCH('Table 2.5b'!$A107&amp;'Table 2.5b'!$B107,'Table 2.5a'!$A$8:$A$192&amp;'Table 2.5a'!$B$8:$B$192,0))/INDEX('Table 2.5a'!$I$8:$I$192,MATCH('Table 2.5b'!$A107&amp;'Table 2.5b'!$B107,'Table 2.5a'!$A$8:$A$192&amp;'Table 2.5a'!$B$8:$B$192,0)))*1000, "")</f>
        <v>34522.709677419356</v>
      </c>
      <c r="G107" s="655">
        <f t="array" ref="G107">IFERROR((INDEX('Table 2.5a'!$G$8:$G$192,MATCH('Table 2.5b'!$A107&amp;'Table 2.5b'!$B107,'Table 2.5a'!$A$8:$A$192&amp;'Table 2.5a'!$B$8:$B$192,0))/INDEX('Table 2.5a'!$I$8:$I$192,MATCH('Table 2.5b'!$A107&amp;'Table 2.5b'!$B107,'Table 2.5a'!$A$8:$A$192&amp;'Table 2.5a'!$B$8:$B$192,0)))*1000, "")</f>
        <v>24689.491319376779</v>
      </c>
      <c r="H107" s="705">
        <f t="array" ref="H107">IFERROR(INDEX('Table 2.5a'!$G$8:$G$192,MATCH('Table 2.5b'!$A107&amp;'Table 2.5b'!$B107,'Table 2.5a'!$A$8:$A$192&amp;'Table 2.5a'!$B$8:$B$192,0))/INDEX('Table 2.5a'!$H$8:$H$192,MATCH('Table 2.5b'!$A107&amp;'Table 2.5b'!$B107,'Table 2.5a'!$A$8:$A$192&amp;'Table 2.5a'!$B$8:$B$192,0)),"")</f>
        <v>0.71516667</v>
      </c>
      <c r="I107" s="655">
        <f t="array" ref="I107">IFERROR((INDEX('Table 2.5a'!$L$8:$L$192,MATCH('Table 2.5b'!$A107&amp;'Table 2.5b'!$B107,'Table 2.5a'!$A$8:$A$192&amp;'Table 2.5a'!$B$8:$B$192,0))/INDEX('Table 2.5a'!$I$8:$I$192,MATCH('Table 2.5b'!$A107&amp;'Table 2.5b'!$B107,'Table 2.5a'!$A$8:$A$192&amp;'Table 2.5a'!$B$8:$B$192,0)))*1000, "")</f>
        <v>60369.290322580644</v>
      </c>
      <c r="J107" s="655">
        <f t="array" ref="J107">IFERROR((INDEX('Table 2.5a'!$K$8:$K$192,MATCH('Table 2.5b'!$A107&amp;'Table 2.5b'!$B107,'Table 2.5a'!$A$8:$A$192&amp;'Table 2.5a'!$B$8:$B$192,0))/INDEX('Table 2.5a'!$I$8:$I$192,MATCH('Table 2.5b'!$A107&amp;'Table 2.5b'!$B107,'Table 2.5a'!$A$8:$A$192&amp;'Table 2.5a'!$B$8:$B$192,0)))*1000, "")</f>
        <v>43174.104330263224</v>
      </c>
      <c r="K107" s="705">
        <f t="array" ref="K107">IFERROR(INDEX('Table 2.5a'!$I$8:$I$192,MATCH('Table 2.5b'!$A107&amp;'Table 2.5b'!$B107,'Table 2.5a'!$A$8:$A$192&amp;'Table 2.5a'!$B$8:$B$192,0))/INDEX('Table 2.5a'!$L$8:$L$192,MATCH('Table 2.5b'!$A107&amp;'Table 2.5b'!$B107,'Table 2.5a'!$A$8:$A$192&amp;'Table 2.5a'!$B$8:$B$192,0)),"")</f>
        <v>1.6564713526638197E-2</v>
      </c>
      <c r="L107" s="658" t="s">
        <v>356</v>
      </c>
      <c r="M107" s="709">
        <f t="array" ref="M107">INDEX(UtilityList!Q$4:Q$251,MATCH('Table 2.5b'!$A107&amp;'Table 2.5b'!$B107,UtilityList!$A$4:$A$251&amp;UtilityList!$C$4:$C$251,0))</f>
        <v>0</v>
      </c>
      <c r="N107" s="709" t="str">
        <f t="array" ref="N107">INDEX(UtilityList!J$4:J$251,MATCH('Table 2.5b'!$A107&amp;'Table 2.5b'!$B107,UtilityList!$A$4:$A$251&amp;UtilityList!$C$4:$C$251,0))</f>
        <v>Aleutians</v>
      </c>
      <c r="O107" s="709" t="str">
        <f t="array" ref="O107">INDEX(UtilityList!K$4:K$251,MATCH('Table 2.5b'!$A107&amp;'Table 2.5b'!$B107,UtilityList!$A$4:$A$251&amp;UtilityList!$C$4:$C$251,0))</f>
        <v>Aleutians East</v>
      </c>
      <c r="P107" s="709" t="str">
        <f t="array" ref="P107">INDEX(UtilityList!L$4:L$251,MATCH('Table 2.5b'!$A107&amp;'Table 2.5b'!$B107,UtilityList!$A$4:$A$251&amp;UtilityList!$C$4:$C$251,0))</f>
        <v>Aleut</v>
      </c>
      <c r="Q107" s="709" t="str">
        <f t="array" ref="Q107">INDEX(UtilityList!M$4:M$251,MATCH('Table 2.5b'!$A107&amp;'Table 2.5b'!$B107,UtilityList!$A$4:$A$251&amp;UtilityList!$C$4:$C$251,0))</f>
        <v>SW</v>
      </c>
    </row>
    <row r="108" spans="1:17" s="267" customFormat="1" x14ac:dyDescent="0.25">
      <c r="A108" s="361" t="s">
        <v>182</v>
      </c>
      <c r="B108" s="654" t="s">
        <v>183</v>
      </c>
      <c r="C108" s="655">
        <f t="array" ref="C108">IFERROR((INDEX('Table 2.5a'!$D$8:$D$192,MATCH('Table 2.5b'!A108&amp;'Table 2.5b'!B108,'Table 2.5a'!$A$8:$A$192&amp;'Table 2.5a'!$B$8:$B$192,0))/INDEX('Table 2.5a'!$E$8:$E$192,MATCH('Table 2.5b'!A108&amp;'Table 2.5b'!B108,'Table 2.5a'!$A$8:$A$192&amp;'Table 2.5a'!$B$8:$B$192,0)))*1000, "")</f>
        <v>1933.3018181818181</v>
      </c>
      <c r="D108" s="655">
        <f t="array" ref="D108">IFERROR((INDEX('Table 2.5a'!$C$8:$C$192,MATCH('Table 2.5b'!A108&amp;'Table 2.5b'!B108,'Table 2.5a'!$A$8:$A$192&amp;'Table 2.5a'!$B$8:$B$192,0))/INDEX('Table 2.5a'!$E$8:$E$192,MATCH('Table 2.5b'!A108&amp;'Table 2.5b'!B108,'Table 2.5a'!$A$8:$A$192&amp;'Table 2.5a'!$B$8:$B$192,0)))*1000, "")</f>
        <v>1499.5172227272728</v>
      </c>
      <c r="E108" s="705">
        <f t="array" ref="E108">IFERROR(INDEX('Table 2.5a'!$C$8:$C$192,MATCH('Table 2.5b'!$A108&amp;'Table 2.5b'!$B108,'Table 2.5a'!$A$8:$A$192&amp;'Table 2.5a'!$B$8:$B$192,0))/INDEX('Table 2.5a'!$D$8:$D$192,MATCH('Table 2.5b'!$A108&amp;'Table 2.5b'!$B108,'Table 2.5a'!$A$8:$A$192&amp;'Table 2.5a'!$B$8:$B$192,0)),"")</f>
        <v>0.77562500000000001</v>
      </c>
      <c r="F108" s="655">
        <f t="array" ref="F108">IFERROR((INDEX('Table 2.5a'!$H$8:$H$192,MATCH('Table 2.5b'!$A108&amp;'Table 2.5b'!$B108,'Table 2.5a'!$A$8:$A$192&amp;'Table 2.5a'!$B$8:$B$192,0))/INDEX('Table 2.5a'!$I$8:$I$192,MATCH('Table 2.5b'!$A108&amp;'Table 2.5b'!$B108,'Table 2.5a'!$A$8:$A$192&amp;'Table 2.5a'!$B$8:$B$192,0)))*1000, "")</f>
        <v>7360</v>
      </c>
      <c r="G108" s="655">
        <f t="array" ref="G108">IFERROR((INDEX('Table 2.5a'!$G$8:$G$192,MATCH('Table 2.5b'!$A108&amp;'Table 2.5b'!$B108,'Table 2.5a'!$A$8:$A$192&amp;'Table 2.5a'!$B$8:$B$192,0))/INDEX('Table 2.5a'!$I$8:$I$192,MATCH('Table 2.5b'!$A108&amp;'Table 2.5b'!$B108,'Table 2.5a'!$A$8:$A$192&amp;'Table 2.5a'!$B$8:$B$192,0)))*1000, "")</f>
        <v>5708.6</v>
      </c>
      <c r="H108" s="705">
        <f t="array" ref="H108">IFERROR(INDEX('Table 2.5a'!$G$8:$G$192,MATCH('Table 2.5b'!$A108&amp;'Table 2.5b'!$B108,'Table 2.5a'!$A$8:$A$192&amp;'Table 2.5a'!$B$8:$B$192,0))/INDEX('Table 2.5a'!$H$8:$H$192,MATCH('Table 2.5b'!$A108&amp;'Table 2.5b'!$B108,'Table 2.5a'!$A$8:$A$192&amp;'Table 2.5a'!$B$8:$B$192,0)),"")</f>
        <v>0.77562500000000001</v>
      </c>
      <c r="I108" s="655">
        <f t="array" ref="I108">IFERROR((INDEX('Table 2.5a'!$L$8:$L$192,MATCH('Table 2.5b'!$A108&amp;'Table 2.5b'!$B108,'Table 2.5a'!$A$8:$A$192&amp;'Table 2.5a'!$B$8:$B$192,0))/INDEX('Table 2.5a'!$I$8:$I$192,MATCH('Table 2.5b'!$A108&amp;'Table 2.5b'!$B108,'Table 2.5a'!$A$8:$A$192&amp;'Table 2.5a'!$B$8:$B$192,0)))*1000, "")</f>
        <v>15794.133333333333</v>
      </c>
      <c r="J108" s="655">
        <f t="array" ref="J108">IFERROR((INDEX('Table 2.5a'!$K$8:$K$192,MATCH('Table 2.5b'!$A108&amp;'Table 2.5b'!$B108,'Table 2.5a'!$A$8:$A$192&amp;'Table 2.5a'!$B$8:$B$192,0))/INDEX('Table 2.5a'!$I$8:$I$192,MATCH('Table 2.5b'!$A108&amp;'Table 2.5b'!$B108,'Table 2.5a'!$A$8:$A$192&amp;'Table 2.5a'!$B$8:$B$192,0)))*1000, "")</f>
        <v>12250.324666666667</v>
      </c>
      <c r="K108" s="705">
        <f t="array" ref="K108">IFERROR(INDEX('Table 2.5a'!$I$8:$I$192,MATCH('Table 2.5b'!$A108&amp;'Table 2.5b'!$B108,'Table 2.5a'!$A$8:$A$192&amp;'Table 2.5a'!$B$8:$B$192,0))/INDEX('Table 2.5a'!$L$8:$L$192,MATCH('Table 2.5b'!$A108&amp;'Table 2.5b'!$B108,'Table 2.5a'!$A$8:$A$192&amp;'Table 2.5a'!$B$8:$B$192,0)),"")</f>
        <v>6.3314648477071647E-2</v>
      </c>
      <c r="L108" s="658" t="s">
        <v>356</v>
      </c>
      <c r="M108" s="709">
        <f t="array" ref="M108">INDEX(UtilityList!Q$4:Q$251,MATCH('Table 2.5b'!$A108&amp;'Table 2.5b'!$B108,UtilityList!$A$4:$A$251&amp;UtilityList!$C$4:$C$251,0))</f>
        <v>0</v>
      </c>
      <c r="N108" s="709" t="str">
        <f t="array" ref="N108">INDEX(UtilityList!J$4:J$251,MATCH('Table 2.5b'!$A108&amp;'Table 2.5b'!$B108,UtilityList!$A$4:$A$251&amp;UtilityList!$C$4:$C$251,0))</f>
        <v>Yukon-Koyukuk/Upper Tanana</v>
      </c>
      <c r="O108" s="709" t="str">
        <f t="array" ref="O108">INDEX(UtilityList!K$4:K$251,MATCH('Table 2.5b'!$A108&amp;'Table 2.5b'!$B108,UtilityList!$A$4:$A$251&amp;UtilityList!$C$4:$C$251,0))</f>
        <v>Yukon-Koyukuk (CA)</v>
      </c>
      <c r="P108" s="709" t="str">
        <f t="array" ref="P108">INDEX(UtilityList!L$4:L$251,MATCH('Table 2.5b'!$A108&amp;'Table 2.5b'!$B108,UtilityList!$A$4:$A$251&amp;UtilityList!$C$4:$C$251,0))</f>
        <v>Doyon</v>
      </c>
      <c r="Q108" s="709" t="str">
        <f t="array" ref="Q108">INDEX(UtilityList!M$4:M$251,MATCH('Table 2.5b'!$A108&amp;'Table 2.5b'!$B108,UtilityList!$A$4:$A$251&amp;UtilityList!$C$4:$C$251,0))</f>
        <v>YU</v>
      </c>
    </row>
    <row r="109" spans="1:17" s="267" customFormat="1" ht="30" x14ac:dyDescent="0.25">
      <c r="A109" s="361" t="s">
        <v>184</v>
      </c>
      <c r="B109" s="708"/>
      <c r="C109" s="655">
        <f t="array" ref="C109">IFERROR((INDEX('Table 2.5a'!$D$8:$D$192,MATCH('Table 2.5b'!A109&amp;'Table 2.5b'!B109,'Table 2.5a'!$A$8:$A$192&amp;'Table 2.5a'!$B$8:$B$192,0))/INDEX('Table 2.5a'!$E$8:$E$192,MATCH('Table 2.5b'!A109&amp;'Table 2.5b'!B109,'Table 2.5a'!$A$8:$A$192&amp;'Table 2.5a'!$B$8:$B$192,0)))*1000, "")</f>
        <v>8063.6976344654413</v>
      </c>
      <c r="D109" s="655">
        <f t="array" ref="D109">IFERROR((INDEX('Table 2.5a'!$C$8:$C$192,MATCH('Table 2.5b'!A109&amp;'Table 2.5b'!B109,'Table 2.5a'!$A$8:$A$192&amp;'Table 2.5a'!$B$8:$B$192,0))/INDEX('Table 2.5a'!$E$8:$E$192,MATCH('Table 2.5b'!A109&amp;'Table 2.5b'!B109,'Table 2.5a'!$A$8:$A$192&amp;'Table 2.5a'!$B$8:$B$192,0)))*1000, "")</f>
        <v>1807.5644244746927</v>
      </c>
      <c r="E109" s="705">
        <f t="array" ref="E109">IFERROR(INDEX('Table 2.5a'!$C$8:$C$192,MATCH('Table 2.5b'!$A109&amp;'Table 2.5b'!$B109,'Table 2.5a'!$A$8:$A$192&amp;'Table 2.5a'!$B$8:$B$192,0))/INDEX('Table 2.5a'!$D$8:$D$192,MATCH('Table 2.5b'!$A109&amp;'Table 2.5b'!$B109,'Table 2.5a'!$A$8:$A$192&amp;'Table 2.5a'!$B$8:$B$192,0)),"")</f>
        <v>0.22416073945393161</v>
      </c>
      <c r="F109" s="655">
        <f t="array" ref="F109">IFERROR((INDEX('Table 2.5a'!$H$8:$H$192,MATCH('Table 2.5b'!$A109&amp;'Table 2.5b'!$B109,'Table 2.5a'!$A$8:$A$192&amp;'Table 2.5a'!$B$8:$B$192,0))/INDEX('Table 2.5a'!$I$8:$I$192,MATCH('Table 2.5b'!$A109&amp;'Table 2.5b'!$B109,'Table 2.5a'!$A$8:$A$192&amp;'Table 2.5a'!$B$8:$B$192,0)))*1000, "")</f>
        <v>21588.592800374005</v>
      </c>
      <c r="G109" s="655">
        <f t="array" ref="G109">IFERROR((INDEX('Table 2.5a'!$G$8:$G$192,MATCH('Table 2.5b'!$A109&amp;'Table 2.5b'!$B109,'Table 2.5a'!$A$8:$A$192&amp;'Table 2.5a'!$B$8:$B$192,0))/INDEX('Table 2.5a'!$I$8:$I$192,MATCH('Table 2.5b'!$A109&amp;'Table 2.5b'!$B109,'Table 2.5a'!$A$8:$A$192&amp;'Table 2.5a'!$B$8:$B$192,0)))*1000, "")</f>
        <v>4484.5410628019326</v>
      </c>
      <c r="H109" s="705">
        <f t="array" ref="H109">IFERROR(INDEX('Table 2.5a'!$G$8:$G$192,MATCH('Table 2.5b'!$A109&amp;'Table 2.5b'!$B109,'Table 2.5a'!$A$8:$A$192&amp;'Table 2.5a'!$B$8:$B$192,0))/INDEX('Table 2.5a'!$H$8:$H$192,MATCH('Table 2.5b'!$A109&amp;'Table 2.5b'!$B109,'Table 2.5a'!$A$8:$A$192&amp;'Table 2.5a'!$B$8:$B$192,0)),"")</f>
        <v>0.20772734491171843</v>
      </c>
      <c r="I109" s="655">
        <f t="array" ref="I109">IFERROR((INDEX('Table 2.5a'!$L$8:$L$192,MATCH('Table 2.5b'!$A109&amp;'Table 2.5b'!$B109,'Table 2.5a'!$A$8:$A$192&amp;'Table 2.5a'!$B$8:$B$192,0))/INDEX('Table 2.5a'!$I$8:$I$192,MATCH('Table 2.5b'!$A109&amp;'Table 2.5b'!$B109,'Table 2.5a'!$A$8:$A$192&amp;'Table 2.5a'!$B$8:$B$192,0)))*1000, "")</f>
        <v>131884.52547919587</v>
      </c>
      <c r="J109" s="655">
        <f t="array" ref="J109">IFERROR((INDEX('Table 2.5a'!$K$8:$K$192,MATCH('Table 2.5b'!$A109&amp;'Table 2.5b'!$B109,'Table 2.5a'!$A$8:$A$192&amp;'Table 2.5a'!$B$8:$B$192,0))/INDEX('Table 2.5a'!$I$8:$I$192,MATCH('Table 2.5b'!$A109&amp;'Table 2.5b'!$B109,'Table 2.5a'!$A$8:$A$192&amp;'Table 2.5a'!$B$8:$B$192,0)))*1000, "")</f>
        <v>22516.86146174225</v>
      </c>
      <c r="K109" s="705">
        <f t="array" ref="K109">IFERROR(INDEX('Table 2.5a'!$I$8:$I$192,MATCH('Table 2.5b'!$A109&amp;'Table 2.5b'!$B109,'Table 2.5a'!$A$8:$A$192&amp;'Table 2.5a'!$B$8:$B$192,0))/INDEX('Table 2.5a'!$L$8:$L$192,MATCH('Table 2.5b'!$A109&amp;'Table 2.5b'!$B109,'Table 2.5a'!$A$8:$A$192&amp;'Table 2.5a'!$B$8:$B$192,0)),"")</f>
        <v>7.5823907040386248E-3</v>
      </c>
      <c r="L109" s="707" t="s">
        <v>558</v>
      </c>
      <c r="M109" s="709">
        <f t="array" ref="M109">INDEX(UtilityList!Q$4:Q$251,MATCH('Table 2.5b'!$A109&amp;'Table 2.5b'!$B109,UtilityList!$A$4:$A$251&amp;UtilityList!$C$4:$C$251,0))</f>
        <v>0</v>
      </c>
      <c r="N109" s="709" t="str">
        <f t="array" ref="N109">INDEX(UtilityList!J$4:J$251,MATCH('Table 2.5b'!$A109&amp;'Table 2.5b'!$B109,UtilityList!$A$4:$A$251&amp;UtilityList!$C$4:$C$251,0))</f>
        <v>Railbelt</v>
      </c>
      <c r="O109" s="709" t="str">
        <f t="array" ref="O109">INDEX(UtilityList!K$4:K$251,MATCH('Table 2.5b'!$A109&amp;'Table 2.5b'!$B109,UtilityList!$A$4:$A$251&amp;UtilityList!$C$4:$C$251,0))</f>
        <v>Fairbanks North Star</v>
      </c>
      <c r="P109" s="709" t="str">
        <f t="array" ref="P109">INDEX(UtilityList!L$4:L$251,MATCH('Table 2.5b'!$A109&amp;'Table 2.5b'!$B109,UtilityList!$A$4:$A$251&amp;UtilityList!$C$4:$C$251,0))</f>
        <v>Doyon</v>
      </c>
      <c r="Q109" s="709" t="str">
        <f t="array" ref="Q109">INDEX(UtilityList!M$4:M$251,MATCH('Table 2.5b'!$A109&amp;'Table 2.5b'!$B109,UtilityList!$A$4:$A$251&amp;UtilityList!$C$4:$C$251,0))</f>
        <v>YU</v>
      </c>
    </row>
    <row r="110" spans="1:17" s="285" customFormat="1" ht="30" x14ac:dyDescent="0.25">
      <c r="A110" s="361" t="s">
        <v>188</v>
      </c>
      <c r="B110" s="654" t="s">
        <v>189</v>
      </c>
      <c r="C110" s="655">
        <f t="array" ref="C110">IFERROR((INDEX('Table 2.5a'!$D$8:$D$192,MATCH('Table 2.5b'!A110&amp;'Table 2.5b'!B110,'Table 2.5a'!$A$8:$A$192&amp;'Table 2.5a'!$B$8:$B$192,0))/INDEX('Table 2.5a'!$E$8:$E$192,MATCH('Table 2.5b'!A110&amp;'Table 2.5b'!B110,'Table 2.5a'!$A$8:$A$192&amp;'Table 2.5a'!$B$8:$B$192,0)))*1000, "")</f>
        <v>4109.0181818181818</v>
      </c>
      <c r="D110" s="655">
        <f t="array" ref="D110">IFERROR((INDEX('Table 2.5a'!$C$8:$C$192,MATCH('Table 2.5b'!A110&amp;'Table 2.5b'!B110,'Table 2.5a'!$A$8:$A$192&amp;'Table 2.5a'!$B$8:$B$192,0))/INDEX('Table 2.5a'!$E$8:$E$192,MATCH('Table 2.5b'!A110&amp;'Table 2.5b'!B110,'Table 2.5a'!$A$8:$A$192&amp;'Table 2.5a'!$B$8:$B$192,0)))*1000, "")</f>
        <v>2372.9580000000005</v>
      </c>
      <c r="E110" s="705">
        <f t="array" ref="E110">IFERROR(INDEX('Table 2.5a'!$C$8:$C$192,MATCH('Table 2.5b'!$A110&amp;'Table 2.5b'!$B110,'Table 2.5a'!$A$8:$A$192&amp;'Table 2.5a'!$B$8:$B$192,0))/INDEX('Table 2.5a'!$D$8:$D$192,MATCH('Table 2.5b'!$A110&amp;'Table 2.5b'!$B110,'Table 2.5a'!$A$8:$A$192&amp;'Table 2.5a'!$B$8:$B$192,0)),"")</f>
        <v>0.57750000000000001</v>
      </c>
      <c r="F110" s="655">
        <f t="array" ref="F110">IFERROR((INDEX('Table 2.5a'!$H$8:$H$192,MATCH('Table 2.5b'!$A110&amp;'Table 2.5b'!$B110,'Table 2.5a'!$A$8:$A$192&amp;'Table 2.5a'!$B$8:$B$192,0))/INDEX('Table 2.5a'!$I$8:$I$192,MATCH('Table 2.5b'!$A110&amp;'Table 2.5b'!$B110,'Table 2.5a'!$A$8:$A$192&amp;'Table 2.5a'!$B$8:$B$192,0)))*1000, "")</f>
        <v>9233.3846153846152</v>
      </c>
      <c r="G110" s="655">
        <f t="array" ref="G110">IFERROR((INDEX('Table 2.5a'!$G$8:$G$192,MATCH('Table 2.5b'!$A110&amp;'Table 2.5b'!$B110,'Table 2.5a'!$A$8:$A$192&amp;'Table 2.5a'!$B$8:$B$192,0))/INDEX('Table 2.5a'!$I$8:$I$192,MATCH('Table 2.5b'!$A110&amp;'Table 2.5b'!$B110,'Table 2.5a'!$A$8:$A$192&amp;'Table 2.5a'!$B$8:$B$192,0)))*1000, "")</f>
        <v>5332.2796153846157</v>
      </c>
      <c r="H110" s="705">
        <f t="array" ref="H110">IFERROR(INDEX('Table 2.5a'!$G$8:$G$192,MATCH('Table 2.5b'!$A110&amp;'Table 2.5b'!$B110,'Table 2.5a'!$A$8:$A$192&amp;'Table 2.5a'!$B$8:$B$192,0))/INDEX('Table 2.5a'!$H$8:$H$192,MATCH('Table 2.5b'!$A110&amp;'Table 2.5b'!$B110,'Table 2.5a'!$A$8:$A$192&amp;'Table 2.5a'!$B$8:$B$192,0)),"")</f>
        <v>0.57750000000000001</v>
      </c>
      <c r="I110" s="655">
        <f t="array" ref="I110">IFERROR((INDEX('Table 2.5a'!$L$8:$L$192,MATCH('Table 2.5b'!$A110&amp;'Table 2.5b'!$B110,'Table 2.5a'!$A$8:$A$192&amp;'Table 2.5a'!$B$8:$B$192,0))/INDEX('Table 2.5a'!$I$8:$I$192,MATCH('Table 2.5b'!$A110&amp;'Table 2.5b'!$B110,'Table 2.5a'!$A$8:$A$192&amp;'Table 2.5a'!$B$8:$B$192,0)))*1000, "")</f>
        <v>3878.1923076923076</v>
      </c>
      <c r="J110" s="655">
        <f t="array" ref="J110">IFERROR((INDEX('Table 2.5a'!$K$8:$K$192,MATCH('Table 2.5b'!$A110&amp;'Table 2.5b'!$B110,'Table 2.5a'!$A$8:$A$192&amp;'Table 2.5a'!$B$8:$B$192,0))/INDEX('Table 2.5a'!$I$8:$I$192,MATCH('Table 2.5b'!$A110&amp;'Table 2.5b'!$B110,'Table 2.5a'!$A$8:$A$192&amp;'Table 2.5a'!$B$8:$B$192,0)))*1000, "")</f>
        <v>2239.6560576923075</v>
      </c>
      <c r="K110" s="705">
        <f t="array" ref="K110">IFERROR(INDEX('Table 2.5a'!$I$8:$I$192,MATCH('Table 2.5b'!$A110&amp;'Table 2.5b'!$B110,'Table 2.5a'!$A$8:$A$192&amp;'Table 2.5a'!$B$8:$B$192,0))/INDEX('Table 2.5a'!$L$8:$L$192,MATCH('Table 2.5b'!$A110&amp;'Table 2.5b'!$B110,'Table 2.5a'!$A$8:$A$192&amp;'Table 2.5a'!$B$8:$B$192,0)),"")</f>
        <v>0.25785209207303167</v>
      </c>
      <c r="L110" s="658" t="s">
        <v>356</v>
      </c>
      <c r="M110" s="709">
        <f t="array" ref="M110">INDEX(UtilityList!Q$4:Q$251,MATCH('Table 2.5b'!$A110&amp;'Table 2.5b'!$B110,UtilityList!$A$4:$A$251&amp;UtilityList!$C$4:$C$251,0))</f>
        <v>0</v>
      </c>
      <c r="N110" s="709" t="str">
        <f t="array" ref="N110">INDEX(UtilityList!J$4:J$251,MATCH('Table 2.5b'!$A110&amp;'Table 2.5b'!$B110,UtilityList!$A$4:$A$251&amp;UtilityList!$C$4:$C$251,0))</f>
        <v>Bering Straits</v>
      </c>
      <c r="O110" s="709" t="str">
        <f t="array" ref="O110">INDEX(UtilityList!K$4:K$251,MATCH('Table 2.5b'!$A110&amp;'Table 2.5b'!$B110,UtilityList!$A$4:$A$251&amp;UtilityList!$C$4:$C$251,0))</f>
        <v>Nome (CA)</v>
      </c>
      <c r="P110" s="709" t="str">
        <f t="array" ref="P110">INDEX(UtilityList!L$4:L$251,MATCH('Table 2.5b'!$A110&amp;'Table 2.5b'!$B110,UtilityList!$A$4:$A$251&amp;UtilityList!$C$4:$C$251,0))</f>
        <v>Bering Straits</v>
      </c>
      <c r="Q110" s="709" t="str">
        <f t="array" ref="Q110">INDEX(UtilityList!M$4:M$251,MATCH('Table 2.5b'!$A110&amp;'Table 2.5b'!$B110,UtilityList!$A$4:$A$251&amp;UtilityList!$C$4:$C$251,0))</f>
        <v>AN</v>
      </c>
    </row>
    <row r="111" spans="1:17" s="267" customFormat="1" x14ac:dyDescent="0.25">
      <c r="A111" s="361" t="s">
        <v>190</v>
      </c>
      <c r="B111" s="654" t="s">
        <v>191</v>
      </c>
      <c r="C111" s="655">
        <f t="array" ref="C111">IFERROR((INDEX('Table 2.5a'!$D$8:$D$192,MATCH('Table 2.5b'!A111&amp;'Table 2.5b'!B111,'Table 2.5a'!$A$8:$A$192&amp;'Table 2.5a'!$B$8:$B$192,0))/INDEX('Table 2.5a'!$E$8:$E$192,MATCH('Table 2.5b'!A111&amp;'Table 2.5b'!B111,'Table 2.5a'!$A$8:$A$192&amp;'Table 2.5a'!$B$8:$B$192,0)))*1000, "")</f>
        <v>2126.9423295425272</v>
      </c>
      <c r="D111" s="655">
        <f t="array" ref="D111">IFERROR((INDEX('Table 2.5a'!$C$8:$C$192,MATCH('Table 2.5b'!A111&amp;'Table 2.5b'!B111,'Table 2.5a'!$A$8:$A$192&amp;'Table 2.5a'!$B$8:$B$192,0))/INDEX('Table 2.5a'!$E$8:$E$192,MATCH('Table 2.5b'!A111&amp;'Table 2.5b'!B111,'Table 2.5a'!$A$8:$A$192&amp;'Table 2.5a'!$B$8:$B$192,0)))*1000, "")</f>
        <v>949.21890554619631</v>
      </c>
      <c r="E111" s="705">
        <f t="array" ref="E111">IFERROR(INDEX('Table 2.5a'!$C$8:$C$192,MATCH('Table 2.5b'!$A111&amp;'Table 2.5b'!$B111,'Table 2.5a'!$A$8:$A$192&amp;'Table 2.5a'!$B$8:$B$192,0))/INDEX('Table 2.5a'!$D$8:$D$192,MATCH('Table 2.5b'!$A111&amp;'Table 2.5b'!$B111,'Table 2.5a'!$A$8:$A$192&amp;'Table 2.5a'!$B$8:$B$192,0)),"")</f>
        <v>0.44628332999999998</v>
      </c>
      <c r="F111" s="655">
        <f t="array" ref="F111">IFERROR((INDEX('Table 2.5a'!$H$8:$H$192,MATCH('Table 2.5b'!$A111&amp;'Table 2.5b'!$B111,'Table 2.5a'!$A$8:$A$192&amp;'Table 2.5a'!$B$8:$B$192,0))/INDEX('Table 2.5a'!$I$8:$I$192,MATCH('Table 2.5b'!$A111&amp;'Table 2.5b'!$B111,'Table 2.5a'!$A$8:$A$192&amp;'Table 2.5a'!$B$8:$B$192,0)))*1000, "")</f>
        <v>4863.5620981986285</v>
      </c>
      <c r="G111" s="655">
        <f t="array" ref="G111">IFERROR((INDEX('Table 2.5a'!$G$8:$G$192,MATCH('Table 2.5b'!$A111&amp;'Table 2.5b'!$B111,'Table 2.5a'!$A$8:$A$192&amp;'Table 2.5a'!$B$8:$B$192,0))/INDEX('Table 2.5a'!$I$8:$I$192,MATCH('Table 2.5b'!$A111&amp;'Table 2.5b'!$B111,'Table 2.5a'!$A$8:$A$192&amp;'Table 2.5a'!$B$8:$B$192,0)))*1000, "")</f>
        <v>2170.5266888458709</v>
      </c>
      <c r="H111" s="705">
        <f t="array" ref="H111">IFERROR(INDEX('Table 2.5a'!$G$8:$G$192,MATCH('Table 2.5b'!$A111&amp;'Table 2.5b'!$B111,'Table 2.5a'!$A$8:$A$192&amp;'Table 2.5a'!$B$8:$B$192,0))/INDEX('Table 2.5a'!$H$8:$H$192,MATCH('Table 2.5b'!$A111&amp;'Table 2.5b'!$B111,'Table 2.5a'!$A$8:$A$192&amp;'Table 2.5a'!$B$8:$B$192,0)),"")</f>
        <v>0.44628332999999998</v>
      </c>
      <c r="I111" s="655">
        <f t="array" ref="I111">IFERROR((INDEX('Table 2.5a'!$L$8:$L$192,MATCH('Table 2.5b'!$A111&amp;'Table 2.5b'!$B111,'Table 2.5a'!$A$8:$A$192&amp;'Table 2.5a'!$B$8:$B$192,0))/INDEX('Table 2.5a'!$I$8:$I$192,MATCH('Table 2.5b'!$A111&amp;'Table 2.5b'!$B111,'Table 2.5a'!$A$8:$A$192&amp;'Table 2.5a'!$B$8:$B$192,0)))*1000, "")</f>
        <v>2776.7162215071089</v>
      </c>
      <c r="J111" s="655">
        <f t="array" ref="J111">IFERROR((INDEX('Table 2.5a'!$K$8:$K$192,MATCH('Table 2.5b'!$A111&amp;'Table 2.5b'!$B111,'Table 2.5a'!$A$8:$A$192&amp;'Table 2.5a'!$B$8:$B$192,0))/INDEX('Table 2.5a'!$I$8:$I$192,MATCH('Table 2.5b'!$A111&amp;'Table 2.5b'!$B111,'Table 2.5a'!$A$8:$A$192&amp;'Table 2.5a'!$B$8:$B$192,0)))*1000, "")</f>
        <v>1239.2021617992102</v>
      </c>
      <c r="K111" s="705">
        <f t="array" ref="K111">IFERROR(INDEX('Table 2.5a'!$I$8:$I$192,MATCH('Table 2.5b'!$A111&amp;'Table 2.5b'!$B111,'Table 2.5a'!$A$8:$A$192&amp;'Table 2.5a'!$B$8:$B$192,0))/INDEX('Table 2.5a'!$L$8:$L$192,MATCH('Table 2.5b'!$A111&amp;'Table 2.5b'!$B111,'Table 2.5a'!$A$8:$A$192&amp;'Table 2.5a'!$B$8:$B$192,0)),"")</f>
        <v>0.36013763028950552</v>
      </c>
      <c r="L111" s="658" t="s">
        <v>356</v>
      </c>
      <c r="M111" s="709">
        <f t="array" ref="M111">INDEX(UtilityList!Q$4:Q$251,MATCH('Table 2.5b'!$A111&amp;'Table 2.5b'!$B111,UtilityList!$A$4:$A$251&amp;UtilityList!$C$4:$C$251,0))</f>
        <v>0</v>
      </c>
      <c r="N111" s="709" t="str">
        <f t="array" ref="N111">INDEX(UtilityList!J$4:J$251,MATCH('Table 2.5b'!$A111&amp;'Table 2.5b'!$B111,UtilityList!$A$4:$A$251&amp;UtilityList!$C$4:$C$251,0))</f>
        <v>Southeast</v>
      </c>
      <c r="O111" s="709" t="str">
        <f t="array" ref="O111">INDEX(UtilityList!K$4:K$251,MATCH('Table 2.5b'!$A111&amp;'Table 2.5b'!$B111,UtilityList!$A$4:$A$251&amp;UtilityList!$C$4:$C$251,0))</f>
        <v>Hoonah-Angoon (CA)</v>
      </c>
      <c r="P111" s="709" t="str">
        <f t="array" ref="P111">INDEX(UtilityList!L$4:L$251,MATCH('Table 2.5b'!$A111&amp;'Table 2.5b'!$B111,UtilityList!$A$4:$A$251&amp;UtilityList!$C$4:$C$251,0))</f>
        <v>Sealaska</v>
      </c>
      <c r="Q111" s="709" t="str">
        <f t="array" ref="Q111">INDEX(UtilityList!M$4:M$251,MATCH('Table 2.5b'!$A111&amp;'Table 2.5b'!$B111,UtilityList!$A$4:$A$251&amp;UtilityList!$C$4:$C$251,0))</f>
        <v>SE</v>
      </c>
    </row>
    <row r="112" spans="1:17" s="267" customFormat="1" ht="30" x14ac:dyDescent="0.25">
      <c r="A112" s="361" t="s">
        <v>535</v>
      </c>
      <c r="B112" s="654" t="s">
        <v>192</v>
      </c>
      <c r="C112" s="655">
        <f t="array" ref="C112">IFERROR((INDEX('Table 2.5a'!$D$8:$D$192,MATCH('Table 2.5b'!A112&amp;'Table 2.5b'!B112,'Table 2.5a'!$A$8:$A$192&amp;'Table 2.5a'!$B$8:$B$192,0))/INDEX('Table 2.5a'!$E$8:$E$192,MATCH('Table 2.5b'!A112&amp;'Table 2.5b'!B112,'Table 2.5a'!$A$8:$A$192&amp;'Table 2.5a'!$B$8:$B$192,0)))*1000, "")</f>
        <v>4203.5140660790375</v>
      </c>
      <c r="D112" s="655">
        <f t="array" ref="D112">IFERROR((INDEX('Table 2.5a'!$C$8:$C$192,MATCH('Table 2.5b'!A112&amp;'Table 2.5b'!B112,'Table 2.5a'!$A$8:$A$192&amp;'Table 2.5a'!$B$8:$B$192,0))/INDEX('Table 2.5a'!$E$8:$E$192,MATCH('Table 2.5b'!A112&amp;'Table 2.5b'!B112,'Table 2.5a'!$A$8:$A$192&amp;'Table 2.5a'!$B$8:$B$192,0)))*1000, "")</f>
        <v>2511.9849906166623</v>
      </c>
      <c r="E112" s="705">
        <f t="array" ref="E112">IFERROR(INDEX('Table 2.5a'!$C$8:$C$192,MATCH('Table 2.5b'!$A112&amp;'Table 2.5b'!$B112,'Table 2.5a'!$A$8:$A$192&amp;'Table 2.5a'!$B$8:$B$192,0))/INDEX('Table 2.5a'!$D$8:$D$192,MATCH('Table 2.5b'!$A112&amp;'Table 2.5b'!$B112,'Table 2.5a'!$A$8:$A$192&amp;'Table 2.5a'!$B$8:$B$192,0)),"")</f>
        <v>0.59759167000000002</v>
      </c>
      <c r="F112" s="655">
        <f t="array" ref="F112">IFERROR((INDEX('Table 2.5a'!$H$8:$H$192,MATCH('Table 2.5b'!$A112&amp;'Table 2.5b'!$B112,'Table 2.5a'!$A$8:$A$192&amp;'Table 2.5a'!$B$8:$B$192,0))/INDEX('Table 2.5a'!$I$8:$I$192,MATCH('Table 2.5b'!$A112&amp;'Table 2.5b'!$B112,'Table 2.5a'!$A$8:$A$192&amp;'Table 2.5a'!$B$8:$B$192,0)))*1000, "")</f>
        <v>14888.64705882353</v>
      </c>
      <c r="G112" s="655">
        <f t="array" ref="G112">IFERROR((INDEX('Table 2.5a'!$G$8:$G$192,MATCH('Table 2.5b'!$A112&amp;'Table 2.5b'!$B112,'Table 2.5a'!$A$8:$A$192&amp;'Table 2.5a'!$B$8:$B$192,0))/INDEX('Table 2.5a'!$I$8:$I$192,MATCH('Table 2.5b'!$A112&amp;'Table 2.5b'!$B112,'Table 2.5a'!$A$8:$A$192&amp;'Table 2.5a'!$B$8:$B$192,0)))*1000, "")</f>
        <v>8897.3314599229398</v>
      </c>
      <c r="H112" s="705">
        <f t="array" ref="H112">IFERROR(INDEX('Table 2.5a'!$G$8:$G$192,MATCH('Table 2.5b'!$A112&amp;'Table 2.5b'!$B112,'Table 2.5a'!$A$8:$A$192&amp;'Table 2.5a'!$B$8:$B$192,0))/INDEX('Table 2.5a'!$H$8:$H$192,MATCH('Table 2.5b'!$A112&amp;'Table 2.5b'!$B112,'Table 2.5a'!$A$8:$A$192&amp;'Table 2.5a'!$B$8:$B$192,0)),"")</f>
        <v>0.59759167000000002</v>
      </c>
      <c r="I112" s="655">
        <f t="array" ref="I112">IFERROR((INDEX('Table 2.5a'!$L$8:$L$192,MATCH('Table 2.5b'!$A112&amp;'Table 2.5b'!$B112,'Table 2.5a'!$A$8:$A$192&amp;'Table 2.5a'!$B$8:$B$192,0))/INDEX('Table 2.5a'!$I$8:$I$192,MATCH('Table 2.5b'!$A112&amp;'Table 2.5b'!$B112,'Table 2.5a'!$A$8:$A$192&amp;'Table 2.5a'!$B$8:$B$192,0)))*1000, "")</f>
        <v>9372.0147058823532</v>
      </c>
      <c r="J112" s="655">
        <f t="array" ref="J112">IFERROR((INDEX('Table 2.5a'!$K$8:$K$192,MATCH('Table 2.5b'!$A112&amp;'Table 2.5b'!$B112,'Table 2.5a'!$A$8:$A$192&amp;'Table 2.5a'!$B$8:$B$192,0))/INDEX('Table 2.5a'!$I$8:$I$192,MATCH('Table 2.5b'!$A112&amp;'Table 2.5b'!$B112,'Table 2.5a'!$A$8:$A$192&amp;'Table 2.5a'!$B$8:$B$192,0)))*1000, "")</f>
        <v>5600.6379193527946</v>
      </c>
      <c r="K112" s="705">
        <f t="array" ref="K112">IFERROR(INDEX('Table 2.5a'!$I$8:$I$192,MATCH('Table 2.5b'!$A112&amp;'Table 2.5b'!$B112,'Table 2.5a'!$A$8:$A$192&amp;'Table 2.5a'!$B$8:$B$192,0))/INDEX('Table 2.5a'!$L$8:$L$192,MATCH('Table 2.5b'!$A112&amp;'Table 2.5b'!$B112,'Table 2.5a'!$A$8:$A$192&amp;'Table 2.5a'!$B$8:$B$192,0)),"")</f>
        <v>0.10670064349902793</v>
      </c>
      <c r="L112" s="658" t="s">
        <v>356</v>
      </c>
      <c r="M112" s="709">
        <f t="array" ref="M112">INDEX(UtilityList!Q$4:Q$251,MATCH('Table 2.5b'!$A112&amp;'Table 2.5b'!$B112,UtilityList!$A$4:$A$251&amp;UtilityList!$C$4:$C$251,0))</f>
        <v>0</v>
      </c>
      <c r="N112" s="709" t="str">
        <f t="array" ref="N112">INDEX(UtilityList!J$4:J$251,MATCH('Table 2.5b'!$A112&amp;'Table 2.5b'!$B112,UtilityList!$A$4:$A$251&amp;UtilityList!$C$4:$C$251,0))</f>
        <v>Yukon-Koyukuk/Upper Tanana</v>
      </c>
      <c r="O112" s="709" t="str">
        <f t="array" ref="O112">INDEX(UtilityList!K$4:K$251,MATCH('Table 2.5b'!$A112&amp;'Table 2.5b'!$B112,UtilityList!$A$4:$A$251&amp;UtilityList!$C$4:$C$251,0))</f>
        <v>Yukon-Koyukuk (CA)</v>
      </c>
      <c r="P112" s="709" t="str">
        <f t="array" ref="P112">INDEX(UtilityList!L$4:L$251,MATCH('Table 2.5b'!$A112&amp;'Table 2.5b'!$B112,UtilityList!$A$4:$A$251&amp;UtilityList!$C$4:$C$251,0))</f>
        <v>Doyon</v>
      </c>
      <c r="Q112" s="709" t="str">
        <f t="array" ref="Q112">INDEX(UtilityList!M$4:M$251,MATCH('Table 2.5b'!$A112&amp;'Table 2.5b'!$B112,UtilityList!$A$4:$A$251&amp;UtilityList!$C$4:$C$251,0))</f>
        <v>YU</v>
      </c>
    </row>
    <row r="113" spans="1:17" s="267" customFormat="1" ht="75" x14ac:dyDescent="0.25">
      <c r="A113" s="361" t="s">
        <v>193</v>
      </c>
      <c r="B113" s="708"/>
      <c r="C113" s="655">
        <f t="array" ref="C113">IFERROR((INDEX('Table 2.5a'!$D$8:$D$192,MATCH('Table 2.5b'!A113&amp;'Table 2.5b'!B113,'Table 2.5a'!$A$8:$A$192&amp;'Table 2.5a'!$B$8:$B$192,0))/INDEX('Table 2.5a'!$E$8:$E$192,MATCH('Table 2.5b'!A113&amp;'Table 2.5b'!B113,'Table 2.5a'!$A$8:$A$192&amp;'Table 2.5a'!$B$8:$B$192,0)))*1000, "")</f>
        <v>6958.2585628462202</v>
      </c>
      <c r="D113" s="655">
        <f t="array" ref="D113">IFERROR((INDEX('Table 2.5a'!$C$8:$C$192,MATCH('Table 2.5b'!A113&amp;'Table 2.5b'!B113,'Table 2.5a'!$A$8:$A$192&amp;'Table 2.5a'!$B$8:$B$192,0))/INDEX('Table 2.5a'!$E$8:$E$192,MATCH('Table 2.5b'!A113&amp;'Table 2.5b'!B113,'Table 2.5a'!$A$8:$A$192&amp;'Table 2.5a'!$B$8:$B$192,0)))*1000, "")</f>
        <v>1372.5910899586486</v>
      </c>
      <c r="E113" s="705">
        <f t="array" ref="E113">IFERROR(INDEX('Table 2.5a'!$C$8:$C$192,MATCH('Table 2.5b'!$A113&amp;'Table 2.5b'!$B113,'Table 2.5a'!$A$8:$A$192&amp;'Table 2.5a'!$B$8:$B$192,0))/INDEX('Table 2.5a'!$D$8:$D$192,MATCH('Table 2.5b'!$A113&amp;'Table 2.5b'!$B113,'Table 2.5a'!$A$8:$A$192&amp;'Table 2.5a'!$B$8:$B$192,0)),"")</f>
        <v>0.19726071941155365</v>
      </c>
      <c r="F113" s="655">
        <f t="array" ref="F113">IFERROR((INDEX('Table 2.5a'!$H$8:$H$192,MATCH('Table 2.5b'!$A113&amp;'Table 2.5b'!$B113,'Table 2.5a'!$A$8:$A$192&amp;'Table 2.5a'!$B$8:$B$192,0))/INDEX('Table 2.5a'!$I$8:$I$192,MATCH('Table 2.5b'!$A113&amp;'Table 2.5b'!$B113,'Table 2.5a'!$A$8:$A$192&amp;'Table 2.5a'!$B$8:$B$192,0)))*1000, "")</f>
        <v>46314.293166405841</v>
      </c>
      <c r="G113" s="655">
        <f t="array" ref="G113">IFERROR((INDEX('Table 2.5a'!$G$8:$G$192,MATCH('Table 2.5b'!$A113&amp;'Table 2.5b'!$B113,'Table 2.5a'!$A$8:$A$192&amp;'Table 2.5a'!$B$8:$B$192,0))/INDEX('Table 2.5a'!$I$8:$I$192,MATCH('Table 2.5b'!$A113&amp;'Table 2.5b'!$B113,'Table 2.5a'!$A$8:$A$192&amp;'Table 2.5a'!$B$8:$B$192,0)))*1000, "")</f>
        <v>8219.6139801773606</v>
      </c>
      <c r="H113" s="705">
        <f t="array" ref="H113">IFERROR(INDEX('Table 2.5a'!$G$8:$G$192,MATCH('Table 2.5b'!$A113&amp;'Table 2.5b'!$B113,'Table 2.5a'!$A$8:$A$192&amp;'Table 2.5a'!$B$8:$B$192,0))/INDEX('Table 2.5a'!$H$8:$H$192,MATCH('Table 2.5b'!$A113&amp;'Table 2.5b'!$B113,'Table 2.5a'!$A$8:$A$192&amp;'Table 2.5a'!$B$8:$B$192,0)),"")</f>
        <v>0.17747467181771592</v>
      </c>
      <c r="I113" s="655">
        <f t="array" ref="I113">IFERROR((INDEX('Table 2.5a'!$L$8:$L$192,MATCH('Table 2.5b'!$A113&amp;'Table 2.5b'!$B113,'Table 2.5a'!$A$8:$A$192&amp;'Table 2.5a'!$B$8:$B$192,0))/INDEX('Table 2.5a'!$I$8:$I$192,MATCH('Table 2.5b'!$A113&amp;'Table 2.5b'!$B113,'Table 2.5a'!$A$8:$A$192&amp;'Table 2.5a'!$B$8:$B$192,0)))*1000, "")</f>
        <v>30889.932185706832</v>
      </c>
      <c r="J113" s="655">
        <f t="array" ref="J113">IFERROR((INDEX('Table 2.5a'!$K$8:$K$192,MATCH('Table 2.5b'!$A113&amp;'Table 2.5b'!$B113,'Table 2.5a'!$A$8:$A$192&amp;'Table 2.5a'!$B$8:$B$192,0))/INDEX('Table 2.5a'!$I$8:$I$192,MATCH('Table 2.5b'!$A113&amp;'Table 2.5b'!$B113,'Table 2.5a'!$A$8:$A$192&amp;'Table 2.5a'!$B$8:$B$192,0)))*1000, "")</f>
        <v>2480.1773604590503</v>
      </c>
      <c r="K113" s="705">
        <f t="array" ref="K113">IFERROR(INDEX('Table 2.5a'!$I$8:$I$192,MATCH('Table 2.5b'!$A113&amp;'Table 2.5b'!$B113,'Table 2.5a'!$A$8:$A$192&amp;'Table 2.5a'!$B$8:$B$192,0))/INDEX('Table 2.5a'!$L$8:$L$192,MATCH('Table 2.5b'!$A113&amp;'Table 2.5b'!$B113,'Table 2.5a'!$A$8:$A$192&amp;'Table 2.5a'!$B$8:$B$192,0)),"")</f>
        <v>3.2373007295325586E-2</v>
      </c>
      <c r="L113" s="707" t="s">
        <v>558</v>
      </c>
      <c r="M113" s="709" t="str">
        <f t="array" ref="M113">INDEX(UtilityList!Q$4:Q$251,MATCH('Table 2.5b'!$A113&amp;'Table 2.5b'!$B113,UtilityList!$A$4:$A$251&amp;UtilityList!$C$4:$C$251,0))</f>
        <v>Generation from Bradley Lake is shared among Chugach, AML&amp;P, HEA, MEA, Seward Electric and GVEA</v>
      </c>
      <c r="N113" s="709" t="str">
        <f t="array" ref="N113">INDEX(UtilityList!J$4:J$251,MATCH('Table 2.5b'!$A113&amp;'Table 2.5b'!$B113,UtilityList!$A$4:$A$251&amp;UtilityList!$C$4:$C$251,0))</f>
        <v>Railbelt</v>
      </c>
      <c r="O113" s="709" t="str">
        <f t="array" ref="O113">INDEX(UtilityList!K$4:K$251,MATCH('Table 2.5b'!$A113&amp;'Table 2.5b'!$B113,UtilityList!$A$4:$A$251&amp;UtilityList!$C$4:$C$251,0))</f>
        <v>Anchorage</v>
      </c>
      <c r="P113" s="709" t="str">
        <f t="array" ref="P113">INDEX(UtilityList!L$4:L$251,MATCH('Table 2.5b'!$A113&amp;'Table 2.5b'!$B113,UtilityList!$A$4:$A$251&amp;UtilityList!$C$4:$C$251,0))</f>
        <v>Cook Inlet</v>
      </c>
      <c r="Q113" s="709" t="str">
        <f t="array" ref="Q113">INDEX(UtilityList!M$4:M$251,MATCH('Table 2.5b'!$A113&amp;'Table 2.5b'!$B113,UtilityList!$A$4:$A$251&amp;UtilityList!$C$4:$C$251,0))</f>
        <v>SC</v>
      </c>
    </row>
    <row r="114" spans="1:17" s="267" customFormat="1" x14ac:dyDescent="0.25">
      <c r="A114" s="361" t="s">
        <v>196</v>
      </c>
      <c r="B114" s="654" t="s">
        <v>197</v>
      </c>
      <c r="C114" s="655">
        <f t="array" ref="C114">IFERROR((INDEX('Table 2.5a'!$D$8:$D$192,MATCH('Table 2.5b'!A114&amp;'Table 2.5b'!B114,'Table 2.5a'!$A$8:$A$192&amp;'Table 2.5a'!$B$8:$B$192,0))/INDEX('Table 2.5a'!$E$8:$E$192,MATCH('Table 2.5b'!A114&amp;'Table 2.5b'!B114,'Table 2.5a'!$A$8:$A$192&amp;'Table 2.5a'!$B$8:$B$192,0)))*1000, "")</f>
        <v>3762.0810810810813</v>
      </c>
      <c r="D114" s="655">
        <f t="array" ref="D114">IFERROR((INDEX('Table 2.5a'!$C$8:$C$192,MATCH('Table 2.5b'!A114&amp;'Table 2.5b'!B114,'Table 2.5a'!$A$8:$A$192&amp;'Table 2.5a'!$B$8:$B$192,0))/INDEX('Table 2.5a'!$E$8:$E$192,MATCH('Table 2.5b'!A114&amp;'Table 2.5b'!B114,'Table 2.5a'!$A$8:$A$192&amp;'Table 2.5a'!$B$8:$B$192,0)))*1000, "")</f>
        <v>2671.0775675675677</v>
      </c>
      <c r="E114" s="705">
        <f t="array" ref="E114">IFERROR(INDEX('Table 2.5a'!$C$8:$C$192,MATCH('Table 2.5b'!$A114&amp;'Table 2.5b'!$B114,'Table 2.5a'!$A$8:$A$192&amp;'Table 2.5a'!$B$8:$B$192,0))/INDEX('Table 2.5a'!$D$8:$D$192,MATCH('Table 2.5b'!$A114&amp;'Table 2.5b'!$B114,'Table 2.5a'!$A$8:$A$192&amp;'Table 2.5a'!$B$8:$B$192,0)),"")</f>
        <v>0.71</v>
      </c>
      <c r="F114" s="655">
        <f t="array" ref="F114">IFERROR((INDEX('Table 2.5a'!$H$8:$H$192,MATCH('Table 2.5b'!$A114&amp;'Table 2.5b'!$B114,'Table 2.5a'!$A$8:$A$192&amp;'Table 2.5a'!$B$8:$B$192,0))/INDEX('Table 2.5a'!$I$8:$I$192,MATCH('Table 2.5b'!$A114&amp;'Table 2.5b'!$B114,'Table 2.5a'!$A$8:$A$192&amp;'Table 2.5a'!$B$8:$B$192,0)))*1000, "")</f>
        <v>8762.9996629615507</v>
      </c>
      <c r="G114" s="655">
        <f t="array" ref="G114">IFERROR((INDEX('Table 2.5a'!$G$8:$G$192,MATCH('Table 2.5b'!$A114&amp;'Table 2.5b'!$B114,'Table 2.5a'!$A$8:$A$192&amp;'Table 2.5a'!$B$8:$B$192,0))/INDEX('Table 2.5a'!$I$8:$I$192,MATCH('Table 2.5b'!$A114&amp;'Table 2.5b'!$B114,'Table 2.5a'!$A$8:$A$192&amp;'Table 2.5a'!$B$8:$B$192,0)))*1000, "")</f>
        <v>6221.7297607027003</v>
      </c>
      <c r="H114" s="705">
        <f t="array" ref="H114">IFERROR(INDEX('Table 2.5a'!$G$8:$G$192,MATCH('Table 2.5b'!$A114&amp;'Table 2.5b'!$B114,'Table 2.5a'!$A$8:$A$192&amp;'Table 2.5a'!$B$8:$B$192,0))/INDEX('Table 2.5a'!$H$8:$H$192,MATCH('Table 2.5b'!$A114&amp;'Table 2.5b'!$B114,'Table 2.5a'!$A$8:$A$192&amp;'Table 2.5a'!$B$8:$B$192,0)),"")</f>
        <v>0.71</v>
      </c>
      <c r="I114" s="655">
        <f t="array" ref="I114">IFERROR((INDEX('Table 2.5a'!$L$8:$L$192,MATCH('Table 2.5b'!$A114&amp;'Table 2.5b'!$B114,'Table 2.5a'!$A$8:$A$192&amp;'Table 2.5a'!$B$8:$B$192,0))/INDEX('Table 2.5a'!$I$8:$I$192,MATCH('Table 2.5b'!$A114&amp;'Table 2.5b'!$B114,'Table 2.5a'!$A$8:$A$192&amp;'Table 2.5a'!$B$8:$B$192,0)))*1000, "")</f>
        <v>9598.0380923831508</v>
      </c>
      <c r="J114" s="655">
        <f t="array" ref="J114">IFERROR((INDEX('Table 2.5a'!$K$8:$K$192,MATCH('Table 2.5b'!$A114&amp;'Table 2.5b'!$B114,'Table 2.5a'!$A$8:$A$192&amp;'Table 2.5a'!$B$8:$B$192,0))/INDEX('Table 2.5a'!$I$8:$I$192,MATCH('Table 2.5b'!$A114&amp;'Table 2.5b'!$B114,'Table 2.5a'!$A$8:$A$192&amp;'Table 2.5a'!$B$8:$B$192,0)))*1000, "")</f>
        <v>6814.6070455920362</v>
      </c>
      <c r="K114" s="705">
        <f t="array" ref="K114">IFERROR(INDEX('Table 2.5a'!$I$8:$I$192,MATCH('Table 2.5b'!$A114&amp;'Table 2.5b'!$B114,'Table 2.5a'!$A$8:$A$192&amp;'Table 2.5a'!$B$8:$B$192,0))/INDEX('Table 2.5a'!$L$8:$L$192,MATCH('Table 2.5b'!$A114&amp;'Table 2.5b'!$B114,'Table 2.5a'!$A$8:$A$192&amp;'Table 2.5a'!$B$8:$B$192,0)),"")</f>
        <v>0.10418795907817703</v>
      </c>
      <c r="L114" s="658" t="s">
        <v>356</v>
      </c>
      <c r="M114" s="709">
        <f t="array" ref="M114">INDEX(UtilityList!Q$4:Q$251,MATCH('Table 2.5b'!$A114&amp;'Table 2.5b'!$B114,UtilityList!$A$4:$A$251&amp;UtilityList!$C$4:$C$251,0))</f>
        <v>0</v>
      </c>
      <c r="N114" s="709" t="str">
        <f t="array" ref="N114">INDEX(UtilityList!J$4:J$251,MATCH('Table 2.5b'!$A114&amp;'Table 2.5b'!$B114,UtilityList!$A$4:$A$251&amp;UtilityList!$C$4:$C$251,0))</f>
        <v>Yukon-Koyukuk/Upper Tanana</v>
      </c>
      <c r="O114" s="709" t="str">
        <f t="array" ref="O114">INDEX(UtilityList!K$4:K$251,MATCH('Table 2.5b'!$A114&amp;'Table 2.5b'!$B114,UtilityList!$A$4:$A$251&amp;UtilityList!$C$4:$C$251,0))</f>
        <v>Yukon-Koyukuk (CA)</v>
      </c>
      <c r="P114" s="709" t="str">
        <f t="array" ref="P114">INDEX(UtilityList!L$4:L$251,MATCH('Table 2.5b'!$A114&amp;'Table 2.5b'!$B114,UtilityList!$A$4:$A$251&amp;UtilityList!$C$4:$C$251,0))</f>
        <v>Doyon</v>
      </c>
      <c r="Q114" s="709" t="str">
        <f t="array" ref="Q114">INDEX(UtilityList!M$4:M$251,MATCH('Table 2.5b'!$A114&amp;'Table 2.5b'!$B114,UtilityList!$A$4:$A$251&amp;UtilityList!$C$4:$C$251,0))</f>
        <v>YU</v>
      </c>
    </row>
    <row r="115" spans="1:17" s="267" customFormat="1" ht="30" x14ac:dyDescent="0.25">
      <c r="A115" s="361" t="s">
        <v>198</v>
      </c>
      <c r="B115" s="654" t="s">
        <v>199</v>
      </c>
      <c r="C115" s="655">
        <f t="array" ref="C115">IFERROR((INDEX('Table 2.5a'!$D$8:$D$192,MATCH('Table 2.5b'!A115&amp;'Table 2.5b'!B115,'Table 2.5a'!$A$8:$A$192&amp;'Table 2.5a'!$B$8:$B$192,0))/INDEX('Table 2.5a'!$E$8:$E$192,MATCH('Table 2.5b'!A115&amp;'Table 2.5b'!B115,'Table 2.5a'!$A$8:$A$192&amp;'Table 2.5a'!$B$8:$B$192,0)))*1000, "")</f>
        <v>3777.0346697756249</v>
      </c>
      <c r="D115" s="655">
        <f t="array" ref="D115">IFERROR((INDEX('Table 2.5a'!$C$8:$C$192,MATCH('Table 2.5b'!A115&amp;'Table 2.5b'!B115,'Table 2.5a'!$A$8:$A$192&amp;'Table 2.5a'!$B$8:$B$192,0))/INDEX('Table 2.5a'!$E$8:$E$192,MATCH('Table 2.5b'!A115&amp;'Table 2.5b'!B115,'Table 2.5a'!$A$8:$A$192&amp;'Table 2.5a'!$B$8:$B$192,0)))*1000, "")</f>
        <v>3032.958839829827</v>
      </c>
      <c r="E115" s="705">
        <f t="array" ref="E115">IFERROR(INDEX('Table 2.5a'!$C$8:$C$192,MATCH('Table 2.5b'!$A115&amp;'Table 2.5b'!$B115,'Table 2.5a'!$A$8:$A$192&amp;'Table 2.5a'!$B$8:$B$192,0))/INDEX('Table 2.5a'!$D$8:$D$192,MATCH('Table 2.5b'!$A115&amp;'Table 2.5b'!$B115,'Table 2.5a'!$A$8:$A$192&amp;'Table 2.5a'!$B$8:$B$192,0)),"")</f>
        <v>0.80300000000000005</v>
      </c>
      <c r="F115" s="655">
        <f t="array" ref="F115">IFERROR((INDEX('Table 2.5a'!$H$8:$H$192,MATCH('Table 2.5b'!$A115&amp;'Table 2.5b'!$B115,'Table 2.5a'!$A$8:$A$192&amp;'Table 2.5a'!$B$8:$B$192,0))/INDEX('Table 2.5a'!$I$8:$I$192,MATCH('Table 2.5b'!$A115&amp;'Table 2.5b'!$B115,'Table 2.5a'!$A$8:$A$192&amp;'Table 2.5a'!$B$8:$B$192,0)))*1000, "")</f>
        <v>10345.545444444446</v>
      </c>
      <c r="G115" s="655">
        <f t="array" ref="G115">IFERROR((INDEX('Table 2.5a'!$G$8:$G$192,MATCH('Table 2.5b'!$A115&amp;'Table 2.5b'!$B115,'Table 2.5a'!$A$8:$A$192&amp;'Table 2.5a'!$B$8:$B$192,0))/INDEX('Table 2.5a'!$I$8:$I$192,MATCH('Table 2.5b'!$A115&amp;'Table 2.5b'!$B115,'Table 2.5a'!$A$8:$A$192&amp;'Table 2.5a'!$B$8:$B$192,0)))*1000, "")</f>
        <v>8307.4729918888897</v>
      </c>
      <c r="H115" s="705">
        <f t="array" ref="H115">IFERROR(INDEX('Table 2.5a'!$G$8:$G$192,MATCH('Table 2.5b'!$A115&amp;'Table 2.5b'!$B115,'Table 2.5a'!$A$8:$A$192&amp;'Table 2.5a'!$B$8:$B$192,0))/INDEX('Table 2.5a'!$H$8:$H$192,MATCH('Table 2.5b'!$A115&amp;'Table 2.5b'!$B115,'Table 2.5a'!$A$8:$A$192&amp;'Table 2.5a'!$B$8:$B$192,0)),"")</f>
        <v>0.80300000000000005</v>
      </c>
      <c r="I115" s="655">
        <f t="array" ref="I115">IFERROR((INDEX('Table 2.5a'!$L$8:$L$192,MATCH('Table 2.5b'!$A115&amp;'Table 2.5b'!$B115,'Table 2.5a'!$A$8:$A$192&amp;'Table 2.5a'!$B$8:$B$192,0))/INDEX('Table 2.5a'!$I$8:$I$192,MATCH('Table 2.5b'!$A115&amp;'Table 2.5b'!$B115,'Table 2.5a'!$A$8:$A$192&amp;'Table 2.5a'!$B$8:$B$192,0)))*1000, "")</f>
        <v>10010.959666666666</v>
      </c>
      <c r="J115" s="655">
        <f t="array" ref="J115">IFERROR((INDEX('Table 2.5a'!$K$8:$K$192,MATCH('Table 2.5b'!$A115&amp;'Table 2.5b'!$B115,'Table 2.5a'!$A$8:$A$192&amp;'Table 2.5a'!$B$8:$B$192,0))/INDEX('Table 2.5a'!$I$8:$I$192,MATCH('Table 2.5b'!$A115&amp;'Table 2.5b'!$B115,'Table 2.5a'!$A$8:$A$192&amp;'Table 2.5a'!$B$8:$B$192,0)))*1000, "")</f>
        <v>8038.8006123333344</v>
      </c>
      <c r="K115" s="705">
        <f t="array" ref="K115">IFERROR(INDEX('Table 2.5a'!$I$8:$I$192,MATCH('Table 2.5b'!$A115&amp;'Table 2.5b'!$B115,'Table 2.5a'!$A$8:$A$192&amp;'Table 2.5a'!$B$8:$B$192,0))/INDEX('Table 2.5a'!$L$8:$L$192,MATCH('Table 2.5b'!$A115&amp;'Table 2.5b'!$B115,'Table 2.5a'!$A$8:$A$192&amp;'Table 2.5a'!$B$8:$B$192,0)),"")</f>
        <v>9.9890523316129631E-2</v>
      </c>
      <c r="L115" s="658" t="s">
        <v>356</v>
      </c>
      <c r="M115" s="709">
        <f t="array" ref="M115">INDEX(UtilityList!Q$4:Q$251,MATCH('Table 2.5b'!$A115&amp;'Table 2.5b'!$B115,UtilityList!$A$4:$A$251&amp;UtilityList!$C$4:$C$251,0))</f>
        <v>0</v>
      </c>
      <c r="N115" s="709" t="str">
        <f t="array" ref="N115">INDEX(UtilityList!J$4:J$251,MATCH('Table 2.5b'!$A115&amp;'Table 2.5b'!$B115,UtilityList!$A$4:$A$251&amp;UtilityList!$C$4:$C$251,0))</f>
        <v>Bristol Bay</v>
      </c>
      <c r="O115" s="709" t="str">
        <f t="array" ref="O115">INDEX(UtilityList!K$4:K$251,MATCH('Table 2.5b'!$A115&amp;'Table 2.5b'!$B115,UtilityList!$A$4:$A$251&amp;UtilityList!$C$4:$C$251,0))</f>
        <v>Lake and Peninsula</v>
      </c>
      <c r="P115" s="709" t="str">
        <f t="array" ref="P115">INDEX(UtilityList!L$4:L$251,MATCH('Table 2.5b'!$A115&amp;'Table 2.5b'!$B115,UtilityList!$A$4:$A$251&amp;UtilityList!$C$4:$C$251,0))</f>
        <v>Bristol Bay</v>
      </c>
      <c r="Q115" s="709" t="str">
        <f t="array" ref="Q115">INDEX(UtilityList!M$4:M$251,MATCH('Table 2.5b'!$A115&amp;'Table 2.5b'!$B115,UtilityList!$A$4:$A$251&amp;UtilityList!$C$4:$C$251,0))</f>
        <v>SW</v>
      </c>
    </row>
    <row r="116" spans="1:17" s="267" customFormat="1" ht="120" x14ac:dyDescent="0.25">
      <c r="A116" s="361" t="s">
        <v>200</v>
      </c>
      <c r="B116" s="654" t="s">
        <v>658</v>
      </c>
      <c r="C116" s="655">
        <f t="array" ref="C116">IFERROR((INDEX('Table 2.5a'!$D$8:$D$192,MATCH('Table 2.5b'!A116&amp;'Table 2.5b'!B116,'Table 2.5a'!$A$8:$A$192&amp;'Table 2.5a'!$B$8:$B$192,0))/INDEX('Table 2.5a'!$E$8:$E$192,MATCH('Table 2.5b'!A116&amp;'Table 2.5b'!B116,'Table 2.5a'!$A$8:$A$192&amp;'Table 2.5a'!$B$8:$B$192,0)))*1000, "")</f>
        <v>4983.8717948717949</v>
      </c>
      <c r="D116" s="655">
        <f t="array" ref="D116">IFERROR((INDEX('Table 2.5a'!$C$8:$C$192,MATCH('Table 2.5b'!A116&amp;'Table 2.5b'!B116,'Table 2.5a'!$A$8:$A$192&amp;'Table 2.5a'!$B$8:$B$192,0))/INDEX('Table 2.5a'!$E$8:$E$192,MATCH('Table 2.5b'!A116&amp;'Table 2.5b'!B116,'Table 2.5a'!$A$8:$A$192&amp;'Table 2.5a'!$B$8:$B$192,0)))*1000, "")</f>
        <v>2960.5444429487184</v>
      </c>
      <c r="E116" s="705">
        <f t="array" ref="E116">IFERROR(INDEX('Table 2.5a'!$C$8:$C$192,MATCH('Table 2.5b'!$A116&amp;'Table 2.5b'!$B116,'Table 2.5a'!$A$8:$A$192&amp;'Table 2.5a'!$B$8:$B$192,0))/INDEX('Table 2.5a'!$D$8:$D$192,MATCH('Table 2.5b'!$A116&amp;'Table 2.5b'!$B116,'Table 2.5a'!$A$8:$A$192&amp;'Table 2.5a'!$B$8:$B$192,0)),"")</f>
        <v>0.59402500000000003</v>
      </c>
      <c r="F116" s="655">
        <f t="array" ref="F116">IFERROR((INDEX('Table 2.5a'!$H$8:$H$192,MATCH('Table 2.5b'!$A116&amp;'Table 2.5b'!$B116,'Table 2.5a'!$A$8:$A$192&amp;'Table 2.5a'!$B$8:$B$192,0))/INDEX('Table 2.5a'!$I$8:$I$192,MATCH('Table 2.5b'!$A116&amp;'Table 2.5b'!$B116,'Table 2.5a'!$A$8:$A$192&amp;'Table 2.5a'!$B$8:$B$192,0)))*1000, "")</f>
        <v>15696.989010989011</v>
      </c>
      <c r="G116" s="655">
        <f t="array" ref="G116">IFERROR((INDEX('Table 2.5a'!$G$8:$G$192,MATCH('Table 2.5b'!$A116&amp;'Table 2.5b'!$B116,'Table 2.5a'!$A$8:$A$192&amp;'Table 2.5a'!$B$8:$B$192,0))/INDEX('Table 2.5a'!$I$8:$I$192,MATCH('Table 2.5b'!$A116&amp;'Table 2.5b'!$B116,'Table 2.5a'!$A$8:$A$192&amp;'Table 2.5a'!$B$8:$B$192,0)))*1000, "")</f>
        <v>9324.4038972527469</v>
      </c>
      <c r="H116" s="705">
        <f t="array" ref="H116">IFERROR(INDEX('Table 2.5a'!$G$8:$G$192,MATCH('Table 2.5b'!$A116&amp;'Table 2.5b'!$B116,'Table 2.5a'!$A$8:$A$192&amp;'Table 2.5a'!$B$8:$B$192,0))/INDEX('Table 2.5a'!$H$8:$H$192,MATCH('Table 2.5b'!$A116&amp;'Table 2.5b'!$B116,'Table 2.5a'!$A$8:$A$192&amp;'Table 2.5a'!$B$8:$B$192,0)),"")</f>
        <v>0.59402500000000003</v>
      </c>
      <c r="I116" s="655">
        <f t="array" ref="I116">IFERROR((INDEX('Table 2.5a'!$L$8:$L$192,MATCH('Table 2.5b'!$A116&amp;'Table 2.5b'!$B116,'Table 2.5a'!$A$8:$A$192&amp;'Table 2.5a'!$B$8:$B$192,0))/INDEX('Table 2.5a'!$I$8:$I$192,MATCH('Table 2.5b'!$A116&amp;'Table 2.5b'!$B116,'Table 2.5a'!$A$8:$A$192&amp;'Table 2.5a'!$B$8:$B$192,0)))*1000, "")</f>
        <v>5808.3516483516478</v>
      </c>
      <c r="J116" s="655">
        <f t="array" ref="J116">IFERROR((INDEX('Table 2.5a'!$K$8:$K$192,MATCH('Table 2.5b'!$A116&amp;'Table 2.5b'!$B116,'Table 2.5a'!$A$8:$A$192&amp;'Table 2.5a'!$B$8:$B$192,0))/INDEX('Table 2.5a'!$I$8:$I$192,MATCH('Table 2.5b'!$A116&amp;'Table 2.5b'!$B116,'Table 2.5a'!$A$8:$A$192&amp;'Table 2.5a'!$B$8:$B$192,0)))*1000, "")</f>
        <v>3450.3060879120876</v>
      </c>
      <c r="K116" s="705">
        <f t="array" ref="K116">IFERROR(INDEX('Table 2.5a'!$I$8:$I$192,MATCH('Table 2.5b'!$A116&amp;'Table 2.5b'!$B116,'Table 2.5a'!$A$8:$A$192&amp;'Table 2.5a'!$B$8:$B$192,0))/INDEX('Table 2.5a'!$L$8:$L$192,MATCH('Table 2.5b'!$A116&amp;'Table 2.5b'!$B116,'Table 2.5a'!$A$8:$A$192&amp;'Table 2.5a'!$B$8:$B$192,0)),"")</f>
        <v>0.17216588466777663</v>
      </c>
      <c r="L116" s="658" t="s">
        <v>356</v>
      </c>
      <c r="M116" s="709" t="str">
        <f t="array" ref="M116">INDEX(UtilityList!Q$4:Q$251,MATCH('Table 2.5b'!$A116&amp;'Table 2.5b'!$B116,UtilityList!$A$4:$A$251&amp;UtilityList!$C$4:$C$251,0))</f>
        <v>Power produced at the Tazimina hydroelectric project and the Newhalen plant is shared by Iliamna, Newhalen and Nondalton. Newhalen's information is included in Nondalton's data.</v>
      </c>
      <c r="N116" s="709" t="str">
        <f t="array" ref="N116">INDEX(UtilityList!J$4:J$251,MATCH('Table 2.5b'!$A116&amp;'Table 2.5b'!$B116,UtilityList!$A$4:$A$251&amp;UtilityList!$C$4:$C$251,0))</f>
        <v>Bristol Bay</v>
      </c>
      <c r="O116" s="709" t="str">
        <f t="array" ref="O116">INDEX(UtilityList!K$4:K$251,MATCH('Table 2.5b'!$A116&amp;'Table 2.5b'!$B116,UtilityList!$A$4:$A$251&amp;UtilityList!$C$4:$C$251,0))</f>
        <v>Lake and Peninsula</v>
      </c>
      <c r="P116" s="709" t="str">
        <f t="array" ref="P116">INDEX(UtilityList!L$4:L$251,MATCH('Table 2.5b'!$A116&amp;'Table 2.5b'!$B116,UtilityList!$A$4:$A$251&amp;UtilityList!$C$4:$C$251,0))</f>
        <v>Bristol Bay</v>
      </c>
      <c r="Q116" s="709" t="str">
        <f t="array" ref="Q116">INDEX(UtilityList!M$4:M$251,MATCH('Table 2.5b'!$A116&amp;'Table 2.5b'!$B116,UtilityList!$A$4:$A$251&amp;UtilityList!$C$4:$C$251,0))</f>
        <v>SW</v>
      </c>
    </row>
    <row r="117" spans="1:17" s="267" customFormat="1" ht="30" x14ac:dyDescent="0.25">
      <c r="A117" s="361" t="s">
        <v>201</v>
      </c>
      <c r="B117" s="654" t="s">
        <v>202</v>
      </c>
      <c r="C117" s="655">
        <f t="array" ref="C117">IFERROR((INDEX('Table 2.5a'!$D$8:$D$192,MATCH('Table 2.5b'!A117&amp;'Table 2.5b'!B117,'Table 2.5a'!$A$8:$A$192&amp;'Table 2.5a'!$B$8:$B$192,0))/INDEX('Table 2.5a'!$E$8:$E$192,MATCH('Table 2.5b'!A117&amp;'Table 2.5b'!B117,'Table 2.5a'!$A$8:$A$192&amp;'Table 2.5a'!$B$8:$B$192,0)))*1000, "")</f>
        <v>4908.7858048162234</v>
      </c>
      <c r="D117" s="655">
        <f t="array" ref="D117">IFERROR((INDEX('Table 2.5a'!$C$8:$C$192,MATCH('Table 2.5b'!A117&amp;'Table 2.5b'!B117,'Table 2.5a'!$A$8:$A$192&amp;'Table 2.5a'!$B$8:$B$192,0))/INDEX('Table 2.5a'!$E$8:$E$192,MATCH('Table 2.5b'!A117&amp;'Table 2.5b'!B117,'Table 2.5a'!$A$8:$A$192&amp;'Table 2.5a'!$B$8:$B$192,0)))*1000, "")</f>
        <v>3069.4637637515839</v>
      </c>
      <c r="E117" s="705">
        <f t="array" ref="E117">IFERROR(INDEX('Table 2.5a'!$C$8:$C$192,MATCH('Table 2.5b'!$A117&amp;'Table 2.5b'!$B117,'Table 2.5a'!$A$8:$A$192&amp;'Table 2.5a'!$B$8:$B$192,0))/INDEX('Table 2.5a'!$D$8:$D$192,MATCH('Table 2.5b'!$A117&amp;'Table 2.5b'!$B117,'Table 2.5a'!$A$8:$A$192&amp;'Table 2.5a'!$B$8:$B$192,0)),"")</f>
        <v>0.62529999999999997</v>
      </c>
      <c r="F117" s="655">
        <f t="array" ref="F117">IFERROR((INDEX('Table 2.5a'!$H$8:$H$192,MATCH('Table 2.5b'!$A117&amp;'Table 2.5b'!$B117,'Table 2.5a'!$A$8:$A$192&amp;'Table 2.5a'!$B$8:$B$192,0))/INDEX('Table 2.5a'!$I$8:$I$192,MATCH('Table 2.5b'!$A117&amp;'Table 2.5b'!$B117,'Table 2.5a'!$A$8:$A$192&amp;'Table 2.5a'!$B$8:$B$192,0)))*1000, "")</f>
        <v>22124.122532329293</v>
      </c>
      <c r="G117" s="655">
        <f t="array" ref="G117">IFERROR((INDEX('Table 2.5a'!$G$8:$G$192,MATCH('Table 2.5b'!$A117&amp;'Table 2.5b'!$B117,'Table 2.5a'!$A$8:$A$192&amp;'Table 2.5a'!$B$8:$B$192,0))/INDEX('Table 2.5a'!$I$8:$I$192,MATCH('Table 2.5b'!$A117&amp;'Table 2.5b'!$B117,'Table 2.5a'!$A$8:$A$192&amp;'Table 2.5a'!$B$8:$B$192,0)))*1000, "")</f>
        <v>13834.213819465507</v>
      </c>
      <c r="H117" s="705">
        <f t="array" ref="H117">IFERROR(INDEX('Table 2.5a'!$G$8:$G$192,MATCH('Table 2.5b'!$A117&amp;'Table 2.5b'!$B117,'Table 2.5a'!$A$8:$A$192&amp;'Table 2.5a'!$B$8:$B$192,0))/INDEX('Table 2.5a'!$H$8:$H$192,MATCH('Table 2.5b'!$A117&amp;'Table 2.5b'!$B117,'Table 2.5a'!$A$8:$A$192&amp;'Table 2.5a'!$B$8:$B$192,0)),"")</f>
        <v>0.62529999999999997</v>
      </c>
      <c r="I117" s="655">
        <f t="array" ref="I117">IFERROR((INDEX('Table 2.5a'!$L$8:$L$192,MATCH('Table 2.5b'!$A117&amp;'Table 2.5b'!$B117,'Table 2.5a'!$A$8:$A$192&amp;'Table 2.5a'!$B$8:$B$192,0))/INDEX('Table 2.5a'!$I$8:$I$192,MATCH('Table 2.5b'!$A117&amp;'Table 2.5b'!$B117,'Table 2.5a'!$A$8:$A$192&amp;'Table 2.5a'!$B$8:$B$192,0)))*1000, "")</f>
        <v>10823.925887411056</v>
      </c>
      <c r="J117" s="655">
        <f t="array" ref="J117">IFERROR((INDEX('Table 2.5a'!$K$8:$K$192,MATCH('Table 2.5b'!$A117&amp;'Table 2.5b'!$B117,'Table 2.5a'!$A$8:$A$192&amp;'Table 2.5a'!$B$8:$B$192,0))/INDEX('Table 2.5a'!$I$8:$I$192,MATCH('Table 2.5b'!$A117&amp;'Table 2.5b'!$B117,'Table 2.5a'!$A$8:$A$192&amp;'Table 2.5a'!$B$8:$B$192,0)))*1000, "")</f>
        <v>6768.200857398132</v>
      </c>
      <c r="K117" s="705">
        <f t="array" ref="K117">IFERROR(INDEX('Table 2.5a'!$I$8:$I$192,MATCH('Table 2.5b'!$A117&amp;'Table 2.5b'!$B117,'Table 2.5a'!$A$8:$A$192&amp;'Table 2.5a'!$B$8:$B$192,0))/INDEX('Table 2.5a'!$L$8:$L$192,MATCH('Table 2.5b'!$A117&amp;'Table 2.5b'!$B117,'Table 2.5a'!$A$8:$A$192&amp;'Table 2.5a'!$B$8:$B$192,0)),"")</f>
        <v>9.2387920094969087E-2</v>
      </c>
      <c r="L117" s="658" t="s">
        <v>356</v>
      </c>
      <c r="M117" s="709">
        <f t="array" ref="M117">INDEX(UtilityList!Q$4:Q$251,MATCH('Table 2.5b'!$A117&amp;'Table 2.5b'!$B117,UtilityList!$A$4:$A$251&amp;UtilityList!$C$4:$C$251,0))</f>
        <v>0</v>
      </c>
      <c r="N117" s="709" t="str">
        <f t="array" ref="N117">INDEX(UtilityList!J$4:J$251,MATCH('Table 2.5b'!$A117&amp;'Table 2.5b'!$B117,UtilityList!$A$4:$A$251&amp;UtilityList!$C$4:$C$251,0))</f>
        <v>Southeast</v>
      </c>
      <c r="O117" s="709" t="str">
        <f t="array" ref="O117">INDEX(UtilityList!K$4:K$251,MATCH('Table 2.5b'!$A117&amp;'Table 2.5b'!$B117,UtilityList!$A$4:$A$251&amp;UtilityList!$C$4:$C$251,0))</f>
        <v>Hoonah-Angoon (CA)</v>
      </c>
      <c r="P117" s="709" t="str">
        <f t="array" ref="P117">INDEX(UtilityList!L$4:L$251,MATCH('Table 2.5b'!$A117&amp;'Table 2.5b'!$B117,UtilityList!$A$4:$A$251&amp;UtilityList!$C$4:$C$251,0))</f>
        <v>Sealaska</v>
      </c>
      <c r="Q117" s="709" t="str">
        <f t="array" ref="Q117">INDEX(UtilityList!M$4:M$251,MATCH('Table 2.5b'!$A117&amp;'Table 2.5b'!$B117,UtilityList!$A$4:$A$251&amp;UtilityList!$C$4:$C$251,0))</f>
        <v>SE</v>
      </c>
    </row>
    <row r="118" spans="1:17" s="267" customFormat="1" ht="60" x14ac:dyDescent="0.25">
      <c r="A118" s="361" t="s">
        <v>201</v>
      </c>
      <c r="B118" s="654" t="s">
        <v>203</v>
      </c>
      <c r="C118" s="655">
        <f t="array" ref="C118">IFERROR((INDEX('Table 2.5a'!$D$8:$D$192,MATCH('Table 2.5b'!A118&amp;'Table 2.5b'!B118,'Table 2.5a'!$A$8:$A$192&amp;'Table 2.5a'!$B$8:$B$192,0))/INDEX('Table 2.5a'!$E$8:$E$192,MATCH('Table 2.5b'!A118&amp;'Table 2.5b'!B118,'Table 2.5a'!$A$8:$A$192&amp;'Table 2.5a'!$B$8:$B$192,0)))*1000, "")</f>
        <v>3503.8706467661691</v>
      </c>
      <c r="D118" s="655">
        <f t="array" ref="D118">IFERROR((INDEX('Table 2.5a'!$C$8:$C$192,MATCH('Table 2.5b'!A118&amp;'Table 2.5b'!B118,'Table 2.5a'!$A$8:$A$192&amp;'Table 2.5a'!$B$8:$B$192,0))/INDEX('Table 2.5a'!$E$8:$E$192,MATCH('Table 2.5b'!A118&amp;'Table 2.5b'!B118,'Table 2.5a'!$A$8:$A$192&amp;'Table 2.5a'!$B$8:$B$192,0)))*1000, "")</f>
        <v>2175.0568912225872</v>
      </c>
      <c r="E118" s="705">
        <f t="array" ref="E118">IFERROR(INDEX('Table 2.5a'!$C$8:$C$192,MATCH('Table 2.5b'!$A118&amp;'Table 2.5b'!$B118,'Table 2.5a'!$A$8:$A$192&amp;'Table 2.5a'!$B$8:$B$192,0))/INDEX('Table 2.5a'!$D$8:$D$192,MATCH('Table 2.5b'!$A118&amp;'Table 2.5b'!$B118,'Table 2.5a'!$A$8:$A$192&amp;'Table 2.5a'!$B$8:$B$192,0)),"")</f>
        <v>0.62075833000000002</v>
      </c>
      <c r="F118" s="655">
        <f t="array" ref="F118">IFERROR((INDEX('Table 2.5a'!$H$8:$H$192,MATCH('Table 2.5b'!$A118&amp;'Table 2.5b'!$B118,'Table 2.5a'!$A$8:$A$192&amp;'Table 2.5a'!$B$8:$B$192,0))/INDEX('Table 2.5a'!$I$8:$I$192,MATCH('Table 2.5b'!$A118&amp;'Table 2.5b'!$B118,'Table 2.5a'!$A$8:$A$192&amp;'Table 2.5a'!$B$8:$B$192,0)))*1000, "")</f>
        <v>14477.282461171255</v>
      </c>
      <c r="G118" s="655">
        <f t="array" ref="G118">IFERROR((INDEX('Table 2.5a'!$G$8:$G$192,MATCH('Table 2.5b'!$A118&amp;'Table 2.5b'!$B118,'Table 2.5a'!$A$8:$A$192&amp;'Table 2.5a'!$B$8:$B$192,0))/INDEX('Table 2.5a'!$I$8:$I$192,MATCH('Table 2.5b'!$A118&amp;'Table 2.5b'!$B118,'Table 2.5a'!$A$8:$A$192&amp;'Table 2.5a'!$B$8:$B$192,0)))*1000, "")</f>
        <v>8986.8936835349596</v>
      </c>
      <c r="H118" s="705">
        <f t="array" ref="H118">IFERROR(INDEX('Table 2.5a'!$G$8:$G$192,MATCH('Table 2.5b'!$A118&amp;'Table 2.5b'!$B118,'Table 2.5a'!$A$8:$A$192&amp;'Table 2.5a'!$B$8:$B$192,0))/INDEX('Table 2.5a'!$H$8:$H$192,MATCH('Table 2.5b'!$A118&amp;'Table 2.5b'!$B118,'Table 2.5a'!$A$8:$A$192&amp;'Table 2.5a'!$B$8:$B$192,0)),"")</f>
        <v>0.62075833000000002</v>
      </c>
      <c r="I118" s="655">
        <f t="array" ref="I118">IFERROR((INDEX('Table 2.5a'!$L$8:$L$192,MATCH('Table 2.5b'!$A118&amp;'Table 2.5b'!$B118,'Table 2.5a'!$A$8:$A$192&amp;'Table 2.5a'!$B$8:$B$192,0))/INDEX('Table 2.5a'!$I$8:$I$192,MATCH('Table 2.5b'!$A118&amp;'Table 2.5b'!$B118,'Table 2.5a'!$A$8:$A$192&amp;'Table 2.5a'!$B$8:$B$192,0)))*1000, "")</f>
        <v>724.8629568545083</v>
      </c>
      <c r="J118" s="655">
        <f t="array" ref="J118">IFERROR((INDEX('Table 2.5a'!$K$8:$K$192,MATCH('Table 2.5b'!$A118&amp;'Table 2.5b'!$B118,'Table 2.5a'!$A$8:$A$192&amp;'Table 2.5a'!$B$8:$B$192,0))/INDEX('Table 2.5a'!$I$8:$I$192,MATCH('Table 2.5b'!$A118&amp;'Table 2.5b'!$B118,'Table 2.5a'!$A$8:$A$192&amp;'Table 2.5a'!$B$8:$B$192,0)))*1000, "")</f>
        <v>449.9647185758667</v>
      </c>
      <c r="K118" s="705">
        <f t="array" ref="K118">IFERROR(INDEX('Table 2.5a'!$I$8:$I$192,MATCH('Table 2.5b'!$A118&amp;'Table 2.5b'!$B118,'Table 2.5a'!$A$8:$A$192&amp;'Table 2.5a'!$B$8:$B$192,0))/INDEX('Table 2.5a'!$L$8:$L$192,MATCH('Table 2.5b'!$A118&amp;'Table 2.5b'!$B118,'Table 2.5a'!$A$8:$A$192&amp;'Table 2.5a'!$B$8:$B$192,0)),"")</f>
        <v>1.379571118297215</v>
      </c>
      <c r="L118" s="658" t="s">
        <v>356</v>
      </c>
      <c r="M118" s="709" t="str">
        <f t="array" ref="M118">INDEX(UtilityList!Q$4:Q$251,MATCH('Table 2.5b'!$A118&amp;'Table 2.5b'!$B118,UtilityList!$A$4:$A$251&amp;UtilityList!$C$4:$C$251,0))</f>
        <v>Provides power to Klukwan via intertie. Power is purchased from AP&amp;T.</v>
      </c>
      <c r="N118" s="709" t="str">
        <f t="array" ref="N118">INDEX(UtilityList!J$4:J$251,MATCH('Table 2.5b'!$A118&amp;'Table 2.5b'!$B118,UtilityList!$A$4:$A$251&amp;UtilityList!$C$4:$C$251,0))</f>
        <v>Southeast</v>
      </c>
      <c r="O118" s="709" t="str">
        <f t="array" ref="O118">INDEX(UtilityList!K$4:K$251,MATCH('Table 2.5b'!$A118&amp;'Table 2.5b'!$B118,UtilityList!$A$4:$A$251&amp;UtilityList!$C$4:$C$251,0))</f>
        <v>Haines</v>
      </c>
      <c r="P118" s="709" t="str">
        <f t="array" ref="P118">INDEX(UtilityList!L$4:L$251,MATCH('Table 2.5b'!$A118&amp;'Table 2.5b'!$B118,UtilityList!$A$4:$A$251&amp;UtilityList!$C$4:$C$251,0))</f>
        <v>Sealaska</v>
      </c>
      <c r="Q118" s="709" t="str">
        <f t="array" ref="Q118">INDEX(UtilityList!M$4:M$251,MATCH('Table 2.5b'!$A118&amp;'Table 2.5b'!$B118,UtilityList!$A$4:$A$251&amp;UtilityList!$C$4:$C$251,0))</f>
        <v>SE</v>
      </c>
    </row>
    <row r="119" spans="1:17" s="267" customFormat="1" ht="30" x14ac:dyDescent="0.25">
      <c r="A119" s="361" t="s">
        <v>201</v>
      </c>
      <c r="B119" s="654" t="s">
        <v>204</v>
      </c>
      <c r="C119" s="655">
        <f t="array" ref="C119">IFERROR((INDEX('Table 2.5a'!$D$8:$D$192,MATCH('Table 2.5b'!A119&amp;'Table 2.5b'!B119,'Table 2.5a'!$A$8:$A$192&amp;'Table 2.5a'!$B$8:$B$192,0))/INDEX('Table 2.5a'!$E$8:$E$192,MATCH('Table 2.5b'!A119&amp;'Table 2.5b'!B119,'Table 2.5a'!$A$8:$A$192&amp;'Table 2.5a'!$B$8:$B$192,0)))*1000, "")</f>
        <v>5016.0168335925009</v>
      </c>
      <c r="D119" s="655">
        <f t="array" ref="D119">IFERROR((INDEX('Table 2.5a'!$C$8:$C$192,MATCH('Table 2.5b'!A119&amp;'Table 2.5b'!B119,'Table 2.5a'!$A$8:$A$192&amp;'Table 2.5a'!$B$8:$B$192,0))/INDEX('Table 2.5a'!$E$8:$E$192,MATCH('Table 2.5b'!A119&amp;'Table 2.5b'!B119,'Table 2.5a'!$A$8:$A$192&amp;'Table 2.5a'!$B$8:$B$192,0)))*1000, "")</f>
        <v>3117.8724467604829</v>
      </c>
      <c r="E119" s="705">
        <f t="array" ref="E119">IFERROR(INDEX('Table 2.5a'!$C$8:$C$192,MATCH('Table 2.5b'!$A119&amp;'Table 2.5b'!$B119,'Table 2.5a'!$A$8:$A$192&amp;'Table 2.5a'!$B$8:$B$192,0))/INDEX('Table 2.5a'!$D$8:$D$192,MATCH('Table 2.5b'!$A119&amp;'Table 2.5b'!$B119,'Table 2.5a'!$A$8:$A$192&amp;'Table 2.5a'!$B$8:$B$192,0)),"")</f>
        <v>0.62158332999999999</v>
      </c>
      <c r="F119" s="655">
        <f t="array" ref="F119">IFERROR((INDEX('Table 2.5a'!$H$8:$H$192,MATCH('Table 2.5b'!$A119&amp;'Table 2.5b'!$B119,'Table 2.5a'!$A$8:$A$192&amp;'Table 2.5a'!$B$8:$B$192,0))/INDEX('Table 2.5a'!$I$8:$I$192,MATCH('Table 2.5b'!$A119&amp;'Table 2.5b'!$B119,'Table 2.5a'!$A$8:$A$192&amp;'Table 2.5a'!$B$8:$B$192,0)))*1000, "")</f>
        <v>32571.185840707964</v>
      </c>
      <c r="G119" s="655">
        <f t="array" ref="G119">IFERROR((INDEX('Table 2.5a'!$G$8:$G$192,MATCH('Table 2.5b'!$A119&amp;'Table 2.5b'!$B119,'Table 2.5a'!$A$8:$A$192&amp;'Table 2.5a'!$B$8:$B$192,0))/INDEX('Table 2.5a'!$I$8:$I$192,MATCH('Table 2.5b'!$A119&amp;'Table 2.5b'!$B119,'Table 2.5a'!$A$8:$A$192&amp;'Table 2.5a'!$B$8:$B$192,0)))*1000, "")</f>
        <v>20245.706156916105</v>
      </c>
      <c r="H119" s="705">
        <f t="array" ref="H119">IFERROR(INDEX('Table 2.5a'!$G$8:$G$192,MATCH('Table 2.5b'!$A119&amp;'Table 2.5b'!$B119,'Table 2.5a'!$A$8:$A$192&amp;'Table 2.5a'!$B$8:$B$192,0))/INDEX('Table 2.5a'!$H$8:$H$192,MATCH('Table 2.5b'!$A119&amp;'Table 2.5b'!$B119,'Table 2.5a'!$A$8:$A$192&amp;'Table 2.5a'!$B$8:$B$192,0)),"")</f>
        <v>0.62158332999999999</v>
      </c>
      <c r="I119" s="655">
        <f t="array" ref="I119">IFERROR((INDEX('Table 2.5a'!$L$8:$L$192,MATCH('Table 2.5b'!$A119&amp;'Table 2.5b'!$B119,'Table 2.5a'!$A$8:$A$192&amp;'Table 2.5a'!$B$8:$B$192,0))/INDEX('Table 2.5a'!$I$8:$I$192,MATCH('Table 2.5b'!$A119&amp;'Table 2.5b'!$B119,'Table 2.5a'!$A$8:$A$192&amp;'Table 2.5a'!$B$8:$B$192,0)))*1000, "")</f>
        <v>13921.203539823009</v>
      </c>
      <c r="J119" s="655">
        <f t="array" ref="J119">IFERROR((INDEX('Table 2.5a'!$K$8:$K$192,MATCH('Table 2.5b'!$A119&amp;'Table 2.5b'!$B119,'Table 2.5a'!$A$8:$A$192&amp;'Table 2.5a'!$B$8:$B$192,0))/INDEX('Table 2.5a'!$I$8:$I$192,MATCH('Table 2.5b'!$A119&amp;'Table 2.5b'!$B119,'Table 2.5a'!$A$8:$A$192&amp;'Table 2.5a'!$B$8:$B$192,0)))*1000, "")</f>
        <v>8653.1880538909736</v>
      </c>
      <c r="K119" s="705">
        <f t="array" ref="K119">IFERROR(INDEX('Table 2.5a'!$I$8:$I$192,MATCH('Table 2.5b'!$A119&amp;'Table 2.5b'!$B119,'Table 2.5a'!$A$8:$A$192&amp;'Table 2.5a'!$B$8:$B$192,0))/INDEX('Table 2.5a'!$L$8:$L$192,MATCH('Table 2.5b'!$A119&amp;'Table 2.5b'!$B119,'Table 2.5a'!$A$8:$A$192&amp;'Table 2.5a'!$B$8:$B$192,0)),"")</f>
        <v>7.1832869704074001E-2</v>
      </c>
      <c r="L119" s="658" t="s">
        <v>356</v>
      </c>
      <c r="M119" s="709">
        <f t="array" ref="M119">INDEX(UtilityList!Q$4:Q$251,MATCH('Table 2.5b'!$A119&amp;'Table 2.5b'!$B119,UtilityList!$A$4:$A$251&amp;UtilityList!$C$4:$C$251,0))</f>
        <v>0</v>
      </c>
      <c r="N119" s="709" t="str">
        <f t="array" ref="N119">INDEX(UtilityList!J$4:J$251,MATCH('Table 2.5b'!$A119&amp;'Table 2.5b'!$B119,UtilityList!$A$4:$A$251&amp;UtilityList!$C$4:$C$251,0))</f>
        <v>Southeast</v>
      </c>
      <c r="O119" s="709" t="str">
        <f t="array" ref="O119">INDEX(UtilityList!K$4:K$251,MATCH('Table 2.5b'!$A119&amp;'Table 2.5b'!$B119,UtilityList!$A$4:$A$251&amp;UtilityList!$C$4:$C$251,0))</f>
        <v>Hoonah-Angoon (CA)</v>
      </c>
      <c r="P119" s="709" t="str">
        <f t="array" ref="P119">INDEX(UtilityList!L$4:L$251,MATCH('Table 2.5b'!$A119&amp;'Table 2.5b'!$B119,UtilityList!$A$4:$A$251&amp;UtilityList!$C$4:$C$251,0))</f>
        <v>Sealaska</v>
      </c>
      <c r="Q119" s="709" t="str">
        <f t="array" ref="Q119">INDEX(UtilityList!M$4:M$251,MATCH('Table 2.5b'!$A119&amp;'Table 2.5b'!$B119,UtilityList!$A$4:$A$251&amp;UtilityList!$C$4:$C$251,0))</f>
        <v>SE</v>
      </c>
    </row>
    <row r="120" spans="1:17" s="267" customFormat="1" ht="30" x14ac:dyDescent="0.25">
      <c r="A120" s="361" t="s">
        <v>201</v>
      </c>
      <c r="B120" s="654" t="s">
        <v>205</v>
      </c>
      <c r="C120" s="655">
        <f t="array" ref="C120">IFERROR((INDEX('Table 2.5a'!$D$8:$D$192,MATCH('Table 2.5b'!A120&amp;'Table 2.5b'!B120,'Table 2.5a'!$A$8:$A$192&amp;'Table 2.5a'!$B$8:$B$192,0))/INDEX('Table 2.5a'!$E$8:$E$192,MATCH('Table 2.5b'!A120&amp;'Table 2.5b'!B120,'Table 2.5a'!$A$8:$A$192&amp;'Table 2.5a'!$B$8:$B$192,0)))*1000, "")</f>
        <v>4717.2897689444371</v>
      </c>
      <c r="D120" s="655">
        <f t="array" ref="D120">IFERROR((INDEX('Table 2.5a'!$C$8:$C$192,MATCH('Table 2.5b'!A120&amp;'Table 2.5b'!B120,'Table 2.5a'!$A$8:$A$192&amp;'Table 2.5a'!$B$8:$B$192,0))/INDEX('Table 2.5a'!$E$8:$E$192,MATCH('Table 2.5b'!A120&amp;'Table 2.5b'!B120,'Table 2.5a'!$A$8:$A$192&amp;'Table 2.5a'!$B$8:$B$192,0)))*1000, "")</f>
        <v>2926.6852098735772</v>
      </c>
      <c r="E120" s="705">
        <f t="array" ref="E120">IFERROR(INDEX('Table 2.5a'!$C$8:$C$192,MATCH('Table 2.5b'!$A120&amp;'Table 2.5b'!$B120,'Table 2.5a'!$A$8:$A$192&amp;'Table 2.5a'!$B$8:$B$192,0))/INDEX('Table 2.5a'!$D$8:$D$192,MATCH('Table 2.5b'!$A120&amp;'Table 2.5b'!$B120,'Table 2.5a'!$A$8:$A$192&amp;'Table 2.5a'!$B$8:$B$192,0)),"")</f>
        <v>0.62041667</v>
      </c>
      <c r="F120" s="655">
        <f t="array" ref="F120">IFERROR((INDEX('Table 2.5a'!$H$8:$H$192,MATCH('Table 2.5b'!$A120&amp;'Table 2.5b'!$B120,'Table 2.5a'!$A$8:$A$192&amp;'Table 2.5a'!$B$8:$B$192,0))/INDEX('Table 2.5a'!$I$8:$I$192,MATCH('Table 2.5b'!$A120&amp;'Table 2.5b'!$B120,'Table 2.5a'!$A$8:$A$192&amp;'Table 2.5a'!$B$8:$B$192,0)))*1000, "")</f>
        <v>24379.500658905425</v>
      </c>
      <c r="G120" s="655">
        <f t="array" ref="G120">IFERROR((INDEX('Table 2.5a'!$G$8:$G$192,MATCH('Table 2.5b'!$A120&amp;'Table 2.5b'!$B120,'Table 2.5a'!$A$8:$A$192&amp;'Table 2.5a'!$B$8:$B$192,0))/INDEX('Table 2.5a'!$I$8:$I$192,MATCH('Table 2.5b'!$A120&amp;'Table 2.5b'!$B120,'Table 2.5a'!$A$8:$A$192&amp;'Table 2.5a'!$B$8:$B$192,0)))*1000, "")</f>
        <v>15125.44861506091</v>
      </c>
      <c r="H120" s="705">
        <f t="array" ref="H120">IFERROR(INDEX('Table 2.5a'!$G$8:$G$192,MATCH('Table 2.5b'!$A120&amp;'Table 2.5b'!$B120,'Table 2.5a'!$A$8:$A$192&amp;'Table 2.5a'!$B$8:$B$192,0))/INDEX('Table 2.5a'!$H$8:$H$192,MATCH('Table 2.5b'!$A120&amp;'Table 2.5b'!$B120,'Table 2.5a'!$A$8:$A$192&amp;'Table 2.5a'!$B$8:$B$192,0)),"")</f>
        <v>0.62041667</v>
      </c>
      <c r="I120" s="655">
        <f t="array" ref="I120">IFERROR((INDEX('Table 2.5a'!$L$8:$L$192,MATCH('Table 2.5b'!$A120&amp;'Table 2.5b'!$B120,'Table 2.5a'!$A$8:$A$192&amp;'Table 2.5a'!$B$8:$B$192,0))/INDEX('Table 2.5a'!$I$8:$I$192,MATCH('Table 2.5b'!$A120&amp;'Table 2.5b'!$B120,'Table 2.5a'!$A$8:$A$192&amp;'Table 2.5a'!$B$8:$B$192,0)))*1000, "")</f>
        <v>5577.5879885834593</v>
      </c>
      <c r="J120" s="655">
        <f t="array" ref="J120">IFERROR((INDEX('Table 2.5a'!$K$8:$K$192,MATCH('Table 2.5b'!$A120&amp;'Table 2.5b'!$B120,'Table 2.5a'!$A$8:$A$192&amp;'Table 2.5a'!$B$8:$B$192,0))/INDEX('Table 2.5a'!$I$8:$I$192,MATCH('Table 2.5b'!$A120&amp;'Table 2.5b'!$B120,'Table 2.5a'!$A$8:$A$192&amp;'Table 2.5a'!$B$8:$B$192,0)))*1000, "")</f>
        <v>3460.4285665089474</v>
      </c>
      <c r="K120" s="705">
        <f t="array" ref="K120">IFERROR(INDEX('Table 2.5a'!$I$8:$I$192,MATCH('Table 2.5b'!$A120&amp;'Table 2.5b'!$B120,'Table 2.5a'!$A$8:$A$192&amp;'Table 2.5a'!$B$8:$B$192,0))/INDEX('Table 2.5a'!$L$8:$L$192,MATCH('Table 2.5b'!$A120&amp;'Table 2.5b'!$B120,'Table 2.5a'!$A$8:$A$192&amp;'Table 2.5a'!$B$8:$B$192,0)),"")</f>
        <v>0.17928896900360153</v>
      </c>
      <c r="L120" s="658" t="s">
        <v>356</v>
      </c>
      <c r="M120" s="709">
        <f t="array" ref="M120">INDEX(UtilityList!Q$4:Q$251,MATCH('Table 2.5b'!$A120&amp;'Table 2.5b'!$B120,UtilityList!$A$4:$A$251&amp;UtilityList!$C$4:$C$251,0))</f>
        <v>0</v>
      </c>
      <c r="N120" s="709" t="str">
        <f t="array" ref="N120">INDEX(UtilityList!J$4:J$251,MATCH('Table 2.5b'!$A120&amp;'Table 2.5b'!$B120,UtilityList!$A$4:$A$251&amp;UtilityList!$C$4:$C$251,0))</f>
        <v>Southeast</v>
      </c>
      <c r="O120" s="709" t="str">
        <f t="array" ref="O120">INDEX(UtilityList!K$4:K$251,MATCH('Table 2.5b'!$A120&amp;'Table 2.5b'!$B120,UtilityList!$A$4:$A$251&amp;UtilityList!$C$4:$C$251,0))</f>
        <v>Petersburg (CA)</v>
      </c>
      <c r="P120" s="709" t="str">
        <f t="array" ref="P120">INDEX(UtilityList!L$4:L$251,MATCH('Table 2.5b'!$A120&amp;'Table 2.5b'!$B120,UtilityList!$A$4:$A$251&amp;UtilityList!$C$4:$C$251,0))</f>
        <v>Sealaska</v>
      </c>
      <c r="Q120" s="709" t="str">
        <f t="array" ref="Q120">INDEX(UtilityList!M$4:M$251,MATCH('Table 2.5b'!$A120&amp;'Table 2.5b'!$B120,UtilityList!$A$4:$A$251&amp;UtilityList!$C$4:$C$251,0))</f>
        <v>SE</v>
      </c>
    </row>
    <row r="121" spans="1:17" s="267" customFormat="1" ht="60" x14ac:dyDescent="0.25">
      <c r="A121" s="361" t="s">
        <v>201</v>
      </c>
      <c r="B121" s="654" t="s">
        <v>206</v>
      </c>
      <c r="C121" s="655">
        <f t="array" ref="C121">IFERROR((INDEX('Table 2.5a'!$D$8:$D$192,MATCH('Table 2.5b'!A121&amp;'Table 2.5b'!B121,'Table 2.5a'!$A$8:$A$192&amp;'Table 2.5a'!$B$8:$B$192,0))/INDEX('Table 2.5a'!$E$8:$E$192,MATCH('Table 2.5b'!A121&amp;'Table 2.5b'!B121,'Table 2.5a'!$A$8:$A$192&amp;'Table 2.5a'!$B$8:$B$192,0)))*1000, "")</f>
        <v>4694.1276595744675</v>
      </c>
      <c r="D121" s="655">
        <f t="array" ref="D121">IFERROR((INDEX('Table 2.5a'!$C$8:$C$192,MATCH('Table 2.5b'!A121&amp;'Table 2.5b'!B121,'Table 2.5a'!$A$8:$A$192&amp;'Table 2.5a'!$B$8:$B$192,0))/INDEX('Table 2.5a'!$E$8:$E$192,MATCH('Table 2.5b'!A121&amp;'Table 2.5b'!B121,'Table 2.5a'!$A$8:$A$192&amp;'Table 2.5a'!$B$8:$B$192,0)))*1000, "")</f>
        <v>2924.1677234485105</v>
      </c>
      <c r="E121" s="705">
        <f t="array" ref="E121">IFERROR(INDEX('Table 2.5a'!$C$8:$C$192,MATCH('Table 2.5b'!$A121&amp;'Table 2.5b'!$B121,'Table 2.5a'!$A$8:$A$192&amp;'Table 2.5a'!$B$8:$B$192,0))/INDEX('Table 2.5a'!$D$8:$D$192,MATCH('Table 2.5b'!$A121&amp;'Table 2.5b'!$B121,'Table 2.5a'!$A$8:$A$192&amp;'Table 2.5a'!$B$8:$B$192,0)),"")</f>
        <v>0.62294167</v>
      </c>
      <c r="F121" s="655">
        <f t="array" ref="F121">IFERROR((INDEX('Table 2.5a'!$H$8:$H$192,MATCH('Table 2.5b'!$A121&amp;'Table 2.5b'!$B121,'Table 2.5a'!$A$8:$A$192&amp;'Table 2.5a'!$B$8:$B$192,0))/INDEX('Table 2.5a'!$I$8:$I$192,MATCH('Table 2.5b'!$A121&amp;'Table 2.5b'!$B121,'Table 2.5a'!$A$8:$A$192&amp;'Table 2.5a'!$B$8:$B$192,0)))*1000, "")</f>
        <v>13117</v>
      </c>
      <c r="G121" s="655">
        <f t="array" ref="G121">IFERROR((INDEX('Table 2.5a'!$G$8:$G$192,MATCH('Table 2.5b'!$A121&amp;'Table 2.5b'!$B121,'Table 2.5a'!$A$8:$A$192&amp;'Table 2.5a'!$B$8:$B$192,0))/INDEX('Table 2.5a'!$I$8:$I$192,MATCH('Table 2.5b'!$A121&amp;'Table 2.5b'!$B121,'Table 2.5a'!$A$8:$A$192&amp;'Table 2.5a'!$B$8:$B$192,0)))*1000, "")</f>
        <v>8171.1258853899999</v>
      </c>
      <c r="H121" s="705">
        <f t="array" ref="H121">IFERROR(INDEX('Table 2.5a'!$G$8:$G$192,MATCH('Table 2.5b'!$A121&amp;'Table 2.5b'!$B121,'Table 2.5a'!$A$8:$A$192&amp;'Table 2.5a'!$B$8:$B$192,0))/INDEX('Table 2.5a'!$H$8:$H$192,MATCH('Table 2.5b'!$A121&amp;'Table 2.5b'!$B121,'Table 2.5a'!$A$8:$A$192&amp;'Table 2.5a'!$B$8:$B$192,0)),"")</f>
        <v>0.62294167</v>
      </c>
      <c r="I121" s="655">
        <f t="array" ref="I121">IFERROR((INDEX('Table 2.5a'!$L$8:$L$192,MATCH('Table 2.5b'!$A121&amp;'Table 2.5b'!$B121,'Table 2.5a'!$A$8:$A$192&amp;'Table 2.5a'!$B$8:$B$192,0))/INDEX('Table 2.5a'!$I$8:$I$192,MATCH('Table 2.5b'!$A121&amp;'Table 2.5b'!$B121,'Table 2.5a'!$A$8:$A$192&amp;'Table 2.5a'!$B$8:$B$192,0)))*1000, "")</f>
        <v>8900.7142857142844</v>
      </c>
      <c r="J121" s="655">
        <f t="array" ref="J121">IFERROR((INDEX('Table 2.5a'!$K$8:$K$192,MATCH('Table 2.5b'!$A121&amp;'Table 2.5b'!$B121,'Table 2.5a'!$A$8:$A$192&amp;'Table 2.5a'!$B$8:$B$192,0))/INDEX('Table 2.5a'!$I$8:$I$192,MATCH('Table 2.5b'!$A121&amp;'Table 2.5b'!$B121,'Table 2.5a'!$A$8:$A$192&amp;'Table 2.5a'!$B$8:$B$192,0)))*1000, "")</f>
        <v>5544.6258213357141</v>
      </c>
      <c r="K121" s="705">
        <f t="array" ref="K121">IFERROR(INDEX('Table 2.5a'!$I$8:$I$192,MATCH('Table 2.5b'!$A121&amp;'Table 2.5b'!$B121,'Table 2.5a'!$A$8:$A$192&amp;'Table 2.5a'!$B$8:$B$192,0))/INDEX('Table 2.5a'!$L$8:$L$192,MATCH('Table 2.5b'!$A121&amp;'Table 2.5b'!$B121,'Table 2.5a'!$A$8:$A$192&amp;'Table 2.5a'!$B$8:$B$192,0)),"")</f>
        <v>0.1123505336650349</v>
      </c>
      <c r="L121" s="658" t="s">
        <v>356</v>
      </c>
      <c r="M121" s="709" t="str">
        <f t="array" ref="M121">INDEX(UtilityList!Q$4:Q$251,MATCH('Table 2.5b'!$A121&amp;'Table 2.5b'!$B121,UtilityList!$A$4:$A$251&amp;UtilityList!$C$4:$C$251,0))</f>
        <v>Receives power from Chilkat Valley via intertie. Chilkat Valley purchases power from AP&amp;T.</v>
      </c>
      <c r="N121" s="709" t="str">
        <f t="array" ref="N121">INDEX(UtilityList!J$4:J$251,MATCH('Table 2.5b'!$A121&amp;'Table 2.5b'!$B121,UtilityList!$A$4:$A$251&amp;UtilityList!$C$4:$C$251,0))</f>
        <v>Southeast</v>
      </c>
      <c r="O121" s="709" t="str">
        <f t="array" ref="O121">INDEX(UtilityList!K$4:K$251,MATCH('Table 2.5b'!$A121&amp;'Table 2.5b'!$B121,UtilityList!$A$4:$A$251&amp;UtilityList!$C$4:$C$251,0))</f>
        <v>Hoonah-Angoon (CA)</v>
      </c>
      <c r="P121" s="709" t="str">
        <f t="array" ref="P121">INDEX(UtilityList!L$4:L$251,MATCH('Table 2.5b'!$A121&amp;'Table 2.5b'!$B121,UtilityList!$A$4:$A$251&amp;UtilityList!$C$4:$C$251,0))</f>
        <v>Sealaska</v>
      </c>
      <c r="Q121" s="709" t="str">
        <f t="array" ref="Q121">INDEX(UtilityList!M$4:M$251,MATCH('Table 2.5b'!$A121&amp;'Table 2.5b'!$B121,UtilityList!$A$4:$A$251&amp;UtilityList!$C$4:$C$251,0))</f>
        <v>SE</v>
      </c>
    </row>
    <row r="122" spans="1:17" s="267" customFormat="1" ht="30" x14ac:dyDescent="0.25">
      <c r="A122" s="361" t="s">
        <v>209</v>
      </c>
      <c r="B122" s="361" t="s">
        <v>211</v>
      </c>
      <c r="C122" s="655">
        <f t="array" ref="C122">IFERROR((INDEX('Table 2.5a'!$D$8:$D$192,MATCH('Table 2.5b'!A122&amp;'Table 2.5b'!B122,'Table 2.5a'!$A$8:$A$192&amp;'Table 2.5a'!$B$8:$B$192,0))/INDEX('Table 2.5a'!$E$8:$E$192,MATCH('Table 2.5b'!A122&amp;'Table 2.5b'!B122,'Table 2.5a'!$A$8:$A$192&amp;'Table 2.5a'!$B$8:$B$192,0)))*1000, "")</f>
        <v>11407.055412371134</v>
      </c>
      <c r="D122" s="655">
        <f t="array" ref="D122">IFERROR((INDEX('Table 2.5a'!$C$8:$C$192,MATCH('Table 2.5b'!A122&amp;'Table 2.5b'!B122,'Table 2.5a'!$A$8:$A$192&amp;'Table 2.5a'!$B$8:$B$192,0))/INDEX('Table 2.5a'!$E$8:$E$192,MATCH('Table 2.5b'!A122&amp;'Table 2.5b'!B122,'Table 2.5a'!$A$8:$A$192&amp;'Table 2.5a'!$B$8:$B$192,0)))*1000, "")</f>
        <v>1165.1900773195875</v>
      </c>
      <c r="E122" s="705">
        <f t="array" ref="E122">IFERROR(INDEX('Table 2.5a'!$C$8:$C$192,MATCH('Table 2.5b'!$A122&amp;'Table 2.5b'!$B122,'Table 2.5a'!$A$8:$A$192&amp;'Table 2.5a'!$B$8:$B$192,0))/INDEX('Table 2.5a'!$D$8:$D$192,MATCH('Table 2.5b'!$A122&amp;'Table 2.5b'!$B122,'Table 2.5a'!$A$8:$A$192&amp;'Table 2.5a'!$B$8:$B$192,0)),"")</f>
        <v>0.10214643790157453</v>
      </c>
      <c r="F122" s="655">
        <f t="array" ref="F122">IFERROR((INDEX('Table 2.5a'!$H$8:$H$192,MATCH('Table 2.5b'!$A122&amp;'Table 2.5b'!$B122,'Table 2.5a'!$A$8:$A$192&amp;'Table 2.5a'!$B$8:$B$192,0))/INDEX('Table 2.5a'!$I$8:$I$192,MATCH('Table 2.5b'!$A122&amp;'Table 2.5b'!$B122,'Table 2.5a'!$A$8:$A$192&amp;'Table 2.5a'!$B$8:$B$192,0)))*1000, "")</f>
        <v>57773.50776778414</v>
      </c>
      <c r="G122" s="655">
        <f t="array" ref="G122">IFERROR((INDEX('Table 2.5a'!$G$8:$G$192,MATCH('Table 2.5b'!$A122&amp;'Table 2.5b'!$B122,'Table 2.5a'!$A$8:$A$192&amp;'Table 2.5a'!$B$8:$B$192,0))/INDEX('Table 2.5a'!$I$8:$I$192,MATCH('Table 2.5b'!$A122&amp;'Table 2.5b'!$B122,'Table 2.5a'!$A$8:$A$192&amp;'Table 2.5a'!$B$8:$B$192,0)))*1000, "")</f>
        <v>5590.4333605887159</v>
      </c>
      <c r="H122" s="705">
        <f t="array" ref="H122">IFERROR(INDEX('Table 2.5a'!$G$8:$G$192,MATCH('Table 2.5b'!$A122&amp;'Table 2.5b'!$B122,'Table 2.5a'!$A$8:$A$192&amp;'Table 2.5a'!$B$8:$B$192,0))/INDEX('Table 2.5a'!$H$8:$H$192,MATCH('Table 2.5b'!$A122&amp;'Table 2.5b'!$B122,'Table 2.5a'!$A$8:$A$192&amp;'Table 2.5a'!$B$8:$B$192,0)),"")</f>
        <v>9.6764651768402293E-2</v>
      </c>
      <c r="I122" s="655">
        <f t="array" ref="I122">IFERROR((INDEX('Table 2.5a'!$L$8:$L$192,MATCH('Table 2.5b'!$A122&amp;'Table 2.5b'!$B122,'Table 2.5a'!$A$8:$A$192&amp;'Table 2.5a'!$B$8:$B$192,0))/INDEX('Table 2.5a'!$I$8:$I$192,MATCH('Table 2.5b'!$A122&amp;'Table 2.5b'!$B122,'Table 2.5a'!$A$8:$A$192&amp;'Table 2.5a'!$B$8:$B$192,0)))*1000, "")</f>
        <v>19004.088307440721</v>
      </c>
      <c r="J122" s="655">
        <f t="array" ref="J122">IFERROR((INDEX('Table 2.5a'!$K$8:$K$192,MATCH('Table 2.5b'!$A122&amp;'Table 2.5b'!$B122,'Table 2.5a'!$A$8:$A$192&amp;'Table 2.5a'!$B$8:$B$192,0))/INDEX('Table 2.5a'!$I$8:$I$192,MATCH('Table 2.5b'!$A122&amp;'Table 2.5b'!$B122,'Table 2.5a'!$A$8:$A$192&amp;'Table 2.5a'!$B$8:$B$192,0)))*1000, "")</f>
        <v>1596.5658217497955</v>
      </c>
      <c r="K122" s="705">
        <f t="array" ref="K122">IFERROR(INDEX('Table 2.5a'!$I$8:$I$192,MATCH('Table 2.5b'!$A122&amp;'Table 2.5b'!$B122,'Table 2.5a'!$A$8:$A$192&amp;'Table 2.5a'!$B$8:$B$192,0))/INDEX('Table 2.5a'!$L$8:$L$192,MATCH('Table 2.5b'!$A122&amp;'Table 2.5b'!$B122,'Table 2.5a'!$A$8:$A$192&amp;'Table 2.5a'!$B$8:$B$192,0)),"")</f>
        <v>5.2620256432320801E-2</v>
      </c>
      <c r="L122" s="707" t="s">
        <v>558</v>
      </c>
      <c r="M122" s="709">
        <f t="array" ref="M122">INDEX(UtilityList!Q$4:Q$251,MATCH('Table 2.5b'!$A122&amp;'Table 2.5b'!$B122,UtilityList!$A$4:$A$251&amp;UtilityList!$C$4:$C$251,0))</f>
        <v>0</v>
      </c>
      <c r="N122" s="709" t="str">
        <f t="array" ref="N122">INDEX(UtilityList!J$4:J$251,MATCH('Table 2.5b'!$A122&amp;'Table 2.5b'!$B122,UtilityList!$A$4:$A$251&amp;UtilityList!$C$4:$C$251,0))</f>
        <v>Southeast</v>
      </c>
      <c r="O122" s="709" t="str">
        <f t="array" ref="O122">INDEX(UtilityList!K$4:K$251,MATCH('Table 2.5b'!$A122&amp;'Table 2.5b'!$B122,UtilityList!$A$4:$A$251&amp;UtilityList!$C$4:$C$251,0))</f>
        <v>Ketchikan Gateway</v>
      </c>
      <c r="P122" s="709" t="str">
        <f t="array" ref="P122">INDEX(UtilityList!L$4:L$251,MATCH('Table 2.5b'!$A122&amp;'Table 2.5b'!$B122,UtilityList!$A$4:$A$251&amp;UtilityList!$C$4:$C$251,0))</f>
        <v>Sealaska</v>
      </c>
      <c r="Q122" s="709" t="str">
        <f t="array" ref="Q122">INDEX(UtilityList!M$4:M$251,MATCH('Table 2.5b'!$A122&amp;'Table 2.5b'!$B122,UtilityList!$A$4:$A$251&amp;UtilityList!$C$4:$C$251,0))</f>
        <v>SE</v>
      </c>
    </row>
    <row r="123" spans="1:17" s="267" customFormat="1" x14ac:dyDescent="0.25">
      <c r="A123" s="361" t="s">
        <v>215</v>
      </c>
      <c r="B123" s="654" t="s">
        <v>216</v>
      </c>
      <c r="C123" s="655">
        <f t="array" ref="C123">IFERROR((INDEX('Table 2.5a'!$D$8:$D$192,MATCH('Table 2.5b'!A123&amp;'Table 2.5b'!B123,'Table 2.5a'!$A$8:$A$192&amp;'Table 2.5a'!$B$8:$B$192,0))/INDEX('Table 2.5a'!$E$8:$E$192,MATCH('Table 2.5b'!A123&amp;'Table 2.5b'!B123,'Table 2.5a'!$A$8:$A$192&amp;'Table 2.5a'!$B$8:$B$192,0)))*1000, "")</f>
        <v>9054.7376725838276</v>
      </c>
      <c r="D123" s="655">
        <f t="array" ref="D123">IFERROR((INDEX('Table 2.5a'!$C$8:$C$192,MATCH('Table 2.5b'!A123&amp;'Table 2.5b'!B123,'Table 2.5a'!$A$8:$A$192&amp;'Table 2.5a'!$B$8:$B$192,0))/INDEX('Table 2.5a'!$E$8:$E$192,MATCH('Table 2.5b'!A123&amp;'Table 2.5b'!B123,'Table 2.5a'!$A$8:$A$192&amp;'Table 2.5a'!$B$8:$B$192,0)))*1000, "")</f>
        <v>2536.4583905325449</v>
      </c>
      <c r="E123" s="705">
        <f t="array" ref="E123">IFERROR(INDEX('Table 2.5a'!$C$8:$C$192,MATCH('Table 2.5b'!$A123&amp;'Table 2.5b'!$B123,'Table 2.5a'!$A$8:$A$192&amp;'Table 2.5a'!$B$8:$B$192,0))/INDEX('Table 2.5a'!$D$8:$D$192,MATCH('Table 2.5b'!$A123&amp;'Table 2.5b'!$B123,'Table 2.5a'!$A$8:$A$192&amp;'Table 2.5a'!$B$8:$B$192,0)),"")</f>
        <v>0.28012500000000001</v>
      </c>
      <c r="F123" s="655">
        <f t="array" ref="F123">IFERROR((INDEX('Table 2.5a'!$H$8:$H$192,MATCH('Table 2.5b'!$A123&amp;'Table 2.5b'!$B123,'Table 2.5a'!$A$8:$A$192&amp;'Table 2.5a'!$B$8:$B$192,0))/INDEX('Table 2.5a'!$I$8:$I$192,MATCH('Table 2.5b'!$A123&amp;'Table 2.5b'!$B123,'Table 2.5a'!$A$8:$A$192&amp;'Table 2.5a'!$B$8:$B$192,0)))*1000, "")</f>
        <v>6945.7238095238099</v>
      </c>
      <c r="G123" s="655">
        <f t="array" ref="G123">IFERROR((INDEX('Table 2.5a'!$G$8:$G$192,MATCH('Table 2.5b'!$A123&amp;'Table 2.5b'!$B123,'Table 2.5a'!$A$8:$A$192&amp;'Table 2.5a'!$B$8:$B$192,0))/INDEX('Table 2.5a'!$I$8:$I$192,MATCH('Table 2.5b'!$A123&amp;'Table 2.5b'!$B123,'Table 2.5a'!$A$8:$A$192&amp;'Table 2.5a'!$B$8:$B$192,0)))*1000, "")</f>
        <v>1945.6708821428574</v>
      </c>
      <c r="H123" s="705">
        <f t="array" ref="H123">IFERROR(INDEX('Table 2.5a'!$G$8:$G$192,MATCH('Table 2.5b'!$A123&amp;'Table 2.5b'!$B123,'Table 2.5a'!$A$8:$A$192&amp;'Table 2.5a'!$B$8:$B$192,0))/INDEX('Table 2.5a'!$H$8:$H$192,MATCH('Table 2.5b'!$A123&amp;'Table 2.5b'!$B123,'Table 2.5a'!$A$8:$A$192&amp;'Table 2.5a'!$B$8:$B$192,0)),"")</f>
        <v>0.28012500000000001</v>
      </c>
      <c r="I123" s="655">
        <f t="array" ref="I123">IFERROR((INDEX('Table 2.5a'!$L$8:$L$192,MATCH('Table 2.5b'!$A123&amp;'Table 2.5b'!$B123,'Table 2.5a'!$A$8:$A$192&amp;'Table 2.5a'!$B$8:$B$192,0))/INDEX('Table 2.5a'!$I$8:$I$192,MATCH('Table 2.5b'!$A123&amp;'Table 2.5b'!$B123,'Table 2.5a'!$A$8:$A$192&amp;'Table 2.5a'!$B$8:$B$192,0)))*1000, "")</f>
        <v>6433.5857142857149</v>
      </c>
      <c r="J123" s="655">
        <f t="array" ref="J123">IFERROR((INDEX('Table 2.5a'!$K$8:$K$192,MATCH('Table 2.5b'!$A123&amp;'Table 2.5b'!$B123,'Table 2.5a'!$A$8:$A$192&amp;'Table 2.5a'!$B$8:$B$192,0))/INDEX('Table 2.5a'!$I$8:$I$192,MATCH('Table 2.5b'!$A123&amp;'Table 2.5b'!$B123,'Table 2.5a'!$A$8:$A$192&amp;'Table 2.5a'!$B$8:$B$192,0)))*1000, "")</f>
        <v>1802.2081982142859</v>
      </c>
      <c r="K123" s="705">
        <f t="array" ref="K123">IFERROR(INDEX('Table 2.5a'!$I$8:$I$192,MATCH('Table 2.5b'!$A123&amp;'Table 2.5b'!$B123,'Table 2.5a'!$A$8:$A$192&amp;'Table 2.5a'!$B$8:$B$192,0))/INDEX('Table 2.5a'!$L$8:$L$192,MATCH('Table 2.5b'!$A123&amp;'Table 2.5b'!$B123,'Table 2.5a'!$A$8:$A$192&amp;'Table 2.5a'!$B$8:$B$192,0)),"")</f>
        <v>0.15543431678846054</v>
      </c>
      <c r="L123" s="658" t="s">
        <v>356</v>
      </c>
      <c r="M123" s="709">
        <f t="array" ref="M123">INDEX(UtilityList!Q$4:Q$251,MATCH('Table 2.5b'!$A123&amp;'Table 2.5b'!$B123,UtilityList!$A$4:$A$251&amp;UtilityList!$C$4:$C$251,0))</f>
        <v>0</v>
      </c>
      <c r="N123" s="709" t="str">
        <f t="array" ref="N123">INDEX(UtilityList!J$4:J$251,MATCH('Table 2.5b'!$A123&amp;'Table 2.5b'!$B123,UtilityList!$A$4:$A$251&amp;UtilityList!$C$4:$C$251,0))</f>
        <v>Aleutians</v>
      </c>
      <c r="O123" s="709" t="str">
        <f t="array" ref="O123">INDEX(UtilityList!K$4:K$251,MATCH('Table 2.5b'!$A123&amp;'Table 2.5b'!$B123,UtilityList!$A$4:$A$251&amp;UtilityList!$C$4:$C$251,0))</f>
        <v>Aleutians East</v>
      </c>
      <c r="P123" s="709" t="str">
        <f t="array" ref="P123">INDEX(UtilityList!L$4:L$251,MATCH('Table 2.5b'!$A123&amp;'Table 2.5b'!$B123,UtilityList!$A$4:$A$251&amp;UtilityList!$C$4:$C$251,0))</f>
        <v>Aleut</v>
      </c>
      <c r="Q123" s="709" t="str">
        <f t="array" ref="Q123">INDEX(UtilityList!M$4:M$251,MATCH('Table 2.5b'!$A123&amp;'Table 2.5b'!$B123,UtilityList!$A$4:$A$251&amp;UtilityList!$C$4:$C$251,0))</f>
        <v>SW</v>
      </c>
    </row>
    <row r="124" spans="1:17" s="267" customFormat="1" x14ac:dyDescent="0.25">
      <c r="A124" s="361" t="s">
        <v>217</v>
      </c>
      <c r="B124" s="654" t="s">
        <v>218</v>
      </c>
      <c r="C124" s="655">
        <f t="array" ref="C124">IFERROR((INDEX('Table 2.5a'!$D$8:$D$192,MATCH('Table 2.5b'!A124&amp;'Table 2.5b'!B124,'Table 2.5a'!$A$8:$A$192&amp;'Table 2.5a'!$B$8:$B$192,0))/INDEX('Table 2.5a'!$E$8:$E$192,MATCH('Table 2.5b'!A124&amp;'Table 2.5b'!B124,'Table 2.5a'!$A$8:$A$192&amp;'Table 2.5a'!$B$8:$B$192,0)))*1000, "")</f>
        <v>4680.2360060514375</v>
      </c>
      <c r="D124" s="655">
        <f t="array" ref="D124">IFERROR((INDEX('Table 2.5a'!$C$8:$C$192,MATCH('Table 2.5b'!A124&amp;'Table 2.5b'!B124,'Table 2.5a'!$A$8:$A$192&amp;'Table 2.5a'!$B$8:$B$192,0))/INDEX('Table 2.5a'!$E$8:$E$192,MATCH('Table 2.5b'!A124&amp;'Table 2.5b'!B124,'Table 2.5a'!$A$8:$A$192&amp;'Table 2.5a'!$B$8:$B$192,0)))*1000, "")</f>
        <v>2685.6754125383968</v>
      </c>
      <c r="E124" s="705">
        <f t="array" ref="E124">IFERROR(INDEX('Table 2.5a'!$C$8:$C$192,MATCH('Table 2.5b'!$A124&amp;'Table 2.5b'!$B124,'Table 2.5a'!$A$8:$A$192&amp;'Table 2.5a'!$B$8:$B$192,0))/INDEX('Table 2.5a'!$D$8:$D$192,MATCH('Table 2.5b'!$A124&amp;'Table 2.5b'!$B124,'Table 2.5a'!$A$8:$A$192&amp;'Table 2.5a'!$B$8:$B$192,0)),"")</f>
        <v>0.57383333000000003</v>
      </c>
      <c r="F124" s="655">
        <f t="array" ref="F124">IFERROR((INDEX('Table 2.5a'!$H$8:$H$192,MATCH('Table 2.5b'!$A124&amp;'Table 2.5b'!$B124,'Table 2.5a'!$A$8:$A$192&amp;'Table 2.5a'!$B$8:$B$192,0))/INDEX('Table 2.5a'!$I$8:$I$192,MATCH('Table 2.5b'!$A124&amp;'Table 2.5b'!$B124,'Table 2.5a'!$A$8:$A$192&amp;'Table 2.5a'!$B$8:$B$192,0)))*1000, "")</f>
        <v>11080.193548387097</v>
      </c>
      <c r="G124" s="655">
        <f t="array" ref="G124">IFERROR((INDEX('Table 2.5a'!$G$8:$G$192,MATCH('Table 2.5b'!$A124&amp;'Table 2.5b'!$B124,'Table 2.5a'!$A$8:$A$192&amp;'Table 2.5a'!$B$8:$B$192,0))/INDEX('Table 2.5a'!$I$8:$I$192,MATCH('Table 2.5b'!$A124&amp;'Table 2.5b'!$B124,'Table 2.5a'!$A$8:$A$192&amp;'Table 2.5a'!$B$8:$B$192,0)))*1000, "")</f>
        <v>6358.1843609154839</v>
      </c>
      <c r="H124" s="705">
        <f t="array" ref="H124">IFERROR(INDEX('Table 2.5a'!$G$8:$G$192,MATCH('Table 2.5b'!$A124&amp;'Table 2.5b'!$B124,'Table 2.5a'!$A$8:$A$192&amp;'Table 2.5a'!$B$8:$B$192,0))/INDEX('Table 2.5a'!$H$8:$H$192,MATCH('Table 2.5b'!$A124&amp;'Table 2.5b'!$B124,'Table 2.5a'!$A$8:$A$192&amp;'Table 2.5a'!$B$8:$B$192,0)),"")</f>
        <v>0.57383333000000003</v>
      </c>
      <c r="I124" s="655">
        <f t="array" ref="I124">IFERROR((INDEX('Table 2.5a'!$L$8:$L$192,MATCH('Table 2.5b'!$A124&amp;'Table 2.5b'!$B124,'Table 2.5a'!$A$8:$A$192&amp;'Table 2.5a'!$B$8:$B$192,0))/INDEX('Table 2.5a'!$I$8:$I$192,MATCH('Table 2.5b'!$A124&amp;'Table 2.5b'!$B124,'Table 2.5a'!$A$8:$A$192&amp;'Table 2.5a'!$B$8:$B$192,0)))*1000, "")</f>
        <v>8005.3870967741932</v>
      </c>
      <c r="J124" s="655">
        <f t="array" ref="J124">IFERROR((INDEX('Table 2.5a'!$K$8:$K$192,MATCH('Table 2.5b'!$A124&amp;'Table 2.5b'!$B124,'Table 2.5a'!$A$8:$A$192&amp;'Table 2.5a'!$B$8:$B$192,0))/INDEX('Table 2.5a'!$I$8:$I$192,MATCH('Table 2.5b'!$A124&amp;'Table 2.5b'!$B124,'Table 2.5a'!$A$8:$A$192&amp;'Table 2.5a'!$B$8:$B$192,0)))*1000, "")</f>
        <v>4593.7579356809683</v>
      </c>
      <c r="K124" s="705">
        <f t="array" ref="K124">IFERROR(INDEX('Table 2.5a'!$I$8:$I$192,MATCH('Table 2.5b'!$A124&amp;'Table 2.5b'!$B124,'Table 2.5a'!$A$8:$A$192&amp;'Table 2.5a'!$B$8:$B$192,0))/INDEX('Table 2.5a'!$L$8:$L$192,MATCH('Table 2.5b'!$A124&amp;'Table 2.5b'!$B124,'Table 2.5a'!$A$8:$A$192&amp;'Table 2.5a'!$B$8:$B$192,0)),"")</f>
        <v>0.12491588325603324</v>
      </c>
      <c r="L124" s="658" t="s">
        <v>356</v>
      </c>
      <c r="M124" s="709">
        <f t="array" ref="M124">INDEX(UtilityList!Q$4:Q$251,MATCH('Table 2.5b'!$A124&amp;'Table 2.5b'!$B124,UtilityList!$A$4:$A$251&amp;UtilityList!$C$4:$C$251,0))</f>
        <v>0</v>
      </c>
      <c r="N124" s="709" t="str">
        <f t="array" ref="N124">INDEX(UtilityList!J$4:J$251,MATCH('Table 2.5b'!$A124&amp;'Table 2.5b'!$B124,UtilityList!$A$4:$A$251&amp;UtilityList!$C$4:$C$251,0))</f>
        <v>Lower Yukon-Kuskokwim</v>
      </c>
      <c r="O124" s="709" t="str">
        <f t="array" ref="O124">INDEX(UtilityList!K$4:K$251,MATCH('Table 2.5b'!$A124&amp;'Table 2.5b'!$B124,UtilityList!$A$4:$A$251&amp;UtilityList!$C$4:$C$251,0))</f>
        <v>Bethel (CA)</v>
      </c>
      <c r="P124" s="709" t="str">
        <f t="array" ref="P124">INDEX(UtilityList!L$4:L$251,MATCH('Table 2.5b'!$A124&amp;'Table 2.5b'!$B124,UtilityList!$A$4:$A$251&amp;UtilityList!$C$4:$C$251,0))</f>
        <v>Calista</v>
      </c>
      <c r="Q124" s="709" t="str">
        <f t="array" ref="Q124">INDEX(UtilityList!M$4:M$251,MATCH('Table 2.5b'!$A124&amp;'Table 2.5b'!$B124,UtilityList!$A$4:$A$251&amp;UtilityList!$C$4:$C$251,0))</f>
        <v>SW</v>
      </c>
    </row>
    <row r="125" spans="1:17" s="267" customFormat="1" ht="90" x14ac:dyDescent="0.25">
      <c r="A125" s="361" t="s">
        <v>219</v>
      </c>
      <c r="B125" s="654" t="s">
        <v>220</v>
      </c>
      <c r="C125" s="655">
        <f t="array" ref="C125">IFERROR((INDEX('Table 2.5a'!$D$8:$D$192,MATCH('Table 2.5b'!A125&amp;'Table 2.5b'!B125,'Table 2.5a'!$A$8:$A$192&amp;'Table 2.5a'!$B$8:$B$192,0))/INDEX('Table 2.5a'!$E$8:$E$192,MATCH('Table 2.5b'!A125&amp;'Table 2.5b'!B125,'Table 2.5a'!$A$8:$A$192&amp;'Table 2.5a'!$B$8:$B$192,0)))*1000, "")</f>
        <v>5010.7837181594487</v>
      </c>
      <c r="D125" s="655">
        <f t="array" ref="D125">IFERROR((INDEX('Table 2.5a'!$C$8:$C$192,MATCH('Table 2.5b'!A125&amp;'Table 2.5b'!B125,'Table 2.5a'!$A$8:$A$192&amp;'Table 2.5a'!$B$8:$B$192,0))/INDEX('Table 2.5a'!$E$8:$E$192,MATCH('Table 2.5b'!A125&amp;'Table 2.5b'!B125,'Table 2.5a'!$A$8:$A$192&amp;'Table 2.5a'!$B$8:$B$192,0)))*1000, "")</f>
        <v>4359.3818347987208</v>
      </c>
      <c r="E125" s="705">
        <f t="array" ref="E125">IFERROR(INDEX('Table 2.5a'!$C$8:$C$192,MATCH('Table 2.5b'!$A125&amp;'Table 2.5b'!$B125,'Table 2.5a'!$A$8:$A$192&amp;'Table 2.5a'!$B$8:$B$192,0))/INDEX('Table 2.5a'!$D$8:$D$192,MATCH('Table 2.5b'!$A125&amp;'Table 2.5b'!$B125,'Table 2.5a'!$A$8:$A$192&amp;'Table 2.5a'!$B$8:$B$192,0)),"")</f>
        <v>0.87</v>
      </c>
      <c r="F125" s="655">
        <f t="array" ref="F125">IFERROR((INDEX('Table 2.5a'!$H$8:$H$192,MATCH('Table 2.5b'!$A125&amp;'Table 2.5b'!$B125,'Table 2.5a'!$A$8:$A$192&amp;'Table 2.5a'!$B$8:$B$192,0))/INDEX('Table 2.5a'!$I$8:$I$192,MATCH('Table 2.5b'!$A125&amp;'Table 2.5b'!$B125,'Table 2.5a'!$A$8:$A$192&amp;'Table 2.5a'!$B$8:$B$192,0)))*1000, "")</f>
        <v>14995.696965398538</v>
      </c>
      <c r="G125" s="655">
        <f t="array" ref="G125">IFERROR((INDEX('Table 2.5a'!$G$8:$G$192,MATCH('Table 2.5b'!$A125&amp;'Table 2.5b'!$B125,'Table 2.5a'!$A$8:$A$192&amp;'Table 2.5a'!$B$8:$B$192,0))/INDEX('Table 2.5a'!$I$8:$I$192,MATCH('Table 2.5b'!$A125&amp;'Table 2.5b'!$B125,'Table 2.5a'!$A$8:$A$192&amp;'Table 2.5a'!$B$8:$B$192,0)))*1000, "")</f>
        <v>13046.256359896726</v>
      </c>
      <c r="H125" s="705">
        <f t="array" ref="H125">IFERROR(INDEX('Table 2.5a'!$G$8:$G$192,MATCH('Table 2.5b'!$A125&amp;'Table 2.5b'!$B125,'Table 2.5a'!$A$8:$A$192&amp;'Table 2.5a'!$B$8:$B$192,0))/INDEX('Table 2.5a'!$H$8:$H$192,MATCH('Table 2.5b'!$A125&amp;'Table 2.5b'!$B125,'Table 2.5a'!$A$8:$A$192&amp;'Table 2.5a'!$B$8:$B$192,0)),"")</f>
        <v>0.86999999999999988</v>
      </c>
      <c r="I125" s="655">
        <f t="array" ref="I125">IFERROR((INDEX('Table 2.5a'!$L$8:$L$192,MATCH('Table 2.5b'!$A125&amp;'Table 2.5b'!$B125,'Table 2.5a'!$A$8:$A$192&amp;'Table 2.5a'!$B$8:$B$192,0))/INDEX('Table 2.5a'!$I$8:$I$192,MATCH('Table 2.5b'!$A125&amp;'Table 2.5b'!$B125,'Table 2.5a'!$A$8:$A$192&amp;'Table 2.5a'!$B$8:$B$192,0)))*1000, "")</f>
        <v>12627.972762150974</v>
      </c>
      <c r="J125" s="655">
        <f t="array" ref="J125">IFERROR((INDEX('Table 2.5a'!$K$8:$K$192,MATCH('Table 2.5b'!$A125&amp;'Table 2.5b'!$B125,'Table 2.5a'!$A$8:$A$192&amp;'Table 2.5a'!$B$8:$B$192,0))/INDEX('Table 2.5a'!$I$8:$I$192,MATCH('Table 2.5b'!$A125&amp;'Table 2.5b'!$B125,'Table 2.5a'!$A$8:$A$192&amp;'Table 2.5a'!$B$8:$B$192,0)))*1000, "")</f>
        <v>10986.336303071346</v>
      </c>
      <c r="K125" s="705">
        <f t="array" ref="K125">IFERROR(INDEX('Table 2.5a'!$I$8:$I$192,MATCH('Table 2.5b'!$A125&amp;'Table 2.5b'!$B125,'Table 2.5a'!$A$8:$A$192&amp;'Table 2.5a'!$B$8:$B$192,0))/INDEX('Table 2.5a'!$L$8:$L$192,MATCH('Table 2.5b'!$A125&amp;'Table 2.5b'!$B125,'Table 2.5a'!$A$8:$A$192&amp;'Table 2.5a'!$B$8:$B$192,0)),"")</f>
        <v>7.9189274385928127E-2</v>
      </c>
      <c r="L125" s="658" t="s">
        <v>356</v>
      </c>
      <c r="M125" s="709" t="str">
        <f t="array" ref="M125">INDEX(UtilityList!Q$4:Q$251,MATCH('Table 2.5b'!$A125&amp;'Table 2.5b'!$B125,UtilityList!$A$4:$A$251&amp;UtilityList!$C$4:$C$251,0))</f>
        <v>Receives power from Shungnak via intertie. For fuel use and cost, please refer to Shungnak. On July 1, 2012, AVEC took over operations in Kobuk.</v>
      </c>
      <c r="N125" s="709" t="str">
        <f t="array" ref="N125">INDEX(UtilityList!J$4:J$251,MATCH('Table 2.5b'!$A125&amp;'Table 2.5b'!$B125,UtilityList!$A$4:$A$251&amp;UtilityList!$C$4:$C$251,0))</f>
        <v>Northwest Arctic</v>
      </c>
      <c r="O125" s="709" t="str">
        <f t="array" ref="O125">INDEX(UtilityList!K$4:K$251,MATCH('Table 2.5b'!$A125&amp;'Table 2.5b'!$B125,UtilityList!$A$4:$A$251&amp;UtilityList!$C$4:$C$251,0))</f>
        <v>Northwest Arctic</v>
      </c>
      <c r="P125" s="709" t="str">
        <f t="array" ref="P125">INDEX(UtilityList!L$4:L$251,MATCH('Table 2.5b'!$A125&amp;'Table 2.5b'!$B125,UtilityList!$A$4:$A$251&amp;UtilityList!$C$4:$C$251,0))</f>
        <v>NANA</v>
      </c>
      <c r="Q125" s="709" t="str">
        <f t="array" ref="Q125">INDEX(UtilityList!M$4:M$251,MATCH('Table 2.5b'!$A125&amp;'Table 2.5b'!$B125,UtilityList!$A$4:$A$251&amp;UtilityList!$C$4:$C$251,0))</f>
        <v>AN</v>
      </c>
    </row>
    <row r="126" spans="1:17" s="267" customFormat="1" ht="30" x14ac:dyDescent="0.25">
      <c r="A126" s="361" t="s">
        <v>221</v>
      </c>
      <c r="B126" s="361" t="s">
        <v>222</v>
      </c>
      <c r="C126" s="655">
        <f t="array" ref="C126">IFERROR((INDEX('Table 2.5a'!$D$8:$D$192,MATCH('Table 2.5b'!A126&amp;'Table 2.5b'!B126,'Table 2.5a'!$A$8:$A$192&amp;'Table 2.5a'!$B$8:$B$192,0))/INDEX('Table 2.5a'!$E$8:$E$192,MATCH('Table 2.5b'!A126&amp;'Table 2.5b'!B126,'Table 2.5a'!$A$8:$A$192&amp;'Table 2.5a'!$B$8:$B$192,0)))*1000, "")</f>
        <v>7277.6711452335257</v>
      </c>
      <c r="D126" s="655">
        <f t="array" ref="D126">IFERROR((INDEX('Table 2.5a'!$C$8:$C$192,MATCH('Table 2.5b'!A126&amp;'Table 2.5b'!B126,'Table 2.5a'!$A$8:$A$192&amp;'Table 2.5a'!$B$8:$B$192,0))/INDEX('Table 2.5a'!$E$8:$E$192,MATCH('Table 2.5b'!A126&amp;'Table 2.5b'!B126,'Table 2.5a'!$A$8:$A$192&amp;'Table 2.5a'!$B$8:$B$192,0)))*1000, "")</f>
        <v>1384.730219663041</v>
      </c>
      <c r="E126" s="705">
        <f t="array" ref="E126">IFERROR(INDEX('Table 2.5a'!$C$8:$C$192,MATCH('Table 2.5b'!$A126&amp;'Table 2.5b'!$B126,'Table 2.5a'!$A$8:$A$192&amp;'Table 2.5a'!$B$8:$B$192,0))/INDEX('Table 2.5a'!$D$8:$D$192,MATCH('Table 2.5b'!$A126&amp;'Table 2.5b'!$B126,'Table 2.5a'!$A$8:$A$192&amp;'Table 2.5a'!$B$8:$B$192,0)),"")</f>
        <v>0.19027106227106227</v>
      </c>
      <c r="F126" s="655">
        <f t="array" ref="F126">IFERROR((INDEX('Table 2.5a'!$H$8:$H$192,MATCH('Table 2.5b'!$A126&amp;'Table 2.5b'!$B126,'Table 2.5a'!$A$8:$A$192&amp;'Table 2.5a'!$B$8:$B$192,0))/INDEX('Table 2.5a'!$I$8:$I$192,MATCH('Table 2.5b'!$A126&amp;'Table 2.5b'!$B126,'Table 2.5a'!$A$8:$A$192&amp;'Table 2.5a'!$B$8:$B$192,0)))*1000, "")</f>
        <v>20869.18604651163</v>
      </c>
      <c r="G126" s="655">
        <f t="array" ref="G126">IFERROR((INDEX('Table 2.5a'!$G$8:$G$192,MATCH('Table 2.5b'!$A126&amp;'Table 2.5b'!$B126,'Table 2.5a'!$A$8:$A$192&amp;'Table 2.5a'!$B$8:$B$192,0))/INDEX('Table 2.5a'!$I$8:$I$192,MATCH('Table 2.5b'!$A126&amp;'Table 2.5b'!$B126,'Table 2.5a'!$A$8:$A$192&amp;'Table 2.5a'!$B$8:$B$192,0)))*1000, "")</f>
        <v>3858.5271317829461</v>
      </c>
      <c r="H126" s="705">
        <f t="array" ref="H126">IFERROR(INDEX('Table 2.5a'!$G$8:$G$192,MATCH('Table 2.5b'!$A126&amp;'Table 2.5b'!$B126,'Table 2.5a'!$A$8:$A$192&amp;'Table 2.5a'!$B$8:$B$192,0))/INDEX('Table 2.5a'!$H$8:$H$192,MATCH('Table 2.5b'!$A126&amp;'Table 2.5b'!$B126,'Table 2.5a'!$A$8:$A$192&amp;'Table 2.5a'!$B$8:$B$192,0)),"")</f>
        <v>0.18489111761155222</v>
      </c>
      <c r="I126" s="655">
        <f t="array" ref="I126">IFERROR((INDEX('Table 2.5a'!$L$8:$L$192,MATCH('Table 2.5b'!$A126&amp;'Table 2.5b'!$B126,'Table 2.5a'!$A$8:$A$192&amp;'Table 2.5a'!$B$8:$B$192,0))/INDEX('Table 2.5a'!$I$8:$I$192,MATCH('Table 2.5b'!$A126&amp;'Table 2.5b'!$B126,'Table 2.5a'!$A$8:$A$192&amp;'Table 2.5a'!$B$8:$B$192,0)))*1000, "")</f>
        <v>83631.782945736428</v>
      </c>
      <c r="J126" s="655">
        <f t="array" ref="J126">IFERROR((INDEX('Table 2.5a'!$K$8:$K$192,MATCH('Table 2.5b'!$A126&amp;'Table 2.5b'!$B126,'Table 2.5a'!$A$8:$A$192&amp;'Table 2.5a'!$B$8:$B$192,0))/INDEX('Table 2.5a'!$I$8:$I$192,MATCH('Table 2.5b'!$A126&amp;'Table 2.5b'!$B126,'Table 2.5a'!$A$8:$A$192&amp;'Table 2.5a'!$B$8:$B$192,0)))*1000, "")</f>
        <v>14522.286821705427</v>
      </c>
      <c r="K126" s="705">
        <f t="array" ref="K126">IFERROR(INDEX('Table 2.5a'!$I$8:$I$192,MATCH('Table 2.5b'!$A126&amp;'Table 2.5b'!$B126,'Table 2.5a'!$A$8:$A$192&amp;'Table 2.5a'!$B$8:$B$192,0))/INDEX('Table 2.5a'!$L$8:$L$192,MATCH('Table 2.5b'!$A126&amp;'Table 2.5b'!$B126,'Table 2.5a'!$A$8:$A$192&amp;'Table 2.5a'!$B$8:$B$192,0)),"")</f>
        <v>1.1957176623256245E-2</v>
      </c>
      <c r="L126" s="707" t="s">
        <v>558</v>
      </c>
      <c r="M126" s="709">
        <f t="array" ref="M126">INDEX(UtilityList!Q$4:Q$251,MATCH('Table 2.5b'!$A126&amp;'Table 2.5b'!$B126,UtilityList!$A$4:$A$251&amp;UtilityList!$C$4:$C$251,0))</f>
        <v>0</v>
      </c>
      <c r="N126" s="709" t="str">
        <f t="array" ref="N126">INDEX(UtilityList!J$4:J$251,MATCH('Table 2.5b'!$A126&amp;'Table 2.5b'!$B126,UtilityList!$A$4:$A$251&amp;UtilityList!$C$4:$C$251,0))</f>
        <v>Kodiak</v>
      </c>
      <c r="O126" s="709" t="str">
        <f t="array" ref="O126">INDEX(UtilityList!K$4:K$251,MATCH('Table 2.5b'!$A126&amp;'Table 2.5b'!$B126,UtilityList!$A$4:$A$251&amp;UtilityList!$C$4:$C$251,0))</f>
        <v>Kodiak Island</v>
      </c>
      <c r="P126" s="709" t="str">
        <f t="array" ref="P126">INDEX(UtilityList!L$4:L$251,MATCH('Table 2.5b'!$A126&amp;'Table 2.5b'!$B126,UtilityList!$A$4:$A$251&amp;UtilityList!$C$4:$C$251,0))</f>
        <v>Koniag</v>
      </c>
      <c r="Q126" s="709" t="str">
        <f t="array" ref="Q126">INDEX(UtilityList!M$4:M$251,MATCH('Table 2.5b'!$A126&amp;'Table 2.5b'!$B126,UtilityList!$A$4:$A$251&amp;UtilityList!$C$4:$C$251,0))</f>
        <v>SC</v>
      </c>
    </row>
    <row r="127" spans="1:17" s="267" customFormat="1" ht="30" x14ac:dyDescent="0.25">
      <c r="A127" s="361" t="s">
        <v>227</v>
      </c>
      <c r="B127" s="654" t="s">
        <v>228</v>
      </c>
      <c r="C127" s="655">
        <f t="array" ref="C127">IFERROR((INDEX('Table 2.5a'!$D$8:$D$192,MATCH('Table 2.5b'!A127&amp;'Table 2.5b'!B127,'Table 2.5a'!$A$8:$A$192&amp;'Table 2.5a'!$B$8:$B$192,0))/INDEX('Table 2.5a'!$E$8:$E$192,MATCH('Table 2.5b'!A127&amp;'Table 2.5b'!B127,'Table 2.5a'!$A$8:$A$192&amp;'Table 2.5a'!$B$8:$B$192,0)))*1000, "")</f>
        <v>3250.9423282903913</v>
      </c>
      <c r="D127" s="655">
        <f t="array" ref="D127">IFERROR((INDEX('Table 2.5a'!$C$8:$C$192,MATCH('Table 2.5b'!A127&amp;'Table 2.5b'!B127,'Table 2.5a'!$A$8:$A$192&amp;'Table 2.5a'!$B$8:$B$192,0))/INDEX('Table 2.5a'!$E$8:$E$192,MATCH('Table 2.5b'!A127&amp;'Table 2.5b'!B127,'Table 2.5a'!$A$8:$A$192&amp;'Table 2.5a'!$B$8:$B$192,0)))*1000, "")</f>
        <v>2925.8480954613519</v>
      </c>
      <c r="E127" s="705">
        <f t="array" ref="E127">IFERROR(INDEX('Table 2.5a'!$C$8:$C$192,MATCH('Table 2.5b'!$A127&amp;'Table 2.5b'!$B127,'Table 2.5a'!$A$8:$A$192&amp;'Table 2.5a'!$B$8:$B$192,0))/INDEX('Table 2.5a'!$D$8:$D$192,MATCH('Table 2.5b'!$A127&amp;'Table 2.5b'!$B127,'Table 2.5a'!$A$8:$A$192&amp;'Table 2.5a'!$B$8:$B$192,0)),"")</f>
        <v>0.9</v>
      </c>
      <c r="F127" s="655">
        <f t="array" ref="F127">IFERROR((INDEX('Table 2.5a'!$H$8:$H$192,MATCH('Table 2.5b'!$A127&amp;'Table 2.5b'!$B127,'Table 2.5a'!$A$8:$A$192&amp;'Table 2.5a'!$B$8:$B$192,0))/INDEX('Table 2.5a'!$I$8:$I$192,MATCH('Table 2.5b'!$A127&amp;'Table 2.5b'!$B127,'Table 2.5a'!$A$8:$A$192&amp;'Table 2.5a'!$B$8:$B$192,0)))*1000, "")</f>
        <v>8994.3245674141781</v>
      </c>
      <c r="G127" s="655">
        <f t="array" ref="G127">IFERROR((INDEX('Table 2.5a'!$G$8:$G$192,MATCH('Table 2.5b'!$A127&amp;'Table 2.5b'!$B127,'Table 2.5a'!$A$8:$A$192&amp;'Table 2.5a'!$B$8:$B$192,0))/INDEX('Table 2.5a'!$I$8:$I$192,MATCH('Table 2.5b'!$A127&amp;'Table 2.5b'!$B127,'Table 2.5a'!$A$8:$A$192&amp;'Table 2.5a'!$B$8:$B$192,0)))*1000, "")</f>
        <v>8094.8921106727594</v>
      </c>
      <c r="H127" s="705">
        <f t="array" ref="H127">IFERROR(INDEX('Table 2.5a'!$G$8:$G$192,MATCH('Table 2.5b'!$A127&amp;'Table 2.5b'!$B127,'Table 2.5a'!$A$8:$A$192&amp;'Table 2.5a'!$B$8:$B$192,0))/INDEX('Table 2.5a'!$H$8:$H$192,MATCH('Table 2.5b'!$A127&amp;'Table 2.5b'!$B127,'Table 2.5a'!$A$8:$A$192&amp;'Table 2.5a'!$B$8:$B$192,0)),"")</f>
        <v>0.9</v>
      </c>
      <c r="I127" s="655">
        <f t="array" ref="I127">IFERROR((INDEX('Table 2.5a'!$L$8:$L$192,MATCH('Table 2.5b'!$A127&amp;'Table 2.5b'!$B127,'Table 2.5a'!$A$8:$A$192&amp;'Table 2.5a'!$B$8:$B$192,0))/INDEX('Table 2.5a'!$I$8:$I$192,MATCH('Table 2.5b'!$A127&amp;'Table 2.5b'!$B127,'Table 2.5a'!$A$8:$A$192&amp;'Table 2.5a'!$B$8:$B$192,0)))*1000, "")</f>
        <v>27651.081828407616</v>
      </c>
      <c r="J127" s="655">
        <f t="array" ref="J127">IFERROR((INDEX('Table 2.5a'!$K$8:$K$192,MATCH('Table 2.5b'!$A127&amp;'Table 2.5b'!$B127,'Table 2.5a'!$A$8:$A$192&amp;'Table 2.5a'!$B$8:$B$192,0))/INDEX('Table 2.5a'!$I$8:$I$192,MATCH('Table 2.5b'!$A127&amp;'Table 2.5b'!$B127,'Table 2.5a'!$A$8:$A$192&amp;'Table 2.5a'!$B$8:$B$192,0)))*1000, "")</f>
        <v>24885.973645566854</v>
      </c>
      <c r="K127" s="705">
        <f t="array" ref="K127">IFERROR(INDEX('Table 2.5a'!$I$8:$I$192,MATCH('Table 2.5b'!$A127&amp;'Table 2.5b'!$B127,'Table 2.5a'!$A$8:$A$192&amp;'Table 2.5a'!$B$8:$B$192,0))/INDEX('Table 2.5a'!$L$8:$L$192,MATCH('Table 2.5b'!$A127&amp;'Table 2.5b'!$B127,'Table 2.5a'!$A$8:$A$192&amp;'Table 2.5a'!$B$8:$B$192,0)),"")</f>
        <v>3.6164950297627778E-2</v>
      </c>
      <c r="L127" s="658" t="s">
        <v>356</v>
      </c>
      <c r="M127" s="709">
        <f t="array" ref="M127">INDEX(UtilityList!Q$4:Q$251,MATCH('Table 2.5b'!$A127&amp;'Table 2.5b'!$B127,UtilityList!$A$4:$A$251&amp;UtilityList!$C$4:$C$251,0))</f>
        <v>0</v>
      </c>
      <c r="N127" s="709" t="str">
        <f t="array" ref="N127">INDEX(UtilityList!J$4:J$251,MATCH('Table 2.5b'!$A127&amp;'Table 2.5b'!$B127,UtilityList!$A$4:$A$251&amp;UtilityList!$C$4:$C$251,0))</f>
        <v>Bristol Bay</v>
      </c>
      <c r="O127" s="709" t="str">
        <f t="array" ref="O127">INDEX(UtilityList!K$4:K$251,MATCH('Table 2.5b'!$A127&amp;'Table 2.5b'!$B127,UtilityList!$A$4:$A$251&amp;UtilityList!$C$4:$C$251,0))</f>
        <v>Lake and Peninsula</v>
      </c>
      <c r="P127" s="709" t="str">
        <f t="array" ref="P127">INDEX(UtilityList!L$4:L$251,MATCH('Table 2.5b'!$A127&amp;'Table 2.5b'!$B127,UtilityList!$A$4:$A$251&amp;UtilityList!$C$4:$C$251,0))</f>
        <v>Bristol Bay</v>
      </c>
      <c r="Q127" s="709" t="str">
        <f t="array" ref="Q127">INDEX(UtilityList!M$4:M$251,MATCH('Table 2.5b'!$A127&amp;'Table 2.5b'!$B127,UtilityList!$A$4:$A$251&amp;UtilityList!$C$4:$C$251,0))</f>
        <v>SW</v>
      </c>
    </row>
    <row r="128" spans="1:17" s="267" customFormat="1" ht="30" x14ac:dyDescent="0.25">
      <c r="A128" s="361" t="s">
        <v>229</v>
      </c>
      <c r="B128" s="654" t="s">
        <v>230</v>
      </c>
      <c r="C128" s="655">
        <f t="array" ref="C128">IFERROR((INDEX('Table 2.5a'!$D$8:$D$192,MATCH('Table 2.5b'!A128&amp;'Table 2.5b'!B128,'Table 2.5a'!$A$8:$A$192&amp;'Table 2.5a'!$B$8:$B$192,0))/INDEX('Table 2.5a'!$E$8:$E$192,MATCH('Table 2.5b'!A128&amp;'Table 2.5b'!B128,'Table 2.5a'!$A$8:$A$192&amp;'Table 2.5a'!$B$8:$B$192,0)))*1000, "")</f>
        <v>7578.2697435897435</v>
      </c>
      <c r="D128" s="655">
        <f t="array" ref="D128">IFERROR((INDEX('Table 2.5a'!$C$8:$C$192,MATCH('Table 2.5b'!A128&amp;'Table 2.5b'!B128,'Table 2.5a'!$A$8:$A$192&amp;'Table 2.5a'!$B$8:$B$192,0))/INDEX('Table 2.5a'!$E$8:$E$192,MATCH('Table 2.5b'!A128&amp;'Table 2.5b'!B128,'Table 2.5a'!$A$8:$A$192&amp;'Table 2.5a'!$B$8:$B$192,0)))*1000, "")</f>
        <v>3164.432861192523</v>
      </c>
      <c r="E128" s="705">
        <f t="array" ref="E128">IFERROR(INDEX('Table 2.5a'!$C$8:$C$192,MATCH('Table 2.5b'!$A128&amp;'Table 2.5b'!$B128,'Table 2.5a'!$A$8:$A$192&amp;'Table 2.5a'!$B$8:$B$192,0))/INDEX('Table 2.5a'!$D$8:$D$192,MATCH('Table 2.5b'!$A128&amp;'Table 2.5b'!$B128,'Table 2.5a'!$A$8:$A$192&amp;'Table 2.5a'!$B$8:$B$192,0)),"")</f>
        <v>0.41756666999999997</v>
      </c>
      <c r="F128" s="655">
        <f t="array" ref="F128">IFERROR((INDEX('Table 2.5a'!$H$8:$H$192,MATCH('Table 2.5b'!$A128&amp;'Table 2.5b'!$B128,'Table 2.5a'!$A$8:$A$192&amp;'Table 2.5a'!$B$8:$B$192,0))/INDEX('Table 2.5a'!$I$8:$I$192,MATCH('Table 2.5b'!$A128&amp;'Table 2.5b'!$B128,'Table 2.5a'!$A$8:$A$192&amp;'Table 2.5a'!$B$8:$B$192,0)))*1000, "")</f>
        <v>98918.196261682242</v>
      </c>
      <c r="G128" s="655">
        <f t="array" ref="G128">IFERROR((INDEX('Table 2.5a'!$G$8:$G$192,MATCH('Table 2.5b'!$A128&amp;'Table 2.5b'!$B128,'Table 2.5a'!$A$8:$A$192&amp;'Table 2.5a'!$B$8:$B$192,0))/INDEX('Table 2.5a'!$I$8:$I$192,MATCH('Table 2.5b'!$A128&amp;'Table 2.5b'!$B128,'Table 2.5a'!$A$8:$A$192&amp;'Table 2.5a'!$B$8:$B$192,0)))*1000, "")</f>
        <v>41304.941815397098</v>
      </c>
      <c r="H128" s="705">
        <f t="array" ref="H128">IFERROR(INDEX('Table 2.5a'!$G$8:$G$192,MATCH('Table 2.5b'!$A128&amp;'Table 2.5b'!$B128,'Table 2.5a'!$A$8:$A$192&amp;'Table 2.5a'!$B$8:$B$192,0))/INDEX('Table 2.5a'!$H$8:$H$192,MATCH('Table 2.5b'!$A128&amp;'Table 2.5b'!$B128,'Table 2.5a'!$A$8:$A$192&amp;'Table 2.5a'!$B$8:$B$192,0)),"")</f>
        <v>0.41756666999999997</v>
      </c>
      <c r="I128" s="655">
        <f t="array" ref="I128">IFERROR((INDEX('Table 2.5a'!$L$8:$L$192,MATCH('Table 2.5b'!$A128&amp;'Table 2.5b'!$B128,'Table 2.5a'!$A$8:$A$192&amp;'Table 2.5a'!$B$8:$B$192,0))/INDEX('Table 2.5a'!$I$8:$I$192,MATCH('Table 2.5b'!$A128&amp;'Table 2.5b'!$B128,'Table 2.5a'!$A$8:$A$192&amp;'Table 2.5a'!$B$8:$B$192,0)))*1000, "")</f>
        <v>27660.411214953274</v>
      </c>
      <c r="J128" s="655">
        <f t="array" ref="J128">IFERROR((INDEX('Table 2.5a'!$K$8:$K$192,MATCH('Table 2.5b'!$A128&amp;'Table 2.5b'!$B128,'Table 2.5a'!$A$8:$A$192&amp;'Table 2.5a'!$B$8:$B$192,0))/INDEX('Table 2.5a'!$I$8:$I$192,MATCH('Table 2.5b'!$A128&amp;'Table 2.5b'!$B128,'Table 2.5a'!$A$8:$A$192&amp;'Table 2.5a'!$B$8:$B$192,0)))*1000, "")</f>
        <v>11550.065801858691</v>
      </c>
      <c r="K128" s="705">
        <f t="array" ref="K128">IFERROR(INDEX('Table 2.5a'!$I$8:$I$192,MATCH('Table 2.5b'!$A128&amp;'Table 2.5b'!$B128,'Table 2.5a'!$A$8:$A$192&amp;'Table 2.5a'!$B$8:$B$192,0))/INDEX('Table 2.5a'!$L$8:$L$192,MATCH('Table 2.5b'!$A128&amp;'Table 2.5b'!$B128,'Table 2.5a'!$A$8:$A$192&amp;'Table 2.5a'!$B$8:$B$192,0)),"")</f>
        <v>3.615275247460522E-2</v>
      </c>
      <c r="L128" s="658" t="s">
        <v>356</v>
      </c>
      <c r="M128" s="709">
        <f t="array" ref="M128">INDEX(UtilityList!Q$4:Q$251,MATCH('Table 2.5b'!$A128&amp;'Table 2.5b'!$B128,UtilityList!$A$4:$A$251&amp;UtilityList!$C$4:$C$251,0))</f>
        <v>0</v>
      </c>
      <c r="N128" s="709" t="str">
        <f t="array" ref="N128">INDEX(UtilityList!J$4:J$251,MATCH('Table 2.5b'!$A128&amp;'Table 2.5b'!$B128,UtilityList!$A$4:$A$251&amp;UtilityList!$C$4:$C$251,0))</f>
        <v>Northwest Arctic</v>
      </c>
      <c r="O128" s="709" t="str">
        <f t="array" ref="O128">INDEX(UtilityList!K$4:K$251,MATCH('Table 2.5b'!$A128&amp;'Table 2.5b'!$B128,UtilityList!$A$4:$A$251&amp;UtilityList!$C$4:$C$251,0))</f>
        <v>Northwest Arctic</v>
      </c>
      <c r="P128" s="709" t="str">
        <f t="array" ref="P128">INDEX(UtilityList!L$4:L$251,MATCH('Table 2.5b'!$A128&amp;'Table 2.5b'!$B128,UtilityList!$A$4:$A$251&amp;UtilityList!$C$4:$C$251,0))</f>
        <v>NANA</v>
      </c>
      <c r="Q128" s="709" t="str">
        <f t="array" ref="Q128">INDEX(UtilityList!M$4:M$251,MATCH('Table 2.5b'!$A128&amp;'Table 2.5b'!$B128,UtilityList!$A$4:$A$251&amp;UtilityList!$C$4:$C$251,0))</f>
        <v>AN</v>
      </c>
    </row>
    <row r="129" spans="1:17" s="267" customFormat="1" x14ac:dyDescent="0.25">
      <c r="A129" s="361" t="s">
        <v>231</v>
      </c>
      <c r="B129" s="654" t="s">
        <v>232</v>
      </c>
      <c r="C129" s="655">
        <f t="array" ref="C129">IFERROR((INDEX('Table 2.5a'!$D$8:$D$192,MATCH('Table 2.5b'!A129&amp;'Table 2.5b'!B129,'Table 2.5a'!$A$8:$A$192&amp;'Table 2.5a'!$B$8:$B$192,0))/INDEX('Table 2.5a'!$E$8:$E$192,MATCH('Table 2.5b'!A129&amp;'Table 2.5b'!B129,'Table 2.5a'!$A$8:$A$192&amp;'Table 2.5a'!$B$8:$B$192,0)))*1000, "")</f>
        <v>2138.3293614510735</v>
      </c>
      <c r="D129" s="655">
        <f t="array" ref="D129">IFERROR((INDEX('Table 2.5a'!$C$8:$C$192,MATCH('Table 2.5b'!A129&amp;'Table 2.5b'!B129,'Table 2.5a'!$A$8:$A$192&amp;'Table 2.5a'!$B$8:$B$192,0))/INDEX('Table 2.5a'!$E$8:$E$192,MATCH('Table 2.5b'!A129&amp;'Table 2.5b'!B129,'Table 2.5a'!$A$8:$A$192&amp;'Table 2.5a'!$B$8:$B$192,0)))*1000, "")</f>
        <v>1051.3452765078757</v>
      </c>
      <c r="E129" s="705">
        <f t="array" ref="E129">IFERROR(INDEX('Table 2.5a'!$C$8:$C$192,MATCH('Table 2.5b'!$A129&amp;'Table 2.5b'!$B129,'Table 2.5a'!$A$8:$A$192&amp;'Table 2.5a'!$B$8:$B$192,0))/INDEX('Table 2.5a'!$D$8:$D$192,MATCH('Table 2.5b'!$A129&amp;'Table 2.5b'!$B129,'Table 2.5a'!$A$8:$A$192&amp;'Table 2.5a'!$B$8:$B$192,0)),"")</f>
        <v>0.49166666999999997</v>
      </c>
      <c r="F129" s="655">
        <f t="array" ref="F129">IFERROR((INDEX('Table 2.5a'!$H$8:$H$192,MATCH('Table 2.5b'!$A129&amp;'Table 2.5b'!$B129,'Table 2.5a'!$A$8:$A$192&amp;'Table 2.5a'!$B$8:$B$192,0))/INDEX('Table 2.5a'!$I$8:$I$192,MATCH('Table 2.5b'!$A129&amp;'Table 2.5b'!$B129,'Table 2.5a'!$A$8:$A$192&amp;'Table 2.5a'!$B$8:$B$192,0)))*1000, "")</f>
        <v>16861.400000000001</v>
      </c>
      <c r="G129" s="655">
        <f t="array" ref="G129">IFERROR((INDEX('Table 2.5a'!$G$8:$G$192,MATCH('Table 2.5b'!$A129&amp;'Table 2.5b'!$B129,'Table 2.5a'!$A$8:$A$192&amp;'Table 2.5a'!$B$8:$B$192,0))/INDEX('Table 2.5a'!$I$8:$I$192,MATCH('Table 2.5b'!$A129&amp;'Table 2.5b'!$B129,'Table 2.5a'!$A$8:$A$192&amp;'Table 2.5a'!$B$8:$B$192,0)))*1000, "")</f>
        <v>8290.1883895379997</v>
      </c>
      <c r="H129" s="705">
        <f t="array" ref="H129">IFERROR(INDEX('Table 2.5a'!$G$8:$G$192,MATCH('Table 2.5b'!$A129&amp;'Table 2.5b'!$B129,'Table 2.5a'!$A$8:$A$192&amp;'Table 2.5a'!$B$8:$B$192,0))/INDEX('Table 2.5a'!$H$8:$H$192,MATCH('Table 2.5b'!$A129&amp;'Table 2.5b'!$B129,'Table 2.5a'!$A$8:$A$192&amp;'Table 2.5a'!$B$8:$B$192,0)),"")</f>
        <v>0.49166666999999997</v>
      </c>
      <c r="I129" s="655">
        <f t="array" ref="I129">IFERROR((INDEX('Table 2.5a'!$L$8:$L$192,MATCH('Table 2.5b'!$A129&amp;'Table 2.5b'!$B129,'Table 2.5a'!$A$8:$A$192&amp;'Table 2.5a'!$B$8:$B$192,0))/INDEX('Table 2.5a'!$I$8:$I$192,MATCH('Table 2.5b'!$A129&amp;'Table 2.5b'!$B129,'Table 2.5a'!$A$8:$A$192&amp;'Table 2.5a'!$B$8:$B$192,0)))*1000, "")</f>
        <v>12383.199999999999</v>
      </c>
      <c r="J129" s="655">
        <f t="array" ref="J129">IFERROR((INDEX('Table 2.5a'!$K$8:$K$192,MATCH('Table 2.5b'!$A129&amp;'Table 2.5b'!$B129,'Table 2.5a'!$A$8:$A$192&amp;'Table 2.5a'!$B$8:$B$192,0))/INDEX('Table 2.5a'!$I$8:$I$192,MATCH('Table 2.5b'!$A129&amp;'Table 2.5b'!$B129,'Table 2.5a'!$A$8:$A$192&amp;'Table 2.5a'!$B$8:$B$192,0)))*1000, "")</f>
        <v>6088.4067079439992</v>
      </c>
      <c r="K129" s="705">
        <f t="array" ref="K129">IFERROR(INDEX('Table 2.5a'!$I$8:$I$192,MATCH('Table 2.5b'!$A129&amp;'Table 2.5b'!$B129,'Table 2.5a'!$A$8:$A$192&amp;'Table 2.5a'!$B$8:$B$192,0))/INDEX('Table 2.5a'!$L$8:$L$192,MATCH('Table 2.5b'!$A129&amp;'Table 2.5b'!$B129,'Table 2.5a'!$A$8:$A$192&amp;'Table 2.5a'!$B$8:$B$192,0)),"")</f>
        <v>8.0754570708702123E-2</v>
      </c>
      <c r="L129" s="658" t="s">
        <v>356</v>
      </c>
      <c r="M129" s="709">
        <f t="array" ref="M129">INDEX(UtilityList!Q$4:Q$251,MATCH('Table 2.5b'!$A129&amp;'Table 2.5b'!$B129,UtilityList!$A$4:$A$251&amp;UtilityList!$C$4:$C$251,0))</f>
        <v>0</v>
      </c>
      <c r="N129" s="709" t="str">
        <f t="array" ref="N129">INDEX(UtilityList!J$4:J$251,MATCH('Table 2.5b'!$A129&amp;'Table 2.5b'!$B129,UtilityList!$A$4:$A$251&amp;UtilityList!$C$4:$C$251,0))</f>
        <v>Yukon-Koyukuk/Upper Tanana</v>
      </c>
      <c r="O129" s="709" t="str">
        <f t="array" ref="O129">INDEX(UtilityList!K$4:K$251,MATCH('Table 2.5b'!$A129&amp;'Table 2.5b'!$B129,UtilityList!$A$4:$A$251&amp;UtilityList!$C$4:$C$251,0))</f>
        <v>Yukon-Koyukuk (CA)</v>
      </c>
      <c r="P129" s="709" t="str">
        <f t="array" ref="P129">INDEX(UtilityList!L$4:L$251,MATCH('Table 2.5b'!$A129&amp;'Table 2.5b'!$B129,UtilityList!$A$4:$A$251&amp;UtilityList!$C$4:$C$251,0))</f>
        <v>Doyon</v>
      </c>
      <c r="Q129" s="709" t="str">
        <f t="array" ref="Q129">INDEX(UtilityList!M$4:M$251,MATCH('Table 2.5b'!$A129&amp;'Table 2.5b'!$B129,UtilityList!$A$4:$A$251&amp;UtilityList!$C$4:$C$251,0))</f>
        <v>YU</v>
      </c>
    </row>
    <row r="130" spans="1:17" s="267" customFormat="1" ht="30" x14ac:dyDescent="0.25">
      <c r="A130" s="361" t="s">
        <v>233</v>
      </c>
      <c r="B130" s="654" t="s">
        <v>234</v>
      </c>
      <c r="C130" s="655">
        <f t="array" ref="C130">IFERROR((INDEX('Table 2.5a'!$D$8:$D$192,MATCH('Table 2.5b'!A130&amp;'Table 2.5b'!B130,'Table 2.5a'!$A$8:$A$192&amp;'Table 2.5a'!$B$8:$B$192,0))/INDEX('Table 2.5a'!$E$8:$E$192,MATCH('Table 2.5b'!A130&amp;'Table 2.5b'!B130,'Table 2.5a'!$A$8:$A$192&amp;'Table 2.5a'!$B$8:$B$192,0)))*1000, "")</f>
        <v>3492.1902333546595</v>
      </c>
      <c r="D130" s="655">
        <f t="array" ref="D130">IFERROR((INDEX('Table 2.5a'!$C$8:$C$192,MATCH('Table 2.5b'!A130&amp;'Table 2.5b'!B130,'Table 2.5a'!$A$8:$A$192&amp;'Table 2.5a'!$B$8:$B$192,0))/INDEX('Table 2.5a'!$E$8:$E$192,MATCH('Table 2.5b'!A130&amp;'Table 2.5b'!B130,'Table 2.5a'!$A$8:$A$192&amp;'Table 2.5a'!$B$8:$B$192,0)))*1000, "")</f>
        <v>1815.9389213444231</v>
      </c>
      <c r="E130" s="705">
        <f t="array" ref="E130">IFERROR(INDEX('Table 2.5a'!$C$8:$C$192,MATCH('Table 2.5b'!$A130&amp;'Table 2.5b'!$B130,'Table 2.5a'!$A$8:$A$192&amp;'Table 2.5a'!$B$8:$B$192,0))/INDEX('Table 2.5a'!$D$8:$D$192,MATCH('Table 2.5b'!$A130&amp;'Table 2.5b'!$B130,'Table 2.5a'!$A$8:$A$192&amp;'Table 2.5a'!$B$8:$B$192,0)),"")</f>
        <v>0.52</v>
      </c>
      <c r="F130" s="655">
        <f t="array" ref="F130">IFERROR((INDEX('Table 2.5a'!$H$8:$H$192,MATCH('Table 2.5b'!$A130&amp;'Table 2.5b'!$B130,'Table 2.5a'!$A$8:$A$192&amp;'Table 2.5a'!$B$8:$B$192,0))/INDEX('Table 2.5a'!$I$8:$I$192,MATCH('Table 2.5b'!$A130&amp;'Table 2.5b'!$B130,'Table 2.5a'!$A$8:$A$192&amp;'Table 2.5a'!$B$8:$B$192,0)))*1000, "")</f>
        <v>30822.855884781391</v>
      </c>
      <c r="G130" s="655">
        <f t="array" ref="G130">IFERROR((INDEX('Table 2.5a'!$G$8:$G$192,MATCH('Table 2.5b'!$A130&amp;'Table 2.5b'!$B130,'Table 2.5a'!$A$8:$A$192&amp;'Table 2.5a'!$B$8:$B$192,0))/INDEX('Table 2.5a'!$I$8:$I$192,MATCH('Table 2.5b'!$A130&amp;'Table 2.5b'!$B130,'Table 2.5a'!$A$8:$A$192&amp;'Table 2.5a'!$B$8:$B$192,0)))*1000, "")</f>
        <v>16027.885060086322</v>
      </c>
      <c r="H130" s="705">
        <f t="array" ref="H130">IFERROR(INDEX('Table 2.5a'!$G$8:$G$192,MATCH('Table 2.5b'!$A130&amp;'Table 2.5b'!$B130,'Table 2.5a'!$A$8:$A$192&amp;'Table 2.5a'!$B$8:$B$192,0))/INDEX('Table 2.5a'!$H$8:$H$192,MATCH('Table 2.5b'!$A130&amp;'Table 2.5b'!$B130,'Table 2.5a'!$A$8:$A$192&amp;'Table 2.5a'!$B$8:$B$192,0)),"")</f>
        <v>0.52</v>
      </c>
      <c r="I130" s="655">
        <f t="array" ref="I130">IFERROR((INDEX('Table 2.5a'!$L$8:$L$192,MATCH('Table 2.5b'!$A130&amp;'Table 2.5b'!$B130,'Table 2.5a'!$A$8:$A$192&amp;'Table 2.5a'!$B$8:$B$192,0))/INDEX('Table 2.5a'!$I$8:$I$192,MATCH('Table 2.5b'!$A130&amp;'Table 2.5b'!$B130,'Table 2.5a'!$A$8:$A$192&amp;'Table 2.5a'!$B$8:$B$192,0)))*1000, "")</f>
        <v>16424.815656129973</v>
      </c>
      <c r="J130" s="655">
        <f t="array" ref="J130">IFERROR((INDEX('Table 2.5a'!$K$8:$K$192,MATCH('Table 2.5b'!$A130&amp;'Table 2.5b'!$B130,'Table 2.5a'!$A$8:$A$192&amp;'Table 2.5a'!$B$8:$B$192,0))/INDEX('Table 2.5a'!$I$8:$I$192,MATCH('Table 2.5b'!$A130&amp;'Table 2.5b'!$B130,'Table 2.5a'!$A$8:$A$192&amp;'Table 2.5a'!$B$8:$B$192,0)))*1000, "")</f>
        <v>8540.904141187586</v>
      </c>
      <c r="K130" s="705">
        <f t="array" ref="K130">IFERROR(INDEX('Table 2.5a'!$I$8:$I$192,MATCH('Table 2.5b'!$A130&amp;'Table 2.5b'!$B130,'Table 2.5a'!$A$8:$A$192&amp;'Table 2.5a'!$B$8:$B$192,0))/INDEX('Table 2.5a'!$L$8:$L$192,MATCH('Table 2.5b'!$A130&amp;'Table 2.5b'!$B130,'Table 2.5a'!$A$8:$A$192&amp;'Table 2.5a'!$B$8:$B$192,0)),"")</f>
        <v>6.0883483926760906E-2</v>
      </c>
      <c r="L130" s="658" t="s">
        <v>356</v>
      </c>
      <c r="M130" s="709">
        <f t="array" ref="M130">INDEX(UtilityList!Q$4:Q$251,MATCH('Table 2.5b'!$A130&amp;'Table 2.5b'!$B130,UtilityList!$A$4:$A$251&amp;UtilityList!$C$4:$C$251,0))</f>
        <v>0</v>
      </c>
      <c r="N130" s="709" t="str">
        <f t="array" ref="N130">INDEX(UtilityList!J$4:J$251,MATCH('Table 2.5b'!$A130&amp;'Table 2.5b'!$B130,UtilityList!$A$4:$A$251&amp;UtilityList!$C$4:$C$251,0))</f>
        <v>Lower Yukon-Kuskokwim</v>
      </c>
      <c r="O130" s="709" t="str">
        <f t="array" ref="O130">INDEX(UtilityList!K$4:K$251,MATCH('Table 2.5b'!$A130&amp;'Table 2.5b'!$B130,UtilityList!$A$4:$A$251&amp;UtilityList!$C$4:$C$251,0))</f>
        <v>Bethel (CA)</v>
      </c>
      <c r="P130" s="709" t="str">
        <f t="array" ref="P130">INDEX(UtilityList!L$4:L$251,MATCH('Table 2.5b'!$A130&amp;'Table 2.5b'!$B130,UtilityList!$A$4:$A$251&amp;UtilityList!$C$4:$C$251,0))</f>
        <v>Calista</v>
      </c>
      <c r="Q130" s="709" t="str">
        <f t="array" ref="Q130">INDEX(UtilityList!M$4:M$251,MATCH('Table 2.5b'!$A130&amp;'Table 2.5b'!$B130,UtilityList!$A$4:$A$251&amp;UtilityList!$C$4:$C$251,0))</f>
        <v>SW</v>
      </c>
    </row>
    <row r="131" spans="1:17" s="267" customFormat="1" ht="30" x14ac:dyDescent="0.25">
      <c r="A131" s="361" t="s">
        <v>641</v>
      </c>
      <c r="B131" s="654" t="s">
        <v>235</v>
      </c>
      <c r="C131" s="655">
        <f t="array" ref="C131">IFERROR((INDEX('Table 2.5a'!$D$8:$D$192,MATCH('Table 2.5b'!A131&amp;'Table 2.5b'!B131,'Table 2.5a'!$A$8:$A$192&amp;'Table 2.5a'!$B$8:$B$192,0))/INDEX('Table 2.5a'!$E$8:$E$192,MATCH('Table 2.5b'!A131&amp;'Table 2.5b'!B131,'Table 2.5a'!$A$8:$A$192&amp;'Table 2.5a'!$B$8:$B$192,0)))*1000, "")</f>
        <v>5163.794303121128</v>
      </c>
      <c r="D131" s="655">
        <f t="array" ref="D131">IFERROR((INDEX('Table 2.5a'!$C$8:$C$192,MATCH('Table 2.5b'!A131&amp;'Table 2.5b'!B131,'Table 2.5a'!$A$8:$A$192&amp;'Table 2.5a'!$B$8:$B$192,0))/INDEX('Table 2.5a'!$E$8:$E$192,MATCH('Table 2.5b'!A131&amp;'Table 2.5b'!B131,'Table 2.5a'!$A$8:$A$192&amp;'Table 2.5a'!$B$8:$B$192,0)))*1000, "")</f>
        <v>3085.367096114875</v>
      </c>
      <c r="E131" s="705">
        <f t="array" ref="E131">IFERROR(INDEX('Table 2.5a'!$C$8:$C$192,MATCH('Table 2.5b'!$A131&amp;'Table 2.5b'!$B131,'Table 2.5a'!$A$8:$A$192&amp;'Table 2.5a'!$B$8:$B$192,0))/INDEX('Table 2.5a'!$D$8:$D$192,MATCH('Table 2.5b'!$A131&amp;'Table 2.5b'!$B131,'Table 2.5a'!$A$8:$A$192&amp;'Table 2.5a'!$B$8:$B$192,0)),"")</f>
        <v>0.59750000000000014</v>
      </c>
      <c r="F131" s="655">
        <f t="array" ref="F131">IFERROR((INDEX('Table 2.5a'!$H$8:$H$192,MATCH('Table 2.5b'!$A131&amp;'Table 2.5b'!$B131,'Table 2.5a'!$A$8:$A$192&amp;'Table 2.5a'!$B$8:$B$192,0))/INDEX('Table 2.5a'!$I$8:$I$192,MATCH('Table 2.5b'!$A131&amp;'Table 2.5b'!$B131,'Table 2.5a'!$A$8:$A$192&amp;'Table 2.5a'!$B$8:$B$192,0)))*1000, "")</f>
        <v>32360.190063788919</v>
      </c>
      <c r="G131" s="655">
        <f t="array" ref="G131">IFERROR((INDEX('Table 2.5a'!$G$8:$G$192,MATCH('Table 2.5b'!$A131&amp;'Table 2.5b'!$B131,'Table 2.5a'!$A$8:$A$192&amp;'Table 2.5a'!$B$8:$B$192,0))/INDEX('Table 2.5a'!$I$8:$I$192,MATCH('Table 2.5b'!$A131&amp;'Table 2.5b'!$B131,'Table 2.5a'!$A$8:$A$192&amp;'Table 2.5a'!$B$8:$B$192,0)))*1000, "")</f>
        <v>19335.213563113877</v>
      </c>
      <c r="H131" s="705">
        <f t="array" ref="H131">IFERROR(INDEX('Table 2.5a'!$G$8:$G$192,MATCH('Table 2.5b'!$A131&amp;'Table 2.5b'!$B131,'Table 2.5a'!$A$8:$A$192&amp;'Table 2.5a'!$B$8:$B$192,0))/INDEX('Table 2.5a'!$H$8:$H$192,MATCH('Table 2.5b'!$A131&amp;'Table 2.5b'!$B131,'Table 2.5a'!$A$8:$A$192&amp;'Table 2.5a'!$B$8:$B$192,0)),"")</f>
        <v>0.59750000000000003</v>
      </c>
      <c r="I131" s="655">
        <f t="array" ref="I131">IFERROR((INDEX('Table 2.5a'!$L$8:$L$192,MATCH('Table 2.5b'!$A131&amp;'Table 2.5b'!$B131,'Table 2.5a'!$A$8:$A$192&amp;'Table 2.5a'!$B$8:$B$192,0))/INDEX('Table 2.5a'!$I$8:$I$192,MATCH('Table 2.5b'!$A131&amp;'Table 2.5b'!$B131,'Table 2.5a'!$A$8:$A$192&amp;'Table 2.5a'!$B$8:$B$192,0)))*1000, "")</f>
        <v>6562.540717906506</v>
      </c>
      <c r="J131" s="655">
        <f t="array" ref="J131">IFERROR((INDEX('Table 2.5a'!$K$8:$K$192,MATCH('Table 2.5b'!$A131&amp;'Table 2.5b'!$B131,'Table 2.5a'!$A$8:$A$192&amp;'Table 2.5a'!$B$8:$B$192,0))/INDEX('Table 2.5a'!$I$8:$I$192,MATCH('Table 2.5b'!$A131&amp;'Table 2.5b'!$B131,'Table 2.5a'!$A$8:$A$192&amp;'Table 2.5a'!$B$8:$B$192,0)))*1000, "")</f>
        <v>3921.1180789491373</v>
      </c>
      <c r="K131" s="705">
        <f t="array" ref="K131">IFERROR(INDEX('Table 2.5a'!$I$8:$I$192,MATCH('Table 2.5b'!$A131&amp;'Table 2.5b'!$B131,'Table 2.5a'!$A$8:$A$192&amp;'Table 2.5a'!$B$8:$B$192,0))/INDEX('Table 2.5a'!$L$8:$L$192,MATCH('Table 2.5b'!$A131&amp;'Table 2.5b'!$B131,'Table 2.5a'!$A$8:$A$192&amp;'Table 2.5a'!$B$8:$B$192,0)),"")</f>
        <v>0.15238000691887618</v>
      </c>
      <c r="L131" s="658" t="s">
        <v>356</v>
      </c>
      <c r="M131" s="709">
        <f t="array" ref="M131">INDEX(UtilityList!Q$4:Q$251,MATCH('Table 2.5b'!$A131&amp;'Table 2.5b'!$B131,UtilityList!$A$4:$A$251&amp;UtilityList!$C$4:$C$251,0))</f>
        <v>0</v>
      </c>
      <c r="N131" s="709" t="str">
        <f t="array" ref="N131">INDEX(UtilityList!J$4:J$251,MATCH('Table 2.5b'!$A131&amp;'Table 2.5b'!$B131,UtilityList!$A$4:$A$251&amp;UtilityList!$C$4:$C$251,0))</f>
        <v>Lower Yukon-Kuskokwim</v>
      </c>
      <c r="O131" s="709" t="str">
        <f t="array" ref="O131">INDEX(UtilityList!K$4:K$251,MATCH('Table 2.5b'!$A131&amp;'Table 2.5b'!$B131,UtilityList!$A$4:$A$251&amp;UtilityList!$C$4:$C$251,0))</f>
        <v>Bethel (CA)</v>
      </c>
      <c r="P131" s="709" t="str">
        <f t="array" ref="P131">INDEX(UtilityList!L$4:L$251,MATCH('Table 2.5b'!$A131&amp;'Table 2.5b'!$B131,UtilityList!$A$4:$A$251&amp;UtilityList!$C$4:$C$251,0))</f>
        <v>Calista</v>
      </c>
      <c r="Q131" s="709" t="str">
        <f t="array" ref="Q131">INDEX(UtilityList!M$4:M$251,MATCH('Table 2.5b'!$A131&amp;'Table 2.5b'!$B131,UtilityList!$A$4:$A$251&amp;UtilityList!$C$4:$C$251,0))</f>
        <v>SW</v>
      </c>
    </row>
    <row r="132" spans="1:17" s="267" customFormat="1" ht="30" x14ac:dyDescent="0.25">
      <c r="A132" s="361" t="s">
        <v>236</v>
      </c>
      <c r="B132" s="654" t="s">
        <v>237</v>
      </c>
      <c r="C132" s="655">
        <f t="array" ref="C132">IFERROR((INDEX('Table 2.5a'!$D$8:$D$192,MATCH('Table 2.5b'!A132&amp;'Table 2.5b'!B132,'Table 2.5a'!$A$8:$A$192&amp;'Table 2.5a'!$B$8:$B$192,0))/INDEX('Table 2.5a'!$E$8:$E$192,MATCH('Table 2.5b'!A132&amp;'Table 2.5b'!B132,'Table 2.5a'!$A$8:$A$192&amp;'Table 2.5a'!$B$8:$B$192,0)))*1000, "")</f>
        <v>3980.4081523643035</v>
      </c>
      <c r="D132" s="655">
        <f t="array" ref="D132">IFERROR((INDEX('Table 2.5a'!$C$8:$C$192,MATCH('Table 2.5b'!A132&amp;'Table 2.5b'!B132,'Table 2.5a'!$A$8:$A$192&amp;'Table 2.5a'!$B$8:$B$192,0))/INDEX('Table 2.5a'!$E$8:$E$192,MATCH('Table 2.5b'!A132&amp;'Table 2.5b'!B132,'Table 2.5a'!$A$8:$A$192&amp;'Table 2.5a'!$B$8:$B$192,0)))*1000, "")</f>
        <v>1651.8693832311858</v>
      </c>
      <c r="E132" s="705">
        <f t="array" ref="E132">IFERROR(INDEX('Table 2.5a'!$C$8:$C$192,MATCH('Table 2.5b'!$A132&amp;'Table 2.5b'!$B132,'Table 2.5a'!$A$8:$A$192&amp;'Table 2.5a'!$B$8:$B$192,0))/INDEX('Table 2.5a'!$D$8:$D$192,MATCH('Table 2.5b'!$A132&amp;'Table 2.5b'!$B132,'Table 2.5a'!$A$8:$A$192&amp;'Table 2.5a'!$B$8:$B$192,0)),"")</f>
        <v>0.41499999999999998</v>
      </c>
      <c r="F132" s="655">
        <f t="array" ref="F132">IFERROR((INDEX('Table 2.5a'!$H$8:$H$192,MATCH('Table 2.5b'!$A132&amp;'Table 2.5b'!$B132,'Table 2.5a'!$A$8:$A$192&amp;'Table 2.5a'!$B$8:$B$192,0))/INDEX('Table 2.5a'!$I$8:$I$192,MATCH('Table 2.5b'!$A132&amp;'Table 2.5b'!$B132,'Table 2.5a'!$A$8:$A$192&amp;'Table 2.5a'!$B$8:$B$192,0)))*1000, "")</f>
        <v>9876.9610512046784</v>
      </c>
      <c r="G132" s="655">
        <f t="array" ref="G132">IFERROR((INDEX('Table 2.5a'!$G$8:$G$192,MATCH('Table 2.5b'!$A132&amp;'Table 2.5b'!$B132,'Table 2.5a'!$A$8:$A$192&amp;'Table 2.5a'!$B$8:$B$192,0))/INDEX('Table 2.5a'!$I$8:$I$192,MATCH('Table 2.5b'!$A132&amp;'Table 2.5b'!$B132,'Table 2.5a'!$A$8:$A$192&amp;'Table 2.5a'!$B$8:$B$192,0)))*1000, "")</f>
        <v>4098.9388362499412</v>
      </c>
      <c r="H132" s="705">
        <f t="array" ref="H132">IFERROR(INDEX('Table 2.5a'!$G$8:$G$192,MATCH('Table 2.5b'!$A132&amp;'Table 2.5b'!$B132,'Table 2.5a'!$A$8:$A$192&amp;'Table 2.5a'!$B$8:$B$192,0))/INDEX('Table 2.5a'!$H$8:$H$192,MATCH('Table 2.5b'!$A132&amp;'Table 2.5b'!$B132,'Table 2.5a'!$A$8:$A$192&amp;'Table 2.5a'!$B$8:$B$192,0)),"")</f>
        <v>0.41499999999999998</v>
      </c>
      <c r="I132" s="655">
        <f t="array" ref="I132">IFERROR((INDEX('Table 2.5a'!$L$8:$L$192,MATCH('Table 2.5b'!$A132&amp;'Table 2.5b'!$B132,'Table 2.5a'!$A$8:$A$192&amp;'Table 2.5a'!$B$8:$B$192,0))/INDEX('Table 2.5a'!$I$8:$I$192,MATCH('Table 2.5b'!$A132&amp;'Table 2.5b'!$B132,'Table 2.5a'!$A$8:$A$192&amp;'Table 2.5a'!$B$8:$B$192,0)))*1000, "")</f>
        <v>6617.2639770524584</v>
      </c>
      <c r="J132" s="655">
        <f t="array" ref="J132">IFERROR((INDEX('Table 2.5a'!$K$8:$K$192,MATCH('Table 2.5b'!$A132&amp;'Table 2.5b'!$B132,'Table 2.5a'!$A$8:$A$192&amp;'Table 2.5a'!$B$8:$B$192,0))/INDEX('Table 2.5a'!$I$8:$I$192,MATCH('Table 2.5b'!$A132&amp;'Table 2.5b'!$B132,'Table 2.5a'!$A$8:$A$192&amp;'Table 2.5a'!$B$8:$B$192,0)))*1000, "")</f>
        <v>2746.1645504767698</v>
      </c>
      <c r="K132" s="705">
        <f t="array" ref="K132">IFERROR(INDEX('Table 2.5a'!$I$8:$I$192,MATCH('Table 2.5b'!$A132&amp;'Table 2.5b'!$B132,'Table 2.5a'!$A$8:$A$192&amp;'Table 2.5a'!$B$8:$B$192,0))/INDEX('Table 2.5a'!$L$8:$L$192,MATCH('Table 2.5b'!$A132&amp;'Table 2.5b'!$B132,'Table 2.5a'!$A$8:$A$192&amp;'Table 2.5a'!$B$8:$B$192,0)),"")</f>
        <v>0.15111985912422859</v>
      </c>
      <c r="L132" s="658" t="s">
        <v>356</v>
      </c>
      <c r="M132" s="709">
        <f t="array" ref="M132">INDEX(UtilityList!Q$4:Q$251,MATCH('Table 2.5b'!$A132&amp;'Table 2.5b'!$B132,UtilityList!$A$4:$A$251&amp;UtilityList!$C$4:$C$251,0))</f>
        <v>0</v>
      </c>
      <c r="N132" s="709" t="str">
        <f t="array" ref="N132">INDEX(UtilityList!J$4:J$251,MATCH('Table 2.5b'!$A132&amp;'Table 2.5b'!$B132,UtilityList!$A$4:$A$251&amp;UtilityList!$C$4:$C$251,0))</f>
        <v>Kodiak</v>
      </c>
      <c r="O132" s="709" t="str">
        <f t="array" ref="O132">INDEX(UtilityList!K$4:K$251,MATCH('Table 2.5b'!$A132&amp;'Table 2.5b'!$B132,UtilityList!$A$4:$A$251&amp;UtilityList!$C$4:$C$251,0))</f>
        <v>Kodiak Island</v>
      </c>
      <c r="P132" s="709" t="str">
        <f t="array" ref="P132">INDEX(UtilityList!L$4:L$251,MATCH('Table 2.5b'!$A132&amp;'Table 2.5b'!$B132,UtilityList!$A$4:$A$251&amp;UtilityList!$C$4:$C$251,0))</f>
        <v>Koniag</v>
      </c>
      <c r="Q132" s="709" t="str">
        <f t="array" ref="Q132">INDEX(UtilityList!M$4:M$251,MATCH('Table 2.5b'!$A132&amp;'Table 2.5b'!$B132,UtilityList!$A$4:$A$251&amp;UtilityList!$C$4:$C$251,0))</f>
        <v>SC</v>
      </c>
    </row>
    <row r="133" spans="1:17" s="267" customFormat="1" ht="30" x14ac:dyDescent="0.25">
      <c r="A133" s="361" t="s">
        <v>238</v>
      </c>
      <c r="B133" s="654" t="s">
        <v>239</v>
      </c>
      <c r="C133" s="655">
        <f t="array" ref="C133">IFERROR((INDEX('Table 2.5a'!$D$8:$D$192,MATCH('Table 2.5b'!A133&amp;'Table 2.5b'!B133,'Table 2.5a'!$A$8:$A$192&amp;'Table 2.5a'!$B$8:$B$192,0))/INDEX('Table 2.5a'!$E$8:$E$192,MATCH('Table 2.5b'!A133&amp;'Table 2.5b'!B133,'Table 2.5a'!$A$8:$A$192&amp;'Table 2.5a'!$B$8:$B$192,0)))*1000, "")</f>
        <v>4710.1492537313434</v>
      </c>
      <c r="D133" s="655">
        <f t="array" ref="D133">IFERROR((INDEX('Table 2.5a'!$C$8:$C$192,MATCH('Table 2.5b'!A133&amp;'Table 2.5b'!B133,'Table 2.5a'!$A$8:$A$192&amp;'Table 2.5a'!$B$8:$B$192,0))/INDEX('Table 2.5a'!$E$8:$E$192,MATCH('Table 2.5b'!A133&amp;'Table 2.5b'!B133,'Table 2.5a'!$A$8:$A$192&amp;'Table 2.5a'!$B$8:$B$192,0)))*1000, "")</f>
        <v>3297.1044776119397</v>
      </c>
      <c r="E133" s="705">
        <f t="array" ref="E133">IFERROR(INDEX('Table 2.5a'!$C$8:$C$192,MATCH('Table 2.5b'!$A133&amp;'Table 2.5b'!$B133,'Table 2.5a'!$A$8:$A$192&amp;'Table 2.5a'!$B$8:$B$192,0))/INDEX('Table 2.5a'!$D$8:$D$192,MATCH('Table 2.5b'!$A133&amp;'Table 2.5b'!$B133,'Table 2.5a'!$A$8:$A$192&amp;'Table 2.5a'!$B$8:$B$192,0)),"")</f>
        <v>0.7</v>
      </c>
      <c r="F133" s="655">
        <f t="array" ref="F133">IFERROR((INDEX('Table 2.5a'!$H$8:$H$192,MATCH('Table 2.5b'!$A133&amp;'Table 2.5b'!$B133,'Table 2.5a'!$A$8:$A$192&amp;'Table 2.5a'!$B$8:$B$192,0))/INDEX('Table 2.5a'!$I$8:$I$192,MATCH('Table 2.5b'!$A133&amp;'Table 2.5b'!$B133,'Table 2.5a'!$A$8:$A$192&amp;'Table 2.5a'!$B$8:$B$192,0)))*1000, "")</f>
        <v>11223.35135135135</v>
      </c>
      <c r="G133" s="655">
        <f t="array" ref="G133">IFERROR((INDEX('Table 2.5a'!$G$8:$G$192,MATCH('Table 2.5b'!$A133&amp;'Table 2.5b'!$B133,'Table 2.5a'!$A$8:$A$192&amp;'Table 2.5a'!$B$8:$B$192,0))/INDEX('Table 2.5a'!$I$8:$I$192,MATCH('Table 2.5b'!$A133&amp;'Table 2.5b'!$B133,'Table 2.5a'!$A$8:$A$192&amp;'Table 2.5a'!$B$8:$B$192,0)))*1000, "")</f>
        <v>7856.3459459459455</v>
      </c>
      <c r="H133" s="705">
        <f t="array" ref="H133">IFERROR(INDEX('Table 2.5a'!$G$8:$G$192,MATCH('Table 2.5b'!$A133&amp;'Table 2.5b'!$B133,'Table 2.5a'!$A$8:$A$192&amp;'Table 2.5a'!$B$8:$B$192,0))/INDEX('Table 2.5a'!$H$8:$H$192,MATCH('Table 2.5b'!$A133&amp;'Table 2.5b'!$B133,'Table 2.5a'!$A$8:$A$192&amp;'Table 2.5a'!$B$8:$B$192,0)),"")</f>
        <v>0.7</v>
      </c>
      <c r="I133" s="655">
        <f t="array" ref="I133">IFERROR((INDEX('Table 2.5a'!$L$8:$L$192,MATCH('Table 2.5b'!$A133&amp;'Table 2.5b'!$B133,'Table 2.5a'!$A$8:$A$192&amp;'Table 2.5a'!$B$8:$B$192,0))/INDEX('Table 2.5a'!$I$8:$I$192,MATCH('Table 2.5b'!$A133&amp;'Table 2.5b'!$B133,'Table 2.5a'!$A$8:$A$192&amp;'Table 2.5a'!$B$8:$B$192,0)))*1000, "")</f>
        <v>10426.054054054055</v>
      </c>
      <c r="J133" s="655">
        <f t="array" ref="J133">IFERROR((INDEX('Table 2.5a'!$K$8:$K$192,MATCH('Table 2.5b'!$A133&amp;'Table 2.5b'!$B133,'Table 2.5a'!$A$8:$A$192&amp;'Table 2.5a'!$B$8:$B$192,0))/INDEX('Table 2.5a'!$I$8:$I$192,MATCH('Table 2.5b'!$A133&amp;'Table 2.5b'!$B133,'Table 2.5a'!$A$8:$A$192&amp;'Table 2.5a'!$B$8:$B$192,0)))*1000, "")</f>
        <v>7298.2378378378371</v>
      </c>
      <c r="K133" s="705">
        <f t="array" ref="K133">IFERROR(INDEX('Table 2.5a'!$I$8:$I$192,MATCH('Table 2.5b'!$A133&amp;'Table 2.5b'!$B133,'Table 2.5a'!$A$8:$A$192&amp;'Table 2.5a'!$B$8:$B$192,0))/INDEX('Table 2.5a'!$L$8:$L$192,MATCH('Table 2.5b'!$A133&amp;'Table 2.5b'!$B133,'Table 2.5a'!$A$8:$A$192&amp;'Table 2.5a'!$B$8:$B$192,0)),"")</f>
        <v>9.5913563733266968E-2</v>
      </c>
      <c r="L133" s="658" t="s">
        <v>356</v>
      </c>
      <c r="M133" s="709">
        <f t="array" ref="M133">INDEX(UtilityList!Q$4:Q$251,MATCH('Table 2.5b'!$A133&amp;'Table 2.5b'!$B133,UtilityList!$A$4:$A$251&amp;UtilityList!$C$4:$C$251,0))</f>
        <v>0</v>
      </c>
      <c r="N133" s="709" t="str">
        <f t="array" ref="N133">INDEX(UtilityList!J$4:J$251,MATCH('Table 2.5b'!$A133&amp;'Table 2.5b'!$B133,UtilityList!$A$4:$A$251&amp;UtilityList!$C$4:$C$251,0))</f>
        <v>Bristol Bay</v>
      </c>
      <c r="O133" s="709" t="str">
        <f t="array" ref="O133">INDEX(UtilityList!K$4:K$251,MATCH('Table 2.5b'!$A133&amp;'Table 2.5b'!$B133,UtilityList!$A$4:$A$251&amp;UtilityList!$C$4:$C$251,0))</f>
        <v>Lake and Peninsula</v>
      </c>
      <c r="P133" s="709" t="str">
        <f t="array" ref="P133">INDEX(UtilityList!L$4:L$251,MATCH('Table 2.5b'!$A133&amp;'Table 2.5b'!$B133,UtilityList!$A$4:$A$251&amp;UtilityList!$C$4:$C$251,0))</f>
        <v>Bristol Bay</v>
      </c>
      <c r="Q133" s="709" t="str">
        <f t="array" ref="Q133">INDEX(UtilityList!M$4:M$251,MATCH('Table 2.5b'!$A133&amp;'Table 2.5b'!$B133,UtilityList!$A$4:$A$251&amp;UtilityList!$C$4:$C$251,0))</f>
        <v>SW</v>
      </c>
    </row>
    <row r="134" spans="1:17" s="285" customFormat="1" ht="30" x14ac:dyDescent="0.25">
      <c r="A134" s="361" t="s">
        <v>242</v>
      </c>
      <c r="B134" s="654" t="s">
        <v>243</v>
      </c>
      <c r="C134" s="655">
        <f t="array" ref="C134">IFERROR((INDEX('Table 2.5a'!$D$8:$D$192,MATCH('Table 2.5b'!A134&amp;'Table 2.5b'!B134,'Table 2.5a'!$A$8:$A$192&amp;'Table 2.5a'!$B$8:$B$192,0))/INDEX('Table 2.5a'!$E$8:$E$192,MATCH('Table 2.5b'!A134&amp;'Table 2.5b'!B134,'Table 2.5a'!$A$8:$A$192&amp;'Table 2.5a'!$B$8:$B$192,0)))*1000, "")</f>
        <v>3692.7687074829932</v>
      </c>
      <c r="D134" s="655">
        <f t="array" ref="D134">IFERROR((INDEX('Table 2.5a'!$C$8:$C$192,MATCH('Table 2.5b'!A134&amp;'Table 2.5b'!B134,'Table 2.5a'!$A$8:$A$192&amp;'Table 2.5a'!$B$8:$B$192,0))/INDEX('Table 2.5a'!$E$8:$E$192,MATCH('Table 2.5b'!A134&amp;'Table 2.5b'!B134,'Table 2.5a'!$A$8:$A$192&amp;'Table 2.5a'!$B$8:$B$192,0)))*1000, "")</f>
        <v>2031.0227891156462</v>
      </c>
      <c r="E134" s="705">
        <f t="array" ref="E134">IFERROR(INDEX('Table 2.5a'!$C$8:$C$192,MATCH('Table 2.5b'!$A134&amp;'Table 2.5b'!$B134,'Table 2.5a'!$A$8:$A$192&amp;'Table 2.5a'!$B$8:$B$192,0))/INDEX('Table 2.5a'!$D$8:$D$192,MATCH('Table 2.5b'!$A134&amp;'Table 2.5b'!$B134,'Table 2.5a'!$A$8:$A$192&amp;'Table 2.5a'!$B$8:$B$192,0)),"")</f>
        <v>0.55000000000000004</v>
      </c>
      <c r="F134" s="655">
        <f t="array" ref="F134">IFERROR((INDEX('Table 2.5a'!$H$8:$H$192,MATCH('Table 2.5b'!$A134&amp;'Table 2.5b'!$B134,'Table 2.5a'!$A$8:$A$192&amp;'Table 2.5a'!$B$8:$B$192,0))/INDEX('Table 2.5a'!$I$8:$I$192,MATCH('Table 2.5b'!$A134&amp;'Table 2.5b'!$B134,'Table 2.5a'!$A$8:$A$192&amp;'Table 2.5a'!$B$8:$B$192,0)))*1000, "")</f>
        <v>7096.3116883116882</v>
      </c>
      <c r="G134" s="655">
        <f t="array" ref="G134">IFERROR((INDEX('Table 2.5a'!$G$8:$G$192,MATCH('Table 2.5b'!$A134&amp;'Table 2.5b'!$B134,'Table 2.5a'!$A$8:$A$192&amp;'Table 2.5a'!$B$8:$B$192,0))/INDEX('Table 2.5a'!$I$8:$I$192,MATCH('Table 2.5b'!$A134&amp;'Table 2.5b'!$B134,'Table 2.5a'!$A$8:$A$192&amp;'Table 2.5a'!$B$8:$B$192,0)))*1000, "")</f>
        <v>3902.971428571429</v>
      </c>
      <c r="H134" s="705">
        <f t="array" ref="H134">IFERROR(INDEX('Table 2.5a'!$G$8:$G$192,MATCH('Table 2.5b'!$A134&amp;'Table 2.5b'!$B134,'Table 2.5a'!$A$8:$A$192&amp;'Table 2.5a'!$B$8:$B$192,0))/INDEX('Table 2.5a'!$H$8:$H$192,MATCH('Table 2.5b'!$A134&amp;'Table 2.5b'!$B134,'Table 2.5a'!$A$8:$A$192&amp;'Table 2.5a'!$B$8:$B$192,0)),"")</f>
        <v>0.55000000000000004</v>
      </c>
      <c r="I134" s="655">
        <f t="array" ref="I134">IFERROR((INDEX('Table 2.5a'!$L$8:$L$192,MATCH('Table 2.5b'!$A134&amp;'Table 2.5b'!$B134,'Table 2.5a'!$A$8:$A$192&amp;'Table 2.5a'!$B$8:$B$192,0))/INDEX('Table 2.5a'!$I$8:$I$192,MATCH('Table 2.5b'!$A134&amp;'Table 2.5b'!$B134,'Table 2.5a'!$A$8:$A$192&amp;'Table 2.5a'!$B$8:$B$192,0)))*1000, "")</f>
        <v>28229.246753246756</v>
      </c>
      <c r="J134" s="655">
        <f t="array" ref="J134">IFERROR((INDEX('Table 2.5a'!$K$8:$K$192,MATCH('Table 2.5b'!$A134&amp;'Table 2.5b'!$B134,'Table 2.5a'!$A$8:$A$192&amp;'Table 2.5a'!$B$8:$B$192,0))/INDEX('Table 2.5a'!$I$8:$I$192,MATCH('Table 2.5b'!$A134&amp;'Table 2.5b'!$B134,'Table 2.5a'!$A$8:$A$192&amp;'Table 2.5a'!$B$8:$B$192,0)))*1000, "")</f>
        <v>15526.085714285715</v>
      </c>
      <c r="K134" s="705">
        <f t="array" ref="K134">IFERROR(INDEX('Table 2.5a'!$I$8:$I$192,MATCH('Table 2.5b'!$A134&amp;'Table 2.5b'!$B134,'Table 2.5a'!$A$8:$A$192&amp;'Table 2.5a'!$B$8:$B$192,0))/INDEX('Table 2.5a'!$L$8:$L$192,MATCH('Table 2.5b'!$A134&amp;'Table 2.5b'!$B134,'Table 2.5a'!$A$8:$A$192&amp;'Table 2.5a'!$B$8:$B$192,0)),"")</f>
        <v>3.5424253744389622E-2</v>
      </c>
      <c r="L134" s="658" t="s">
        <v>356</v>
      </c>
      <c r="M134" s="709">
        <f t="array" ref="M134">INDEX(UtilityList!Q$4:Q$251,MATCH('Table 2.5b'!$A134&amp;'Table 2.5b'!$B134,UtilityList!$A$4:$A$251&amp;UtilityList!$C$4:$C$251,0))</f>
        <v>0</v>
      </c>
      <c r="N134" s="709" t="str">
        <f t="array" ref="N134">INDEX(UtilityList!J$4:J$251,MATCH('Table 2.5b'!$A134&amp;'Table 2.5b'!$B134,UtilityList!$A$4:$A$251&amp;UtilityList!$C$4:$C$251,0))</f>
        <v>Bristol Bay</v>
      </c>
      <c r="O134" s="709" t="str">
        <f t="array" ref="O134">INDEX(UtilityList!K$4:K$251,MATCH('Table 2.5b'!$A134&amp;'Table 2.5b'!$B134,UtilityList!$A$4:$A$251&amp;UtilityList!$C$4:$C$251,0))</f>
        <v>Dillingham (CA)</v>
      </c>
      <c r="P134" s="709" t="str">
        <f t="array" ref="P134">INDEX(UtilityList!L$4:L$251,MATCH('Table 2.5b'!$A134&amp;'Table 2.5b'!$B134,UtilityList!$A$4:$A$251&amp;UtilityList!$C$4:$C$251,0))</f>
        <v>Bristol Bay</v>
      </c>
      <c r="Q134" s="709" t="str">
        <f t="array" ref="Q134">INDEX(UtilityList!M$4:M$251,MATCH('Table 2.5b'!$A134&amp;'Table 2.5b'!$B134,UtilityList!$A$4:$A$251&amp;UtilityList!$C$4:$C$251,0))</f>
        <v>SW</v>
      </c>
    </row>
    <row r="135" spans="1:17" s="267" customFormat="1" ht="30" x14ac:dyDescent="0.25">
      <c r="A135" s="361" t="s">
        <v>487</v>
      </c>
      <c r="B135" s="361"/>
      <c r="C135" s="655">
        <f t="array" ref="C135">IFERROR((INDEX('Table 2.5a'!$D$8:$D$192,MATCH('Table 2.5b'!A135&amp;'Table 2.5b'!B135,'Table 2.5a'!$A$8:$A$192&amp;'Table 2.5a'!$B$8:$B$192,0))/INDEX('Table 2.5a'!$E$8:$E$192,MATCH('Table 2.5b'!A135&amp;'Table 2.5b'!B135,'Table 2.5a'!$A$8:$A$192&amp;'Table 2.5a'!$B$8:$B$192,0)))*1000, "")</f>
        <v>8479.6671612915343</v>
      </c>
      <c r="D135" s="655">
        <f t="array" ref="D135">IFERROR((INDEX('Table 2.5a'!$C$8:$C$192,MATCH('Table 2.5b'!A135&amp;'Table 2.5b'!B135,'Table 2.5a'!$A$8:$A$192&amp;'Table 2.5a'!$B$8:$B$192,0))/INDEX('Table 2.5a'!$E$8:$E$192,MATCH('Table 2.5b'!A135&amp;'Table 2.5b'!B135,'Table 2.5a'!$A$8:$A$192&amp;'Table 2.5a'!$B$8:$B$192,0)))*1000, "")</f>
        <v>1281.2411953643007</v>
      </c>
      <c r="E135" s="705">
        <f t="array" ref="E135">IFERROR(INDEX('Table 2.5a'!$C$8:$C$192,MATCH('Table 2.5b'!$A135&amp;'Table 2.5b'!$B135,'Table 2.5a'!$A$8:$A$192&amp;'Table 2.5a'!$B$8:$B$192,0))/INDEX('Table 2.5a'!$D$8:$D$192,MATCH('Table 2.5b'!$A135&amp;'Table 2.5b'!$B135,'Table 2.5a'!$A$8:$A$192&amp;'Table 2.5a'!$B$8:$B$192,0)),"")</f>
        <v>0.15109569408726123</v>
      </c>
      <c r="F135" s="655">
        <f t="array" ref="F135">IFERROR((INDEX('Table 2.5a'!$H$8:$H$192,MATCH('Table 2.5b'!$A135&amp;'Table 2.5b'!$B135,'Table 2.5a'!$A$8:$A$192&amp;'Table 2.5a'!$B$8:$B$192,0))/INDEX('Table 2.5a'!$I$8:$I$192,MATCH('Table 2.5b'!$A135&amp;'Table 2.5b'!$B135,'Table 2.5a'!$A$8:$A$192&amp;'Table 2.5a'!$B$8:$B$192,0)))*1000, "")</f>
        <v>72449.836423118861</v>
      </c>
      <c r="G135" s="655">
        <f t="array" ref="G135">IFERROR((INDEX('Table 2.5a'!$G$8:$G$192,MATCH('Table 2.5b'!$A135&amp;'Table 2.5b'!$B135,'Table 2.5a'!$A$8:$A$192&amp;'Table 2.5a'!$B$8:$B$192,0))/INDEX('Table 2.5a'!$I$8:$I$192,MATCH('Table 2.5b'!$A135&amp;'Table 2.5b'!$B135,'Table 2.5a'!$A$8:$A$192&amp;'Table 2.5a'!$B$8:$B$192,0)))*1000, "")</f>
        <v>9213.7404580152688</v>
      </c>
      <c r="H135" s="705">
        <f t="array" ref="H135">IFERROR(INDEX('Table 2.5a'!$G$8:$G$192,MATCH('Table 2.5b'!$A135&amp;'Table 2.5b'!$B135,'Table 2.5a'!$A$8:$A$192&amp;'Table 2.5a'!$B$8:$B$192,0))/INDEX('Table 2.5a'!$H$8:$H$192,MATCH('Table 2.5b'!$A135&amp;'Table 2.5b'!$B135,'Table 2.5a'!$A$8:$A$192&amp;'Table 2.5a'!$B$8:$B$192,0)),"")</f>
        <v>0.12717406847139751</v>
      </c>
      <c r="I135" s="655">
        <f t="array" ref="I135">IFERROR((INDEX('Table 2.5a'!$L$8:$L$192,MATCH('Table 2.5b'!$A135&amp;'Table 2.5b'!$B135,'Table 2.5a'!$A$8:$A$192&amp;'Table 2.5a'!$B$8:$B$192,0))/INDEX('Table 2.5a'!$I$8:$I$192,MATCH('Table 2.5b'!$A135&amp;'Table 2.5b'!$B135,'Table 2.5a'!$A$8:$A$192&amp;'Table 2.5a'!$B$8:$B$192,0)))*1000, "")</f>
        <v>0</v>
      </c>
      <c r="J135" s="655">
        <f t="array" ref="J135">IFERROR((INDEX('Table 2.5a'!$K$8:$K$192,MATCH('Table 2.5b'!$A135&amp;'Table 2.5b'!$B135,'Table 2.5a'!$A$8:$A$192&amp;'Table 2.5a'!$B$8:$B$192,0))/INDEX('Table 2.5a'!$I$8:$I$192,MATCH('Table 2.5b'!$A135&amp;'Table 2.5b'!$B135,'Table 2.5a'!$A$8:$A$192&amp;'Table 2.5a'!$B$8:$B$192,0)))*1000, "")</f>
        <v>0</v>
      </c>
      <c r="K135" s="705" t="str">
        <f t="array" ref="K135">IFERROR(INDEX('Table 2.5a'!$I$8:$I$192,MATCH('Table 2.5b'!$A135&amp;'Table 2.5b'!$B135,'Table 2.5a'!$A$8:$A$192&amp;'Table 2.5a'!$B$8:$B$192,0))/INDEX('Table 2.5a'!$L$8:$L$192,MATCH('Table 2.5b'!$A135&amp;'Table 2.5b'!$B135,'Table 2.5a'!$A$8:$A$192&amp;'Table 2.5a'!$B$8:$B$192,0)),"")</f>
        <v/>
      </c>
      <c r="L135" s="707" t="s">
        <v>558</v>
      </c>
      <c r="M135" s="709">
        <f t="array" ref="M135">INDEX(UtilityList!Q$4:Q$251,MATCH('Table 2.5b'!$A135&amp;'Table 2.5b'!$B135,UtilityList!$A$4:$A$251&amp;UtilityList!$C$4:$C$251,0))</f>
        <v>0</v>
      </c>
      <c r="N135" s="709" t="str">
        <f t="array" ref="N135">INDEX(UtilityList!J$4:J$251,MATCH('Table 2.5b'!$A135&amp;'Table 2.5b'!$B135,UtilityList!$A$4:$A$251&amp;UtilityList!$C$4:$C$251,0))</f>
        <v>Railbelt</v>
      </c>
      <c r="O135" s="709" t="str">
        <f t="array" ref="O135">INDEX(UtilityList!K$4:K$251,MATCH('Table 2.5b'!$A135&amp;'Table 2.5b'!$B135,UtilityList!$A$4:$A$251&amp;UtilityList!$C$4:$C$251,0))</f>
        <v>Matanuska Susitna</v>
      </c>
      <c r="P135" s="709" t="str">
        <f t="array" ref="P135">INDEX(UtilityList!L$4:L$251,MATCH('Table 2.5b'!$A135&amp;'Table 2.5b'!$B135,UtilityList!$A$4:$A$251&amp;UtilityList!$C$4:$C$251,0))</f>
        <v>Cook Inlet</v>
      </c>
      <c r="Q135" s="709" t="str">
        <f t="array" ref="Q135">INDEX(UtilityList!M$4:M$251,MATCH('Table 2.5b'!$A135&amp;'Table 2.5b'!$B135,UtilityList!$A$4:$A$251&amp;UtilityList!$C$4:$C$251,0))</f>
        <v>SC</v>
      </c>
    </row>
    <row r="136" spans="1:17" s="267" customFormat="1" ht="30" x14ac:dyDescent="0.25">
      <c r="A136" s="361" t="s">
        <v>509</v>
      </c>
      <c r="B136" s="654" t="s">
        <v>244</v>
      </c>
      <c r="C136" s="655">
        <f t="array" ref="C136">IFERROR((INDEX('Table 2.5a'!$D$8:$D$192,MATCH('Table 2.5b'!A136&amp;'Table 2.5b'!B136,'Table 2.5a'!$A$8:$A$192&amp;'Table 2.5a'!$B$8:$B$192,0))/INDEX('Table 2.5a'!$E$8:$E$192,MATCH('Table 2.5b'!A136&amp;'Table 2.5b'!B136,'Table 2.5a'!$A$8:$A$192&amp;'Table 2.5a'!$B$8:$B$192,0)))*1000, "")</f>
        <v>3778.2765957446809</v>
      </c>
      <c r="D136" s="655">
        <f t="array" ref="D136">IFERROR((INDEX('Table 2.5a'!$C$8:$C$192,MATCH('Table 2.5b'!A136&amp;'Table 2.5b'!B136,'Table 2.5a'!$A$8:$A$192&amp;'Table 2.5a'!$B$8:$B$192,0))/INDEX('Table 2.5a'!$E$8:$E$192,MATCH('Table 2.5b'!A136&amp;'Table 2.5b'!B136,'Table 2.5a'!$A$8:$A$192&amp;'Table 2.5a'!$B$8:$B$192,0)))*1000, "")</f>
        <v>1924.4651840425531</v>
      </c>
      <c r="E136" s="705">
        <f t="array" ref="E136">IFERROR(INDEX('Table 2.5a'!$C$8:$C$192,MATCH('Table 2.5b'!$A136&amp;'Table 2.5b'!$B136,'Table 2.5a'!$A$8:$A$192&amp;'Table 2.5a'!$B$8:$B$192,0))/INDEX('Table 2.5a'!$D$8:$D$192,MATCH('Table 2.5b'!$A136&amp;'Table 2.5b'!$B136,'Table 2.5a'!$A$8:$A$192&amp;'Table 2.5a'!$B$8:$B$192,0)),"")</f>
        <v>0.50934999999999997</v>
      </c>
      <c r="F136" s="655">
        <f t="array" ref="F136">IFERROR((INDEX('Table 2.5a'!$H$8:$H$192,MATCH('Table 2.5b'!$A136&amp;'Table 2.5b'!$B136,'Table 2.5a'!$A$8:$A$192&amp;'Table 2.5a'!$B$8:$B$192,0))/INDEX('Table 2.5a'!$I$8:$I$192,MATCH('Table 2.5b'!$A136&amp;'Table 2.5b'!$B136,'Table 2.5a'!$A$8:$A$192&amp;'Table 2.5a'!$B$8:$B$192,0)))*1000, "")</f>
        <v>14741.4</v>
      </c>
      <c r="G136" s="655">
        <f t="array" ref="G136">IFERROR((INDEX('Table 2.5a'!$G$8:$G$192,MATCH('Table 2.5b'!$A136&amp;'Table 2.5b'!$B136,'Table 2.5a'!$A$8:$A$192&amp;'Table 2.5a'!$B$8:$B$192,0))/INDEX('Table 2.5a'!$I$8:$I$192,MATCH('Table 2.5b'!$A136&amp;'Table 2.5b'!$B136,'Table 2.5a'!$A$8:$A$192&amp;'Table 2.5a'!$B$8:$B$192,0)))*1000, "")</f>
        <v>7508.5320899999997</v>
      </c>
      <c r="H136" s="705">
        <f t="array" ref="H136">IFERROR(INDEX('Table 2.5a'!$G$8:$G$192,MATCH('Table 2.5b'!$A136&amp;'Table 2.5b'!$B136,'Table 2.5a'!$A$8:$A$192&amp;'Table 2.5a'!$B$8:$B$192,0))/INDEX('Table 2.5a'!$H$8:$H$192,MATCH('Table 2.5b'!$A136&amp;'Table 2.5b'!$B136,'Table 2.5a'!$A$8:$A$192&amp;'Table 2.5a'!$B$8:$B$192,0)),"")</f>
        <v>0.50934999999999997</v>
      </c>
      <c r="I136" s="655">
        <f t="array" ref="I136">IFERROR((INDEX('Table 2.5a'!$L$8:$L$192,MATCH('Table 2.5b'!$A136&amp;'Table 2.5b'!$B136,'Table 2.5a'!$A$8:$A$192&amp;'Table 2.5a'!$B$8:$B$192,0))/INDEX('Table 2.5a'!$I$8:$I$192,MATCH('Table 2.5b'!$A136&amp;'Table 2.5b'!$B136,'Table 2.5a'!$A$8:$A$192&amp;'Table 2.5a'!$B$8:$B$192,0)))*1000, "")</f>
        <v>15752.483333333334</v>
      </c>
      <c r="J136" s="655">
        <f t="array" ref="J136">IFERROR((INDEX('Table 2.5a'!$K$8:$K$192,MATCH('Table 2.5b'!$A136&amp;'Table 2.5b'!$B136,'Table 2.5a'!$A$8:$A$192&amp;'Table 2.5a'!$B$8:$B$192,0))/INDEX('Table 2.5a'!$I$8:$I$192,MATCH('Table 2.5b'!$A136&amp;'Table 2.5b'!$B136,'Table 2.5a'!$A$8:$A$192&amp;'Table 2.5a'!$B$8:$B$192,0)))*1000, "")</f>
        <v>8023.527385833333</v>
      </c>
      <c r="K136" s="705">
        <f t="array" ref="K136">IFERROR(INDEX('Table 2.5a'!$I$8:$I$192,MATCH('Table 2.5b'!$A136&amp;'Table 2.5b'!$B136,'Table 2.5a'!$A$8:$A$192&amp;'Table 2.5a'!$B$8:$B$192,0))/INDEX('Table 2.5a'!$L$8:$L$192,MATCH('Table 2.5b'!$A136&amp;'Table 2.5b'!$B136,'Table 2.5a'!$A$8:$A$192&amp;'Table 2.5a'!$B$8:$B$192,0)),"")</f>
        <v>6.3482054152308259E-2</v>
      </c>
      <c r="L136" s="658" t="s">
        <v>356</v>
      </c>
      <c r="M136" s="709">
        <f t="array" ref="M136">INDEX(UtilityList!Q$4:Q$251,MATCH('Table 2.5b'!$A136&amp;'Table 2.5b'!$B136,UtilityList!$A$4:$A$251&amp;UtilityList!$C$4:$C$251,0))</f>
        <v>0</v>
      </c>
      <c r="N136" s="709" t="str">
        <f t="array" ref="N136">INDEX(UtilityList!J$4:J$251,MATCH('Table 2.5b'!$A136&amp;'Table 2.5b'!$B136,UtilityList!$A$4:$A$251&amp;UtilityList!$C$4:$C$251,0))</f>
        <v>Yukon-Koyukuk/Upper Tanana</v>
      </c>
      <c r="O136" s="709" t="str">
        <f t="array" ref="O136">INDEX(UtilityList!K$4:K$251,MATCH('Table 2.5b'!$A136&amp;'Table 2.5b'!$B136,UtilityList!$A$4:$A$251&amp;UtilityList!$C$4:$C$251,0))</f>
        <v>Yukon-Koyukuk (CA)</v>
      </c>
      <c r="P136" s="709" t="str">
        <f t="array" ref="P136">INDEX(UtilityList!L$4:L$251,MATCH('Table 2.5b'!$A136&amp;'Table 2.5b'!$B136,UtilityList!$A$4:$A$251&amp;UtilityList!$C$4:$C$251,0))</f>
        <v>Doyon</v>
      </c>
      <c r="Q136" s="709" t="str">
        <f t="array" ref="Q136">INDEX(UtilityList!M$4:M$251,MATCH('Table 2.5b'!$A136&amp;'Table 2.5b'!$B136,UtilityList!$A$4:$A$251&amp;UtilityList!$C$4:$C$251,0))</f>
        <v>SW</v>
      </c>
    </row>
    <row r="137" spans="1:17" s="267" customFormat="1" ht="30" x14ac:dyDescent="0.25">
      <c r="A137" s="361" t="s">
        <v>245</v>
      </c>
      <c r="B137" s="361" t="s">
        <v>247</v>
      </c>
      <c r="C137" s="655">
        <f t="array" ref="C137">IFERROR((INDEX('Table 2.5a'!$D$8:$D$192,MATCH('Table 2.5b'!A137&amp;'Table 2.5b'!B137,'Table 2.5a'!$A$8:$A$192&amp;'Table 2.5a'!$B$8:$B$192,0))/INDEX('Table 2.5a'!$E$8:$E$192,MATCH('Table 2.5b'!A137&amp;'Table 2.5b'!B137,'Table 2.5a'!$A$8:$A$192&amp;'Table 2.5a'!$B$8:$B$192,0)))*1000, "")</f>
        <v>13190.327613104524</v>
      </c>
      <c r="D137" s="655">
        <f t="array" ref="D137">IFERROR((INDEX('Table 2.5a'!$C$8:$C$192,MATCH('Table 2.5b'!A137&amp;'Table 2.5b'!B137,'Table 2.5a'!$A$8:$A$192&amp;'Table 2.5a'!$B$8:$B$192,0))/INDEX('Table 2.5a'!$E$8:$E$192,MATCH('Table 2.5b'!A137&amp;'Table 2.5b'!B137,'Table 2.5a'!$A$8:$A$192&amp;'Table 2.5a'!$B$8:$B$192,0)))*1000, "")</f>
        <v>1204.3681747269891</v>
      </c>
      <c r="E137" s="705">
        <f t="array" ref="E137">IFERROR(INDEX('Table 2.5a'!$C$8:$C$192,MATCH('Table 2.5b'!$A137&amp;'Table 2.5b'!$B137,'Table 2.5a'!$A$8:$A$192&amp;'Table 2.5a'!$B$8:$B$192,0))/INDEX('Table 2.5a'!$D$8:$D$192,MATCH('Table 2.5b'!$A137&amp;'Table 2.5b'!$B137,'Table 2.5a'!$A$8:$A$192&amp;'Table 2.5a'!$B$8:$B$192,0)),"")</f>
        <v>9.1306918982850385E-2</v>
      </c>
      <c r="F137" s="655">
        <f t="array" ref="F137">IFERROR((INDEX('Table 2.5a'!$H$8:$H$192,MATCH('Table 2.5b'!$A137&amp;'Table 2.5b'!$B137,'Table 2.5a'!$A$8:$A$192&amp;'Table 2.5a'!$B$8:$B$192,0))/INDEX('Table 2.5a'!$I$8:$I$192,MATCH('Table 2.5b'!$A137&amp;'Table 2.5b'!$B137,'Table 2.5a'!$A$8:$A$192&amp;'Table 2.5a'!$B$8:$B$192,0)))*1000, "")</f>
        <v>47052.380952380947</v>
      </c>
      <c r="G137" s="655">
        <f t="array" ref="G137">IFERROR((INDEX('Table 2.5a'!$G$8:$G$192,MATCH('Table 2.5b'!$A137&amp;'Table 2.5b'!$B137,'Table 2.5a'!$A$8:$A$192&amp;'Table 2.5a'!$B$8:$B$192,0))/INDEX('Table 2.5a'!$I$8:$I$192,MATCH('Table 2.5b'!$A137&amp;'Table 2.5b'!$B137,'Table 2.5a'!$A$8:$A$192&amp;'Table 2.5a'!$B$8:$B$192,0)))*1000, "")</f>
        <v>5642.8571428571431</v>
      </c>
      <c r="H137" s="705">
        <f t="array" ref="H137">IFERROR(INDEX('Table 2.5a'!$G$8:$G$192,MATCH('Table 2.5b'!$A137&amp;'Table 2.5b'!$B137,'Table 2.5a'!$A$8:$A$192&amp;'Table 2.5a'!$B$8:$B$192,0))/INDEX('Table 2.5a'!$H$8:$H$192,MATCH('Table 2.5b'!$A137&amp;'Table 2.5b'!$B137,'Table 2.5a'!$A$8:$A$192&amp;'Table 2.5a'!$B$8:$B$192,0)),"")</f>
        <v>0.11992713288128731</v>
      </c>
      <c r="I137" s="655">
        <f t="array" ref="I137">IFERROR((INDEX('Table 2.5a'!$L$8:$L$192,MATCH('Table 2.5b'!$A137&amp;'Table 2.5b'!$B137,'Table 2.5a'!$A$8:$A$192&amp;'Table 2.5a'!$B$8:$B$192,0))/INDEX('Table 2.5a'!$I$8:$I$192,MATCH('Table 2.5b'!$A137&amp;'Table 2.5b'!$B137,'Table 2.5a'!$A$8:$A$192&amp;'Table 2.5a'!$B$8:$B$192,0)))*1000, "")</f>
        <v>285.71428571428572</v>
      </c>
      <c r="J137" s="655">
        <f t="array" ref="J137">IFERROR((INDEX('Table 2.5a'!$K$8:$K$192,MATCH('Table 2.5b'!$A137&amp;'Table 2.5b'!$B137,'Table 2.5a'!$A$8:$A$192&amp;'Table 2.5a'!$B$8:$B$192,0))/INDEX('Table 2.5a'!$I$8:$I$192,MATCH('Table 2.5b'!$A137&amp;'Table 2.5b'!$B137,'Table 2.5a'!$A$8:$A$192&amp;'Table 2.5a'!$B$8:$B$192,0)))*1000, "")</f>
        <v>52.38095238095238</v>
      </c>
      <c r="K137" s="705">
        <f t="array" ref="K137">IFERROR(INDEX('Table 2.5a'!$I$8:$I$192,MATCH('Table 2.5b'!$A137&amp;'Table 2.5b'!$B137,'Table 2.5a'!$A$8:$A$192&amp;'Table 2.5a'!$B$8:$B$192,0))/INDEX('Table 2.5a'!$L$8:$L$192,MATCH('Table 2.5b'!$A137&amp;'Table 2.5b'!$B137,'Table 2.5a'!$A$8:$A$192&amp;'Table 2.5a'!$B$8:$B$192,0)),"")</f>
        <v>3.5</v>
      </c>
      <c r="L137" s="707" t="s">
        <v>558</v>
      </c>
      <c r="M137" s="709">
        <f t="array" ref="M137">INDEX(UtilityList!Q$4:Q$251,MATCH('Table 2.5b'!$A137&amp;'Table 2.5b'!$B137,UtilityList!$A$4:$A$251&amp;UtilityList!$C$4:$C$251,0))</f>
        <v>0</v>
      </c>
      <c r="N137" s="709" t="str">
        <f t="array" ref="N137">INDEX(UtilityList!J$4:J$251,MATCH('Table 2.5b'!$A137&amp;'Table 2.5b'!$B137,UtilityList!$A$4:$A$251&amp;UtilityList!$C$4:$C$251,0))</f>
        <v>Southeast</v>
      </c>
      <c r="O137" s="709" t="str">
        <f t="array" ref="O137">INDEX(UtilityList!K$4:K$251,MATCH('Table 2.5b'!$A137&amp;'Table 2.5b'!$B137,UtilityList!$A$4:$A$251&amp;UtilityList!$C$4:$C$251,0))</f>
        <v>Prince of Wales-Hyder (CA)</v>
      </c>
      <c r="P137" s="709" t="str">
        <f t="array" ref="P137">INDEX(UtilityList!L$4:L$251,MATCH('Table 2.5b'!$A137&amp;'Table 2.5b'!$B137,UtilityList!$A$4:$A$251&amp;UtilityList!$C$4:$C$251,0))</f>
        <v>Sealaska</v>
      </c>
      <c r="Q137" s="709" t="str">
        <f t="array" ref="Q137">INDEX(UtilityList!M$4:M$251,MATCH('Table 2.5b'!$A137&amp;'Table 2.5b'!$B137,UtilityList!$A$4:$A$251&amp;UtilityList!$C$4:$C$251,0))</f>
        <v>SE</v>
      </c>
    </row>
    <row r="138" spans="1:17" s="285" customFormat="1" ht="30" x14ac:dyDescent="0.25">
      <c r="A138" s="361" t="s">
        <v>250</v>
      </c>
      <c r="B138" s="654" t="s">
        <v>251</v>
      </c>
      <c r="C138" s="655">
        <f t="array" ref="C138">IFERROR((INDEX('Table 2.5a'!$D$8:$D$192,MATCH('Table 2.5b'!A138&amp;'Table 2.5b'!B138,'Table 2.5a'!$A$8:$A$192&amp;'Table 2.5a'!$B$8:$B$192,0))/INDEX('Table 2.5a'!$E$8:$E$192,MATCH('Table 2.5b'!A138&amp;'Table 2.5b'!B138,'Table 2.5a'!$A$8:$A$192&amp;'Table 2.5a'!$B$8:$B$192,0)))*1000, "")</f>
        <v>3548.6531236722362</v>
      </c>
      <c r="D138" s="655">
        <f t="array" ref="D138">IFERROR((INDEX('Table 2.5a'!$C$8:$C$192,MATCH('Table 2.5b'!A138&amp;'Table 2.5b'!B138,'Table 2.5a'!$A$8:$A$192&amp;'Table 2.5a'!$B$8:$B$192,0))/INDEX('Table 2.5a'!$E$8:$E$192,MATCH('Table 2.5b'!A138&amp;'Table 2.5b'!B138,'Table 2.5a'!$A$8:$A$192&amp;'Table 2.5a'!$B$8:$B$192,0)))*1000, "")</f>
        <v>3014.4921122314727</v>
      </c>
      <c r="E138" s="705">
        <f t="array" ref="E138">IFERROR(INDEX('Table 2.5a'!$C$8:$C$192,MATCH('Table 2.5b'!$A138&amp;'Table 2.5b'!$B138,'Table 2.5a'!$A$8:$A$192&amp;'Table 2.5a'!$B$8:$B$192,0))/INDEX('Table 2.5a'!$D$8:$D$192,MATCH('Table 2.5b'!$A138&amp;'Table 2.5b'!$B138,'Table 2.5a'!$A$8:$A$192&amp;'Table 2.5a'!$B$8:$B$192,0)),"")</f>
        <v>0.84947499999999998</v>
      </c>
      <c r="F138" s="655">
        <f t="array" ref="F138">IFERROR((INDEX('Table 2.5a'!$H$8:$H$192,MATCH('Table 2.5b'!$A138&amp;'Table 2.5b'!$B138,'Table 2.5a'!$A$8:$A$192&amp;'Table 2.5a'!$B$8:$B$192,0))/INDEX('Table 2.5a'!$I$8:$I$192,MATCH('Table 2.5b'!$A138&amp;'Table 2.5b'!$B138,'Table 2.5a'!$A$8:$A$192&amp;'Table 2.5a'!$B$8:$B$192,0)))*1000, "")</f>
        <v>18202.833333333336</v>
      </c>
      <c r="G138" s="655">
        <f t="array" ref="G138">IFERROR((INDEX('Table 2.5a'!$G$8:$G$192,MATCH('Table 2.5b'!$A138&amp;'Table 2.5b'!$B138,'Table 2.5a'!$A$8:$A$192&amp;'Table 2.5a'!$B$8:$B$192,0))/INDEX('Table 2.5a'!$I$8:$I$192,MATCH('Table 2.5b'!$A138&amp;'Table 2.5b'!$B138,'Table 2.5a'!$A$8:$A$192&amp;'Table 2.5a'!$B$8:$B$192,0)))*1000, "")</f>
        <v>15462.851845833333</v>
      </c>
      <c r="H138" s="705">
        <f t="array" ref="H138">IFERROR(INDEX('Table 2.5a'!$G$8:$G$192,MATCH('Table 2.5b'!$A138&amp;'Table 2.5b'!$B138,'Table 2.5a'!$A$8:$A$192&amp;'Table 2.5a'!$B$8:$B$192,0))/INDEX('Table 2.5a'!$H$8:$H$192,MATCH('Table 2.5b'!$A138&amp;'Table 2.5b'!$B138,'Table 2.5a'!$A$8:$A$192&amp;'Table 2.5a'!$B$8:$B$192,0)),"")</f>
        <v>0.84947499999999998</v>
      </c>
      <c r="I138" s="655">
        <f t="array" ref="I138">IFERROR((INDEX('Table 2.5a'!$L$8:$L$192,MATCH('Table 2.5b'!$A138&amp;'Table 2.5b'!$B138,'Table 2.5a'!$A$8:$A$192&amp;'Table 2.5a'!$B$8:$B$192,0))/INDEX('Table 2.5a'!$I$8:$I$192,MATCH('Table 2.5b'!$A138&amp;'Table 2.5b'!$B138,'Table 2.5a'!$A$8:$A$192&amp;'Table 2.5a'!$B$8:$B$192,0)))*1000, "")</f>
        <v>4495.666666666667</v>
      </c>
      <c r="J138" s="655">
        <f t="array" ref="J138">IFERROR((INDEX('Table 2.5a'!$K$8:$K$192,MATCH('Table 2.5b'!$A138&amp;'Table 2.5b'!$B138,'Table 2.5a'!$A$8:$A$192&amp;'Table 2.5a'!$B$8:$B$192,0))/INDEX('Table 2.5a'!$I$8:$I$192,MATCH('Table 2.5b'!$A138&amp;'Table 2.5b'!$B138,'Table 2.5a'!$A$8:$A$192&amp;'Table 2.5a'!$B$8:$B$192,0)))*1000, "")</f>
        <v>3818.9564416666663</v>
      </c>
      <c r="K138" s="705">
        <f t="array" ref="K138">IFERROR(INDEX('Table 2.5a'!$I$8:$I$192,MATCH('Table 2.5b'!$A138&amp;'Table 2.5b'!$B138,'Table 2.5a'!$A$8:$A$192&amp;'Table 2.5a'!$B$8:$B$192,0))/INDEX('Table 2.5a'!$L$8:$L$192,MATCH('Table 2.5b'!$A138&amp;'Table 2.5b'!$B138,'Table 2.5a'!$A$8:$A$192&amp;'Table 2.5a'!$B$8:$B$192,0)),"")</f>
        <v>0.22243642025654334</v>
      </c>
      <c r="L138" s="658" t="s">
        <v>356</v>
      </c>
      <c r="M138" s="709">
        <f t="array" ref="M138">INDEX(UtilityList!Q$4:Q$251,MATCH('Table 2.5b'!$A138&amp;'Table 2.5b'!$B138,UtilityList!$A$4:$A$251&amp;UtilityList!$C$4:$C$251,0))</f>
        <v>0</v>
      </c>
      <c r="N138" s="709" t="str">
        <f t="array" ref="N138">INDEX(UtilityList!J$4:J$251,MATCH('Table 2.5b'!$A138&amp;'Table 2.5b'!$B138,UtilityList!$A$4:$A$251&amp;UtilityList!$C$4:$C$251,0))</f>
        <v>Lower Yukon-Kuskokwim</v>
      </c>
      <c r="O138" s="709" t="str">
        <f t="array" ref="O138">INDEX(UtilityList!K$4:K$251,MATCH('Table 2.5b'!$A138&amp;'Table 2.5b'!$B138,UtilityList!$A$4:$A$251&amp;UtilityList!$C$4:$C$251,0))</f>
        <v>Bethel (CA)</v>
      </c>
      <c r="P138" s="709" t="str">
        <f t="array" ref="P138">INDEX(UtilityList!L$4:L$251,MATCH('Table 2.5b'!$A138&amp;'Table 2.5b'!$B138,UtilityList!$A$4:$A$251&amp;UtilityList!$C$4:$C$251,0))</f>
        <v>Calista</v>
      </c>
      <c r="Q138" s="709" t="str">
        <f t="array" ref="Q138">INDEX(UtilityList!M$4:M$251,MATCH('Table 2.5b'!$A138&amp;'Table 2.5b'!$B138,UtilityList!$A$4:$A$251&amp;UtilityList!$C$4:$C$251,0))</f>
        <v>SW</v>
      </c>
    </row>
    <row r="139" spans="1:17" s="267" customFormat="1" ht="30" x14ac:dyDescent="0.25">
      <c r="A139" s="361" t="s">
        <v>250</v>
      </c>
      <c r="B139" s="654" t="s">
        <v>252</v>
      </c>
      <c r="C139" s="655">
        <f t="array" ref="C139">IFERROR((INDEX('Table 2.5a'!$D$8:$D$192,MATCH('Table 2.5b'!A139&amp;'Table 2.5b'!B139,'Table 2.5a'!$A$8:$A$192&amp;'Table 2.5a'!$B$8:$B$192,0))/INDEX('Table 2.5a'!$E$8:$E$192,MATCH('Table 2.5b'!A139&amp;'Table 2.5b'!B139,'Table 2.5a'!$A$8:$A$192&amp;'Table 2.5a'!$B$8:$B$192,0)))*1000, "")</f>
        <v>3086.6666666666665</v>
      </c>
      <c r="D139" s="655">
        <f t="array" ref="D139">IFERROR((INDEX('Table 2.5a'!$C$8:$C$192,MATCH('Table 2.5b'!A139&amp;'Table 2.5b'!B139,'Table 2.5a'!$A$8:$A$192&amp;'Table 2.5a'!$B$8:$B$192,0))/INDEX('Table 2.5a'!$E$8:$E$192,MATCH('Table 2.5b'!A139&amp;'Table 2.5b'!B139,'Table 2.5a'!$A$8:$A$192&amp;'Table 2.5a'!$B$8:$B$192,0)))*1000, "")</f>
        <v>2622.0204547333333</v>
      </c>
      <c r="E139" s="705">
        <f t="array" ref="E139">IFERROR(INDEX('Table 2.5a'!$C$8:$C$192,MATCH('Table 2.5b'!$A139&amp;'Table 2.5b'!$B139,'Table 2.5a'!$A$8:$A$192&amp;'Table 2.5a'!$B$8:$B$192,0))/INDEX('Table 2.5a'!$D$8:$D$192,MATCH('Table 2.5b'!$A139&amp;'Table 2.5b'!$B139,'Table 2.5a'!$A$8:$A$192&amp;'Table 2.5a'!$B$8:$B$192,0)),"")</f>
        <v>0.84946666999999998</v>
      </c>
      <c r="F139" s="655">
        <f t="array" ref="F139">IFERROR((INDEX('Table 2.5a'!$H$8:$H$192,MATCH('Table 2.5b'!$A139&amp;'Table 2.5b'!$B139,'Table 2.5a'!$A$8:$A$192&amp;'Table 2.5a'!$B$8:$B$192,0))/INDEX('Table 2.5a'!$I$8:$I$192,MATCH('Table 2.5b'!$A139&amp;'Table 2.5b'!$B139,'Table 2.5a'!$A$8:$A$192&amp;'Table 2.5a'!$B$8:$B$192,0)))*1000, "")</f>
        <v>13201.625</v>
      </c>
      <c r="G139" s="655">
        <f t="array" ref="G139">IFERROR((INDEX('Table 2.5a'!$G$8:$G$192,MATCH('Table 2.5b'!$A139&amp;'Table 2.5b'!$B139,'Table 2.5a'!$A$8:$A$192&amp;'Table 2.5a'!$B$8:$B$192,0))/INDEX('Table 2.5a'!$I$8:$I$192,MATCH('Table 2.5b'!$A139&amp;'Table 2.5b'!$B139,'Table 2.5a'!$A$8:$A$192&amp;'Table 2.5a'!$B$8:$B$192,0)))*1000, "")</f>
        <v>11214.34042733875</v>
      </c>
      <c r="H139" s="705">
        <f t="array" ref="H139">IFERROR(INDEX('Table 2.5a'!$G$8:$G$192,MATCH('Table 2.5b'!$A139&amp;'Table 2.5b'!$B139,'Table 2.5a'!$A$8:$A$192&amp;'Table 2.5a'!$B$8:$B$192,0))/INDEX('Table 2.5a'!$H$8:$H$192,MATCH('Table 2.5b'!$A139&amp;'Table 2.5b'!$B139,'Table 2.5a'!$A$8:$A$192&amp;'Table 2.5a'!$B$8:$B$192,0)),"")</f>
        <v>0.84946666999999998</v>
      </c>
      <c r="I139" s="655">
        <f t="array" ref="I139">IFERROR((INDEX('Table 2.5a'!$L$8:$L$192,MATCH('Table 2.5b'!$A139&amp;'Table 2.5b'!$B139,'Table 2.5a'!$A$8:$A$192&amp;'Table 2.5a'!$B$8:$B$192,0))/INDEX('Table 2.5a'!$I$8:$I$192,MATCH('Table 2.5b'!$A139&amp;'Table 2.5b'!$B139,'Table 2.5a'!$A$8:$A$192&amp;'Table 2.5a'!$B$8:$B$192,0)))*1000, "")</f>
        <v>6316.5</v>
      </c>
      <c r="J139" s="655">
        <f t="array" ref="J139">IFERROR((INDEX('Table 2.5a'!$K$8:$K$192,MATCH('Table 2.5b'!$A139&amp;'Table 2.5b'!$B139,'Table 2.5a'!$A$8:$A$192&amp;'Table 2.5a'!$B$8:$B$192,0))/INDEX('Table 2.5a'!$I$8:$I$192,MATCH('Table 2.5b'!$A139&amp;'Table 2.5b'!$B139,'Table 2.5a'!$A$8:$A$192&amp;'Table 2.5a'!$B$8:$B$192,0)))*1000, "")</f>
        <v>5365.6562210550001</v>
      </c>
      <c r="K139" s="705">
        <f t="array" ref="K139">IFERROR(INDEX('Table 2.5a'!$I$8:$I$192,MATCH('Table 2.5b'!$A139&amp;'Table 2.5b'!$B139,'Table 2.5a'!$A$8:$A$192&amp;'Table 2.5a'!$B$8:$B$192,0))/INDEX('Table 2.5a'!$L$8:$L$192,MATCH('Table 2.5b'!$A139&amp;'Table 2.5b'!$B139,'Table 2.5a'!$A$8:$A$192&amp;'Table 2.5a'!$B$8:$B$192,0)),"")</f>
        <v>0.15831552283701417</v>
      </c>
      <c r="L139" s="658" t="s">
        <v>356</v>
      </c>
      <c r="M139" s="709">
        <f t="array" ref="M139">INDEX(UtilityList!Q$4:Q$251,MATCH('Table 2.5b'!$A139&amp;'Table 2.5b'!$B139,UtilityList!$A$4:$A$251&amp;UtilityList!$C$4:$C$251,0))</f>
        <v>0</v>
      </c>
      <c r="N139" s="709" t="str">
        <f t="array" ref="N139">INDEX(UtilityList!J$4:J$251,MATCH('Table 2.5b'!$A139&amp;'Table 2.5b'!$B139,UtilityList!$A$4:$A$251&amp;UtilityList!$C$4:$C$251,0))</f>
        <v>Lower Yukon-Kuskokwim</v>
      </c>
      <c r="O139" s="709" t="str">
        <f t="array" ref="O139">INDEX(UtilityList!K$4:K$251,MATCH('Table 2.5b'!$A139&amp;'Table 2.5b'!$B139,UtilityList!$A$4:$A$251&amp;UtilityList!$C$4:$C$251,0))</f>
        <v>Bethel (CA)</v>
      </c>
      <c r="P139" s="709" t="str">
        <f t="array" ref="P139">INDEX(UtilityList!L$4:L$251,MATCH('Table 2.5b'!$A139&amp;'Table 2.5b'!$B139,UtilityList!$A$4:$A$251&amp;UtilityList!$C$4:$C$251,0))</f>
        <v>Calista</v>
      </c>
      <c r="Q139" s="709" t="str">
        <f t="array" ref="Q139">INDEX(UtilityList!M$4:M$251,MATCH('Table 2.5b'!$A139&amp;'Table 2.5b'!$B139,UtilityList!$A$4:$A$251&amp;UtilityList!$C$4:$C$251,0))</f>
        <v>SW</v>
      </c>
    </row>
    <row r="140" spans="1:17" s="267" customFormat="1" ht="30" x14ac:dyDescent="0.25">
      <c r="A140" s="361" t="s">
        <v>250</v>
      </c>
      <c r="B140" s="654" t="s">
        <v>253</v>
      </c>
      <c r="C140" s="655">
        <f t="array" ref="C140">IFERROR((INDEX('Table 2.5a'!$D$8:$D$192,MATCH('Table 2.5b'!A140&amp;'Table 2.5b'!B140,'Table 2.5a'!$A$8:$A$192&amp;'Table 2.5a'!$B$8:$B$192,0))/INDEX('Table 2.5a'!$E$8:$E$192,MATCH('Table 2.5b'!A140&amp;'Table 2.5b'!B140,'Table 2.5a'!$A$8:$A$192&amp;'Table 2.5a'!$B$8:$B$192,0)))*1000, "")</f>
        <v>3503.5052991136208</v>
      </c>
      <c r="D140" s="655">
        <f t="array" ref="D140">IFERROR((INDEX('Table 2.5a'!$C$8:$C$192,MATCH('Table 2.5b'!A140&amp;'Table 2.5b'!B140,'Table 2.5a'!$A$8:$A$192&amp;'Table 2.5a'!$B$8:$B$192,0))/INDEX('Table 2.5a'!$E$8:$E$192,MATCH('Table 2.5b'!A140&amp;'Table 2.5b'!B140,'Table 2.5a'!$A$8:$A$192&amp;'Table 2.5a'!$B$8:$B$192,0)))*1000, "")</f>
        <v>2975.5854539705342</v>
      </c>
      <c r="E140" s="705">
        <f t="array" ref="E140">IFERROR(INDEX('Table 2.5a'!$C$8:$C$192,MATCH('Table 2.5b'!$A140&amp;'Table 2.5b'!$B140,'Table 2.5a'!$A$8:$A$192&amp;'Table 2.5a'!$B$8:$B$192,0))/INDEX('Table 2.5a'!$D$8:$D$192,MATCH('Table 2.5b'!$A140&amp;'Table 2.5b'!$B140,'Table 2.5a'!$A$8:$A$192&amp;'Table 2.5a'!$B$8:$B$192,0)),"")</f>
        <v>0.84931666999999988</v>
      </c>
      <c r="F140" s="655">
        <f t="array" ref="F140">IFERROR((INDEX('Table 2.5a'!$H$8:$H$192,MATCH('Table 2.5b'!$A140&amp;'Table 2.5b'!$B140,'Table 2.5a'!$A$8:$A$192&amp;'Table 2.5a'!$B$8:$B$192,0))/INDEX('Table 2.5a'!$I$8:$I$192,MATCH('Table 2.5b'!$A140&amp;'Table 2.5b'!$B140,'Table 2.5a'!$A$8:$A$192&amp;'Table 2.5a'!$B$8:$B$192,0)))*1000, "")</f>
        <v>7727.666666666667</v>
      </c>
      <c r="G140" s="655">
        <f t="array" ref="G140">IFERROR((INDEX('Table 2.5a'!$G$8:$G$192,MATCH('Table 2.5b'!$A140&amp;'Table 2.5b'!$B140,'Table 2.5a'!$A$8:$A$192&amp;'Table 2.5a'!$B$8:$B$192,0))/INDEX('Table 2.5a'!$I$8:$I$192,MATCH('Table 2.5b'!$A140&amp;'Table 2.5b'!$B140,'Table 2.5a'!$A$8:$A$192&amp;'Table 2.5a'!$B$8:$B$192,0)))*1000, "")</f>
        <v>6563.2361202033326</v>
      </c>
      <c r="H140" s="705">
        <f t="array" ref="H140">IFERROR(INDEX('Table 2.5a'!$G$8:$G$192,MATCH('Table 2.5b'!$A140&amp;'Table 2.5b'!$B140,'Table 2.5a'!$A$8:$A$192&amp;'Table 2.5a'!$B$8:$B$192,0))/INDEX('Table 2.5a'!$H$8:$H$192,MATCH('Table 2.5b'!$A140&amp;'Table 2.5b'!$B140,'Table 2.5a'!$A$8:$A$192&amp;'Table 2.5a'!$B$8:$B$192,0)),"")</f>
        <v>0.84931666999999988</v>
      </c>
      <c r="I140" s="655">
        <f t="array" ref="I140">IFERROR((INDEX('Table 2.5a'!$L$8:$L$192,MATCH('Table 2.5b'!$A140&amp;'Table 2.5b'!$B140,'Table 2.5a'!$A$8:$A$192&amp;'Table 2.5a'!$B$8:$B$192,0))/INDEX('Table 2.5a'!$I$8:$I$192,MATCH('Table 2.5b'!$A140&amp;'Table 2.5b'!$B140,'Table 2.5a'!$A$8:$A$192&amp;'Table 2.5a'!$B$8:$B$192,0)))*1000, "")</f>
        <v>4803.666666666667</v>
      </c>
      <c r="J140" s="655">
        <f t="array" ref="J140">IFERROR((INDEX('Table 2.5a'!$K$8:$K$192,MATCH('Table 2.5b'!$A140&amp;'Table 2.5b'!$B140,'Table 2.5a'!$A$8:$A$192&amp;'Table 2.5a'!$B$8:$B$192,0))/INDEX('Table 2.5a'!$I$8:$I$192,MATCH('Table 2.5b'!$A140&amp;'Table 2.5b'!$B140,'Table 2.5a'!$A$8:$A$192&amp;'Table 2.5a'!$B$8:$B$192,0)))*1000, "")</f>
        <v>4079.8341771233336</v>
      </c>
      <c r="K140" s="705">
        <f t="array" ref="K140">IFERROR(INDEX('Table 2.5a'!$I$8:$I$192,MATCH('Table 2.5b'!$A140&amp;'Table 2.5b'!$B140,'Table 2.5a'!$A$8:$A$192&amp;'Table 2.5a'!$B$8:$B$192,0))/INDEX('Table 2.5a'!$L$8:$L$192,MATCH('Table 2.5b'!$A140&amp;'Table 2.5b'!$B140,'Table 2.5a'!$A$8:$A$192&amp;'Table 2.5a'!$B$8:$B$192,0)),"")</f>
        <v>0.20817431128998681</v>
      </c>
      <c r="L140" s="658" t="s">
        <v>356</v>
      </c>
      <c r="M140" s="709">
        <f t="array" ref="M140">INDEX(UtilityList!Q$4:Q$251,MATCH('Table 2.5b'!$A140&amp;'Table 2.5b'!$B140,UtilityList!$A$4:$A$251&amp;UtilityList!$C$4:$C$251,0))</f>
        <v>0</v>
      </c>
      <c r="N140" s="709" t="str">
        <f t="array" ref="N140">INDEX(UtilityList!J$4:J$251,MATCH('Table 2.5b'!$A140&amp;'Table 2.5b'!$B140,UtilityList!$A$4:$A$251&amp;UtilityList!$C$4:$C$251,0))</f>
        <v>Lower Yukon-Kuskokwim</v>
      </c>
      <c r="O140" s="709" t="str">
        <f t="array" ref="O140">INDEX(UtilityList!K$4:K$251,MATCH('Table 2.5b'!$A140&amp;'Table 2.5b'!$B140,UtilityList!$A$4:$A$251&amp;UtilityList!$C$4:$C$251,0))</f>
        <v>Bethel (CA)</v>
      </c>
      <c r="P140" s="709" t="str">
        <f t="array" ref="P140">INDEX(UtilityList!L$4:L$251,MATCH('Table 2.5b'!$A140&amp;'Table 2.5b'!$B140,UtilityList!$A$4:$A$251&amp;UtilityList!$C$4:$C$251,0))</f>
        <v>Calista</v>
      </c>
      <c r="Q140" s="709" t="str">
        <f t="array" ref="Q140">INDEX(UtilityList!M$4:M$251,MATCH('Table 2.5b'!$A140&amp;'Table 2.5b'!$B140,UtilityList!$A$4:$A$251&amp;UtilityList!$C$4:$C$251,0))</f>
        <v>SW</v>
      </c>
    </row>
    <row r="141" spans="1:17" s="267" customFormat="1" ht="30" x14ac:dyDescent="0.25">
      <c r="A141" s="361" t="s">
        <v>250</v>
      </c>
      <c r="B141" s="654" t="s">
        <v>254</v>
      </c>
      <c r="C141" s="655">
        <f t="array" ref="C141">IFERROR((INDEX('Table 2.5a'!$D$8:$D$192,MATCH('Table 2.5b'!A141&amp;'Table 2.5b'!B141,'Table 2.5a'!$A$8:$A$192&amp;'Table 2.5a'!$B$8:$B$192,0))/INDEX('Table 2.5a'!$E$8:$E$192,MATCH('Table 2.5b'!A141&amp;'Table 2.5b'!B141,'Table 2.5a'!$A$8:$A$192&amp;'Table 2.5a'!$B$8:$B$192,0)))*1000, "")</f>
        <v>3322.8739233699966</v>
      </c>
      <c r="D141" s="655">
        <f t="array" ref="D141">IFERROR((INDEX('Table 2.5a'!$C$8:$C$192,MATCH('Table 2.5b'!A141&amp;'Table 2.5b'!B141,'Table 2.5a'!$A$8:$A$192&amp;'Table 2.5a'!$B$8:$B$192,0))/INDEX('Table 2.5a'!$E$8:$E$192,MATCH('Table 2.5b'!A141&amp;'Table 2.5b'!B141,'Table 2.5a'!$A$8:$A$192&amp;'Table 2.5a'!$B$8:$B$192,0)))*1000, "")</f>
        <v>2822.7260055945094</v>
      </c>
      <c r="E141" s="705">
        <f t="array" ref="E141">IFERROR(INDEX('Table 2.5a'!$C$8:$C$192,MATCH('Table 2.5b'!$A141&amp;'Table 2.5b'!$B141,'Table 2.5a'!$A$8:$A$192&amp;'Table 2.5a'!$B$8:$B$192,0))/INDEX('Table 2.5a'!$D$8:$D$192,MATCH('Table 2.5b'!$A141&amp;'Table 2.5b'!$B141,'Table 2.5a'!$A$8:$A$192&amp;'Table 2.5a'!$B$8:$B$192,0)),"")</f>
        <v>0.84948333000000009</v>
      </c>
      <c r="F141" s="655">
        <f t="array" ref="F141">IFERROR((INDEX('Table 2.5a'!$H$8:$H$192,MATCH('Table 2.5b'!$A141&amp;'Table 2.5b'!$B141,'Table 2.5a'!$A$8:$A$192&amp;'Table 2.5a'!$B$8:$B$192,0))/INDEX('Table 2.5a'!$I$8:$I$192,MATCH('Table 2.5b'!$A141&amp;'Table 2.5b'!$B141,'Table 2.5a'!$A$8:$A$192&amp;'Table 2.5a'!$B$8:$B$192,0)))*1000, "")</f>
        <v>9407</v>
      </c>
      <c r="G141" s="655">
        <f t="array" ref="G141">IFERROR((INDEX('Table 2.5a'!$G$8:$G$192,MATCH('Table 2.5b'!$A141&amp;'Table 2.5b'!$B141,'Table 2.5a'!$A$8:$A$192&amp;'Table 2.5a'!$B$8:$B$192,0))/INDEX('Table 2.5a'!$I$8:$I$192,MATCH('Table 2.5b'!$A141&amp;'Table 2.5b'!$B141,'Table 2.5a'!$A$8:$A$192&amp;'Table 2.5a'!$B$8:$B$192,0)))*1000, "")</f>
        <v>7991.0896853100003</v>
      </c>
      <c r="H141" s="705">
        <f t="array" ref="H141">IFERROR(INDEX('Table 2.5a'!$G$8:$G$192,MATCH('Table 2.5b'!$A141&amp;'Table 2.5b'!$B141,'Table 2.5a'!$A$8:$A$192&amp;'Table 2.5a'!$B$8:$B$192,0))/INDEX('Table 2.5a'!$H$8:$H$192,MATCH('Table 2.5b'!$A141&amp;'Table 2.5b'!$B141,'Table 2.5a'!$A$8:$A$192&amp;'Table 2.5a'!$B$8:$B$192,0)),"")</f>
        <v>0.84948332999999998</v>
      </c>
      <c r="I141" s="655">
        <f t="array" ref="I141">IFERROR((INDEX('Table 2.5a'!$L$8:$L$192,MATCH('Table 2.5b'!$A141&amp;'Table 2.5b'!$B141,'Table 2.5a'!$A$8:$A$192&amp;'Table 2.5a'!$B$8:$B$192,0))/INDEX('Table 2.5a'!$I$8:$I$192,MATCH('Table 2.5b'!$A141&amp;'Table 2.5b'!$B141,'Table 2.5a'!$A$8:$A$192&amp;'Table 2.5a'!$B$8:$B$192,0)))*1000, "")</f>
        <v>11885.714285714286</v>
      </c>
      <c r="J141" s="655">
        <f t="array" ref="J141">IFERROR((INDEX('Table 2.5a'!$K$8:$K$192,MATCH('Table 2.5b'!$A141&amp;'Table 2.5b'!$B141,'Table 2.5a'!$A$8:$A$192&amp;'Table 2.5a'!$B$8:$B$192,0))/INDEX('Table 2.5a'!$I$8:$I$192,MATCH('Table 2.5b'!$A141&amp;'Table 2.5b'!$B141,'Table 2.5a'!$A$8:$A$192&amp;'Table 2.5a'!$B$8:$B$192,0)))*1000, "")</f>
        <v>10096.716150857144</v>
      </c>
      <c r="K141" s="705">
        <f t="array" ref="K141">IFERROR(INDEX('Table 2.5a'!$I$8:$I$192,MATCH('Table 2.5b'!$A141&amp;'Table 2.5b'!$B141,'Table 2.5a'!$A$8:$A$192&amp;'Table 2.5a'!$B$8:$B$192,0))/INDEX('Table 2.5a'!$L$8:$L$192,MATCH('Table 2.5b'!$A141&amp;'Table 2.5b'!$B141,'Table 2.5a'!$A$8:$A$192&amp;'Table 2.5a'!$B$8:$B$192,0)),"")</f>
        <v>8.4134615384615377E-2</v>
      </c>
      <c r="L141" s="658" t="s">
        <v>356</v>
      </c>
      <c r="M141" s="709">
        <f t="array" ref="M141">INDEX(UtilityList!Q$4:Q$251,MATCH('Table 2.5b'!$A141&amp;'Table 2.5b'!$B141,UtilityList!$A$4:$A$251&amp;UtilityList!$C$4:$C$251,0))</f>
        <v>0</v>
      </c>
      <c r="N141" s="709" t="str">
        <f t="array" ref="N141">INDEX(UtilityList!J$4:J$251,MATCH('Table 2.5b'!$A141&amp;'Table 2.5b'!$B141,UtilityList!$A$4:$A$251&amp;UtilityList!$C$4:$C$251,0))</f>
        <v>Lower Yukon-Kuskokwim</v>
      </c>
      <c r="O141" s="709" t="str">
        <f t="array" ref="O141">INDEX(UtilityList!K$4:K$251,MATCH('Table 2.5b'!$A141&amp;'Table 2.5b'!$B141,UtilityList!$A$4:$A$251&amp;UtilityList!$C$4:$C$251,0))</f>
        <v>Bethel (CA)</v>
      </c>
      <c r="P141" s="709" t="str">
        <f t="array" ref="P141">INDEX(UtilityList!L$4:L$251,MATCH('Table 2.5b'!$A141&amp;'Table 2.5b'!$B141,UtilityList!$A$4:$A$251&amp;UtilityList!$C$4:$C$251,0))</f>
        <v>Calista</v>
      </c>
      <c r="Q141" s="709" t="str">
        <f t="array" ref="Q141">INDEX(UtilityList!M$4:M$251,MATCH('Table 2.5b'!$A141&amp;'Table 2.5b'!$B141,UtilityList!$A$4:$A$251&amp;UtilityList!$C$4:$C$251,0))</f>
        <v>SW</v>
      </c>
    </row>
    <row r="142" spans="1:17" s="267" customFormat="1" ht="30" x14ac:dyDescent="0.25">
      <c r="A142" s="361" t="s">
        <v>250</v>
      </c>
      <c r="B142" s="654" t="s">
        <v>255</v>
      </c>
      <c r="C142" s="655">
        <f t="array" ref="C142">IFERROR((INDEX('Table 2.5a'!$D$8:$D$192,MATCH('Table 2.5b'!A142&amp;'Table 2.5b'!B142,'Table 2.5a'!$A$8:$A$192&amp;'Table 2.5a'!$B$8:$B$192,0))/INDEX('Table 2.5a'!$E$8:$E$192,MATCH('Table 2.5b'!A142&amp;'Table 2.5b'!B142,'Table 2.5a'!$A$8:$A$192&amp;'Table 2.5a'!$B$8:$B$192,0)))*1000, "")</f>
        <v>2351.0643064610758</v>
      </c>
      <c r="D142" s="655">
        <f t="array" ref="D142">IFERROR((INDEX('Table 2.5a'!$C$8:$C$192,MATCH('Table 2.5b'!A142&amp;'Table 2.5b'!B142,'Table 2.5a'!$A$8:$A$192&amp;'Table 2.5a'!$B$8:$B$192,0))/INDEX('Table 2.5a'!$E$8:$E$192,MATCH('Table 2.5b'!A142&amp;'Table 2.5b'!B142,'Table 2.5a'!$A$8:$A$192&amp;'Table 2.5a'!$B$8:$B$192,0)))*1000, "")</f>
        <v>1997.2291283386837</v>
      </c>
      <c r="E142" s="705">
        <f t="array" ref="E142">IFERROR(INDEX('Table 2.5a'!$C$8:$C$192,MATCH('Table 2.5b'!$A142&amp;'Table 2.5b'!$B142,'Table 2.5a'!$A$8:$A$192&amp;'Table 2.5a'!$B$8:$B$192,0))/INDEX('Table 2.5a'!$D$8:$D$192,MATCH('Table 2.5b'!$A142&amp;'Table 2.5b'!$B142,'Table 2.5a'!$A$8:$A$192&amp;'Table 2.5a'!$B$8:$B$192,0)),"")</f>
        <v>0.84950000000000003</v>
      </c>
      <c r="F142" s="655">
        <f t="array" ref="F142">IFERROR((INDEX('Table 2.5a'!$H$8:$H$192,MATCH('Table 2.5b'!$A142&amp;'Table 2.5b'!$B142,'Table 2.5a'!$A$8:$A$192&amp;'Table 2.5a'!$B$8:$B$192,0))/INDEX('Table 2.5a'!$I$8:$I$192,MATCH('Table 2.5b'!$A142&amp;'Table 2.5b'!$B142,'Table 2.5a'!$A$8:$A$192&amp;'Table 2.5a'!$B$8:$B$192,0)))*1000, "")</f>
        <v>9794</v>
      </c>
      <c r="G142" s="655">
        <f t="array" ref="G142">IFERROR((INDEX('Table 2.5a'!$G$8:$G$192,MATCH('Table 2.5b'!$A142&amp;'Table 2.5b'!$B142,'Table 2.5a'!$A$8:$A$192&amp;'Table 2.5a'!$B$8:$B$192,0))/INDEX('Table 2.5a'!$I$8:$I$192,MATCH('Table 2.5b'!$A142&amp;'Table 2.5b'!$B142,'Table 2.5a'!$A$8:$A$192&amp;'Table 2.5a'!$B$8:$B$192,0)))*1000, "")</f>
        <v>8320.0030000000006</v>
      </c>
      <c r="H142" s="705">
        <f t="array" ref="H142">IFERROR(INDEX('Table 2.5a'!$G$8:$G$192,MATCH('Table 2.5b'!$A142&amp;'Table 2.5b'!$B142,'Table 2.5a'!$A$8:$A$192&amp;'Table 2.5a'!$B$8:$B$192,0))/INDEX('Table 2.5a'!$H$8:$H$192,MATCH('Table 2.5b'!$A142&amp;'Table 2.5b'!$B142,'Table 2.5a'!$A$8:$A$192&amp;'Table 2.5a'!$B$8:$B$192,0)),"")</f>
        <v>0.84950000000000003</v>
      </c>
      <c r="I142" s="655">
        <f t="array" ref="I142">IFERROR((INDEX('Table 2.5a'!$L$8:$L$192,MATCH('Table 2.5b'!$A142&amp;'Table 2.5b'!$B142,'Table 2.5a'!$A$8:$A$192&amp;'Table 2.5a'!$B$8:$B$192,0))/INDEX('Table 2.5a'!$I$8:$I$192,MATCH('Table 2.5b'!$A142&amp;'Table 2.5b'!$B142,'Table 2.5a'!$A$8:$A$192&amp;'Table 2.5a'!$B$8:$B$192,0)))*1000, "")</f>
        <v>3927.6000000000004</v>
      </c>
      <c r="J142" s="655">
        <f t="array" ref="J142">IFERROR((INDEX('Table 2.5a'!$K$8:$K$192,MATCH('Table 2.5b'!$A142&amp;'Table 2.5b'!$B142,'Table 2.5a'!$A$8:$A$192&amp;'Table 2.5a'!$B$8:$B$192,0))/INDEX('Table 2.5a'!$I$8:$I$192,MATCH('Table 2.5b'!$A142&amp;'Table 2.5b'!$B142,'Table 2.5a'!$A$8:$A$192&amp;'Table 2.5a'!$B$8:$B$192,0)))*1000, "")</f>
        <v>3336.4962000000005</v>
      </c>
      <c r="K142" s="705">
        <f t="array" ref="K142">IFERROR(INDEX('Table 2.5a'!$I$8:$I$192,MATCH('Table 2.5b'!$A142&amp;'Table 2.5b'!$B142,'Table 2.5a'!$A$8:$A$192&amp;'Table 2.5a'!$B$8:$B$192,0))/INDEX('Table 2.5a'!$L$8:$L$192,MATCH('Table 2.5b'!$A142&amp;'Table 2.5b'!$B142,'Table 2.5a'!$A$8:$A$192&amp;'Table 2.5a'!$B$8:$B$192,0)),"")</f>
        <v>0.25460841226194109</v>
      </c>
      <c r="L142" s="658" t="s">
        <v>356</v>
      </c>
      <c r="M142" s="709">
        <f t="array" ref="M142">INDEX(UtilityList!Q$4:Q$251,MATCH('Table 2.5b'!$A142&amp;'Table 2.5b'!$B142,UtilityList!$A$4:$A$251&amp;UtilityList!$C$4:$C$251,0))</f>
        <v>0</v>
      </c>
      <c r="N142" s="709" t="str">
        <f t="array" ref="N142">INDEX(UtilityList!J$4:J$251,MATCH('Table 2.5b'!$A142&amp;'Table 2.5b'!$B142,UtilityList!$A$4:$A$251&amp;UtilityList!$C$4:$C$251,0))</f>
        <v>Lower Yukon-Kuskokwim</v>
      </c>
      <c r="O142" s="709" t="str">
        <f t="array" ref="O142">INDEX(UtilityList!K$4:K$251,MATCH('Table 2.5b'!$A142&amp;'Table 2.5b'!$B142,UtilityList!$A$4:$A$251&amp;UtilityList!$C$4:$C$251,0))</f>
        <v>Bethel (CA)</v>
      </c>
      <c r="P142" s="709" t="str">
        <f t="array" ref="P142">INDEX(UtilityList!L$4:L$251,MATCH('Table 2.5b'!$A142&amp;'Table 2.5b'!$B142,UtilityList!$A$4:$A$251&amp;UtilityList!$C$4:$C$251,0))</f>
        <v>Calista</v>
      </c>
      <c r="Q142" s="709" t="str">
        <f t="array" ref="Q142">INDEX(UtilityList!M$4:M$251,MATCH('Table 2.5b'!$A142&amp;'Table 2.5b'!$B142,UtilityList!$A$4:$A$251&amp;UtilityList!$C$4:$C$251,0))</f>
        <v>SW</v>
      </c>
    </row>
    <row r="143" spans="1:17" s="267" customFormat="1" ht="75" x14ac:dyDescent="0.25">
      <c r="A143" s="361" t="s">
        <v>258</v>
      </c>
      <c r="B143" s="654" t="s">
        <v>682</v>
      </c>
      <c r="C143" s="655">
        <f t="array" ref="C143">IFERROR((INDEX('Table 2.5a'!$D$8:$D$192,MATCH('Table 2.5b'!A143&amp;'Table 2.5b'!B143,'Table 2.5a'!$A$8:$A$192&amp;'Table 2.5a'!$B$8:$B$192,0))/INDEX('Table 2.5a'!$E$8:$E$192,MATCH('Table 2.5b'!A143&amp;'Table 2.5b'!B143,'Table 2.5a'!$A$8:$A$192&amp;'Table 2.5a'!$B$8:$B$192,0)))*1000, "")</f>
        <v>4564.113602568078</v>
      </c>
      <c r="D143" s="655">
        <f t="array" ref="D143">IFERROR((INDEX('Table 2.5a'!$C$8:$C$192,MATCH('Table 2.5b'!A143&amp;'Table 2.5b'!B143,'Table 2.5a'!$A$8:$A$192&amp;'Table 2.5a'!$B$8:$B$192,0))/INDEX('Table 2.5a'!$E$8:$E$192,MATCH('Table 2.5b'!A143&amp;'Table 2.5b'!B143,'Table 2.5a'!$A$8:$A$192&amp;'Table 2.5a'!$B$8:$B$192,0)))*1000, "")</f>
        <v>2302.8615372420331</v>
      </c>
      <c r="E143" s="705">
        <f t="array" ref="E143">IFERROR(INDEX('Table 2.5a'!$C$8:$C$192,MATCH('Table 2.5b'!$A143&amp;'Table 2.5b'!$B143,'Table 2.5a'!$A$8:$A$192&amp;'Table 2.5a'!$B$8:$B$192,0))/INDEX('Table 2.5a'!$D$8:$D$192,MATCH('Table 2.5b'!$A143&amp;'Table 2.5b'!$B143,'Table 2.5a'!$A$8:$A$192&amp;'Table 2.5a'!$B$8:$B$192,0)),"")</f>
        <v>0.50455833000000005</v>
      </c>
      <c r="F143" s="655">
        <f t="array" ref="F143">IFERROR((INDEX('Table 2.5a'!$H$8:$H$192,MATCH('Table 2.5b'!$A143&amp;'Table 2.5b'!$B143,'Table 2.5a'!$A$8:$A$192&amp;'Table 2.5a'!$B$8:$B$192,0))/INDEX('Table 2.5a'!$I$8:$I$192,MATCH('Table 2.5b'!$A143&amp;'Table 2.5b'!$B143,'Table 2.5a'!$A$8:$A$192&amp;'Table 2.5a'!$B$8:$B$192,0)))*1000, "")</f>
        <v>39115.847034830251</v>
      </c>
      <c r="G143" s="655">
        <f t="array" ref="G143">IFERROR((INDEX('Table 2.5a'!$G$8:$G$192,MATCH('Table 2.5b'!$A143&amp;'Table 2.5b'!$B143,'Table 2.5a'!$A$8:$A$192&amp;'Table 2.5a'!$B$8:$B$192,0))/INDEX('Table 2.5a'!$I$8:$I$192,MATCH('Table 2.5b'!$A143&amp;'Table 2.5b'!$B143,'Table 2.5a'!$A$8:$A$192&amp;'Table 2.5a'!$B$8:$B$192,0)))*1000, "")</f>
        <v>19736.226456429406</v>
      </c>
      <c r="H143" s="705">
        <f t="array" ref="H143">IFERROR(INDEX('Table 2.5a'!$G$8:$G$192,MATCH('Table 2.5b'!$A143&amp;'Table 2.5b'!$B143,'Table 2.5a'!$A$8:$A$192&amp;'Table 2.5a'!$B$8:$B$192,0))/INDEX('Table 2.5a'!$H$8:$H$192,MATCH('Table 2.5b'!$A143&amp;'Table 2.5b'!$B143,'Table 2.5a'!$A$8:$A$192&amp;'Table 2.5a'!$B$8:$B$192,0)),"")</f>
        <v>0.50455833000000005</v>
      </c>
      <c r="I143" s="655">
        <f t="array" ref="I143">IFERROR((INDEX('Table 2.5a'!$L$8:$L$192,MATCH('Table 2.5b'!$A143&amp;'Table 2.5b'!$B143,'Table 2.5a'!$A$8:$A$192&amp;'Table 2.5a'!$B$8:$B$192,0))/INDEX('Table 2.5a'!$I$8:$I$192,MATCH('Table 2.5b'!$A143&amp;'Table 2.5b'!$B143,'Table 2.5a'!$A$8:$A$192&amp;'Table 2.5a'!$B$8:$B$192,0)))*1000, "")</f>
        <v>22343.252502983971</v>
      </c>
      <c r="J143" s="655">
        <f t="array" ref="J143">IFERROR((INDEX('Table 2.5a'!$K$8:$K$192,MATCH('Table 2.5b'!$A143&amp;'Table 2.5b'!$B143,'Table 2.5a'!$A$8:$A$192&amp;'Table 2.5a'!$B$8:$B$192,0))/INDEX('Table 2.5a'!$I$8:$I$192,MATCH('Table 2.5b'!$A143&amp;'Table 2.5b'!$B143,'Table 2.5a'!$A$8:$A$192&amp;'Table 2.5a'!$B$8:$B$192,0)))*1000, "")</f>
        <v>11273.474169673915</v>
      </c>
      <c r="K143" s="705">
        <f t="array" ref="K143">IFERROR(INDEX('Table 2.5a'!$I$8:$I$192,MATCH('Table 2.5b'!$A143&amp;'Table 2.5b'!$B143,'Table 2.5a'!$A$8:$A$192&amp;'Table 2.5a'!$B$8:$B$192,0))/INDEX('Table 2.5a'!$L$8:$L$192,MATCH('Table 2.5b'!$A143&amp;'Table 2.5b'!$B143,'Table 2.5a'!$A$8:$A$192&amp;'Table 2.5a'!$B$8:$B$192,0)),"")</f>
        <v>4.47562412798427E-2</v>
      </c>
      <c r="L143" s="658" t="s">
        <v>356</v>
      </c>
      <c r="M143" s="709" t="str">
        <f t="array" ref="M143">INDEX(UtilityList!Q$4:Q$251,MATCH('Table 2.5b'!$A143&amp;'Table 2.5b'!$B143,UtilityList!$A$4:$A$251&amp;UtilityList!$C$4:$C$251,0))</f>
        <v>Provides power to South Naknek and King Salmon via intertie. Data includes South Naknek's and King Salmon's information.</v>
      </c>
      <c r="N143" s="709" t="str">
        <f t="array" ref="N143">INDEX(UtilityList!J$4:J$251,MATCH('Table 2.5b'!$A143&amp;'Table 2.5b'!$B143,UtilityList!$A$4:$A$251&amp;UtilityList!$C$4:$C$251,0))</f>
        <v>Bristol Bay</v>
      </c>
      <c r="O143" s="709" t="str">
        <f t="array" ref="O143">INDEX(UtilityList!K$4:K$251,MATCH('Table 2.5b'!$A143&amp;'Table 2.5b'!$B143,UtilityList!$A$4:$A$251&amp;UtilityList!$C$4:$C$251,0))</f>
        <v>Bristol Bay</v>
      </c>
      <c r="P143" s="709" t="str">
        <f t="array" ref="P143">INDEX(UtilityList!L$4:L$251,MATCH('Table 2.5b'!$A143&amp;'Table 2.5b'!$B143,UtilityList!$A$4:$A$251&amp;UtilityList!$C$4:$C$251,0))</f>
        <v>Bristol Bay</v>
      </c>
      <c r="Q143" s="709" t="str">
        <f t="array" ref="Q143">INDEX(UtilityList!M$4:M$251,MATCH('Table 2.5b'!$A143&amp;'Table 2.5b'!$B143,UtilityList!$A$4:$A$251&amp;UtilityList!$C$4:$C$251,0))</f>
        <v>SW</v>
      </c>
    </row>
    <row r="144" spans="1:17" s="267" customFormat="1" ht="45" x14ac:dyDescent="0.25">
      <c r="A144" s="361" t="s">
        <v>260</v>
      </c>
      <c r="B144" s="654" t="s">
        <v>261</v>
      </c>
      <c r="C144" s="655">
        <f t="array" ref="C144">IFERROR((INDEX('Table 2.5a'!$D$8:$D$192,MATCH('Table 2.5b'!A144&amp;'Table 2.5b'!B144,'Table 2.5a'!$A$8:$A$192&amp;'Table 2.5a'!$B$8:$B$192,0))/INDEX('Table 2.5a'!$E$8:$E$192,MATCH('Table 2.5b'!A144&amp;'Table 2.5b'!B144,'Table 2.5a'!$A$8:$A$192&amp;'Table 2.5a'!$B$8:$B$192,0)))*1000, "")</f>
        <v>3220.6241541075933</v>
      </c>
      <c r="D144" s="655">
        <f t="array" ref="D144">IFERROR((INDEX('Table 2.5a'!$C$8:$C$192,MATCH('Table 2.5b'!A144&amp;'Table 2.5b'!B144,'Table 2.5a'!$A$8:$A$192&amp;'Table 2.5a'!$B$8:$B$192,0))/INDEX('Table 2.5a'!$E$8:$E$192,MATCH('Table 2.5b'!A144&amp;'Table 2.5b'!B144,'Table 2.5a'!$A$8:$A$192&amp;'Table 2.5a'!$B$8:$B$192,0)))*1000, "")</f>
        <v>2658.2494889957588</v>
      </c>
      <c r="E144" s="705">
        <f t="array" ref="E144">IFERROR(INDEX('Table 2.5a'!$C$8:$C$192,MATCH('Table 2.5b'!$A144&amp;'Table 2.5b'!$B144,'Table 2.5a'!$A$8:$A$192&amp;'Table 2.5a'!$B$8:$B$192,0))/INDEX('Table 2.5a'!$D$8:$D$192,MATCH('Table 2.5b'!$A144&amp;'Table 2.5b'!$B144,'Table 2.5a'!$A$8:$A$192&amp;'Table 2.5a'!$B$8:$B$192,0)),"")</f>
        <v>0.82538332999999997</v>
      </c>
      <c r="F144" s="655">
        <f t="array" ref="F144">IFERROR((INDEX('Table 2.5a'!$H$8:$H$192,MATCH('Table 2.5b'!$A144&amp;'Table 2.5b'!$B144,'Table 2.5a'!$A$8:$A$192&amp;'Table 2.5a'!$B$8:$B$192,0))/INDEX('Table 2.5a'!$I$8:$I$192,MATCH('Table 2.5b'!$A144&amp;'Table 2.5b'!$B144,'Table 2.5a'!$A$8:$A$192&amp;'Table 2.5a'!$B$8:$B$192,0)))*1000, "")</f>
        <v>9933.823529411764</v>
      </c>
      <c r="G144" s="655">
        <f t="array" ref="G144">IFERROR((INDEX('Table 2.5a'!$G$8:$G$192,MATCH('Table 2.5b'!$A144&amp;'Table 2.5b'!$B144,'Table 2.5a'!$A$8:$A$192&amp;'Table 2.5a'!$B$8:$B$192,0))/INDEX('Table 2.5a'!$I$8:$I$192,MATCH('Table 2.5b'!$A144&amp;'Table 2.5b'!$B144,'Table 2.5a'!$A$8:$A$192&amp;'Table 2.5a'!$B$8:$B$192,0)))*1000, "")</f>
        <v>8199.2123443382352</v>
      </c>
      <c r="H144" s="705">
        <f t="array" ref="H144">IFERROR(INDEX('Table 2.5a'!$G$8:$G$192,MATCH('Table 2.5b'!$A144&amp;'Table 2.5b'!$B144,'Table 2.5a'!$A$8:$A$192&amp;'Table 2.5a'!$B$8:$B$192,0))/INDEX('Table 2.5a'!$H$8:$H$192,MATCH('Table 2.5b'!$A144&amp;'Table 2.5b'!$B144,'Table 2.5a'!$A$8:$A$192&amp;'Table 2.5a'!$B$8:$B$192,0)),"")</f>
        <v>0.82538332999999997</v>
      </c>
      <c r="I144" s="655">
        <f t="array" ref="I144">IFERROR((INDEX('Table 2.5a'!$L$8:$L$192,MATCH('Table 2.5b'!$A144&amp;'Table 2.5b'!$B144,'Table 2.5a'!$A$8:$A$192&amp;'Table 2.5a'!$B$8:$B$192,0))/INDEX('Table 2.5a'!$I$8:$I$192,MATCH('Table 2.5b'!$A144&amp;'Table 2.5b'!$B144,'Table 2.5a'!$A$8:$A$192&amp;'Table 2.5a'!$B$8:$B$192,0)))*1000, "")</f>
        <v>4331.7058823529414</v>
      </c>
      <c r="J144" s="655">
        <f t="array" ref="J144">IFERROR((INDEX('Table 2.5a'!$K$8:$K$192,MATCH('Table 2.5b'!$A144&amp;'Table 2.5b'!$B144,'Table 2.5a'!$A$8:$A$192&amp;'Table 2.5a'!$B$8:$B$192,0))/INDEX('Table 2.5a'!$I$8:$I$192,MATCH('Table 2.5b'!$A144&amp;'Table 2.5b'!$B144,'Table 2.5a'!$A$8:$A$192&amp;'Table 2.5a'!$B$8:$B$192,0)))*1000, "")</f>
        <v>3575.3178257570585</v>
      </c>
      <c r="K144" s="705">
        <f t="array" ref="K144">IFERROR(INDEX('Table 2.5a'!$I$8:$I$192,MATCH('Table 2.5b'!$A144&amp;'Table 2.5b'!$B144,'Table 2.5a'!$A$8:$A$192&amp;'Table 2.5a'!$B$8:$B$192,0))/INDEX('Table 2.5a'!$L$8:$L$192,MATCH('Table 2.5b'!$A144&amp;'Table 2.5b'!$B144,'Table 2.5a'!$A$8:$A$192&amp;'Table 2.5a'!$B$8:$B$192,0)),"")</f>
        <v>0.23085593231847257</v>
      </c>
      <c r="L144" s="658" t="s">
        <v>356</v>
      </c>
      <c r="M144" s="709" t="str">
        <f t="array" ref="M144">INDEX(UtilityList!Q$4:Q$251,MATCH('Table 2.5b'!$A144&amp;'Table 2.5b'!$B144,UtilityList!$A$4:$A$251&amp;UtilityList!$C$4:$C$251,0))</f>
        <v>Purchases power from Bethel Utilities Corporation</v>
      </c>
      <c r="N144" s="709" t="str">
        <f t="array" ref="N144">INDEX(UtilityList!J$4:J$251,MATCH('Table 2.5b'!$A144&amp;'Table 2.5b'!$B144,UtilityList!$A$4:$A$251&amp;UtilityList!$C$4:$C$251,0))</f>
        <v>Lower Yukon-Kuskokwim</v>
      </c>
      <c r="O144" s="709" t="str">
        <f t="array" ref="O144">INDEX(UtilityList!K$4:K$251,MATCH('Table 2.5b'!$A144&amp;'Table 2.5b'!$B144,UtilityList!$A$4:$A$251&amp;UtilityList!$C$4:$C$251,0))</f>
        <v>Bethel (CA)</v>
      </c>
      <c r="P144" s="709" t="str">
        <f t="array" ref="P144">INDEX(UtilityList!L$4:L$251,MATCH('Table 2.5b'!$A144&amp;'Table 2.5b'!$B144,UtilityList!$A$4:$A$251&amp;UtilityList!$C$4:$C$251,0))</f>
        <v>Calista</v>
      </c>
      <c r="Q144" s="709" t="str">
        <f t="array" ref="Q144">INDEX(UtilityList!M$4:M$251,MATCH('Table 2.5b'!$A144&amp;'Table 2.5b'!$B144,UtilityList!$A$4:$A$251&amp;UtilityList!$C$4:$C$251,0))</f>
        <v>SW</v>
      </c>
    </row>
    <row r="145" spans="1:17" s="267" customFormat="1" ht="30" x14ac:dyDescent="0.25">
      <c r="A145" s="361" t="s">
        <v>262</v>
      </c>
      <c r="B145" s="654" t="s">
        <v>263</v>
      </c>
      <c r="C145" s="655">
        <f t="array" ref="C145">IFERROR((INDEX('Table 2.5a'!$D$8:$D$192,MATCH('Table 2.5b'!A145&amp;'Table 2.5b'!B145,'Table 2.5a'!$A$8:$A$192&amp;'Table 2.5a'!$B$8:$B$192,0))/INDEX('Table 2.5a'!$E$8:$E$192,MATCH('Table 2.5b'!A145&amp;'Table 2.5b'!B145,'Table 2.5a'!$A$8:$A$192&amp;'Table 2.5a'!$B$8:$B$192,0)))*1000, "")</f>
        <v>4145.1214953271037</v>
      </c>
      <c r="D145" s="655">
        <f t="array" ref="D145">IFERROR((INDEX('Table 2.5a'!$C$8:$C$192,MATCH('Table 2.5b'!A145&amp;'Table 2.5b'!B145,'Table 2.5a'!$A$8:$A$192&amp;'Table 2.5a'!$B$8:$B$192,0))/INDEX('Table 2.5a'!$E$8:$E$192,MATCH('Table 2.5b'!A145&amp;'Table 2.5b'!B145,'Table 2.5a'!$A$8:$A$192&amp;'Table 2.5a'!$B$8:$B$192,0)))*1000, "")</f>
        <v>2642.5149532710279</v>
      </c>
      <c r="E145" s="705">
        <f t="array" ref="E145">IFERROR(INDEX('Table 2.5a'!$C$8:$C$192,MATCH('Table 2.5b'!$A145&amp;'Table 2.5b'!$B145,'Table 2.5a'!$A$8:$A$192&amp;'Table 2.5a'!$B$8:$B$192,0))/INDEX('Table 2.5a'!$D$8:$D$192,MATCH('Table 2.5b'!$A145&amp;'Table 2.5b'!$B145,'Table 2.5a'!$A$8:$A$192&amp;'Table 2.5a'!$B$8:$B$192,0)),"")</f>
        <v>0.63749999999999996</v>
      </c>
      <c r="F145" s="655">
        <f t="array" ref="F145">IFERROR((INDEX('Table 2.5a'!$H$8:$H$192,MATCH('Table 2.5b'!$A145&amp;'Table 2.5b'!$B145,'Table 2.5a'!$A$8:$A$192&amp;'Table 2.5a'!$B$8:$B$192,0))/INDEX('Table 2.5a'!$I$8:$I$192,MATCH('Table 2.5b'!$A145&amp;'Table 2.5b'!$B145,'Table 2.5a'!$A$8:$A$192&amp;'Table 2.5a'!$B$8:$B$192,0)))*1000, "")</f>
        <v>43005.8</v>
      </c>
      <c r="G145" s="655">
        <f t="array" ref="G145">IFERROR((INDEX('Table 2.5a'!$G$8:$G$192,MATCH('Table 2.5b'!$A145&amp;'Table 2.5b'!$B145,'Table 2.5a'!$A$8:$A$192&amp;'Table 2.5a'!$B$8:$B$192,0))/INDEX('Table 2.5a'!$I$8:$I$192,MATCH('Table 2.5b'!$A145&amp;'Table 2.5b'!$B145,'Table 2.5a'!$A$8:$A$192&amp;'Table 2.5a'!$B$8:$B$192,0)))*1000, "")</f>
        <v>27416.197499999998</v>
      </c>
      <c r="H145" s="705">
        <f t="array" ref="H145">IFERROR(INDEX('Table 2.5a'!$G$8:$G$192,MATCH('Table 2.5b'!$A145&amp;'Table 2.5b'!$B145,'Table 2.5a'!$A$8:$A$192&amp;'Table 2.5a'!$B$8:$B$192,0))/INDEX('Table 2.5a'!$H$8:$H$192,MATCH('Table 2.5b'!$A145&amp;'Table 2.5b'!$B145,'Table 2.5a'!$A$8:$A$192&amp;'Table 2.5a'!$B$8:$B$192,0)),"")</f>
        <v>0.63749999999999996</v>
      </c>
      <c r="I145" s="655">
        <f t="array" ref="I145">IFERROR((INDEX('Table 2.5a'!$L$8:$L$192,MATCH('Table 2.5b'!$A145&amp;'Table 2.5b'!$B145,'Table 2.5a'!$A$8:$A$192&amp;'Table 2.5a'!$B$8:$B$192,0))/INDEX('Table 2.5a'!$I$8:$I$192,MATCH('Table 2.5b'!$A145&amp;'Table 2.5b'!$B145,'Table 2.5a'!$A$8:$A$192&amp;'Table 2.5a'!$B$8:$B$192,0)))*1000, "")</f>
        <v>18223</v>
      </c>
      <c r="J145" s="655">
        <f t="array" ref="J145">IFERROR((INDEX('Table 2.5a'!$K$8:$K$192,MATCH('Table 2.5b'!$A145&amp;'Table 2.5b'!$B145,'Table 2.5a'!$A$8:$A$192&amp;'Table 2.5a'!$B$8:$B$192,0))/INDEX('Table 2.5a'!$I$8:$I$192,MATCH('Table 2.5b'!$A145&amp;'Table 2.5b'!$B145,'Table 2.5a'!$A$8:$A$192&amp;'Table 2.5a'!$B$8:$B$192,0)))*1000, "")</f>
        <v>11617.162499999999</v>
      </c>
      <c r="K145" s="705">
        <f t="array" ref="K145">IFERROR(INDEX('Table 2.5a'!$I$8:$I$192,MATCH('Table 2.5b'!$A145&amp;'Table 2.5b'!$B145,'Table 2.5a'!$A$8:$A$192&amp;'Table 2.5a'!$B$8:$B$192,0))/INDEX('Table 2.5a'!$L$8:$L$192,MATCH('Table 2.5b'!$A145&amp;'Table 2.5b'!$B145,'Table 2.5a'!$A$8:$A$192&amp;'Table 2.5a'!$B$8:$B$192,0)),"")</f>
        <v>5.4875706524721506E-2</v>
      </c>
      <c r="L145" s="658" t="s">
        <v>356</v>
      </c>
      <c r="M145" s="709">
        <f t="array" ref="M145">INDEX(UtilityList!Q$4:Q$251,MATCH('Table 2.5b'!$A145&amp;'Table 2.5b'!$B145,UtilityList!$A$4:$A$251&amp;UtilityList!$C$4:$C$251,0))</f>
        <v>0</v>
      </c>
      <c r="N145" s="709" t="str">
        <f t="array" ref="N145">INDEX(UtilityList!J$4:J$251,MATCH('Table 2.5b'!$A145&amp;'Table 2.5b'!$B145,UtilityList!$A$4:$A$251&amp;UtilityList!$C$4:$C$251,0))</f>
        <v>Lower Yukon-Kuskokwim</v>
      </c>
      <c r="O145" s="709" t="str">
        <f t="array" ref="O145">INDEX(UtilityList!K$4:K$251,MATCH('Table 2.5b'!$A145&amp;'Table 2.5b'!$B145,UtilityList!$A$4:$A$251&amp;UtilityList!$C$4:$C$251,0))</f>
        <v>Bethel (CA)</v>
      </c>
      <c r="P145" s="709" t="str">
        <f t="array" ref="P145">INDEX(UtilityList!L$4:L$251,MATCH('Table 2.5b'!$A145&amp;'Table 2.5b'!$B145,UtilityList!$A$4:$A$251&amp;UtilityList!$C$4:$C$251,0))</f>
        <v>Calista</v>
      </c>
      <c r="Q145" s="709" t="str">
        <f t="array" ref="Q145">INDEX(UtilityList!M$4:M$251,MATCH('Table 2.5b'!$A145&amp;'Table 2.5b'!$B145,UtilityList!$A$4:$A$251&amp;UtilityList!$C$4:$C$251,0))</f>
        <v>SW</v>
      </c>
    </row>
    <row r="146" spans="1:17" s="267" customFormat="1" x14ac:dyDescent="0.25">
      <c r="A146" s="361" t="s">
        <v>264</v>
      </c>
      <c r="B146" s="654" t="s">
        <v>265</v>
      </c>
      <c r="C146" s="655">
        <f t="array" ref="C146">IFERROR((INDEX('Table 2.5a'!$D$8:$D$192,MATCH('Table 2.5b'!A146&amp;'Table 2.5b'!B146,'Table 2.5a'!$A$8:$A$192&amp;'Table 2.5a'!$B$8:$B$192,0))/INDEX('Table 2.5a'!$E$8:$E$192,MATCH('Table 2.5b'!A146&amp;'Table 2.5b'!B146,'Table 2.5a'!$A$8:$A$192&amp;'Table 2.5a'!$B$8:$B$192,0)))*1000, "")</f>
        <v>4409.9475841666572</v>
      </c>
      <c r="D146" s="655">
        <f t="array" ref="D146">IFERROR((INDEX('Table 2.5a'!$C$8:$C$192,MATCH('Table 2.5b'!A146&amp;'Table 2.5b'!B146,'Table 2.5a'!$A$8:$A$192&amp;'Table 2.5a'!$B$8:$B$192,0))/INDEX('Table 2.5a'!$E$8:$E$192,MATCH('Table 2.5b'!A146&amp;'Table 2.5b'!B146,'Table 2.5a'!$A$8:$A$192&amp;'Table 2.5a'!$B$8:$B$192,0)))*1000, "")</f>
        <v>2550.4196714765581</v>
      </c>
      <c r="E146" s="705">
        <f t="array" ref="E146">IFERROR(INDEX('Table 2.5a'!$C$8:$C$192,MATCH('Table 2.5b'!$A146&amp;'Table 2.5b'!$B146,'Table 2.5a'!$A$8:$A$192&amp;'Table 2.5a'!$B$8:$B$192,0))/INDEX('Table 2.5a'!$D$8:$D$192,MATCH('Table 2.5b'!$A146&amp;'Table 2.5b'!$B146,'Table 2.5a'!$A$8:$A$192&amp;'Table 2.5a'!$B$8:$B$192,0)),"")</f>
        <v>0.57833332999999998</v>
      </c>
      <c r="F146" s="655">
        <f t="array" ref="F146">IFERROR((INDEX('Table 2.5a'!$H$8:$H$192,MATCH('Table 2.5b'!$A146&amp;'Table 2.5b'!$B146,'Table 2.5a'!$A$8:$A$192&amp;'Table 2.5a'!$B$8:$B$192,0))/INDEX('Table 2.5a'!$I$8:$I$192,MATCH('Table 2.5b'!$A146&amp;'Table 2.5b'!$B146,'Table 2.5a'!$A$8:$A$192&amp;'Table 2.5a'!$B$8:$B$192,0)))*1000, "")</f>
        <v>25901.302927937279</v>
      </c>
      <c r="G146" s="655">
        <f t="array" ref="G146">IFERROR((INDEX('Table 2.5a'!$G$8:$G$192,MATCH('Table 2.5b'!$A146&amp;'Table 2.5b'!$B146,'Table 2.5a'!$A$8:$A$192&amp;'Table 2.5a'!$B$8:$B$192,0))/INDEX('Table 2.5a'!$I$8:$I$192,MATCH('Table 2.5b'!$A146&amp;'Table 2.5b'!$B146,'Table 2.5a'!$A$8:$A$192&amp;'Table 2.5a'!$B$8:$B$192,0)))*1000, "")</f>
        <v>14979.586773652714</v>
      </c>
      <c r="H146" s="705">
        <f t="array" ref="H146">IFERROR(INDEX('Table 2.5a'!$G$8:$G$192,MATCH('Table 2.5b'!$A146&amp;'Table 2.5b'!$B146,'Table 2.5a'!$A$8:$A$192&amp;'Table 2.5a'!$B$8:$B$192,0))/INDEX('Table 2.5a'!$H$8:$H$192,MATCH('Table 2.5b'!$A146&amp;'Table 2.5b'!$B146,'Table 2.5a'!$A$8:$A$192&amp;'Table 2.5a'!$B$8:$B$192,0)),"")</f>
        <v>0.57833332999999998</v>
      </c>
      <c r="I146" s="655">
        <f t="array" ref="I146">IFERROR((INDEX('Table 2.5a'!$L$8:$L$192,MATCH('Table 2.5b'!$A146&amp;'Table 2.5b'!$B146,'Table 2.5a'!$A$8:$A$192&amp;'Table 2.5a'!$B$8:$B$192,0))/INDEX('Table 2.5a'!$I$8:$I$192,MATCH('Table 2.5b'!$A146&amp;'Table 2.5b'!$B146,'Table 2.5a'!$A$8:$A$192&amp;'Table 2.5a'!$B$8:$B$192,0)))*1000, "")</f>
        <v>68059.117861839957</v>
      </c>
      <c r="J146" s="655">
        <f t="array" ref="J146">IFERROR((INDEX('Table 2.5a'!$K$8:$K$192,MATCH('Table 2.5b'!$A146&amp;'Table 2.5b'!$B146,'Table 2.5a'!$A$8:$A$192&amp;'Table 2.5a'!$B$8:$B$192,0))/INDEX('Table 2.5a'!$I$8:$I$192,MATCH('Table 2.5b'!$A146&amp;'Table 2.5b'!$B146,'Table 2.5a'!$A$8:$A$192&amp;'Table 2.5a'!$B$8:$B$192,0)))*1000, "")</f>
        <v>39360.856269900381</v>
      </c>
      <c r="K146" s="705">
        <f t="array" ref="K146">IFERROR(INDEX('Table 2.5a'!$I$8:$I$192,MATCH('Table 2.5b'!$A146&amp;'Table 2.5b'!$B146,'Table 2.5a'!$A$8:$A$192&amp;'Table 2.5a'!$B$8:$B$192,0))/INDEX('Table 2.5a'!$L$8:$L$192,MATCH('Table 2.5b'!$A146&amp;'Table 2.5b'!$B146,'Table 2.5a'!$A$8:$A$192&amp;'Table 2.5a'!$B$8:$B$192,0)),"")</f>
        <v>1.4693108453594721E-2</v>
      </c>
      <c r="L146" s="658" t="s">
        <v>356</v>
      </c>
      <c r="M146" s="709">
        <f t="array" ref="M146">INDEX(UtilityList!Q$4:Q$251,MATCH('Table 2.5b'!$A146&amp;'Table 2.5b'!$B146,UtilityList!$A$4:$A$251&amp;UtilityList!$C$4:$C$251,0))</f>
        <v>0</v>
      </c>
      <c r="N146" s="709" t="str">
        <f t="array" ref="N146">INDEX(UtilityList!J$4:J$251,MATCH('Table 2.5b'!$A146&amp;'Table 2.5b'!$B146,UtilityList!$A$4:$A$251&amp;UtilityList!$C$4:$C$251,0))</f>
        <v>Lower Yukon-Kuskokwim</v>
      </c>
      <c r="O146" s="709" t="str">
        <f t="array" ref="O146">INDEX(UtilityList!K$4:K$251,MATCH('Table 2.5b'!$A146&amp;'Table 2.5b'!$B146,UtilityList!$A$4:$A$251&amp;UtilityList!$C$4:$C$251,0))</f>
        <v>Bethel (CA)</v>
      </c>
      <c r="P146" s="709" t="str">
        <f t="array" ref="P146">INDEX(UtilityList!L$4:L$251,MATCH('Table 2.5b'!$A146&amp;'Table 2.5b'!$B146,UtilityList!$A$4:$A$251&amp;UtilityList!$C$4:$C$251,0))</f>
        <v>Calista</v>
      </c>
      <c r="Q146" s="709" t="str">
        <f t="array" ref="Q146">INDEX(UtilityList!M$4:M$251,MATCH('Table 2.5b'!$A146&amp;'Table 2.5b'!$B146,UtilityList!$A$4:$A$251&amp;UtilityList!$C$4:$C$251,0))</f>
        <v>SW</v>
      </c>
    </row>
    <row r="147" spans="1:17" s="267" customFormat="1" ht="30" x14ac:dyDescent="0.25">
      <c r="A147" s="361" t="s">
        <v>266</v>
      </c>
      <c r="B147" s="654" t="s">
        <v>267</v>
      </c>
      <c r="C147" s="655">
        <f t="array" ref="C147">IFERROR((INDEX('Table 2.5a'!$D$8:$D$192,MATCH('Table 2.5b'!A147&amp;'Table 2.5b'!B147,'Table 2.5a'!$A$8:$A$192&amp;'Table 2.5a'!$B$8:$B$192,0))/INDEX('Table 2.5a'!$E$8:$E$192,MATCH('Table 2.5b'!A147&amp;'Table 2.5b'!B147,'Table 2.5a'!$A$8:$A$192&amp;'Table 2.5a'!$B$8:$B$192,0)))*1000, "")</f>
        <v>2750.7486033519554</v>
      </c>
      <c r="D147" s="655">
        <f t="array" ref="D147">IFERROR((INDEX('Table 2.5a'!$C$8:$C$192,MATCH('Table 2.5b'!A147&amp;'Table 2.5b'!B147,'Table 2.5a'!$A$8:$A$192&amp;'Table 2.5a'!$B$8:$B$192,0))/INDEX('Table 2.5a'!$E$8:$E$192,MATCH('Table 2.5b'!A147&amp;'Table 2.5b'!B147,'Table 2.5a'!$A$8:$A$192&amp;'Table 2.5a'!$B$8:$B$192,0)))*1000, "")</f>
        <v>2613.2111731843574</v>
      </c>
      <c r="E147" s="705">
        <f t="array" ref="E147">IFERROR(INDEX('Table 2.5a'!$C$8:$C$192,MATCH('Table 2.5b'!$A147&amp;'Table 2.5b'!$B147,'Table 2.5a'!$A$8:$A$192&amp;'Table 2.5a'!$B$8:$B$192,0))/INDEX('Table 2.5a'!$D$8:$D$192,MATCH('Table 2.5b'!$A147&amp;'Table 2.5b'!$B147,'Table 2.5a'!$A$8:$A$192&amp;'Table 2.5a'!$B$8:$B$192,0)),"")</f>
        <v>0.95</v>
      </c>
      <c r="F147" s="655">
        <f t="array" ref="F147">IFERROR((INDEX('Table 2.5a'!$H$8:$H$192,MATCH('Table 2.5b'!$A147&amp;'Table 2.5b'!$B147,'Table 2.5a'!$A$8:$A$192&amp;'Table 2.5a'!$B$8:$B$192,0))/INDEX('Table 2.5a'!$I$8:$I$192,MATCH('Table 2.5b'!$A147&amp;'Table 2.5b'!$B147,'Table 2.5a'!$A$8:$A$192&amp;'Table 2.5a'!$B$8:$B$192,0)))*1000, "")</f>
        <v>16315.861506349602</v>
      </c>
      <c r="G147" s="655">
        <f t="array" ref="G147">IFERROR((INDEX('Table 2.5a'!$G$8:$G$192,MATCH('Table 2.5b'!$A147&amp;'Table 2.5b'!$B147,'Table 2.5a'!$A$8:$A$192&amp;'Table 2.5a'!$B$8:$B$192,0))/INDEX('Table 2.5a'!$I$8:$I$192,MATCH('Table 2.5b'!$A147&amp;'Table 2.5b'!$B147,'Table 2.5a'!$A$8:$A$192&amp;'Table 2.5a'!$B$8:$B$192,0)))*1000, "")</f>
        <v>15500.068431032123</v>
      </c>
      <c r="H147" s="705">
        <f t="array" ref="H147">IFERROR(INDEX('Table 2.5a'!$G$8:$G$192,MATCH('Table 2.5b'!$A147&amp;'Table 2.5b'!$B147,'Table 2.5a'!$A$8:$A$192&amp;'Table 2.5a'!$B$8:$B$192,0))/INDEX('Table 2.5a'!$H$8:$H$192,MATCH('Table 2.5b'!$A147&amp;'Table 2.5b'!$B147,'Table 2.5a'!$A$8:$A$192&amp;'Table 2.5a'!$B$8:$B$192,0)),"")</f>
        <v>0.95000000000000007</v>
      </c>
      <c r="I147" s="655">
        <f t="array" ref="I147">IFERROR((INDEX('Table 2.5a'!$L$8:$L$192,MATCH('Table 2.5b'!$A147&amp;'Table 2.5b'!$B147,'Table 2.5a'!$A$8:$A$192&amp;'Table 2.5a'!$B$8:$B$192,0))/INDEX('Table 2.5a'!$I$8:$I$192,MATCH('Table 2.5b'!$A147&amp;'Table 2.5b'!$B147,'Table 2.5a'!$A$8:$A$192&amp;'Table 2.5a'!$B$8:$B$192,0)))*1000, "")</f>
        <v>6328.3446093674274</v>
      </c>
      <c r="J147" s="655">
        <f t="array" ref="J147">IFERROR((INDEX('Table 2.5a'!$K$8:$K$192,MATCH('Table 2.5b'!$A147&amp;'Table 2.5b'!$B147,'Table 2.5a'!$A$8:$A$192&amp;'Table 2.5a'!$B$8:$B$192,0))/INDEX('Table 2.5a'!$I$8:$I$192,MATCH('Table 2.5b'!$A147&amp;'Table 2.5b'!$B147,'Table 2.5a'!$A$8:$A$192&amp;'Table 2.5a'!$B$8:$B$192,0)))*1000, "")</f>
        <v>6011.9273788990549</v>
      </c>
      <c r="K147" s="705">
        <f t="array" ref="K147">IFERROR(INDEX('Table 2.5a'!$I$8:$I$192,MATCH('Table 2.5b'!$A147&amp;'Table 2.5b'!$B147,'Table 2.5a'!$A$8:$A$192&amp;'Table 2.5a'!$B$8:$B$192,0))/INDEX('Table 2.5a'!$L$8:$L$192,MATCH('Table 2.5b'!$A147&amp;'Table 2.5b'!$B147,'Table 2.5a'!$A$8:$A$192&amp;'Table 2.5a'!$B$8:$B$192,0)),"")</f>
        <v>0.15801920750645701</v>
      </c>
      <c r="L147" s="658" t="s">
        <v>356</v>
      </c>
      <c r="M147" s="709">
        <f t="array" ref="M147">INDEX(UtilityList!Q$4:Q$251,MATCH('Table 2.5b'!$A147&amp;'Table 2.5b'!$B147,UtilityList!$A$4:$A$251&amp;UtilityList!$C$4:$C$251,0))</f>
        <v>0</v>
      </c>
      <c r="N147" s="709" t="str">
        <f t="array" ref="N147">INDEX(UtilityList!J$4:J$251,MATCH('Table 2.5b'!$A147&amp;'Table 2.5b'!$B147,UtilityList!$A$4:$A$251&amp;UtilityList!$C$4:$C$251,0))</f>
        <v>Bristol Bay</v>
      </c>
      <c r="O147" s="709" t="str">
        <f t="array" ref="O147">INDEX(UtilityList!K$4:K$251,MATCH('Table 2.5b'!$A147&amp;'Table 2.5b'!$B147,UtilityList!$A$4:$A$251&amp;UtilityList!$C$4:$C$251,0))</f>
        <v>Lake and Peninsula</v>
      </c>
      <c r="P147" s="709" t="str">
        <f t="array" ref="P147">INDEX(UtilityList!L$4:L$251,MATCH('Table 2.5b'!$A147&amp;'Table 2.5b'!$B147,UtilityList!$A$4:$A$251&amp;UtilityList!$C$4:$C$251,0))</f>
        <v>Bristol Bay</v>
      </c>
      <c r="Q147" s="709" t="str">
        <f t="array" ref="Q147">INDEX(UtilityList!M$4:M$251,MATCH('Table 2.5b'!$A147&amp;'Table 2.5b'!$B147,UtilityList!$A$4:$A$251&amp;UtilityList!$C$4:$C$251,0))</f>
        <v>SW</v>
      </c>
    </row>
    <row r="148" spans="1:17" s="267" customFormat="1" ht="30" x14ac:dyDescent="0.25">
      <c r="A148" s="361" t="s">
        <v>268</v>
      </c>
      <c r="B148" s="654" t="s">
        <v>269</v>
      </c>
      <c r="C148" s="655">
        <f t="array" ref="C148">IFERROR((INDEX('Table 2.5a'!$D$8:$D$192,MATCH('Table 2.5b'!A148&amp;'Table 2.5b'!B148,'Table 2.5a'!$A$8:$A$192&amp;'Table 2.5a'!$B$8:$B$192,0))/INDEX('Table 2.5a'!$E$8:$E$192,MATCH('Table 2.5b'!A148&amp;'Table 2.5b'!B148,'Table 2.5a'!$A$8:$A$192&amp;'Table 2.5a'!$B$8:$B$192,0)))*1000, "")</f>
        <v>4276.6388888888887</v>
      </c>
      <c r="D148" s="655">
        <f t="array" ref="D148">IFERROR((INDEX('Table 2.5a'!$C$8:$C$192,MATCH('Table 2.5b'!A148&amp;'Table 2.5b'!B148,'Table 2.5a'!$A$8:$A$192&amp;'Table 2.5a'!$B$8:$B$192,0))/INDEX('Table 2.5a'!$E$8:$E$192,MATCH('Table 2.5b'!A148&amp;'Table 2.5b'!B148,'Table 2.5a'!$A$8:$A$192&amp;'Table 2.5a'!$B$8:$B$192,0)))*1000, "")</f>
        <v>3271.6287500000003</v>
      </c>
      <c r="E148" s="705">
        <f t="array" ref="E148">IFERROR(INDEX('Table 2.5a'!$C$8:$C$192,MATCH('Table 2.5b'!$A148&amp;'Table 2.5b'!$B148,'Table 2.5a'!$A$8:$A$192&amp;'Table 2.5a'!$B$8:$B$192,0))/INDEX('Table 2.5a'!$D$8:$D$192,MATCH('Table 2.5b'!$A148&amp;'Table 2.5b'!$B148,'Table 2.5a'!$A$8:$A$192&amp;'Table 2.5a'!$B$8:$B$192,0)),"")</f>
        <v>0.76500000000000001</v>
      </c>
      <c r="F148" s="655">
        <f t="array" ref="F148">IFERROR((INDEX('Table 2.5a'!$H$8:$H$192,MATCH('Table 2.5b'!$A148&amp;'Table 2.5b'!$B148,'Table 2.5a'!$A$8:$A$192&amp;'Table 2.5a'!$B$8:$B$192,0))/INDEX('Table 2.5a'!$I$8:$I$192,MATCH('Table 2.5b'!$A148&amp;'Table 2.5b'!$B148,'Table 2.5a'!$A$8:$A$192&amp;'Table 2.5a'!$B$8:$B$192,0)))*1000, "")</f>
        <v>12003.23076923077</v>
      </c>
      <c r="G148" s="655">
        <f t="array" ref="G148">IFERROR((INDEX('Table 2.5a'!$G$8:$G$192,MATCH('Table 2.5b'!$A148&amp;'Table 2.5b'!$B148,'Table 2.5a'!$A$8:$A$192&amp;'Table 2.5a'!$B$8:$B$192,0))/INDEX('Table 2.5a'!$I$8:$I$192,MATCH('Table 2.5b'!$A148&amp;'Table 2.5b'!$B148,'Table 2.5a'!$A$8:$A$192&amp;'Table 2.5a'!$B$8:$B$192,0)))*1000, "")</f>
        <v>9182.4715384615374</v>
      </c>
      <c r="H148" s="705">
        <f t="array" ref="H148">IFERROR(INDEX('Table 2.5a'!$G$8:$G$192,MATCH('Table 2.5b'!$A148&amp;'Table 2.5b'!$B148,'Table 2.5a'!$A$8:$A$192&amp;'Table 2.5a'!$B$8:$B$192,0))/INDEX('Table 2.5a'!$H$8:$H$192,MATCH('Table 2.5b'!$A148&amp;'Table 2.5b'!$B148,'Table 2.5a'!$A$8:$A$192&amp;'Table 2.5a'!$B$8:$B$192,0)),"")</f>
        <v>0.76500000000000001</v>
      </c>
      <c r="I148" s="655">
        <f t="array" ref="I148">IFERROR((INDEX('Table 2.5a'!$L$8:$L$192,MATCH('Table 2.5b'!$A148&amp;'Table 2.5b'!$B148,'Table 2.5a'!$A$8:$A$192&amp;'Table 2.5a'!$B$8:$B$192,0))/INDEX('Table 2.5a'!$I$8:$I$192,MATCH('Table 2.5b'!$A148&amp;'Table 2.5b'!$B148,'Table 2.5a'!$A$8:$A$192&amp;'Table 2.5a'!$B$8:$B$192,0)))*1000, "")</f>
        <v>4865.3846153846152</v>
      </c>
      <c r="J148" s="655">
        <f t="array" ref="J148">IFERROR((INDEX('Table 2.5a'!$K$8:$K$192,MATCH('Table 2.5b'!$A148&amp;'Table 2.5b'!$B148,'Table 2.5a'!$A$8:$A$192&amp;'Table 2.5a'!$B$8:$B$192,0))/INDEX('Table 2.5a'!$I$8:$I$192,MATCH('Table 2.5b'!$A148&amp;'Table 2.5b'!$B148,'Table 2.5a'!$A$8:$A$192&amp;'Table 2.5a'!$B$8:$B$192,0)))*1000, "")</f>
        <v>3722.0192307692314</v>
      </c>
      <c r="K148" s="705">
        <f t="array" ref="K148">IFERROR(INDEX('Table 2.5a'!$I$8:$I$192,MATCH('Table 2.5b'!$A148&amp;'Table 2.5b'!$B148,'Table 2.5a'!$A$8:$A$192&amp;'Table 2.5a'!$B$8:$B$192,0))/INDEX('Table 2.5a'!$L$8:$L$192,MATCH('Table 2.5b'!$A148&amp;'Table 2.5b'!$B148,'Table 2.5a'!$A$8:$A$192&amp;'Table 2.5a'!$B$8:$B$192,0)),"")</f>
        <v>0.20553359683794467</v>
      </c>
      <c r="L148" s="658" t="s">
        <v>356</v>
      </c>
      <c r="M148" s="709">
        <f t="array" ref="M148">INDEX(UtilityList!Q$4:Q$251,MATCH('Table 2.5b'!$A148&amp;'Table 2.5b'!$B148,UtilityList!$A$4:$A$251&amp;UtilityList!$C$4:$C$251,0))</f>
        <v>0</v>
      </c>
      <c r="N148" s="709" t="str">
        <f t="array" ref="N148">INDEX(UtilityList!J$4:J$251,MATCH('Table 2.5b'!$A148&amp;'Table 2.5b'!$B148,UtilityList!$A$4:$A$251&amp;UtilityList!$C$4:$C$251,0))</f>
        <v>Aleutians</v>
      </c>
      <c r="O148" s="709" t="str">
        <f t="array" ref="O148">INDEX(UtilityList!K$4:K$251,MATCH('Table 2.5b'!$A148&amp;'Table 2.5b'!$B148,UtilityList!$A$4:$A$251&amp;UtilityList!$C$4:$C$251,0))</f>
        <v>Aleutians East</v>
      </c>
      <c r="P148" s="709" t="str">
        <f t="array" ref="P148">INDEX(UtilityList!L$4:L$251,MATCH('Table 2.5b'!$A148&amp;'Table 2.5b'!$B148,UtilityList!$A$4:$A$251&amp;UtilityList!$C$4:$C$251,0))</f>
        <v>Aleut</v>
      </c>
      <c r="Q148" s="709" t="str">
        <f t="array" ref="Q148">INDEX(UtilityList!M$4:M$251,MATCH('Table 2.5b'!$A148&amp;'Table 2.5b'!$B148,UtilityList!$A$4:$A$251&amp;UtilityList!$C$4:$C$251,0))</f>
        <v>SW</v>
      </c>
    </row>
    <row r="149" spans="1:17" s="267" customFormat="1" ht="30" x14ac:dyDescent="0.25">
      <c r="A149" s="361" t="s">
        <v>270</v>
      </c>
      <c r="B149" s="654" t="s">
        <v>271</v>
      </c>
      <c r="C149" s="655">
        <f t="array" ref="C149">IFERROR((INDEX('Table 2.5a'!$D$8:$D$192,MATCH('Table 2.5b'!A149&amp;'Table 2.5b'!B149,'Table 2.5a'!$A$8:$A$192&amp;'Table 2.5a'!$B$8:$B$192,0))/INDEX('Table 2.5a'!$E$8:$E$192,MATCH('Table 2.5b'!A149&amp;'Table 2.5b'!B149,'Table 2.5a'!$A$8:$A$192&amp;'Table 2.5a'!$B$8:$B$192,0)))*1000, "")</f>
        <v>3688.1714285714293</v>
      </c>
      <c r="D149" s="655">
        <f t="array" ref="D149">IFERROR((INDEX('Table 2.5a'!$C$8:$C$192,MATCH('Table 2.5b'!A149&amp;'Table 2.5b'!B149,'Table 2.5a'!$A$8:$A$192&amp;'Table 2.5a'!$B$8:$B$192,0))/INDEX('Table 2.5a'!$E$8:$E$192,MATCH('Table 2.5b'!A149&amp;'Table 2.5b'!B149,'Table 2.5a'!$A$8:$A$192&amp;'Table 2.5a'!$B$8:$B$192,0)))*1000, "")</f>
        <v>1862.5265714285717</v>
      </c>
      <c r="E149" s="705">
        <f t="array" ref="E149">IFERROR(INDEX('Table 2.5a'!$C$8:$C$192,MATCH('Table 2.5b'!$A149&amp;'Table 2.5b'!$B149,'Table 2.5a'!$A$8:$A$192&amp;'Table 2.5a'!$B$8:$B$192,0))/INDEX('Table 2.5a'!$D$8:$D$192,MATCH('Table 2.5b'!$A149&amp;'Table 2.5b'!$B149,'Table 2.5a'!$A$8:$A$192&amp;'Table 2.5a'!$B$8:$B$192,0)),"")</f>
        <v>0.505</v>
      </c>
      <c r="F149" s="655">
        <f t="array" ref="F149">IFERROR((INDEX('Table 2.5a'!$H$8:$H$192,MATCH('Table 2.5b'!$A149&amp;'Table 2.5b'!$B149,'Table 2.5a'!$A$8:$A$192&amp;'Table 2.5a'!$B$8:$B$192,0))/INDEX('Table 2.5a'!$I$8:$I$192,MATCH('Table 2.5b'!$A149&amp;'Table 2.5b'!$B149,'Table 2.5a'!$A$8:$A$192&amp;'Table 2.5a'!$B$8:$B$192,0)))*1000, "")</f>
        <v>10068.142857142859</v>
      </c>
      <c r="G149" s="655">
        <f t="array" ref="G149">IFERROR((INDEX('Table 2.5a'!$G$8:$G$192,MATCH('Table 2.5b'!$A149&amp;'Table 2.5b'!$B149,'Table 2.5a'!$A$8:$A$192&amp;'Table 2.5a'!$B$8:$B$192,0))/INDEX('Table 2.5a'!$I$8:$I$192,MATCH('Table 2.5b'!$A149&amp;'Table 2.5b'!$B149,'Table 2.5a'!$A$8:$A$192&amp;'Table 2.5a'!$B$8:$B$192,0)))*1000, "")</f>
        <v>5084.4121428571425</v>
      </c>
      <c r="H149" s="705">
        <f t="array" ref="H149">IFERROR(INDEX('Table 2.5a'!$G$8:$G$192,MATCH('Table 2.5b'!$A149&amp;'Table 2.5b'!$B149,'Table 2.5a'!$A$8:$A$192&amp;'Table 2.5a'!$B$8:$B$192,0))/INDEX('Table 2.5a'!$H$8:$H$192,MATCH('Table 2.5b'!$A149&amp;'Table 2.5b'!$B149,'Table 2.5a'!$A$8:$A$192&amp;'Table 2.5a'!$B$8:$B$192,0)),"")</f>
        <v>0.505</v>
      </c>
      <c r="I149" s="655">
        <f t="array" ref="I149">IFERROR((INDEX('Table 2.5a'!$L$8:$L$192,MATCH('Table 2.5b'!$A149&amp;'Table 2.5b'!$B149,'Table 2.5a'!$A$8:$A$192&amp;'Table 2.5a'!$B$8:$B$192,0))/INDEX('Table 2.5a'!$I$8:$I$192,MATCH('Table 2.5b'!$A149&amp;'Table 2.5b'!$B149,'Table 2.5a'!$A$8:$A$192&amp;'Table 2.5a'!$B$8:$B$192,0)))*1000, "")</f>
        <v>40204.428571428572</v>
      </c>
      <c r="J149" s="655">
        <f t="array" ref="J149">IFERROR((INDEX('Table 2.5a'!$K$8:$K$192,MATCH('Table 2.5b'!$A149&amp;'Table 2.5b'!$B149,'Table 2.5a'!$A$8:$A$192&amp;'Table 2.5a'!$B$8:$B$192,0))/INDEX('Table 2.5a'!$I$8:$I$192,MATCH('Table 2.5b'!$A149&amp;'Table 2.5b'!$B149,'Table 2.5a'!$A$8:$A$192&amp;'Table 2.5a'!$B$8:$B$192,0)))*1000, "")</f>
        <v>20303.236428571428</v>
      </c>
      <c r="K149" s="705">
        <f t="array" ref="K149">IFERROR(INDEX('Table 2.5a'!$I$8:$I$192,MATCH('Table 2.5b'!$A149&amp;'Table 2.5b'!$B149,'Table 2.5a'!$A$8:$A$192&amp;'Table 2.5a'!$B$8:$B$192,0))/INDEX('Table 2.5a'!$L$8:$L$192,MATCH('Table 2.5b'!$A149&amp;'Table 2.5b'!$B149,'Table 2.5a'!$A$8:$A$192&amp;'Table 2.5a'!$B$8:$B$192,0)),"")</f>
        <v>2.4872881807618919E-2</v>
      </c>
      <c r="L149" s="658" t="s">
        <v>356</v>
      </c>
      <c r="M149" s="709">
        <f t="array" ref="M149">INDEX(UtilityList!Q$4:Q$251,MATCH('Table 2.5b'!$A149&amp;'Table 2.5b'!$B149,UtilityList!$A$4:$A$251&amp;UtilityList!$C$4:$C$251,0))</f>
        <v>0</v>
      </c>
      <c r="N149" s="709" t="str">
        <f t="array" ref="N149">INDEX(UtilityList!J$4:J$251,MATCH('Table 2.5b'!$A149&amp;'Table 2.5b'!$B149,UtilityList!$A$4:$A$251&amp;UtilityList!$C$4:$C$251,0))</f>
        <v>Bristol Bay</v>
      </c>
      <c r="O149" s="709" t="str">
        <f t="array" ref="O149">INDEX(UtilityList!K$4:K$251,MATCH('Table 2.5b'!$A149&amp;'Table 2.5b'!$B149,UtilityList!$A$4:$A$251&amp;UtilityList!$C$4:$C$251,0))</f>
        <v>Dillingham (CA)</v>
      </c>
      <c r="P149" s="709" t="str">
        <f t="array" ref="P149">INDEX(UtilityList!L$4:L$251,MATCH('Table 2.5b'!$A149&amp;'Table 2.5b'!$B149,UtilityList!$A$4:$A$251&amp;UtilityList!$C$4:$C$251,0))</f>
        <v>Bristol Bay</v>
      </c>
      <c r="Q149" s="709" t="str">
        <f t="array" ref="Q149">INDEX(UtilityList!M$4:M$251,MATCH('Table 2.5b'!$A149&amp;'Table 2.5b'!$B149,UtilityList!$A$4:$A$251&amp;UtilityList!$C$4:$C$251,0))</f>
        <v>SW</v>
      </c>
    </row>
    <row r="150" spans="1:17" s="267" customFormat="1" x14ac:dyDescent="0.25">
      <c r="A150" s="361" t="s">
        <v>272</v>
      </c>
      <c r="B150" s="654" t="s">
        <v>273</v>
      </c>
      <c r="C150" s="655">
        <f t="array" ref="C150">IFERROR((INDEX('Table 2.5a'!$D$8:$D$192,MATCH('Table 2.5b'!A150&amp;'Table 2.5b'!B150,'Table 2.5a'!$A$8:$A$192&amp;'Table 2.5a'!$B$8:$B$192,0))/INDEX('Table 2.5a'!$E$8:$E$192,MATCH('Table 2.5b'!A150&amp;'Table 2.5b'!B150,'Table 2.5a'!$A$8:$A$192&amp;'Table 2.5a'!$B$8:$B$192,0)))*1000, "")</f>
        <v>4473.820923540412</v>
      </c>
      <c r="D150" s="655">
        <f t="array" ref="D150">IFERROR((INDEX('Table 2.5a'!$C$8:$C$192,MATCH('Table 2.5b'!A150&amp;'Table 2.5b'!B150,'Table 2.5a'!$A$8:$A$192&amp;'Table 2.5a'!$B$8:$B$192,0))/INDEX('Table 2.5a'!$E$8:$E$192,MATCH('Table 2.5b'!A150&amp;'Table 2.5b'!B150,'Table 2.5a'!$A$8:$A$192&amp;'Table 2.5a'!$B$8:$B$192,0)))*1000, "")</f>
        <v>3597.7349411881105</v>
      </c>
      <c r="E150" s="705">
        <f t="array" ref="E150">IFERROR(INDEX('Table 2.5a'!$C$8:$C$192,MATCH('Table 2.5b'!$A150&amp;'Table 2.5b'!$B150,'Table 2.5a'!$A$8:$A$192&amp;'Table 2.5a'!$B$8:$B$192,0))/INDEX('Table 2.5a'!$D$8:$D$192,MATCH('Table 2.5b'!$A150&amp;'Table 2.5b'!$B150,'Table 2.5a'!$A$8:$A$192&amp;'Table 2.5a'!$B$8:$B$192,0)),"")</f>
        <v>0.80417499999999997</v>
      </c>
      <c r="F150" s="655">
        <f t="array" ref="F150">IFERROR((INDEX('Table 2.5a'!$H$8:$H$192,MATCH('Table 2.5b'!$A150&amp;'Table 2.5b'!$B150,'Table 2.5a'!$A$8:$A$192&amp;'Table 2.5a'!$B$8:$B$192,0))/INDEX('Table 2.5a'!$I$8:$I$192,MATCH('Table 2.5b'!$A150&amp;'Table 2.5b'!$B150,'Table 2.5a'!$A$8:$A$192&amp;'Table 2.5a'!$B$8:$B$192,0)))*1000, "")</f>
        <v>11696.666666666668</v>
      </c>
      <c r="G150" s="655">
        <f t="array" ref="G150">IFERROR((INDEX('Table 2.5a'!$G$8:$G$192,MATCH('Table 2.5b'!$A150&amp;'Table 2.5b'!$B150,'Table 2.5a'!$A$8:$A$192&amp;'Table 2.5a'!$B$8:$B$192,0))/INDEX('Table 2.5a'!$I$8:$I$192,MATCH('Table 2.5b'!$A150&amp;'Table 2.5b'!$B150,'Table 2.5a'!$A$8:$A$192&amp;'Table 2.5a'!$B$8:$B$192,0)))*1000, "")</f>
        <v>9406.166916666667</v>
      </c>
      <c r="H150" s="705">
        <f t="array" ref="H150">IFERROR(INDEX('Table 2.5a'!$G$8:$G$192,MATCH('Table 2.5b'!$A150&amp;'Table 2.5b'!$B150,'Table 2.5a'!$A$8:$A$192&amp;'Table 2.5a'!$B$8:$B$192,0))/INDEX('Table 2.5a'!$H$8:$H$192,MATCH('Table 2.5b'!$A150&amp;'Table 2.5b'!$B150,'Table 2.5a'!$A$8:$A$192&amp;'Table 2.5a'!$B$8:$B$192,0)),"")</f>
        <v>0.80417499999999997</v>
      </c>
      <c r="I150" s="655">
        <f t="array" ref="I150">IFERROR((INDEX('Table 2.5a'!$L$8:$L$192,MATCH('Table 2.5b'!$A150&amp;'Table 2.5b'!$B150,'Table 2.5a'!$A$8:$A$192&amp;'Table 2.5a'!$B$8:$B$192,0))/INDEX('Table 2.5a'!$I$8:$I$192,MATCH('Table 2.5b'!$A150&amp;'Table 2.5b'!$B150,'Table 2.5a'!$A$8:$A$192&amp;'Table 2.5a'!$B$8:$B$192,0)))*1000, "")</f>
        <v>17648</v>
      </c>
      <c r="J150" s="655">
        <f t="array" ref="J150">IFERROR((INDEX('Table 2.5a'!$K$8:$K$192,MATCH('Table 2.5b'!$A150&amp;'Table 2.5b'!$B150,'Table 2.5a'!$A$8:$A$192&amp;'Table 2.5a'!$B$8:$B$192,0))/INDEX('Table 2.5a'!$I$8:$I$192,MATCH('Table 2.5b'!$A150&amp;'Table 2.5b'!$B150,'Table 2.5a'!$A$8:$A$192&amp;'Table 2.5a'!$B$8:$B$192,0)))*1000, "")</f>
        <v>14192.080400000001</v>
      </c>
      <c r="K150" s="705">
        <f t="array" ref="K150">IFERROR(INDEX('Table 2.5a'!$I$8:$I$192,MATCH('Table 2.5b'!$A150&amp;'Table 2.5b'!$B150,'Table 2.5a'!$A$8:$A$192&amp;'Table 2.5a'!$B$8:$B$192,0))/INDEX('Table 2.5a'!$L$8:$L$192,MATCH('Table 2.5b'!$A150&amp;'Table 2.5b'!$B150,'Table 2.5a'!$A$8:$A$192&amp;'Table 2.5a'!$B$8:$B$192,0)),"")</f>
        <v>5.6663644605621032E-2</v>
      </c>
      <c r="L150" s="658" t="s">
        <v>356</v>
      </c>
      <c r="M150" s="709">
        <f t="array" ref="M150">INDEX(UtilityList!Q$4:Q$251,MATCH('Table 2.5b'!$A150&amp;'Table 2.5b'!$B150,UtilityList!$A$4:$A$251&amp;UtilityList!$C$4:$C$251,0))</f>
        <v>0</v>
      </c>
      <c r="N150" s="709" t="str">
        <f t="array" ref="N150">INDEX(UtilityList!J$4:J$251,MATCH('Table 2.5b'!$A150&amp;'Table 2.5b'!$B150,UtilityList!$A$4:$A$251&amp;UtilityList!$C$4:$C$251,0))</f>
        <v>Yukon-Koyukuk/Upper Tanana</v>
      </c>
      <c r="O150" s="709" t="str">
        <f t="array" ref="O150">INDEX(UtilityList!K$4:K$251,MATCH('Table 2.5b'!$A150&amp;'Table 2.5b'!$B150,UtilityList!$A$4:$A$251&amp;UtilityList!$C$4:$C$251,0))</f>
        <v>Yukon-Koyukuk (CA)</v>
      </c>
      <c r="P150" s="709" t="str">
        <f t="array" ref="P150">INDEX(UtilityList!L$4:L$251,MATCH('Table 2.5b'!$A150&amp;'Table 2.5b'!$B150,UtilityList!$A$4:$A$251&amp;UtilityList!$C$4:$C$251,0))</f>
        <v>Doyon</v>
      </c>
      <c r="Q150" s="709" t="str">
        <f t="array" ref="Q150">INDEX(UtilityList!M$4:M$251,MATCH('Table 2.5b'!$A150&amp;'Table 2.5b'!$B150,UtilityList!$A$4:$A$251&amp;UtilityList!$C$4:$C$251,0))</f>
        <v>SW</v>
      </c>
    </row>
    <row r="151" spans="1:17" s="153" customFormat="1" ht="30" x14ac:dyDescent="0.25">
      <c r="A151" s="361" t="s">
        <v>274</v>
      </c>
      <c r="B151" s="654" t="s">
        <v>276</v>
      </c>
      <c r="C151" s="655">
        <f t="array" ref="C151">IFERROR((INDEX('Table 2.5a'!$D$8:$D$192,MATCH('Table 2.5b'!A151&amp;'Table 2.5b'!B151,'Table 2.5a'!$A$8:$A$192&amp;'Table 2.5a'!$B$8:$B$192,0))/INDEX('Table 2.5a'!$E$8:$E$192,MATCH('Table 2.5b'!A151&amp;'Table 2.5b'!B151,'Table 2.5a'!$A$8:$A$192&amp;'Table 2.5a'!$B$8:$B$192,0)))*1000, "")</f>
        <v>5418.8118335725576</v>
      </c>
      <c r="D151" s="655">
        <f t="array" ref="D151">IFERROR((INDEX('Table 2.5a'!$C$8:$C$192,MATCH('Table 2.5b'!A151&amp;'Table 2.5b'!B151,'Table 2.5a'!$A$8:$A$192&amp;'Table 2.5a'!$B$8:$B$192,0))/INDEX('Table 2.5a'!$E$8:$E$192,MATCH('Table 2.5b'!A151&amp;'Table 2.5b'!B151,'Table 2.5a'!$A$8:$A$192&amp;'Table 2.5a'!$B$8:$B$192,0)))*1000, "")</f>
        <v>1962.6936461199803</v>
      </c>
      <c r="E151" s="705">
        <f t="array" ref="E151">IFERROR(INDEX('Table 2.5a'!$C$8:$C$192,MATCH('Table 2.5b'!$A151&amp;'Table 2.5b'!$B151,'Table 2.5a'!$A$8:$A$192&amp;'Table 2.5a'!$B$8:$B$192,0))/INDEX('Table 2.5a'!$D$8:$D$192,MATCH('Table 2.5b'!$A151&amp;'Table 2.5b'!$B151,'Table 2.5a'!$A$8:$A$192&amp;'Table 2.5a'!$B$8:$B$192,0)),"")</f>
        <v>0.36220000000000002</v>
      </c>
      <c r="F151" s="655">
        <f t="array" ref="F151">IFERROR((INDEX('Table 2.5a'!$H$8:$H$192,MATCH('Table 2.5b'!$A151&amp;'Table 2.5b'!$B151,'Table 2.5a'!$A$8:$A$192&amp;'Table 2.5a'!$B$8:$B$192,0))/INDEX('Table 2.5a'!$I$8:$I$192,MATCH('Table 2.5b'!$A151&amp;'Table 2.5b'!$B151,'Table 2.5a'!$A$8:$A$192&amp;'Table 2.5a'!$B$8:$B$192,0)))*1000, "")</f>
        <v>59882.171256108588</v>
      </c>
      <c r="G151" s="655">
        <f t="array" ref="G151">IFERROR((INDEX('Table 2.5a'!$G$8:$G$192,MATCH('Table 2.5b'!$A151&amp;'Table 2.5b'!$B151,'Table 2.5a'!$A$8:$A$192&amp;'Table 2.5a'!$B$8:$B$192,0))/INDEX('Table 2.5a'!$I$8:$I$192,MATCH('Table 2.5b'!$A151&amp;'Table 2.5b'!$B151,'Table 2.5a'!$A$8:$A$192&amp;'Table 2.5a'!$B$8:$B$192,0)))*1000, "")</f>
        <v>21689.322428962529</v>
      </c>
      <c r="H151" s="705">
        <f t="array" ref="H151">IFERROR(INDEX('Table 2.5a'!$G$8:$G$192,MATCH('Table 2.5b'!$A151&amp;'Table 2.5b'!$B151,'Table 2.5a'!$A$8:$A$192&amp;'Table 2.5a'!$B$8:$B$192,0))/INDEX('Table 2.5a'!$H$8:$H$192,MATCH('Table 2.5b'!$A151&amp;'Table 2.5b'!$B151,'Table 2.5a'!$A$8:$A$192&amp;'Table 2.5a'!$B$8:$B$192,0)),"")</f>
        <v>0.36220000000000002</v>
      </c>
      <c r="I151" s="655">
        <f t="array" ref="I151">IFERROR((INDEX('Table 2.5a'!$L$8:$L$192,MATCH('Table 2.5b'!$A151&amp;'Table 2.5b'!$B151,'Table 2.5a'!$A$8:$A$192&amp;'Table 2.5a'!$B$8:$B$192,0))/INDEX('Table 2.5a'!$I$8:$I$192,MATCH('Table 2.5b'!$A151&amp;'Table 2.5b'!$B151,'Table 2.5a'!$A$8:$A$192&amp;'Table 2.5a'!$B$8:$B$192,0)))*1000, "")</f>
        <v>24057.624086879434</v>
      </c>
      <c r="J151" s="655">
        <f t="array" ref="J151">IFERROR((INDEX('Table 2.5a'!$K$8:$K$192,MATCH('Table 2.5b'!$A151&amp;'Table 2.5b'!$B151,'Table 2.5a'!$A$8:$A$192&amp;'Table 2.5a'!$B$8:$B$192,0))/INDEX('Table 2.5a'!$I$8:$I$192,MATCH('Table 2.5b'!$A151&amp;'Table 2.5b'!$B151,'Table 2.5a'!$A$8:$A$192&amp;'Table 2.5a'!$B$8:$B$192,0)))*1000, "")</f>
        <v>8713.6714442677312</v>
      </c>
      <c r="K151" s="705">
        <f t="array" ref="K151">IFERROR(INDEX('Table 2.5a'!$I$8:$I$192,MATCH('Table 2.5b'!$A151&amp;'Table 2.5b'!$B151,'Table 2.5a'!$A$8:$A$192&amp;'Table 2.5a'!$B$8:$B$192,0))/INDEX('Table 2.5a'!$L$8:$L$192,MATCH('Table 2.5b'!$A151&amp;'Table 2.5b'!$B151,'Table 2.5a'!$A$8:$A$192&amp;'Table 2.5a'!$B$8:$B$192,0)),"")</f>
        <v>4.1566864474592104E-2</v>
      </c>
      <c r="L151" s="658" t="s">
        <v>356</v>
      </c>
      <c r="M151" s="709">
        <f t="array" ref="M151">INDEX(UtilityList!Q$4:Q$251,MATCH('Table 2.5b'!$A151&amp;'Table 2.5b'!$B151,UtilityList!$A$4:$A$251&amp;UtilityList!$C$4:$C$251,0))</f>
        <v>0</v>
      </c>
      <c r="N151" s="709" t="str">
        <f t="array" ref="N151">INDEX(UtilityList!J$4:J$251,MATCH('Table 2.5b'!$A151&amp;'Table 2.5b'!$B151,UtilityList!$A$4:$A$251&amp;UtilityList!$C$4:$C$251,0))</f>
        <v>Bering Straits</v>
      </c>
      <c r="O151" s="709" t="str">
        <f t="array" ref="O151">INDEX(UtilityList!K$4:K$251,MATCH('Table 2.5b'!$A151&amp;'Table 2.5b'!$B151,UtilityList!$A$4:$A$251&amp;UtilityList!$C$4:$C$251,0))</f>
        <v>Nome (CA)</v>
      </c>
      <c r="P151" s="709" t="str">
        <f t="array" ref="P151">INDEX(UtilityList!L$4:L$251,MATCH('Table 2.5b'!$A151&amp;'Table 2.5b'!$B151,UtilityList!$A$4:$A$251&amp;UtilityList!$C$4:$C$251,0))</f>
        <v>Bering Straits</v>
      </c>
      <c r="Q151" s="709" t="str">
        <f t="array" ref="Q151">INDEX(UtilityList!M$4:M$251,MATCH('Table 2.5b'!$A151&amp;'Table 2.5b'!$B151,UtilityList!$A$4:$A$251&amp;UtilityList!$C$4:$C$251,0))</f>
        <v>AN</v>
      </c>
    </row>
    <row r="152" spans="1:17" s="154" customFormat="1" ht="30" x14ac:dyDescent="0.25">
      <c r="A152" s="352" t="s">
        <v>277</v>
      </c>
      <c r="B152" s="633" t="s">
        <v>278</v>
      </c>
      <c r="C152" s="655">
        <f t="array" ref="C152">IFERROR((INDEX('Table 2.5a'!$D$8:$D$192,MATCH('Table 2.5b'!A152&amp;'Table 2.5b'!B152,'Table 2.5a'!$A$8:$A$192&amp;'Table 2.5a'!$B$8:$B$192,0))/INDEX('Table 2.5a'!$E$8:$E$192,MATCH('Table 2.5b'!A152&amp;'Table 2.5b'!B152,'Table 2.5a'!$A$8:$A$192&amp;'Table 2.5a'!$B$8:$B$192,0)))*1000, "")</f>
        <v>7093.086956521739</v>
      </c>
      <c r="D152" s="655">
        <f t="array" ref="D152">IFERROR((INDEX('Table 2.5a'!$C$8:$C$192,MATCH('Table 2.5b'!A152&amp;'Table 2.5b'!B152,'Table 2.5a'!$A$8:$A$192&amp;'Table 2.5a'!$B$8:$B$192,0))/INDEX('Table 2.5a'!$E$8:$E$192,MATCH('Table 2.5b'!A152&amp;'Table 2.5b'!B152,'Table 2.5a'!$A$8:$A$192&amp;'Table 2.5a'!$B$8:$B$192,0)))*1000, "")</f>
        <v>1063.9630434782607</v>
      </c>
      <c r="E152" s="705">
        <f t="array" ref="E152">IFERROR(INDEX('Table 2.5a'!$C$8:$C$192,MATCH('Table 2.5b'!$A152&amp;'Table 2.5b'!$B152,'Table 2.5a'!$A$8:$A$192&amp;'Table 2.5a'!$B$8:$B$192,0))/INDEX('Table 2.5a'!$D$8:$D$192,MATCH('Table 2.5b'!$A152&amp;'Table 2.5b'!$B152,'Table 2.5a'!$A$8:$A$192&amp;'Table 2.5a'!$B$8:$B$192,0)),"")</f>
        <v>0.15</v>
      </c>
      <c r="F152" s="655">
        <f t="array" ref="F152">IFERROR((INDEX('Table 2.5a'!$H$8:$H$192,MATCH('Table 2.5b'!$A152&amp;'Table 2.5b'!$B152,'Table 2.5a'!$A$8:$A$192&amp;'Table 2.5a'!$B$8:$B$192,0))/INDEX('Table 2.5a'!$I$8:$I$192,MATCH('Table 2.5b'!$A152&amp;'Table 2.5b'!$B152,'Table 2.5a'!$A$8:$A$192&amp;'Table 2.5a'!$B$8:$B$192,0)))*1000, "")</f>
        <v>43434.539866263891</v>
      </c>
      <c r="G152" s="655">
        <f t="array" ref="G152">IFERROR((INDEX('Table 2.5a'!$G$8:$G$192,MATCH('Table 2.5b'!$A152&amp;'Table 2.5b'!$B152,'Table 2.5a'!$A$8:$A$192&amp;'Table 2.5a'!$B$8:$B$192,0))/INDEX('Table 2.5a'!$I$8:$I$192,MATCH('Table 2.5b'!$A152&amp;'Table 2.5b'!$B152,'Table 2.5a'!$A$8:$A$192&amp;'Table 2.5a'!$B$8:$B$192,0)))*1000, "")</f>
        <v>6515.1809799395824</v>
      </c>
      <c r="H152" s="705">
        <f t="array" ref="H152">IFERROR(INDEX('Table 2.5a'!$G$8:$G$192,MATCH('Table 2.5b'!$A152&amp;'Table 2.5b'!$B152,'Table 2.5a'!$A$8:$A$192&amp;'Table 2.5a'!$B$8:$B$192,0))/INDEX('Table 2.5a'!$H$8:$H$192,MATCH('Table 2.5b'!$A152&amp;'Table 2.5b'!$B152,'Table 2.5a'!$A$8:$A$192&amp;'Table 2.5a'!$B$8:$B$192,0)),"")</f>
        <v>0.15</v>
      </c>
      <c r="I152" s="655">
        <f t="array" ref="I152">IFERROR((INDEX('Table 2.5a'!$L$8:$L$192,MATCH('Table 2.5b'!$A152&amp;'Table 2.5b'!$B152,'Table 2.5a'!$A$8:$A$192&amp;'Table 2.5a'!$B$8:$B$192,0))/INDEX('Table 2.5a'!$I$8:$I$192,MATCH('Table 2.5b'!$A152&amp;'Table 2.5b'!$B152,'Table 2.5a'!$A$8:$A$192&amp;'Table 2.5a'!$B$8:$B$192,0)))*1000, "")</f>
        <v>1189.1661703849877</v>
      </c>
      <c r="J152" s="655">
        <f t="array" ref="J152">IFERROR((INDEX('Table 2.5a'!$K$8:$K$192,MATCH('Table 2.5b'!$A152&amp;'Table 2.5b'!$B152,'Table 2.5a'!$A$8:$A$192&amp;'Table 2.5a'!$B$8:$B$192,0))/INDEX('Table 2.5a'!$I$8:$I$192,MATCH('Table 2.5b'!$A152&amp;'Table 2.5b'!$B152,'Table 2.5a'!$A$8:$A$192&amp;'Table 2.5a'!$B$8:$B$192,0)))*1000, "")</f>
        <v>178.37492555774816</v>
      </c>
      <c r="K152" s="705">
        <f t="array" ref="K152">IFERROR(INDEX('Table 2.5a'!$I$8:$I$192,MATCH('Table 2.5b'!$A152&amp;'Table 2.5b'!$B152,'Table 2.5a'!$A$8:$A$192&amp;'Table 2.5a'!$B$8:$B$192,0))/INDEX('Table 2.5a'!$L$8:$L$192,MATCH('Table 2.5b'!$A152&amp;'Table 2.5b'!$B152,'Table 2.5a'!$A$8:$A$192&amp;'Table 2.5a'!$B$8:$B$192,0)),"")</f>
        <v>0.84092536846743138</v>
      </c>
      <c r="L152" s="662" t="s">
        <v>356</v>
      </c>
      <c r="M152" s="709">
        <f t="array" ref="M152">INDEX(UtilityList!Q$4:Q$251,MATCH('Table 2.5b'!$A152&amp;'Table 2.5b'!$B152,UtilityList!$A$4:$A$251&amp;UtilityList!$C$4:$C$251,0))</f>
        <v>0</v>
      </c>
      <c r="N152" s="709" t="str">
        <f t="array" ref="N152">INDEX(UtilityList!J$4:J$251,MATCH('Table 2.5b'!$A152&amp;'Table 2.5b'!$B152,UtilityList!$A$4:$A$251&amp;UtilityList!$C$4:$C$251,0))</f>
        <v>North Slope</v>
      </c>
      <c r="O152" s="709" t="str">
        <f t="array" ref="O152">INDEX(UtilityList!K$4:K$251,MATCH('Table 2.5b'!$A152&amp;'Table 2.5b'!$B152,UtilityList!$A$4:$A$251&amp;UtilityList!$C$4:$C$251,0))</f>
        <v>North Slope</v>
      </c>
      <c r="P152" s="709" t="str">
        <f t="array" ref="P152">INDEX(UtilityList!L$4:L$251,MATCH('Table 2.5b'!$A152&amp;'Table 2.5b'!$B152,UtilityList!$A$4:$A$251&amp;UtilityList!$C$4:$C$251,0))</f>
        <v>Arctic Slope</v>
      </c>
      <c r="Q152" s="709" t="str">
        <f t="array" ref="Q152">INDEX(UtilityList!M$4:M$251,MATCH('Table 2.5b'!$A152&amp;'Table 2.5b'!$B152,UtilityList!$A$4:$A$251&amp;UtilityList!$C$4:$C$251,0))</f>
        <v>AN</v>
      </c>
    </row>
    <row r="153" spans="1:17" s="153" customFormat="1" ht="30" x14ac:dyDescent="0.25">
      <c r="A153" s="352" t="s">
        <v>277</v>
      </c>
      <c r="B153" s="633" t="s">
        <v>279</v>
      </c>
      <c r="C153" s="655">
        <f t="array" ref="C153">IFERROR((INDEX('Table 2.5a'!$D$8:$D$192,MATCH('Table 2.5b'!A153&amp;'Table 2.5b'!B153,'Table 2.5a'!$A$8:$A$192&amp;'Table 2.5a'!$B$8:$B$192,0))/INDEX('Table 2.5a'!$E$8:$E$192,MATCH('Table 2.5b'!A153&amp;'Table 2.5b'!B153,'Table 2.5a'!$A$8:$A$192&amp;'Table 2.5a'!$B$8:$B$192,0)))*1000, "")</f>
        <v>10113.316017316016</v>
      </c>
      <c r="D153" s="655">
        <f t="array" ref="D153">IFERROR((INDEX('Table 2.5a'!$C$8:$C$192,MATCH('Table 2.5b'!A153&amp;'Table 2.5b'!B153,'Table 2.5a'!$A$8:$A$192&amp;'Table 2.5a'!$B$8:$B$192,0))/INDEX('Table 2.5a'!$E$8:$E$192,MATCH('Table 2.5b'!A153&amp;'Table 2.5b'!B153,'Table 2.5a'!$A$8:$A$192&amp;'Table 2.5a'!$B$8:$B$192,0)))*1000, "")</f>
        <v>1516.9974025974027</v>
      </c>
      <c r="E153" s="705">
        <f t="array" ref="E153">IFERROR(INDEX('Table 2.5a'!$C$8:$C$192,MATCH('Table 2.5b'!$A153&amp;'Table 2.5b'!$B153,'Table 2.5a'!$A$8:$A$192&amp;'Table 2.5a'!$B$8:$B$192,0))/INDEX('Table 2.5a'!$D$8:$D$192,MATCH('Table 2.5b'!$A153&amp;'Table 2.5b'!$B153,'Table 2.5a'!$A$8:$A$192&amp;'Table 2.5a'!$B$8:$B$192,0)),"")</f>
        <v>0.15</v>
      </c>
      <c r="F153" s="655">
        <f t="array" ref="F153">IFERROR((INDEX('Table 2.5a'!$H$8:$H$192,MATCH('Table 2.5b'!$A153&amp;'Table 2.5b'!$B153,'Table 2.5a'!$A$8:$A$192&amp;'Table 2.5a'!$B$8:$B$192,0))/INDEX('Table 2.5a'!$I$8:$I$192,MATCH('Table 2.5b'!$A153&amp;'Table 2.5b'!$B153,'Table 2.5a'!$A$8:$A$192&amp;'Table 2.5a'!$B$8:$B$192,0)))*1000, "")</f>
        <v>41453.767857142855</v>
      </c>
      <c r="G153" s="655">
        <f t="array" ref="G153">IFERROR((INDEX('Table 2.5a'!$G$8:$G$192,MATCH('Table 2.5b'!$A153&amp;'Table 2.5b'!$B153,'Table 2.5a'!$A$8:$A$192&amp;'Table 2.5a'!$B$8:$B$192,0))/INDEX('Table 2.5a'!$I$8:$I$192,MATCH('Table 2.5b'!$A153&amp;'Table 2.5b'!$B153,'Table 2.5a'!$A$8:$A$192&amp;'Table 2.5a'!$B$8:$B$192,0)))*1000, "")</f>
        <v>6218.065178571429</v>
      </c>
      <c r="H153" s="705">
        <f t="array" ref="H153">IFERROR(INDEX('Table 2.5a'!$G$8:$G$192,MATCH('Table 2.5b'!$A153&amp;'Table 2.5b'!$B153,'Table 2.5a'!$A$8:$A$192&amp;'Table 2.5a'!$B$8:$B$192,0))/INDEX('Table 2.5a'!$H$8:$H$192,MATCH('Table 2.5b'!$A153&amp;'Table 2.5b'!$B153,'Table 2.5a'!$A$8:$A$192&amp;'Table 2.5a'!$B$8:$B$192,0)),"")</f>
        <v>0.15</v>
      </c>
      <c r="I153" s="655">
        <f t="array" ref="I153">IFERROR((INDEX('Table 2.5a'!$L$8:$L$192,MATCH('Table 2.5b'!$A153&amp;'Table 2.5b'!$B153,'Table 2.5a'!$A$8:$A$192&amp;'Table 2.5a'!$B$8:$B$192,0))/INDEX('Table 2.5a'!$I$8:$I$192,MATCH('Table 2.5b'!$A153&amp;'Table 2.5b'!$B153,'Table 2.5a'!$A$8:$A$192&amp;'Table 2.5a'!$B$8:$B$192,0)))*1000, "")</f>
        <v>1580.8928571428571</v>
      </c>
      <c r="J153" s="655">
        <f t="array" ref="J153">IFERROR((INDEX('Table 2.5a'!$K$8:$K$192,MATCH('Table 2.5b'!$A153&amp;'Table 2.5b'!$B153,'Table 2.5a'!$A$8:$A$192&amp;'Table 2.5a'!$B$8:$B$192,0))/INDEX('Table 2.5a'!$I$8:$I$192,MATCH('Table 2.5b'!$A153&amp;'Table 2.5b'!$B153,'Table 2.5a'!$A$8:$A$192&amp;'Table 2.5a'!$B$8:$B$192,0)))*1000, "")</f>
        <v>237.13392857142858</v>
      </c>
      <c r="K153" s="705">
        <f t="array" ref="K153">IFERROR(INDEX('Table 2.5a'!$I$8:$I$192,MATCH('Table 2.5b'!$A153&amp;'Table 2.5b'!$B153,'Table 2.5a'!$A$8:$A$192&amp;'Table 2.5a'!$B$8:$B$192,0))/INDEX('Table 2.5a'!$L$8:$L$192,MATCH('Table 2.5b'!$A153&amp;'Table 2.5b'!$B153,'Table 2.5a'!$A$8:$A$192&amp;'Table 2.5a'!$B$8:$B$192,0)),"")</f>
        <v>0.63255393651869418</v>
      </c>
      <c r="L153" s="662" t="s">
        <v>356</v>
      </c>
      <c r="M153" s="709">
        <f t="array" ref="M153">INDEX(UtilityList!Q$4:Q$251,MATCH('Table 2.5b'!$A153&amp;'Table 2.5b'!$B153,UtilityList!$A$4:$A$251&amp;UtilityList!$C$4:$C$251,0))</f>
        <v>0</v>
      </c>
      <c r="N153" s="709" t="str">
        <f t="array" ref="N153">INDEX(UtilityList!J$4:J$251,MATCH('Table 2.5b'!$A153&amp;'Table 2.5b'!$B153,UtilityList!$A$4:$A$251&amp;UtilityList!$C$4:$C$251,0))</f>
        <v>North Slope</v>
      </c>
      <c r="O153" s="709" t="str">
        <f t="array" ref="O153">INDEX(UtilityList!K$4:K$251,MATCH('Table 2.5b'!$A153&amp;'Table 2.5b'!$B153,UtilityList!$A$4:$A$251&amp;UtilityList!$C$4:$C$251,0))</f>
        <v>North Slope</v>
      </c>
      <c r="P153" s="709" t="str">
        <f t="array" ref="P153">INDEX(UtilityList!L$4:L$251,MATCH('Table 2.5b'!$A153&amp;'Table 2.5b'!$B153,UtilityList!$A$4:$A$251&amp;UtilityList!$C$4:$C$251,0))</f>
        <v>Arctic Slope</v>
      </c>
      <c r="Q153" s="709" t="str">
        <f t="array" ref="Q153">INDEX(UtilityList!M$4:M$251,MATCH('Table 2.5b'!$A153&amp;'Table 2.5b'!$B153,UtilityList!$A$4:$A$251&amp;UtilityList!$C$4:$C$251,0))</f>
        <v>AN</v>
      </c>
    </row>
    <row r="154" spans="1:17" s="153" customFormat="1" ht="30" x14ac:dyDescent="0.25">
      <c r="A154" s="352" t="s">
        <v>277</v>
      </c>
      <c r="B154" s="633" t="s">
        <v>280</v>
      </c>
      <c r="C154" s="655">
        <f t="array" ref="C154">IFERROR((INDEX('Table 2.5a'!$D$8:$D$192,MATCH('Table 2.5b'!A154&amp;'Table 2.5b'!B154,'Table 2.5a'!$A$8:$A$192&amp;'Table 2.5a'!$B$8:$B$192,0))/INDEX('Table 2.5a'!$E$8:$E$192,MATCH('Table 2.5b'!A154&amp;'Table 2.5b'!B154,'Table 2.5a'!$A$8:$A$192&amp;'Table 2.5a'!$B$8:$B$192,0)))*1000, "")</f>
        <v>8264.8056580341672</v>
      </c>
      <c r="D154" s="655">
        <f t="array" ref="D154">IFERROR((INDEX('Table 2.5a'!$C$8:$C$192,MATCH('Table 2.5b'!A154&amp;'Table 2.5b'!B154,'Table 2.5a'!$A$8:$A$192&amp;'Table 2.5a'!$B$8:$B$192,0))/INDEX('Table 2.5a'!$E$8:$E$192,MATCH('Table 2.5b'!A154&amp;'Table 2.5b'!B154,'Table 2.5a'!$A$8:$A$192&amp;'Table 2.5a'!$B$8:$B$192,0)))*1000, "")</f>
        <v>1239.7208487051248</v>
      </c>
      <c r="E154" s="705">
        <f t="array" ref="E154">IFERROR(INDEX('Table 2.5a'!$C$8:$C$192,MATCH('Table 2.5b'!$A154&amp;'Table 2.5b'!$B154,'Table 2.5a'!$A$8:$A$192&amp;'Table 2.5a'!$B$8:$B$192,0))/INDEX('Table 2.5a'!$D$8:$D$192,MATCH('Table 2.5b'!$A154&amp;'Table 2.5b'!$B154,'Table 2.5a'!$A$8:$A$192&amp;'Table 2.5a'!$B$8:$B$192,0)),"")</f>
        <v>0.15</v>
      </c>
      <c r="F154" s="655">
        <f t="array" ref="F154">IFERROR((INDEX('Table 2.5a'!$H$8:$H$192,MATCH('Table 2.5b'!$A154&amp;'Table 2.5b'!$B154,'Table 2.5a'!$A$8:$A$192&amp;'Table 2.5a'!$B$8:$B$192,0))/INDEX('Table 2.5a'!$I$8:$I$192,MATCH('Table 2.5b'!$A154&amp;'Table 2.5b'!$B154,'Table 2.5a'!$A$8:$A$192&amp;'Table 2.5a'!$B$8:$B$192,0)))*1000, "")</f>
        <v>68214.069690928256</v>
      </c>
      <c r="G154" s="655">
        <f t="array" ref="G154">IFERROR((INDEX('Table 2.5a'!$G$8:$G$192,MATCH('Table 2.5b'!$A154&amp;'Table 2.5b'!$B154,'Table 2.5a'!$A$8:$A$192&amp;'Table 2.5a'!$B$8:$B$192,0))/INDEX('Table 2.5a'!$I$8:$I$192,MATCH('Table 2.5b'!$A154&amp;'Table 2.5b'!$B154,'Table 2.5a'!$A$8:$A$192&amp;'Table 2.5a'!$B$8:$B$192,0)))*1000, "")</f>
        <v>10232.110453639238</v>
      </c>
      <c r="H154" s="705">
        <f t="array" ref="H154">IFERROR(INDEX('Table 2.5a'!$G$8:$G$192,MATCH('Table 2.5b'!$A154&amp;'Table 2.5b'!$B154,'Table 2.5a'!$A$8:$A$192&amp;'Table 2.5a'!$B$8:$B$192,0))/INDEX('Table 2.5a'!$H$8:$H$192,MATCH('Table 2.5b'!$A154&amp;'Table 2.5b'!$B154,'Table 2.5a'!$A$8:$A$192&amp;'Table 2.5a'!$B$8:$B$192,0)),"")</f>
        <v>0.15</v>
      </c>
      <c r="I154" s="655">
        <f t="array" ref="I154">IFERROR((INDEX('Table 2.5a'!$L$8:$L$192,MATCH('Table 2.5b'!$A154&amp;'Table 2.5b'!$B154,'Table 2.5a'!$A$8:$A$192&amp;'Table 2.5a'!$B$8:$B$192,0))/INDEX('Table 2.5a'!$I$8:$I$192,MATCH('Table 2.5b'!$A154&amp;'Table 2.5b'!$B154,'Table 2.5a'!$A$8:$A$192&amp;'Table 2.5a'!$B$8:$B$192,0)))*1000, "")</f>
        <v>17584.047220877761</v>
      </c>
      <c r="J154" s="655">
        <f t="array" ref="J154">IFERROR((INDEX('Table 2.5a'!$K$8:$K$192,MATCH('Table 2.5b'!$A154&amp;'Table 2.5b'!$B154,'Table 2.5a'!$A$8:$A$192&amp;'Table 2.5a'!$B$8:$B$192,0))/INDEX('Table 2.5a'!$I$8:$I$192,MATCH('Table 2.5b'!$A154&amp;'Table 2.5b'!$B154,'Table 2.5a'!$A$8:$A$192&amp;'Table 2.5a'!$B$8:$B$192,0)))*1000, "")</f>
        <v>2637.6070831316638</v>
      </c>
      <c r="K154" s="705">
        <f t="array" ref="K154">IFERROR(INDEX('Table 2.5a'!$I$8:$I$192,MATCH('Table 2.5b'!$A154&amp;'Table 2.5b'!$B154,'Table 2.5a'!$A$8:$A$192&amp;'Table 2.5a'!$B$8:$B$192,0))/INDEX('Table 2.5a'!$L$8:$L$192,MATCH('Table 2.5b'!$A154&amp;'Table 2.5b'!$B154,'Table 2.5a'!$A$8:$A$192&amp;'Table 2.5a'!$B$8:$B$192,0)),"")</f>
        <v>5.6869728990075023E-2</v>
      </c>
      <c r="L154" s="662" t="s">
        <v>356</v>
      </c>
      <c r="M154" s="709">
        <f t="array" ref="M154">INDEX(UtilityList!Q$4:Q$251,MATCH('Table 2.5b'!$A154&amp;'Table 2.5b'!$B154,UtilityList!$A$4:$A$251&amp;UtilityList!$C$4:$C$251,0))</f>
        <v>0</v>
      </c>
      <c r="N154" s="709" t="str">
        <f t="array" ref="N154">INDEX(UtilityList!J$4:J$251,MATCH('Table 2.5b'!$A154&amp;'Table 2.5b'!$B154,UtilityList!$A$4:$A$251&amp;UtilityList!$C$4:$C$251,0))</f>
        <v>North Slope</v>
      </c>
      <c r="O154" s="709" t="str">
        <f t="array" ref="O154">INDEX(UtilityList!K$4:K$251,MATCH('Table 2.5b'!$A154&amp;'Table 2.5b'!$B154,UtilityList!$A$4:$A$251&amp;UtilityList!$C$4:$C$251,0))</f>
        <v>North Slope</v>
      </c>
      <c r="P154" s="709" t="str">
        <f t="array" ref="P154">INDEX(UtilityList!L$4:L$251,MATCH('Table 2.5b'!$A154&amp;'Table 2.5b'!$B154,UtilityList!$A$4:$A$251&amp;UtilityList!$C$4:$C$251,0))</f>
        <v>Arctic Slope</v>
      </c>
      <c r="Q154" s="709" t="str">
        <f t="array" ref="Q154">INDEX(UtilityList!M$4:M$251,MATCH('Table 2.5b'!$A154&amp;'Table 2.5b'!$B154,UtilityList!$A$4:$A$251&amp;UtilityList!$C$4:$C$251,0))</f>
        <v>AN</v>
      </c>
    </row>
    <row r="155" spans="1:17" s="153" customFormat="1" ht="30" x14ac:dyDescent="0.25">
      <c r="A155" s="352" t="s">
        <v>277</v>
      </c>
      <c r="B155" s="633" t="s">
        <v>281</v>
      </c>
      <c r="C155" s="655">
        <f t="array" ref="C155">IFERROR((INDEX('Table 2.5a'!$D$8:$D$192,MATCH('Table 2.5b'!A155&amp;'Table 2.5b'!B155,'Table 2.5a'!$A$8:$A$192&amp;'Table 2.5a'!$B$8:$B$192,0))/INDEX('Table 2.5a'!$E$8:$E$192,MATCH('Table 2.5b'!A155&amp;'Table 2.5b'!B155,'Table 2.5a'!$A$8:$A$192&amp;'Table 2.5a'!$B$8:$B$192,0)))*1000, "")</f>
        <v>8539.6467780429593</v>
      </c>
      <c r="D155" s="655">
        <f t="array" ref="D155">IFERROR((INDEX('Table 2.5a'!$C$8:$C$192,MATCH('Table 2.5b'!A155&amp;'Table 2.5b'!B155,'Table 2.5a'!$A$8:$A$192&amp;'Table 2.5a'!$B$8:$B$192,0))/INDEX('Table 2.5a'!$E$8:$E$192,MATCH('Table 2.5b'!A155&amp;'Table 2.5b'!B155,'Table 2.5a'!$A$8:$A$192&amp;'Table 2.5a'!$B$8:$B$192,0)))*1000, "")</f>
        <v>683.17174224343682</v>
      </c>
      <c r="E155" s="705">
        <f t="array" ref="E155">IFERROR(INDEX('Table 2.5a'!$C$8:$C$192,MATCH('Table 2.5b'!$A155&amp;'Table 2.5b'!$B155,'Table 2.5a'!$A$8:$A$192&amp;'Table 2.5a'!$B$8:$B$192,0))/INDEX('Table 2.5a'!$D$8:$D$192,MATCH('Table 2.5b'!$A155&amp;'Table 2.5b'!$B155,'Table 2.5a'!$A$8:$A$192&amp;'Table 2.5a'!$B$8:$B$192,0)),"")</f>
        <v>0.08</v>
      </c>
      <c r="F155" s="655">
        <f t="array" ref="F155">IFERROR((INDEX('Table 2.5a'!$H$8:$H$192,MATCH('Table 2.5b'!$A155&amp;'Table 2.5b'!$B155,'Table 2.5a'!$A$8:$A$192&amp;'Table 2.5a'!$B$8:$B$192,0))/INDEX('Table 2.5a'!$I$8:$I$192,MATCH('Table 2.5b'!$A155&amp;'Table 2.5b'!$B155,'Table 2.5a'!$A$8:$A$192&amp;'Table 2.5a'!$B$8:$B$192,0)))*1000, "")</f>
        <v>53666.14339622642</v>
      </c>
      <c r="G155" s="655">
        <f t="array" ref="G155">IFERROR((INDEX('Table 2.5a'!$G$8:$G$192,MATCH('Table 2.5b'!$A155&amp;'Table 2.5b'!$B155,'Table 2.5a'!$A$8:$A$192&amp;'Table 2.5a'!$B$8:$B$192,0))/INDEX('Table 2.5a'!$I$8:$I$192,MATCH('Table 2.5b'!$A155&amp;'Table 2.5b'!$B155,'Table 2.5a'!$A$8:$A$192&amp;'Table 2.5a'!$B$8:$B$192,0)))*1000, "")</f>
        <v>4293.2914716981131</v>
      </c>
      <c r="H155" s="705">
        <f t="array" ref="H155">IFERROR(INDEX('Table 2.5a'!$G$8:$G$192,MATCH('Table 2.5b'!$A155&amp;'Table 2.5b'!$B155,'Table 2.5a'!$A$8:$A$192&amp;'Table 2.5a'!$B$8:$B$192,0))/INDEX('Table 2.5a'!$H$8:$H$192,MATCH('Table 2.5b'!$A155&amp;'Table 2.5b'!$B155,'Table 2.5a'!$A$8:$A$192&amp;'Table 2.5a'!$B$8:$B$192,0)),"")</f>
        <v>0.08</v>
      </c>
      <c r="I155" s="655">
        <f t="array" ref="I155">IFERROR((INDEX('Table 2.5a'!$L$8:$L$192,MATCH('Table 2.5b'!$A155&amp;'Table 2.5b'!$B155,'Table 2.5a'!$A$8:$A$192&amp;'Table 2.5a'!$B$8:$B$192,0))/INDEX('Table 2.5a'!$I$8:$I$192,MATCH('Table 2.5b'!$A155&amp;'Table 2.5b'!$B155,'Table 2.5a'!$A$8:$A$192&amp;'Table 2.5a'!$B$8:$B$192,0)))*1000, "")</f>
        <v>1767.5622641509435</v>
      </c>
      <c r="J155" s="655">
        <f t="array" ref="J155">IFERROR((INDEX('Table 2.5a'!$K$8:$K$192,MATCH('Table 2.5b'!$A155&amp;'Table 2.5b'!$B155,'Table 2.5a'!$A$8:$A$192&amp;'Table 2.5a'!$B$8:$B$192,0))/INDEX('Table 2.5a'!$I$8:$I$192,MATCH('Table 2.5b'!$A155&amp;'Table 2.5b'!$B155,'Table 2.5a'!$A$8:$A$192&amp;'Table 2.5a'!$B$8:$B$192,0)))*1000, "")</f>
        <v>141.40498113207548</v>
      </c>
      <c r="K155" s="705">
        <f t="array" ref="K155">IFERROR(INDEX('Table 2.5a'!$I$8:$I$192,MATCH('Table 2.5b'!$A155&amp;'Table 2.5b'!$B155,'Table 2.5a'!$A$8:$A$192&amp;'Table 2.5a'!$B$8:$B$192,0))/INDEX('Table 2.5a'!$L$8:$L$192,MATCH('Table 2.5b'!$A155&amp;'Table 2.5b'!$B155,'Table 2.5a'!$A$8:$A$192&amp;'Table 2.5a'!$B$8:$B$192,0)),"")</f>
        <v>0.56575093295531209</v>
      </c>
      <c r="L155" s="662" t="s">
        <v>356</v>
      </c>
      <c r="M155" s="709">
        <f t="array" ref="M155">INDEX(UtilityList!Q$4:Q$251,MATCH('Table 2.5b'!$A155&amp;'Table 2.5b'!$B155,UtilityList!$A$4:$A$251&amp;UtilityList!$C$4:$C$251,0))</f>
        <v>0</v>
      </c>
      <c r="N155" s="709" t="str">
        <f t="array" ref="N155">INDEX(UtilityList!J$4:J$251,MATCH('Table 2.5b'!$A155&amp;'Table 2.5b'!$B155,UtilityList!$A$4:$A$251&amp;UtilityList!$C$4:$C$251,0))</f>
        <v>North Slope</v>
      </c>
      <c r="O155" s="709" t="str">
        <f t="array" ref="O155">INDEX(UtilityList!K$4:K$251,MATCH('Table 2.5b'!$A155&amp;'Table 2.5b'!$B155,UtilityList!$A$4:$A$251&amp;UtilityList!$C$4:$C$251,0))</f>
        <v>North Slope</v>
      </c>
      <c r="P155" s="709" t="str">
        <f t="array" ref="P155">INDEX(UtilityList!L$4:L$251,MATCH('Table 2.5b'!$A155&amp;'Table 2.5b'!$B155,UtilityList!$A$4:$A$251&amp;UtilityList!$C$4:$C$251,0))</f>
        <v>Arctic Slope</v>
      </c>
      <c r="Q155" s="709" t="str">
        <f t="array" ref="Q155">INDEX(UtilityList!M$4:M$251,MATCH('Table 2.5b'!$A155&amp;'Table 2.5b'!$B155,UtilityList!$A$4:$A$251&amp;UtilityList!$C$4:$C$251,0))</f>
        <v>AN</v>
      </c>
    </row>
    <row r="156" spans="1:17" s="126" customFormat="1" ht="30" x14ac:dyDescent="0.25">
      <c r="A156" s="352" t="s">
        <v>277</v>
      </c>
      <c r="B156" s="633" t="s">
        <v>282</v>
      </c>
      <c r="C156" s="655">
        <f t="array" ref="C156">IFERROR((INDEX('Table 2.5a'!$D$8:$D$192,MATCH('Table 2.5b'!A156&amp;'Table 2.5b'!B156,'Table 2.5a'!$A$8:$A$192&amp;'Table 2.5a'!$B$8:$B$192,0))/INDEX('Table 2.5a'!$E$8:$E$192,MATCH('Table 2.5b'!A156&amp;'Table 2.5b'!B156,'Table 2.5a'!$A$8:$A$192&amp;'Table 2.5a'!$B$8:$B$192,0)))*1000, "")</f>
        <v>9155.5196107540069</v>
      </c>
      <c r="D156" s="655">
        <f t="array" ref="D156">IFERROR((INDEX('Table 2.5a'!$C$8:$C$192,MATCH('Table 2.5b'!A156&amp;'Table 2.5b'!B156,'Table 2.5a'!$A$8:$A$192&amp;'Table 2.5a'!$B$8:$B$192,0))/INDEX('Table 2.5a'!$E$8:$E$192,MATCH('Table 2.5b'!A156&amp;'Table 2.5b'!B156,'Table 2.5a'!$A$8:$A$192&amp;'Table 2.5a'!$B$8:$B$192,0)))*1000, "")</f>
        <v>1373.3279416131013</v>
      </c>
      <c r="E156" s="705">
        <f t="array" ref="E156">IFERROR(INDEX('Table 2.5a'!$C$8:$C$192,MATCH('Table 2.5b'!$A156&amp;'Table 2.5b'!$B156,'Table 2.5a'!$A$8:$A$192&amp;'Table 2.5a'!$B$8:$B$192,0))/INDEX('Table 2.5a'!$D$8:$D$192,MATCH('Table 2.5b'!$A156&amp;'Table 2.5b'!$B156,'Table 2.5a'!$A$8:$A$192&amp;'Table 2.5a'!$B$8:$B$192,0)),"")</f>
        <v>0.15</v>
      </c>
      <c r="F156" s="655">
        <f t="array" ref="F156">IFERROR((INDEX('Table 2.5a'!$H$8:$H$192,MATCH('Table 2.5b'!$A156&amp;'Table 2.5b'!$B156,'Table 2.5a'!$A$8:$A$192&amp;'Table 2.5a'!$B$8:$B$192,0))/INDEX('Table 2.5a'!$I$8:$I$192,MATCH('Table 2.5b'!$A156&amp;'Table 2.5b'!$B156,'Table 2.5a'!$A$8:$A$192&amp;'Table 2.5a'!$B$8:$B$192,0)))*1000, "")</f>
        <v>41908.876859245996</v>
      </c>
      <c r="G156" s="655">
        <f t="array" ref="G156">IFERROR((INDEX('Table 2.5a'!$G$8:$G$192,MATCH('Table 2.5b'!$A156&amp;'Table 2.5b'!$B156,'Table 2.5a'!$A$8:$A$192&amp;'Table 2.5a'!$B$8:$B$192,0))/INDEX('Table 2.5a'!$I$8:$I$192,MATCH('Table 2.5b'!$A156&amp;'Table 2.5b'!$B156,'Table 2.5a'!$A$8:$A$192&amp;'Table 2.5a'!$B$8:$B$192,0)))*1000, "")</f>
        <v>6286.3315288868998</v>
      </c>
      <c r="H156" s="705">
        <f t="array" ref="H156">IFERROR(INDEX('Table 2.5a'!$G$8:$G$192,MATCH('Table 2.5b'!$A156&amp;'Table 2.5b'!$B156,'Table 2.5a'!$A$8:$A$192&amp;'Table 2.5a'!$B$8:$B$192,0))/INDEX('Table 2.5a'!$H$8:$H$192,MATCH('Table 2.5b'!$A156&amp;'Table 2.5b'!$B156,'Table 2.5a'!$A$8:$A$192&amp;'Table 2.5a'!$B$8:$B$192,0)),"")</f>
        <v>0.15</v>
      </c>
      <c r="I156" s="655">
        <f t="array" ref="I156">IFERROR((INDEX('Table 2.5a'!$L$8:$L$192,MATCH('Table 2.5b'!$A156&amp;'Table 2.5b'!$B156,'Table 2.5a'!$A$8:$A$192&amp;'Table 2.5a'!$B$8:$B$192,0))/INDEX('Table 2.5a'!$I$8:$I$192,MATCH('Table 2.5b'!$A156&amp;'Table 2.5b'!$B156,'Table 2.5a'!$A$8:$A$192&amp;'Table 2.5a'!$B$8:$B$192,0)))*1000, "")</f>
        <v>3653.3045686952833</v>
      </c>
      <c r="J156" s="655">
        <f t="array" ref="J156">IFERROR((INDEX('Table 2.5a'!$K$8:$K$192,MATCH('Table 2.5b'!$A156&amp;'Table 2.5b'!$B156,'Table 2.5a'!$A$8:$A$192&amp;'Table 2.5a'!$B$8:$B$192,0))/INDEX('Table 2.5a'!$I$8:$I$192,MATCH('Table 2.5b'!$A156&amp;'Table 2.5b'!$B156,'Table 2.5a'!$A$8:$A$192&amp;'Table 2.5a'!$B$8:$B$192,0)))*1000, "")</f>
        <v>547.99568530429246</v>
      </c>
      <c r="K156" s="705">
        <f t="array" ref="K156">IFERROR(INDEX('Table 2.5a'!$I$8:$I$192,MATCH('Table 2.5b'!$A156&amp;'Table 2.5b'!$B156,'Table 2.5a'!$A$8:$A$192&amp;'Table 2.5a'!$B$8:$B$192,0))/INDEX('Table 2.5a'!$L$8:$L$192,MATCH('Table 2.5b'!$A156&amp;'Table 2.5b'!$B156,'Table 2.5a'!$A$8:$A$192&amp;'Table 2.5a'!$B$8:$B$192,0)),"")</f>
        <v>0.27372478291814945</v>
      </c>
      <c r="L156" s="662" t="s">
        <v>356</v>
      </c>
      <c r="M156" s="709">
        <f t="array" ref="M156">INDEX(UtilityList!Q$4:Q$251,MATCH('Table 2.5b'!$A156&amp;'Table 2.5b'!$B156,UtilityList!$A$4:$A$251&amp;UtilityList!$C$4:$C$251,0))</f>
        <v>0</v>
      </c>
      <c r="N156" s="709" t="str">
        <f t="array" ref="N156">INDEX(UtilityList!J$4:J$251,MATCH('Table 2.5b'!$A156&amp;'Table 2.5b'!$B156,UtilityList!$A$4:$A$251&amp;UtilityList!$C$4:$C$251,0))</f>
        <v>North Slope</v>
      </c>
      <c r="O156" s="709" t="str">
        <f t="array" ref="O156">INDEX(UtilityList!K$4:K$251,MATCH('Table 2.5b'!$A156&amp;'Table 2.5b'!$B156,UtilityList!$A$4:$A$251&amp;UtilityList!$C$4:$C$251,0))</f>
        <v>North Slope</v>
      </c>
      <c r="P156" s="709" t="str">
        <f t="array" ref="P156">INDEX(UtilityList!L$4:L$251,MATCH('Table 2.5b'!$A156&amp;'Table 2.5b'!$B156,UtilityList!$A$4:$A$251&amp;UtilityList!$C$4:$C$251,0))</f>
        <v>Arctic Slope</v>
      </c>
      <c r="Q156" s="709" t="str">
        <f t="array" ref="Q156">INDEX(UtilityList!M$4:M$251,MATCH('Table 2.5b'!$A156&amp;'Table 2.5b'!$B156,UtilityList!$A$4:$A$251&amp;UtilityList!$C$4:$C$251,0))</f>
        <v>AN</v>
      </c>
    </row>
    <row r="157" spans="1:17" s="126" customFormat="1" ht="30" x14ac:dyDescent="0.25">
      <c r="A157" s="352" t="s">
        <v>277</v>
      </c>
      <c r="B157" s="633" t="s">
        <v>283</v>
      </c>
      <c r="C157" s="655">
        <f t="array" ref="C157">IFERROR((INDEX('Table 2.5a'!$D$8:$D$192,MATCH('Table 2.5b'!A157&amp;'Table 2.5b'!B157,'Table 2.5a'!$A$8:$A$192&amp;'Table 2.5a'!$B$8:$B$192,0))/INDEX('Table 2.5a'!$E$8:$E$192,MATCH('Table 2.5b'!A157&amp;'Table 2.5b'!B157,'Table 2.5a'!$A$8:$A$192&amp;'Table 2.5a'!$B$8:$B$192,0)))*1000, "")</f>
        <v>7575.6756756756758</v>
      </c>
      <c r="D157" s="655">
        <f t="array" ref="D157">IFERROR((INDEX('Table 2.5a'!$C$8:$C$192,MATCH('Table 2.5b'!A157&amp;'Table 2.5b'!B157,'Table 2.5a'!$A$8:$A$192&amp;'Table 2.5a'!$B$8:$B$192,0))/INDEX('Table 2.5a'!$E$8:$E$192,MATCH('Table 2.5b'!A157&amp;'Table 2.5b'!B157,'Table 2.5a'!$A$8:$A$192&amp;'Table 2.5a'!$B$8:$B$192,0)))*1000, "")</f>
        <v>1136.3513513513512</v>
      </c>
      <c r="E157" s="705">
        <f t="array" ref="E157">IFERROR(INDEX('Table 2.5a'!$C$8:$C$192,MATCH('Table 2.5b'!$A157&amp;'Table 2.5b'!$B157,'Table 2.5a'!$A$8:$A$192&amp;'Table 2.5a'!$B$8:$B$192,0))/INDEX('Table 2.5a'!$D$8:$D$192,MATCH('Table 2.5b'!$A157&amp;'Table 2.5b'!$B157,'Table 2.5a'!$A$8:$A$192&amp;'Table 2.5a'!$B$8:$B$192,0)),"")</f>
        <v>0.15</v>
      </c>
      <c r="F157" s="655">
        <f t="array" ref="F157">IFERROR((INDEX('Table 2.5a'!$H$8:$H$192,MATCH('Table 2.5b'!$A157&amp;'Table 2.5b'!$B157,'Table 2.5a'!$A$8:$A$192&amp;'Table 2.5a'!$B$8:$B$192,0))/INDEX('Table 2.5a'!$I$8:$I$192,MATCH('Table 2.5b'!$A157&amp;'Table 2.5b'!$B157,'Table 2.5a'!$A$8:$A$192&amp;'Table 2.5a'!$B$8:$B$192,0)))*1000, "")</f>
        <v>41292.292134831463</v>
      </c>
      <c r="G157" s="655">
        <f t="array" ref="G157">IFERROR((INDEX('Table 2.5a'!$G$8:$G$192,MATCH('Table 2.5b'!$A157&amp;'Table 2.5b'!$B157,'Table 2.5a'!$A$8:$A$192&amp;'Table 2.5a'!$B$8:$B$192,0))/INDEX('Table 2.5a'!$I$8:$I$192,MATCH('Table 2.5b'!$A157&amp;'Table 2.5b'!$B157,'Table 2.5a'!$A$8:$A$192&amp;'Table 2.5a'!$B$8:$B$192,0)))*1000, "")</f>
        <v>6193.8438202247198</v>
      </c>
      <c r="H157" s="705">
        <f t="array" ref="H157">IFERROR(INDEX('Table 2.5a'!$G$8:$G$192,MATCH('Table 2.5b'!$A157&amp;'Table 2.5b'!$B157,'Table 2.5a'!$A$8:$A$192&amp;'Table 2.5a'!$B$8:$B$192,0))/INDEX('Table 2.5a'!$H$8:$H$192,MATCH('Table 2.5b'!$A157&amp;'Table 2.5b'!$B157,'Table 2.5a'!$A$8:$A$192&amp;'Table 2.5a'!$B$8:$B$192,0)),"")</f>
        <v>0.15</v>
      </c>
      <c r="I157" s="655">
        <f t="array" ref="I157">IFERROR((INDEX('Table 2.5a'!$L$8:$L$192,MATCH('Table 2.5b'!$A157&amp;'Table 2.5b'!$B157,'Table 2.5a'!$A$8:$A$192&amp;'Table 2.5a'!$B$8:$B$192,0))/INDEX('Table 2.5a'!$I$8:$I$192,MATCH('Table 2.5b'!$A157&amp;'Table 2.5b'!$B157,'Table 2.5a'!$A$8:$A$192&amp;'Table 2.5a'!$B$8:$B$192,0)))*1000, "")</f>
        <v>2222.4943820224717</v>
      </c>
      <c r="J157" s="655">
        <f t="array" ref="J157">IFERROR((INDEX('Table 2.5a'!$K$8:$K$192,MATCH('Table 2.5b'!$A157&amp;'Table 2.5b'!$B157,'Table 2.5a'!$A$8:$A$192&amp;'Table 2.5a'!$B$8:$B$192,0))/INDEX('Table 2.5a'!$I$8:$I$192,MATCH('Table 2.5b'!$A157&amp;'Table 2.5b'!$B157,'Table 2.5a'!$A$8:$A$192&amp;'Table 2.5a'!$B$8:$B$192,0)))*1000, "")</f>
        <v>333.37415730337079</v>
      </c>
      <c r="K157" s="705">
        <f t="array" ref="K157">IFERROR(INDEX('Table 2.5a'!$I$8:$I$192,MATCH('Table 2.5b'!$A157&amp;'Table 2.5b'!$B157,'Table 2.5a'!$A$8:$A$192&amp;'Table 2.5a'!$B$8:$B$192,0))/INDEX('Table 2.5a'!$L$8:$L$192,MATCH('Table 2.5b'!$A157&amp;'Table 2.5b'!$B157,'Table 2.5a'!$A$8:$A$192&amp;'Table 2.5a'!$B$8:$B$192,0)),"")</f>
        <v>0.44994489438933888</v>
      </c>
      <c r="L157" s="662" t="s">
        <v>356</v>
      </c>
      <c r="M157" s="709">
        <f t="array" ref="M157">INDEX(UtilityList!Q$4:Q$251,MATCH('Table 2.5b'!$A157&amp;'Table 2.5b'!$B157,UtilityList!$A$4:$A$251&amp;UtilityList!$C$4:$C$251,0))</f>
        <v>0</v>
      </c>
      <c r="N157" s="709" t="str">
        <f t="array" ref="N157">INDEX(UtilityList!J$4:J$251,MATCH('Table 2.5b'!$A157&amp;'Table 2.5b'!$B157,UtilityList!$A$4:$A$251&amp;UtilityList!$C$4:$C$251,0))</f>
        <v>North Slope</v>
      </c>
      <c r="O157" s="709" t="str">
        <f t="array" ref="O157">INDEX(UtilityList!K$4:K$251,MATCH('Table 2.5b'!$A157&amp;'Table 2.5b'!$B157,UtilityList!$A$4:$A$251&amp;UtilityList!$C$4:$C$251,0))</f>
        <v>North Slope</v>
      </c>
      <c r="P157" s="709" t="str">
        <f t="array" ref="P157">INDEX(UtilityList!L$4:L$251,MATCH('Table 2.5b'!$A157&amp;'Table 2.5b'!$B157,UtilityList!$A$4:$A$251&amp;UtilityList!$C$4:$C$251,0))</f>
        <v>Arctic Slope</v>
      </c>
      <c r="Q157" s="709" t="str">
        <f t="array" ref="Q157">INDEX(UtilityList!M$4:M$251,MATCH('Table 2.5b'!$A157&amp;'Table 2.5b'!$B157,UtilityList!$A$4:$A$251&amp;UtilityList!$C$4:$C$251,0))</f>
        <v>AN</v>
      </c>
    </row>
    <row r="158" spans="1:17" s="126" customFormat="1" ht="30" x14ac:dyDescent="0.25">
      <c r="A158" s="352" t="s">
        <v>277</v>
      </c>
      <c r="B158" s="633" t="s">
        <v>284</v>
      </c>
      <c r="C158" s="655">
        <f t="array" ref="C158">IFERROR((INDEX('Table 2.5a'!$D$8:$D$192,MATCH('Table 2.5b'!A158&amp;'Table 2.5b'!B158,'Table 2.5a'!$A$8:$A$192&amp;'Table 2.5a'!$B$8:$B$192,0))/INDEX('Table 2.5a'!$E$8:$E$192,MATCH('Table 2.5b'!A158&amp;'Table 2.5b'!B158,'Table 2.5a'!$A$8:$A$192&amp;'Table 2.5a'!$B$8:$B$192,0)))*1000, "")</f>
        <v>8131.9974512198596</v>
      </c>
      <c r="D158" s="655">
        <f t="array" ref="D158">IFERROR((INDEX('Table 2.5a'!$C$8:$C$192,MATCH('Table 2.5b'!A158&amp;'Table 2.5b'!B158,'Table 2.5a'!$A$8:$A$192&amp;'Table 2.5a'!$B$8:$B$192,0))/INDEX('Table 2.5a'!$E$8:$E$192,MATCH('Table 2.5b'!A158&amp;'Table 2.5b'!B158,'Table 2.5a'!$A$8:$A$192&amp;'Table 2.5a'!$B$8:$B$192,0)))*1000, "")</f>
        <v>1219.7996176829788</v>
      </c>
      <c r="E158" s="705">
        <f t="array" ref="E158">IFERROR(INDEX('Table 2.5a'!$C$8:$C$192,MATCH('Table 2.5b'!$A158&amp;'Table 2.5b'!$B158,'Table 2.5a'!$A$8:$A$192&amp;'Table 2.5a'!$B$8:$B$192,0))/INDEX('Table 2.5a'!$D$8:$D$192,MATCH('Table 2.5b'!$A158&amp;'Table 2.5b'!$B158,'Table 2.5a'!$A$8:$A$192&amp;'Table 2.5a'!$B$8:$B$192,0)),"")</f>
        <v>0.15</v>
      </c>
      <c r="F158" s="655">
        <f t="array" ref="F158">IFERROR((INDEX('Table 2.5a'!$H$8:$H$192,MATCH('Table 2.5b'!$A158&amp;'Table 2.5b'!$B158,'Table 2.5a'!$A$8:$A$192&amp;'Table 2.5a'!$B$8:$B$192,0))/INDEX('Table 2.5a'!$I$8:$I$192,MATCH('Table 2.5b'!$A158&amp;'Table 2.5b'!$B158,'Table 2.5a'!$A$8:$A$192&amp;'Table 2.5a'!$B$8:$B$192,0)))*1000, "")</f>
        <v>47318.671097218707</v>
      </c>
      <c r="G158" s="655">
        <f t="array" ref="G158">IFERROR((INDEX('Table 2.5a'!$G$8:$G$192,MATCH('Table 2.5b'!$A158&amp;'Table 2.5b'!$B158,'Table 2.5a'!$A$8:$A$192&amp;'Table 2.5a'!$B$8:$B$192,0))/INDEX('Table 2.5a'!$I$8:$I$192,MATCH('Table 2.5b'!$A158&amp;'Table 2.5b'!$B158,'Table 2.5a'!$A$8:$A$192&amp;'Table 2.5a'!$B$8:$B$192,0)))*1000, "")</f>
        <v>7097.8006645828063</v>
      </c>
      <c r="H158" s="705">
        <f t="array" ref="H158">IFERROR(INDEX('Table 2.5a'!$G$8:$G$192,MATCH('Table 2.5b'!$A158&amp;'Table 2.5b'!$B158,'Table 2.5a'!$A$8:$A$192&amp;'Table 2.5a'!$B$8:$B$192,0))/INDEX('Table 2.5a'!$H$8:$H$192,MATCH('Table 2.5b'!$A158&amp;'Table 2.5b'!$B158,'Table 2.5a'!$A$8:$A$192&amp;'Table 2.5a'!$B$8:$B$192,0)),"")</f>
        <v>0.15</v>
      </c>
      <c r="I158" s="655">
        <f t="array" ref="I158">IFERROR((INDEX('Table 2.5a'!$L$8:$L$192,MATCH('Table 2.5b'!$A158&amp;'Table 2.5b'!$B158,'Table 2.5a'!$A$8:$A$192&amp;'Table 2.5a'!$B$8:$B$192,0))/INDEX('Table 2.5a'!$I$8:$I$192,MATCH('Table 2.5b'!$A158&amp;'Table 2.5b'!$B158,'Table 2.5a'!$A$8:$A$192&amp;'Table 2.5a'!$B$8:$B$192,0)))*1000, "")</f>
        <v>1821.6333430484144</v>
      </c>
      <c r="J158" s="655">
        <f t="array" ref="J158">IFERROR((INDEX('Table 2.5a'!$K$8:$K$192,MATCH('Table 2.5b'!$A158&amp;'Table 2.5b'!$B158,'Table 2.5a'!$A$8:$A$192&amp;'Table 2.5a'!$B$8:$B$192,0))/INDEX('Table 2.5a'!$I$8:$I$192,MATCH('Table 2.5b'!$A158&amp;'Table 2.5b'!$B158,'Table 2.5a'!$A$8:$A$192&amp;'Table 2.5a'!$B$8:$B$192,0)))*1000, "")</f>
        <v>273.24500145726211</v>
      </c>
      <c r="K158" s="705">
        <f t="array" ref="K158">IFERROR(INDEX('Table 2.5a'!$I$8:$I$192,MATCH('Table 2.5b'!$A158&amp;'Table 2.5b'!$B158,'Table 2.5a'!$A$8:$A$192&amp;'Table 2.5a'!$B$8:$B$192,0))/INDEX('Table 2.5a'!$L$8:$L$192,MATCH('Table 2.5b'!$A158&amp;'Table 2.5b'!$B158,'Table 2.5a'!$A$8:$A$192&amp;'Table 2.5a'!$B$8:$B$192,0)),"")</f>
        <v>0.54895789200177292</v>
      </c>
      <c r="L158" s="662" t="s">
        <v>356</v>
      </c>
      <c r="M158" s="709">
        <f t="array" ref="M158">INDEX(UtilityList!Q$4:Q$251,MATCH('Table 2.5b'!$A158&amp;'Table 2.5b'!$B158,UtilityList!$A$4:$A$251&amp;UtilityList!$C$4:$C$251,0))</f>
        <v>0</v>
      </c>
      <c r="N158" s="709" t="str">
        <f t="array" ref="N158">INDEX(UtilityList!J$4:J$251,MATCH('Table 2.5b'!$A158&amp;'Table 2.5b'!$B158,UtilityList!$A$4:$A$251&amp;UtilityList!$C$4:$C$251,0))</f>
        <v>North Slope</v>
      </c>
      <c r="O158" s="709" t="str">
        <f t="array" ref="O158">INDEX(UtilityList!K$4:K$251,MATCH('Table 2.5b'!$A158&amp;'Table 2.5b'!$B158,UtilityList!$A$4:$A$251&amp;UtilityList!$C$4:$C$251,0))</f>
        <v>North Slope</v>
      </c>
      <c r="P158" s="709" t="str">
        <f t="array" ref="P158">INDEX(UtilityList!L$4:L$251,MATCH('Table 2.5b'!$A158&amp;'Table 2.5b'!$B158,UtilityList!$A$4:$A$251&amp;UtilityList!$C$4:$C$251,0))</f>
        <v>Arctic Slope</v>
      </c>
      <c r="Q158" s="709" t="str">
        <f t="array" ref="Q158">INDEX(UtilityList!M$4:M$251,MATCH('Table 2.5b'!$A158&amp;'Table 2.5b'!$B158,UtilityList!$A$4:$A$251&amp;UtilityList!$C$4:$C$251,0))</f>
        <v>AN</v>
      </c>
    </row>
    <row r="159" spans="1:17" s="126" customFormat="1" ht="30" x14ac:dyDescent="0.25">
      <c r="A159" s="361" t="s">
        <v>285</v>
      </c>
      <c r="B159" s="654" t="s">
        <v>286</v>
      </c>
      <c r="C159" s="655">
        <f t="array" ref="C159">IFERROR((INDEX('Table 2.5a'!$D$8:$D$192,MATCH('Table 2.5b'!A159&amp;'Table 2.5b'!B159,'Table 2.5a'!$A$8:$A$192&amp;'Table 2.5a'!$B$8:$B$192,0))/INDEX('Table 2.5a'!$E$8:$E$192,MATCH('Table 2.5b'!A159&amp;'Table 2.5b'!B159,'Table 2.5a'!$A$8:$A$192&amp;'Table 2.5a'!$B$8:$B$192,0)))*1000, "")</f>
        <v>4267.0818273087925</v>
      </c>
      <c r="D159" s="655">
        <f t="array" ref="D159">IFERROR((INDEX('Table 2.5a'!$C$8:$C$192,MATCH('Table 2.5b'!A159&amp;'Table 2.5b'!B159,'Table 2.5a'!$A$8:$A$192&amp;'Table 2.5a'!$B$8:$B$192,0))/INDEX('Table 2.5a'!$E$8:$E$192,MATCH('Table 2.5b'!A159&amp;'Table 2.5b'!B159,'Table 2.5a'!$A$8:$A$192&amp;'Table 2.5a'!$B$8:$B$192,0)))*1000, "")</f>
        <v>2261.5533684736602</v>
      </c>
      <c r="E159" s="705">
        <f t="array" ref="E159">IFERROR(INDEX('Table 2.5a'!$C$8:$C$192,MATCH('Table 2.5b'!$A159&amp;'Table 2.5b'!$B159,'Table 2.5a'!$A$8:$A$192&amp;'Table 2.5a'!$B$8:$B$192,0))/INDEX('Table 2.5a'!$D$8:$D$192,MATCH('Table 2.5b'!$A159&amp;'Table 2.5b'!$B159,'Table 2.5a'!$A$8:$A$192&amp;'Table 2.5a'!$B$8:$B$192,0)),"")</f>
        <v>0.53</v>
      </c>
      <c r="F159" s="655">
        <f t="array" ref="F159">IFERROR((INDEX('Table 2.5a'!$H$8:$H$192,MATCH('Table 2.5b'!$A159&amp;'Table 2.5b'!$B159,'Table 2.5a'!$A$8:$A$192&amp;'Table 2.5a'!$B$8:$B$192,0))/INDEX('Table 2.5a'!$I$8:$I$192,MATCH('Table 2.5b'!$A159&amp;'Table 2.5b'!$B159,'Table 2.5a'!$A$8:$A$192&amp;'Table 2.5a'!$B$8:$B$192,0)))*1000, "")</f>
        <v>56317.777777777781</v>
      </c>
      <c r="G159" s="655">
        <f t="array" ref="G159">IFERROR((INDEX('Table 2.5a'!$G$8:$G$192,MATCH('Table 2.5b'!$A159&amp;'Table 2.5b'!$B159,'Table 2.5a'!$A$8:$A$192&amp;'Table 2.5a'!$B$8:$B$192,0))/INDEX('Table 2.5a'!$I$8:$I$192,MATCH('Table 2.5b'!$A159&amp;'Table 2.5b'!$B159,'Table 2.5a'!$A$8:$A$192&amp;'Table 2.5a'!$B$8:$B$192,0)))*1000, "")</f>
        <v>29848.422222222227</v>
      </c>
      <c r="H159" s="705">
        <f t="array" ref="H159">IFERROR(INDEX('Table 2.5a'!$G$8:$G$192,MATCH('Table 2.5b'!$A159&amp;'Table 2.5b'!$B159,'Table 2.5a'!$A$8:$A$192&amp;'Table 2.5a'!$B$8:$B$192,0))/INDEX('Table 2.5a'!$H$8:$H$192,MATCH('Table 2.5b'!$A159&amp;'Table 2.5b'!$B159,'Table 2.5a'!$A$8:$A$192&amp;'Table 2.5a'!$B$8:$B$192,0)),"")</f>
        <v>0.53</v>
      </c>
      <c r="I159" s="655">
        <f t="array" ref="I159">IFERROR((INDEX('Table 2.5a'!$L$8:$L$192,MATCH('Table 2.5b'!$A159&amp;'Table 2.5b'!$B159,'Table 2.5a'!$A$8:$A$192&amp;'Table 2.5a'!$B$8:$B$192,0))/INDEX('Table 2.5a'!$I$8:$I$192,MATCH('Table 2.5b'!$A159&amp;'Table 2.5b'!$B159,'Table 2.5a'!$A$8:$A$192&amp;'Table 2.5a'!$B$8:$B$192,0)))*1000, "")</f>
        <v>32144.888888888894</v>
      </c>
      <c r="J159" s="655">
        <f t="array" ref="J159">IFERROR((INDEX('Table 2.5a'!$K$8:$K$192,MATCH('Table 2.5b'!$A159&amp;'Table 2.5b'!$B159,'Table 2.5a'!$A$8:$A$192&amp;'Table 2.5a'!$B$8:$B$192,0))/INDEX('Table 2.5a'!$I$8:$I$192,MATCH('Table 2.5b'!$A159&amp;'Table 2.5b'!$B159,'Table 2.5a'!$A$8:$A$192&amp;'Table 2.5a'!$B$8:$B$192,0)))*1000, "")</f>
        <v>17036.791111111113</v>
      </c>
      <c r="K159" s="705">
        <f t="array" ref="K159">IFERROR(INDEX('Table 2.5a'!$I$8:$I$192,MATCH('Table 2.5b'!$A159&amp;'Table 2.5b'!$B159,'Table 2.5a'!$A$8:$A$192&amp;'Table 2.5a'!$B$8:$B$192,0))/INDEX('Table 2.5a'!$L$8:$L$192,MATCH('Table 2.5b'!$A159&amp;'Table 2.5b'!$B159,'Table 2.5a'!$A$8:$A$192&amp;'Table 2.5a'!$B$8:$B$192,0)),"")</f>
        <v>3.1109144705914884E-2</v>
      </c>
      <c r="L159" s="658" t="s">
        <v>356</v>
      </c>
      <c r="M159" s="709">
        <f t="array" ref="M159">INDEX(UtilityList!Q$4:Q$251,MATCH('Table 2.5b'!$A159&amp;'Table 2.5b'!$B159,UtilityList!$A$4:$A$251&amp;UtilityList!$C$4:$C$251,0))</f>
        <v>0</v>
      </c>
      <c r="N159" s="709" t="str">
        <f t="array" ref="N159">INDEX(UtilityList!J$4:J$251,MATCH('Table 2.5b'!$A159&amp;'Table 2.5b'!$B159,UtilityList!$A$4:$A$251&amp;UtilityList!$C$4:$C$251,0))</f>
        <v>Lower Yukon-Kuskokwim</v>
      </c>
      <c r="O159" s="709" t="str">
        <f t="array" ref="O159">INDEX(UtilityList!K$4:K$251,MATCH('Table 2.5b'!$A159&amp;'Table 2.5b'!$B159,UtilityList!$A$4:$A$251&amp;UtilityList!$C$4:$C$251,0))</f>
        <v>Wade Hampton (CA)</v>
      </c>
      <c r="P159" s="709" t="str">
        <f t="array" ref="P159">INDEX(UtilityList!L$4:L$251,MATCH('Table 2.5b'!$A159&amp;'Table 2.5b'!$B159,UtilityList!$A$4:$A$251&amp;UtilityList!$C$4:$C$251,0))</f>
        <v>Calista</v>
      </c>
      <c r="Q159" s="709" t="str">
        <f t="array" ref="Q159">INDEX(UtilityList!M$4:M$251,MATCH('Table 2.5b'!$A159&amp;'Table 2.5b'!$B159,UtilityList!$A$4:$A$251&amp;UtilityList!$C$4:$C$251,0))</f>
        <v>YU</v>
      </c>
    </row>
    <row r="160" spans="1:17" s="126" customFormat="1" ht="60" x14ac:dyDescent="0.25">
      <c r="A160" s="361" t="s">
        <v>536</v>
      </c>
      <c r="B160" s="654" t="s">
        <v>687</v>
      </c>
      <c r="C160" s="655">
        <f t="array" ref="C160">IFERROR((INDEX('Table 2.5a'!$D$8:$D$192,MATCH('Table 2.5b'!A160&amp;'Table 2.5b'!B160,'Table 2.5a'!$A$8:$A$192&amp;'Table 2.5a'!$B$8:$B$192,0))/INDEX('Table 2.5a'!$E$8:$E$192,MATCH('Table 2.5b'!A160&amp;'Table 2.5b'!B160,'Table 2.5a'!$A$8:$A$192&amp;'Table 2.5a'!$B$8:$B$192,0)))*1000, "")</f>
        <v>5691.6850401161</v>
      </c>
      <c r="D160" s="655">
        <f t="array" ref="D160">IFERROR((INDEX('Table 2.5a'!$C$8:$C$192,MATCH('Table 2.5b'!A160&amp;'Table 2.5b'!B160,'Table 2.5a'!$A$8:$A$192&amp;'Table 2.5a'!$B$8:$B$192,0))/INDEX('Table 2.5a'!$E$8:$E$192,MATCH('Table 2.5b'!A160&amp;'Table 2.5b'!B160,'Table 2.5a'!$A$8:$A$192&amp;'Table 2.5a'!$B$8:$B$192,0)))*1000, "")</f>
        <v>2277.9072334440821</v>
      </c>
      <c r="E160" s="705">
        <f t="array" ref="E160">IFERROR(INDEX('Table 2.5a'!$C$8:$C$192,MATCH('Table 2.5b'!$A160&amp;'Table 2.5b'!$B160,'Table 2.5a'!$A$8:$A$192&amp;'Table 2.5a'!$B$8:$B$192,0))/INDEX('Table 2.5a'!$D$8:$D$192,MATCH('Table 2.5b'!$A160&amp;'Table 2.5b'!$B160,'Table 2.5a'!$A$8:$A$192&amp;'Table 2.5a'!$B$8:$B$192,0)),"")</f>
        <v>0.40021667</v>
      </c>
      <c r="F160" s="655">
        <f t="array" ref="F160">IFERROR((INDEX('Table 2.5a'!$H$8:$H$192,MATCH('Table 2.5b'!$A160&amp;'Table 2.5b'!$B160,'Table 2.5a'!$A$8:$A$192&amp;'Table 2.5a'!$B$8:$B$192,0))/INDEX('Table 2.5a'!$I$8:$I$192,MATCH('Table 2.5b'!$A160&amp;'Table 2.5b'!$B160,'Table 2.5a'!$A$8:$A$192&amp;'Table 2.5a'!$B$8:$B$192,0)))*1000, "")</f>
        <v>27277.243243243243</v>
      </c>
      <c r="G160" s="655">
        <f t="array" ref="G160">IFERROR((INDEX('Table 2.5a'!$G$8:$G$192,MATCH('Table 2.5b'!$A160&amp;'Table 2.5b'!$B160,'Table 2.5a'!$A$8:$A$192&amp;'Table 2.5a'!$B$8:$B$192,0))/INDEX('Table 2.5a'!$I$8:$I$192,MATCH('Table 2.5b'!$A160&amp;'Table 2.5b'!$B160,'Table 2.5a'!$A$8:$A$192&amp;'Table 2.5a'!$B$8:$B$192,0)))*1000, "")</f>
        <v>10916.807457590812</v>
      </c>
      <c r="H160" s="705">
        <f t="array" ref="H160">IFERROR(INDEX('Table 2.5a'!$G$8:$G$192,MATCH('Table 2.5b'!$A160&amp;'Table 2.5b'!$B160,'Table 2.5a'!$A$8:$A$192&amp;'Table 2.5a'!$B$8:$B$192,0))/INDEX('Table 2.5a'!$H$8:$H$192,MATCH('Table 2.5b'!$A160&amp;'Table 2.5b'!$B160,'Table 2.5a'!$A$8:$A$192&amp;'Table 2.5a'!$B$8:$B$192,0)),"")</f>
        <v>0.40021667</v>
      </c>
      <c r="I160" s="655">
        <f t="array" ref="I160">IFERROR((INDEX('Table 2.5a'!$L$8:$L$192,MATCH('Table 2.5b'!$A160&amp;'Table 2.5b'!$B160,'Table 2.5a'!$A$8:$A$192&amp;'Table 2.5a'!$B$8:$B$192,0))/INDEX('Table 2.5a'!$I$8:$I$192,MATCH('Table 2.5b'!$A160&amp;'Table 2.5b'!$B160,'Table 2.5a'!$A$8:$A$192&amp;'Table 2.5a'!$B$8:$B$192,0)))*1000, "")</f>
        <v>4446.0823680823687</v>
      </c>
      <c r="J160" s="655">
        <f t="array" ref="J160">IFERROR((INDEX('Table 2.5a'!$K$8:$K$192,MATCH('Table 2.5b'!$A160&amp;'Table 2.5b'!$B160,'Table 2.5a'!$A$8:$A$192&amp;'Table 2.5a'!$B$8:$B$192,0))/INDEX('Table 2.5a'!$I$8:$I$192,MATCH('Table 2.5b'!$A160&amp;'Table 2.5b'!$B160,'Table 2.5a'!$A$8:$A$192&amp;'Table 2.5a'!$B$8:$B$192,0)))*1000, "")</f>
        <v>1779.3962798996399</v>
      </c>
      <c r="K160" s="705">
        <f t="array" ref="K160">IFERROR(INDEX('Table 2.5a'!$I$8:$I$192,MATCH('Table 2.5b'!$A160&amp;'Table 2.5b'!$B160,'Table 2.5a'!$A$8:$A$192&amp;'Table 2.5a'!$B$8:$B$192,0))/INDEX('Table 2.5a'!$L$8:$L$192,MATCH('Table 2.5b'!$A160&amp;'Table 2.5b'!$B160,'Table 2.5a'!$A$8:$A$192&amp;'Table 2.5a'!$B$8:$B$192,0)),"")</f>
        <v>0.224917110663271</v>
      </c>
      <c r="L160" s="658" t="s">
        <v>356</v>
      </c>
      <c r="M160" s="709" t="str">
        <f t="array" ref="M160">INDEX(UtilityList!Q$4:Q$251,MATCH('Table 2.5b'!$A160&amp;'Table 2.5b'!$B160,UtilityList!$A$4:$A$251&amp;UtilityList!$C$4:$C$251,0))</f>
        <v>Provides power to Aleknagik via intertie. Data includes Aleknagik's information.</v>
      </c>
      <c r="N160" s="709" t="str">
        <f t="array" ref="N160">INDEX(UtilityList!J$4:J$251,MATCH('Table 2.5b'!$A160&amp;'Table 2.5b'!$B160,UtilityList!$A$4:$A$251&amp;UtilityList!$C$4:$C$251,0))</f>
        <v>Bristol Bay</v>
      </c>
      <c r="O160" s="709" t="str">
        <f t="array" ref="O160">INDEX(UtilityList!K$4:K$251,MATCH('Table 2.5b'!$A160&amp;'Table 2.5b'!$B160,UtilityList!$A$4:$A$251&amp;UtilityList!$C$4:$C$251,0))</f>
        <v>Dillingham (CA)</v>
      </c>
      <c r="P160" s="709" t="str">
        <f t="array" ref="P160">INDEX(UtilityList!L$4:L$251,MATCH('Table 2.5b'!$A160&amp;'Table 2.5b'!$B160,UtilityList!$A$4:$A$251&amp;UtilityList!$C$4:$C$251,0))</f>
        <v>Bristol Bay</v>
      </c>
      <c r="Q160" s="709" t="str">
        <f t="array" ref="Q160">INDEX(UtilityList!M$4:M$251,MATCH('Table 2.5b'!$A160&amp;'Table 2.5b'!$B160,UtilityList!$A$4:$A$251&amp;UtilityList!$C$4:$C$251,0))</f>
        <v>SW</v>
      </c>
    </row>
    <row r="161" spans="1:17" s="126" customFormat="1" x14ac:dyDescent="0.25">
      <c r="A161" s="361" t="s">
        <v>288</v>
      </c>
      <c r="B161" s="654" t="s">
        <v>289</v>
      </c>
      <c r="C161" s="655">
        <f t="array" ref="C161">IFERROR((INDEX('Table 2.5a'!$D$8:$D$192,MATCH('Table 2.5b'!A161&amp;'Table 2.5b'!B161,'Table 2.5a'!$A$8:$A$192&amp;'Table 2.5a'!$B$8:$B$192,0))/INDEX('Table 2.5a'!$E$8:$E$192,MATCH('Table 2.5b'!A161&amp;'Table 2.5b'!B161,'Table 2.5a'!$A$8:$A$192&amp;'Table 2.5a'!$B$8:$B$192,0)))*1000, "")</f>
        <v>4234.906577530357</v>
      </c>
      <c r="D161" s="655">
        <f t="array" ref="D161">IFERROR((INDEX('Table 2.5a'!$C$8:$C$192,MATCH('Table 2.5b'!A161&amp;'Table 2.5b'!B161,'Table 2.5a'!$A$8:$A$192&amp;'Table 2.5a'!$B$8:$B$192,0))/INDEX('Table 2.5a'!$E$8:$E$192,MATCH('Table 2.5b'!A161&amp;'Table 2.5b'!B161,'Table 2.5a'!$A$8:$A$192&amp;'Table 2.5a'!$B$8:$B$192,0)))*1000, "")</f>
        <v>1754.2041770775122</v>
      </c>
      <c r="E161" s="705">
        <f t="array" ref="E161">IFERROR(INDEX('Table 2.5a'!$C$8:$C$192,MATCH('Table 2.5b'!$A161&amp;'Table 2.5b'!$B161,'Table 2.5a'!$A$8:$A$192&amp;'Table 2.5a'!$B$8:$B$192,0))/INDEX('Table 2.5a'!$D$8:$D$192,MATCH('Table 2.5b'!$A161&amp;'Table 2.5b'!$B161,'Table 2.5a'!$A$8:$A$192&amp;'Table 2.5a'!$B$8:$B$192,0)),"")</f>
        <v>0.41422500000000001</v>
      </c>
      <c r="F161" s="655">
        <f t="array" ref="F161">IFERROR((INDEX('Table 2.5a'!$H$8:$H$192,MATCH('Table 2.5b'!$A161&amp;'Table 2.5b'!$B161,'Table 2.5a'!$A$8:$A$192&amp;'Table 2.5a'!$B$8:$B$192,0))/INDEX('Table 2.5a'!$I$8:$I$192,MATCH('Table 2.5b'!$A161&amp;'Table 2.5b'!$B161,'Table 2.5a'!$A$8:$A$192&amp;'Table 2.5a'!$B$8:$B$192,0)))*1000, "")</f>
        <v>25531.684210526313</v>
      </c>
      <c r="G161" s="655">
        <f t="array" ref="G161">IFERROR((INDEX('Table 2.5a'!$G$8:$G$192,MATCH('Table 2.5b'!$A161&amp;'Table 2.5b'!$B161,'Table 2.5a'!$A$8:$A$192&amp;'Table 2.5a'!$B$8:$B$192,0))/INDEX('Table 2.5a'!$I$8:$I$192,MATCH('Table 2.5b'!$A161&amp;'Table 2.5b'!$B161,'Table 2.5a'!$A$8:$A$192&amp;'Table 2.5a'!$B$8:$B$192,0)))*1000, "")</f>
        <v>10575.861892105264</v>
      </c>
      <c r="H161" s="705">
        <f t="array" ref="H161">IFERROR(INDEX('Table 2.5a'!$G$8:$G$192,MATCH('Table 2.5b'!$A161&amp;'Table 2.5b'!$B161,'Table 2.5a'!$A$8:$A$192&amp;'Table 2.5a'!$B$8:$B$192,0))/INDEX('Table 2.5a'!$H$8:$H$192,MATCH('Table 2.5b'!$A161&amp;'Table 2.5b'!$B161,'Table 2.5a'!$A$8:$A$192&amp;'Table 2.5a'!$B$8:$B$192,0)),"")</f>
        <v>0.41422500000000007</v>
      </c>
      <c r="I161" s="655">
        <f t="array" ref="I161">IFERROR((INDEX('Table 2.5a'!$L$8:$L$192,MATCH('Table 2.5b'!$A161&amp;'Table 2.5b'!$B161,'Table 2.5a'!$A$8:$A$192&amp;'Table 2.5a'!$B$8:$B$192,0))/INDEX('Table 2.5a'!$I$8:$I$192,MATCH('Table 2.5b'!$A161&amp;'Table 2.5b'!$B161,'Table 2.5a'!$A$8:$A$192&amp;'Table 2.5a'!$B$8:$B$192,0)))*1000, "")</f>
        <v>11148.000000000002</v>
      </c>
      <c r="J161" s="655">
        <f t="array" ref="J161">IFERROR((INDEX('Table 2.5a'!$K$8:$K$192,MATCH('Table 2.5b'!$A161&amp;'Table 2.5b'!$B161,'Table 2.5a'!$A$8:$A$192&amp;'Table 2.5a'!$B$8:$B$192,0))/INDEX('Table 2.5a'!$I$8:$I$192,MATCH('Table 2.5b'!$A161&amp;'Table 2.5b'!$B161,'Table 2.5a'!$A$8:$A$192&amp;'Table 2.5a'!$B$8:$B$192,0)))*1000, "")</f>
        <v>4617.7802999999994</v>
      </c>
      <c r="K161" s="705">
        <f t="array" ref="K161">IFERROR(INDEX('Table 2.5a'!$I$8:$I$192,MATCH('Table 2.5b'!$A161&amp;'Table 2.5b'!$B161,'Table 2.5a'!$A$8:$A$192&amp;'Table 2.5a'!$B$8:$B$192,0))/INDEX('Table 2.5a'!$L$8:$L$192,MATCH('Table 2.5b'!$A161&amp;'Table 2.5b'!$B161,'Table 2.5a'!$A$8:$A$192&amp;'Table 2.5a'!$B$8:$B$192,0)),"")</f>
        <v>8.9702188733405089E-2</v>
      </c>
      <c r="L161" s="658" t="s">
        <v>356</v>
      </c>
      <c r="M161" s="709">
        <f t="array" ref="M161">INDEX(UtilityList!Q$4:Q$251,MATCH('Table 2.5b'!$A161&amp;'Table 2.5b'!$B161,UtilityList!$A$4:$A$251&amp;UtilityList!$C$4:$C$251,0))</f>
        <v>0</v>
      </c>
      <c r="N161" s="709" t="str">
        <f t="array" ref="N161">INDEX(UtilityList!J$4:J$251,MATCH('Table 2.5b'!$A161&amp;'Table 2.5b'!$B161,UtilityList!$A$4:$A$251&amp;UtilityList!$C$4:$C$251,0))</f>
        <v>Kodiak</v>
      </c>
      <c r="O161" s="709" t="str">
        <f t="array" ref="O161">INDEX(UtilityList!K$4:K$251,MATCH('Table 2.5b'!$A161&amp;'Table 2.5b'!$B161,UtilityList!$A$4:$A$251&amp;UtilityList!$C$4:$C$251,0))</f>
        <v>Kodiak Island</v>
      </c>
      <c r="P161" s="709" t="str">
        <f t="array" ref="P161">INDEX(UtilityList!L$4:L$251,MATCH('Table 2.5b'!$A161&amp;'Table 2.5b'!$B161,UtilityList!$A$4:$A$251&amp;UtilityList!$C$4:$C$251,0))</f>
        <v>Koniag</v>
      </c>
      <c r="Q161" s="709" t="str">
        <f t="array" ref="Q161">INDEX(UtilityList!M$4:M$251,MATCH('Table 2.5b'!$A161&amp;'Table 2.5b'!$B161,UtilityList!$A$4:$A$251&amp;UtilityList!$C$4:$C$251,0))</f>
        <v>SC</v>
      </c>
    </row>
    <row r="162" spans="1:17" s="126" customFormat="1" ht="30" x14ac:dyDescent="0.25">
      <c r="A162" s="361" t="s">
        <v>290</v>
      </c>
      <c r="B162" s="654" t="s">
        <v>291</v>
      </c>
      <c r="C162" s="655">
        <f t="array" ref="C162">IFERROR((INDEX('Table 2.5a'!$D$8:$D$192,MATCH('Table 2.5b'!A162&amp;'Table 2.5b'!B162,'Table 2.5a'!$A$8:$A$192&amp;'Table 2.5a'!$B$8:$B$192,0))/INDEX('Table 2.5a'!$E$8:$E$192,MATCH('Table 2.5b'!A162&amp;'Table 2.5b'!B162,'Table 2.5a'!$A$8:$A$192&amp;'Table 2.5a'!$B$8:$B$192,0)))*1000, "")</f>
        <v>2895.6</v>
      </c>
      <c r="D162" s="655">
        <f t="array" ref="D162">IFERROR((INDEX('Table 2.5a'!$C$8:$C$192,MATCH('Table 2.5b'!A162&amp;'Table 2.5b'!B162,'Table 2.5a'!$A$8:$A$192&amp;'Table 2.5a'!$B$8:$B$192,0))/INDEX('Table 2.5a'!$E$8:$E$192,MATCH('Table 2.5b'!A162&amp;'Table 2.5b'!B162,'Table 2.5a'!$A$8:$A$192&amp;'Table 2.5a'!$B$8:$B$192,0)))*1000, "")</f>
        <v>2634.9960000000001</v>
      </c>
      <c r="E162" s="705">
        <f t="array" ref="E162">IFERROR(INDEX('Table 2.5a'!$C$8:$C$192,MATCH('Table 2.5b'!$A162&amp;'Table 2.5b'!$B162,'Table 2.5a'!$A$8:$A$192&amp;'Table 2.5a'!$B$8:$B$192,0))/INDEX('Table 2.5a'!$D$8:$D$192,MATCH('Table 2.5b'!$A162&amp;'Table 2.5b'!$B162,'Table 2.5a'!$A$8:$A$192&amp;'Table 2.5a'!$B$8:$B$192,0)),"")</f>
        <v>0.91</v>
      </c>
      <c r="F162" s="655">
        <f t="array" ref="F162">IFERROR((INDEX('Table 2.5a'!$H$8:$H$192,MATCH('Table 2.5b'!$A162&amp;'Table 2.5b'!$B162,'Table 2.5a'!$A$8:$A$192&amp;'Table 2.5a'!$B$8:$B$192,0))/INDEX('Table 2.5a'!$I$8:$I$192,MATCH('Table 2.5b'!$A162&amp;'Table 2.5b'!$B162,'Table 2.5a'!$A$8:$A$192&amp;'Table 2.5a'!$B$8:$B$192,0)))*1000, "")</f>
        <v>10424.23764149958</v>
      </c>
      <c r="G162" s="655">
        <f t="array" ref="G162">IFERROR((INDEX('Table 2.5a'!$G$8:$G$192,MATCH('Table 2.5b'!$A162&amp;'Table 2.5b'!$B162,'Table 2.5a'!$A$8:$A$192&amp;'Table 2.5a'!$B$8:$B$192,0))/INDEX('Table 2.5a'!$I$8:$I$192,MATCH('Table 2.5b'!$A162&amp;'Table 2.5b'!$B162,'Table 2.5a'!$A$8:$A$192&amp;'Table 2.5a'!$B$8:$B$192,0)))*1000, "")</f>
        <v>9486.0562537646201</v>
      </c>
      <c r="H162" s="705">
        <f t="array" ref="H162">IFERROR(INDEX('Table 2.5a'!$G$8:$G$192,MATCH('Table 2.5b'!$A162&amp;'Table 2.5b'!$B162,'Table 2.5a'!$A$8:$A$192&amp;'Table 2.5a'!$B$8:$B$192,0))/INDEX('Table 2.5a'!$H$8:$H$192,MATCH('Table 2.5b'!$A162&amp;'Table 2.5b'!$B162,'Table 2.5a'!$A$8:$A$192&amp;'Table 2.5a'!$B$8:$B$192,0)),"")</f>
        <v>0.91</v>
      </c>
      <c r="I162" s="655">
        <f t="array" ref="I162">IFERROR((INDEX('Table 2.5a'!$L$8:$L$192,MATCH('Table 2.5b'!$A162&amp;'Table 2.5b'!$B162,'Table 2.5a'!$A$8:$A$192&amp;'Table 2.5a'!$B$8:$B$192,0))/INDEX('Table 2.5a'!$I$8:$I$192,MATCH('Table 2.5b'!$A162&amp;'Table 2.5b'!$B162,'Table 2.5a'!$A$8:$A$192&amp;'Table 2.5a'!$B$8:$B$192,0)))*1000, "")</f>
        <v>3385.0170638988839</v>
      </c>
      <c r="J162" s="655">
        <f t="array" ref="J162">IFERROR((INDEX('Table 2.5a'!$K$8:$K$192,MATCH('Table 2.5b'!$A162&amp;'Table 2.5b'!$B162,'Table 2.5a'!$A$8:$A$192&amp;'Table 2.5a'!$B$8:$B$192,0))/INDEX('Table 2.5a'!$I$8:$I$192,MATCH('Table 2.5b'!$A162&amp;'Table 2.5b'!$B162,'Table 2.5a'!$A$8:$A$192&amp;'Table 2.5a'!$B$8:$B$192,0)))*1000, "")</f>
        <v>3080.3655281479846</v>
      </c>
      <c r="K162" s="705">
        <f t="array" ref="K162">IFERROR(INDEX('Table 2.5a'!$I$8:$I$192,MATCH('Table 2.5b'!$A162&amp;'Table 2.5b'!$B162,'Table 2.5a'!$A$8:$A$192&amp;'Table 2.5a'!$B$8:$B$192,0))/INDEX('Table 2.5a'!$L$8:$L$192,MATCH('Table 2.5b'!$A162&amp;'Table 2.5b'!$B162,'Table 2.5a'!$A$8:$A$192&amp;'Table 2.5a'!$B$8:$B$192,0)),"")</f>
        <v>0.29541948566965087</v>
      </c>
      <c r="L162" s="658" t="s">
        <v>356</v>
      </c>
      <c r="M162" s="709">
        <f t="array" ref="M162">INDEX(UtilityList!Q$4:Q$251,MATCH('Table 2.5b'!$A162&amp;'Table 2.5b'!$B162,UtilityList!$A$4:$A$251&amp;UtilityList!$C$4:$C$251,0))</f>
        <v>0</v>
      </c>
      <c r="N162" s="709" t="str">
        <f t="array" ref="N162">INDEX(UtilityList!J$4:J$251,MATCH('Table 2.5b'!$A162&amp;'Table 2.5b'!$B162,UtilityList!$A$4:$A$251&amp;UtilityList!$C$4:$C$251,0))</f>
        <v>Bristol Bay</v>
      </c>
      <c r="O162" s="709" t="str">
        <f t="array" ref="O162">INDEX(UtilityList!K$4:K$251,MATCH('Table 2.5b'!$A162&amp;'Table 2.5b'!$B162,UtilityList!$A$4:$A$251&amp;UtilityList!$C$4:$C$251,0))</f>
        <v>Lake and Peninsula</v>
      </c>
      <c r="P162" s="709" t="str">
        <f t="array" ref="P162">INDEX(UtilityList!L$4:L$251,MATCH('Table 2.5b'!$A162&amp;'Table 2.5b'!$B162,UtilityList!$A$4:$A$251&amp;UtilityList!$C$4:$C$251,0))</f>
        <v>Bristol Bay</v>
      </c>
      <c r="Q162" s="709" t="str">
        <f t="array" ref="Q162">INDEX(UtilityList!M$4:M$251,MATCH('Table 2.5b'!$A162&amp;'Table 2.5b'!$B162,UtilityList!$A$4:$A$251&amp;UtilityList!$C$4:$C$251,0))</f>
        <v>SW</v>
      </c>
    </row>
    <row r="163" spans="1:17" s="285" customFormat="1" x14ac:dyDescent="0.25">
      <c r="A163" s="361" t="s">
        <v>292</v>
      </c>
      <c r="B163" s="654" t="s">
        <v>293</v>
      </c>
      <c r="C163" s="655">
        <f t="array" ref="C163">IFERROR((INDEX('Table 2.5a'!$D$8:$D$192,MATCH('Table 2.5b'!A163&amp;'Table 2.5b'!B163,'Table 2.5a'!$A$8:$A$192&amp;'Table 2.5a'!$B$8:$B$192,0))/INDEX('Table 2.5a'!$E$8:$E$192,MATCH('Table 2.5b'!A163&amp;'Table 2.5b'!B163,'Table 2.5a'!$A$8:$A$192&amp;'Table 2.5a'!$B$8:$B$192,0)))*1000, "")</f>
        <v>4889.5224523075658</v>
      </c>
      <c r="D163" s="655">
        <f t="array" ref="D163">IFERROR((INDEX('Table 2.5a'!$C$8:$C$192,MATCH('Table 2.5b'!A163&amp;'Table 2.5b'!B163,'Table 2.5a'!$A$8:$A$192&amp;'Table 2.5a'!$B$8:$B$192,0))/INDEX('Table 2.5a'!$E$8:$E$192,MATCH('Table 2.5b'!A163&amp;'Table 2.5b'!B163,'Table 2.5a'!$A$8:$A$192&amp;'Table 2.5a'!$B$8:$B$192,0)))*1000, "")</f>
        <v>3355.3532745567873</v>
      </c>
      <c r="E163" s="705">
        <f t="array" ref="E163">IFERROR(INDEX('Table 2.5a'!$C$8:$C$192,MATCH('Table 2.5b'!$A163&amp;'Table 2.5b'!$B163,'Table 2.5a'!$A$8:$A$192&amp;'Table 2.5a'!$B$8:$B$192,0))/INDEX('Table 2.5a'!$D$8:$D$192,MATCH('Table 2.5b'!$A163&amp;'Table 2.5b'!$B163,'Table 2.5a'!$A$8:$A$192&amp;'Table 2.5a'!$B$8:$B$192,0)),"")</f>
        <v>0.68623332999999997</v>
      </c>
      <c r="F163" s="655">
        <f t="array" ref="F163">IFERROR((INDEX('Table 2.5a'!$H$8:$H$192,MATCH('Table 2.5b'!$A163&amp;'Table 2.5b'!$B163,'Table 2.5a'!$A$8:$A$192&amp;'Table 2.5a'!$B$8:$B$192,0))/INDEX('Table 2.5a'!$I$8:$I$192,MATCH('Table 2.5b'!$A163&amp;'Table 2.5b'!$B163,'Table 2.5a'!$A$8:$A$192&amp;'Table 2.5a'!$B$8:$B$192,0)))*1000, "")</f>
        <v>13292.560651400958</v>
      </c>
      <c r="G163" s="655">
        <f t="array" ref="G163">IFERROR((INDEX('Table 2.5a'!$G$8:$G$192,MATCH('Table 2.5b'!$A163&amp;'Table 2.5b'!$B163,'Table 2.5a'!$A$8:$A$192&amp;'Table 2.5a'!$B$8:$B$192,0))/INDEX('Table 2.5a'!$I$8:$I$192,MATCH('Table 2.5b'!$A163&amp;'Table 2.5b'!$B163,'Table 2.5a'!$A$8:$A$192&amp;'Table 2.5a'!$B$8:$B$192,0)))*1000, "")</f>
        <v>9121.7981600378498</v>
      </c>
      <c r="H163" s="705">
        <f t="array" ref="H163">IFERROR(INDEX('Table 2.5a'!$G$8:$G$192,MATCH('Table 2.5b'!$A163&amp;'Table 2.5b'!$B163,'Table 2.5a'!$A$8:$A$192&amp;'Table 2.5a'!$B$8:$B$192,0))/INDEX('Table 2.5a'!$H$8:$H$192,MATCH('Table 2.5b'!$A163&amp;'Table 2.5b'!$B163,'Table 2.5a'!$A$8:$A$192&amp;'Table 2.5a'!$B$8:$B$192,0)),"")</f>
        <v>0.68623332999999997</v>
      </c>
      <c r="I163" s="655">
        <f t="array" ref="I163">IFERROR((INDEX('Table 2.5a'!$L$8:$L$192,MATCH('Table 2.5b'!$A163&amp;'Table 2.5b'!$B163,'Table 2.5a'!$A$8:$A$192&amp;'Table 2.5a'!$B$8:$B$192,0))/INDEX('Table 2.5a'!$I$8:$I$192,MATCH('Table 2.5b'!$A163&amp;'Table 2.5b'!$B163,'Table 2.5a'!$A$8:$A$192&amp;'Table 2.5a'!$B$8:$B$192,0)))*1000, "")</f>
        <v>14385.365502795963</v>
      </c>
      <c r="J163" s="655">
        <f t="array" ref="J163">IFERROR((INDEX('Table 2.5a'!$K$8:$K$192,MATCH('Table 2.5b'!$A163&amp;'Table 2.5b'!$B163,'Table 2.5a'!$A$8:$A$192&amp;'Table 2.5a'!$B$8:$B$192,0))/INDEX('Table 2.5a'!$I$8:$I$192,MATCH('Table 2.5b'!$A163&amp;'Table 2.5b'!$B163,'Table 2.5a'!$A$8:$A$192&amp;'Table 2.5a'!$B$8:$B$192,0)))*1000, "")</f>
        <v>9871.7172722507985</v>
      </c>
      <c r="K163" s="705">
        <f t="array" ref="K163">IFERROR(INDEX('Table 2.5a'!$I$8:$I$192,MATCH('Table 2.5b'!$A163&amp;'Table 2.5b'!$B163,'Table 2.5a'!$A$8:$A$192&amp;'Table 2.5a'!$B$8:$B$192,0))/INDEX('Table 2.5a'!$L$8:$L$192,MATCH('Table 2.5b'!$A163&amp;'Table 2.5b'!$B163,'Table 2.5a'!$A$8:$A$192&amp;'Table 2.5a'!$B$8:$B$192,0)),"")</f>
        <v>6.9515091556459824E-2</v>
      </c>
      <c r="L163" s="658" t="s">
        <v>356</v>
      </c>
      <c r="M163" s="709">
        <f t="array" ref="M163">INDEX(UtilityList!Q$4:Q$251,MATCH('Table 2.5b'!$A163&amp;'Table 2.5b'!$B163,UtilityList!$A$4:$A$251&amp;UtilityList!$C$4:$C$251,0))</f>
        <v>0</v>
      </c>
      <c r="N163" s="709" t="str">
        <f t="array" ref="N163">INDEX(UtilityList!J$4:J$251,MATCH('Table 2.5b'!$A163&amp;'Table 2.5b'!$B163,UtilityList!$A$4:$A$251&amp;UtilityList!$C$4:$C$251,0))</f>
        <v>Southeast</v>
      </c>
      <c r="O163" s="709" t="str">
        <f t="array" ref="O163">INDEX(UtilityList!K$4:K$251,MATCH('Table 2.5b'!$A163&amp;'Table 2.5b'!$B163,UtilityList!$A$4:$A$251&amp;UtilityList!$C$4:$C$251,0))</f>
        <v>Hoonah-Angoon (CA)</v>
      </c>
      <c r="P163" s="709" t="str">
        <f t="array" ref="P163">INDEX(UtilityList!L$4:L$251,MATCH('Table 2.5b'!$A163&amp;'Table 2.5b'!$B163,UtilityList!$A$4:$A$251&amp;UtilityList!$C$4:$C$251,0))</f>
        <v>Sealaska</v>
      </c>
      <c r="Q163" s="709" t="str">
        <f t="array" ref="Q163">INDEX(UtilityList!M$4:M$251,MATCH('Table 2.5b'!$A163&amp;'Table 2.5b'!$B163,UtilityList!$A$4:$A$251&amp;UtilityList!$C$4:$C$251,0))</f>
        <v>SE</v>
      </c>
    </row>
    <row r="164" spans="1:17" s="267" customFormat="1" x14ac:dyDescent="0.25">
      <c r="A164" s="361" t="s">
        <v>294</v>
      </c>
      <c r="B164" s="361" t="s">
        <v>295</v>
      </c>
      <c r="C164" s="655">
        <f t="array" ref="C164">IFERROR((INDEX('Table 2.5a'!$D$8:$D$192,MATCH('Table 2.5b'!A164&amp;'Table 2.5b'!B164,'Table 2.5a'!$A$8:$A$192&amp;'Table 2.5a'!$B$8:$B$192,0))/INDEX('Table 2.5a'!$E$8:$E$192,MATCH('Table 2.5b'!A164&amp;'Table 2.5b'!B164,'Table 2.5a'!$A$8:$A$192&amp;'Table 2.5a'!$B$8:$B$192,0)))*1000, "")</f>
        <v>14915.142648134601</v>
      </c>
      <c r="D164" s="655">
        <f t="array" ref="D164">IFERROR((INDEX('Table 2.5a'!$C$8:$C$192,MATCH('Table 2.5b'!A164&amp;'Table 2.5b'!B164,'Table 2.5a'!$A$8:$A$192&amp;'Table 2.5a'!$B$8:$B$192,0))/INDEX('Table 2.5a'!$E$8:$E$192,MATCH('Table 2.5b'!A164&amp;'Table 2.5b'!B164,'Table 2.5a'!$A$8:$A$192&amp;'Table 2.5a'!$B$8:$B$192,0)))*1000, "")</f>
        <v>1468.0321872713973</v>
      </c>
      <c r="E164" s="705">
        <f t="array" ref="E164">IFERROR(INDEX('Table 2.5a'!$C$8:$C$192,MATCH('Table 2.5b'!$A164&amp;'Table 2.5b'!$B164,'Table 2.5a'!$A$8:$A$192&amp;'Table 2.5a'!$B$8:$B$192,0))/INDEX('Table 2.5a'!$D$8:$D$192,MATCH('Table 2.5b'!$A164&amp;'Table 2.5b'!$B164,'Table 2.5a'!$A$8:$A$192&amp;'Table 2.5a'!$B$8:$B$192,0)),"")</f>
        <v>9.8425621658737555E-2</v>
      </c>
      <c r="F164" s="655">
        <f t="array" ref="F164">IFERROR((INDEX('Table 2.5a'!$H$8:$H$192,MATCH('Table 2.5b'!$A164&amp;'Table 2.5b'!$B164,'Table 2.5a'!$A$8:$A$192&amp;'Table 2.5a'!$B$8:$B$192,0))/INDEX('Table 2.5a'!$I$8:$I$192,MATCH('Table 2.5b'!$A164&amp;'Table 2.5b'!$B164,'Table 2.5a'!$A$8:$A$192&amp;'Table 2.5a'!$B$8:$B$192,0)))*1000, "")</f>
        <v>12033.66058906031</v>
      </c>
      <c r="G164" s="655">
        <f t="array" ref="G164">IFERROR((INDEX('Table 2.5a'!$G$8:$G$192,MATCH('Table 2.5b'!$A164&amp;'Table 2.5b'!$B164,'Table 2.5a'!$A$8:$A$192&amp;'Table 2.5a'!$B$8:$B$192,0))/INDEX('Table 2.5a'!$I$8:$I$192,MATCH('Table 2.5b'!$A164&amp;'Table 2.5b'!$B164,'Table 2.5a'!$A$8:$A$192&amp;'Table 2.5a'!$B$8:$B$192,0)))*1000, "")</f>
        <v>1403.3660589060307</v>
      </c>
      <c r="H164" s="705">
        <f t="array" ref="H164">IFERROR(INDEX('Table 2.5a'!$G$8:$G$192,MATCH('Table 2.5b'!$A164&amp;'Table 2.5b'!$B164,'Table 2.5a'!$A$8:$A$192&amp;'Table 2.5a'!$B$8:$B$192,0))/INDEX('Table 2.5a'!$H$8:$H$192,MATCH('Table 2.5b'!$A164&amp;'Table 2.5b'!$B164,'Table 2.5a'!$A$8:$A$192&amp;'Table 2.5a'!$B$8:$B$192,0)),"")</f>
        <v>0.11662004662004662</v>
      </c>
      <c r="I164" s="655">
        <f t="array" ref="I164">IFERROR((INDEX('Table 2.5a'!$L$8:$L$192,MATCH('Table 2.5b'!$A164&amp;'Table 2.5b'!$B164,'Table 2.5a'!$A$8:$A$192&amp;'Table 2.5a'!$B$8:$B$192,0))/INDEX('Table 2.5a'!$I$8:$I$192,MATCH('Table 2.5b'!$A164&amp;'Table 2.5b'!$B164,'Table 2.5a'!$A$8:$A$192&amp;'Table 2.5a'!$B$8:$B$192,0)))*1000, "")</f>
        <v>30443.197755960729</v>
      </c>
      <c r="J164" s="655">
        <f t="array" ref="J164">IFERROR((INDEX('Table 2.5a'!$K$8:$K$192,MATCH('Table 2.5b'!$A164&amp;'Table 2.5b'!$B164,'Table 2.5a'!$A$8:$A$192&amp;'Table 2.5a'!$B$8:$B$192,0))/INDEX('Table 2.5a'!$I$8:$I$192,MATCH('Table 2.5b'!$A164&amp;'Table 2.5b'!$B164,'Table 2.5a'!$A$8:$A$192&amp;'Table 2.5a'!$B$8:$B$192,0)))*1000, "")</f>
        <v>3267.7419354838712</v>
      </c>
      <c r="K164" s="705">
        <f t="array" ref="K164">IFERROR(INDEX('Table 2.5a'!$I$8:$I$192,MATCH('Table 2.5b'!$A164&amp;'Table 2.5b'!$B164,'Table 2.5a'!$A$8:$A$192&amp;'Table 2.5a'!$B$8:$B$192,0))/INDEX('Table 2.5a'!$L$8:$L$192,MATCH('Table 2.5b'!$A164&amp;'Table 2.5b'!$B164,'Table 2.5a'!$A$8:$A$192&amp;'Table 2.5a'!$B$8:$B$192,0)),"")</f>
        <v>3.2848060444116832E-2</v>
      </c>
      <c r="L164" s="707" t="s">
        <v>558</v>
      </c>
      <c r="M164" s="709">
        <f t="array" ref="M164">INDEX(UtilityList!Q$4:Q$251,MATCH('Table 2.5b'!$A164&amp;'Table 2.5b'!$B164,UtilityList!$A$4:$A$251&amp;UtilityList!$C$4:$C$251,0))</f>
        <v>0</v>
      </c>
      <c r="N164" s="709" t="str">
        <f t="array" ref="N164">INDEX(UtilityList!J$4:J$251,MATCH('Table 2.5b'!$A164&amp;'Table 2.5b'!$B164,UtilityList!$A$4:$A$251&amp;UtilityList!$C$4:$C$251,0))</f>
        <v>Southeast</v>
      </c>
      <c r="O164" s="709" t="str">
        <f t="array" ref="O164">INDEX(UtilityList!K$4:K$251,MATCH('Table 2.5b'!$A164&amp;'Table 2.5b'!$B164,UtilityList!$A$4:$A$251&amp;UtilityList!$C$4:$C$251,0))</f>
        <v>Petersburg (CA)</v>
      </c>
      <c r="P164" s="709" t="str">
        <f t="array" ref="P164">INDEX(UtilityList!L$4:L$251,MATCH('Table 2.5b'!$A164&amp;'Table 2.5b'!$B164,UtilityList!$A$4:$A$251&amp;UtilityList!$C$4:$C$251,0))</f>
        <v>Sealaska</v>
      </c>
      <c r="Q164" s="709" t="str">
        <f t="array" ref="Q164">INDEX(UtilityList!M$4:M$251,MATCH('Table 2.5b'!$A164&amp;'Table 2.5b'!$B164,UtilityList!$A$4:$A$251&amp;UtilityList!$C$4:$C$251,0))</f>
        <v>SE</v>
      </c>
    </row>
    <row r="165" spans="1:17" s="267" customFormat="1" ht="30" x14ac:dyDescent="0.25">
      <c r="A165" s="361" t="s">
        <v>296</v>
      </c>
      <c r="B165" s="654" t="s">
        <v>297</v>
      </c>
      <c r="C165" s="655">
        <f t="array" ref="C165">IFERROR((INDEX('Table 2.5a'!$D$8:$D$192,MATCH('Table 2.5b'!A165&amp;'Table 2.5b'!B165,'Table 2.5a'!$A$8:$A$192&amp;'Table 2.5a'!$B$8:$B$192,0))/INDEX('Table 2.5a'!$E$8:$E$192,MATCH('Table 2.5b'!A165&amp;'Table 2.5b'!B165,'Table 2.5a'!$A$8:$A$192&amp;'Table 2.5a'!$B$8:$B$192,0)))*1000, "")</f>
        <v>4288.2820512820508</v>
      </c>
      <c r="D165" s="655">
        <f t="array" ref="D165">IFERROR((INDEX('Table 2.5a'!$C$8:$C$192,MATCH('Table 2.5b'!A165&amp;'Table 2.5b'!B165,'Table 2.5a'!$A$8:$A$192&amp;'Table 2.5a'!$B$8:$B$192,0))/INDEX('Table 2.5a'!$E$8:$E$192,MATCH('Table 2.5b'!A165&amp;'Table 2.5b'!B165,'Table 2.5a'!$A$8:$A$192&amp;'Table 2.5a'!$B$8:$B$192,0)))*1000, "")</f>
        <v>2144.1410256410254</v>
      </c>
      <c r="E165" s="705">
        <f t="array" ref="E165">IFERROR(INDEX('Table 2.5a'!$C$8:$C$192,MATCH('Table 2.5b'!$A165&amp;'Table 2.5b'!$B165,'Table 2.5a'!$A$8:$A$192&amp;'Table 2.5a'!$B$8:$B$192,0))/INDEX('Table 2.5a'!$D$8:$D$192,MATCH('Table 2.5b'!$A165&amp;'Table 2.5b'!$B165,'Table 2.5a'!$A$8:$A$192&amp;'Table 2.5a'!$B$8:$B$192,0)),"")</f>
        <v>0.5</v>
      </c>
      <c r="F165" s="655">
        <f t="array" ref="F165">IFERROR((INDEX('Table 2.5a'!$H$8:$H$192,MATCH('Table 2.5b'!$A165&amp;'Table 2.5b'!$B165,'Table 2.5a'!$A$8:$A$192&amp;'Table 2.5a'!$B$8:$B$192,0))/INDEX('Table 2.5a'!$I$8:$I$192,MATCH('Table 2.5b'!$A165&amp;'Table 2.5b'!$B165,'Table 2.5a'!$A$8:$A$192&amp;'Table 2.5a'!$B$8:$B$192,0)))*1000, "")</f>
        <v>8036.065573770491</v>
      </c>
      <c r="G165" s="655">
        <f t="array" ref="G165">IFERROR((INDEX('Table 2.5a'!$G$8:$G$192,MATCH('Table 2.5b'!$A165&amp;'Table 2.5b'!$B165,'Table 2.5a'!$A$8:$A$192&amp;'Table 2.5a'!$B$8:$B$192,0))/INDEX('Table 2.5a'!$I$8:$I$192,MATCH('Table 2.5b'!$A165&amp;'Table 2.5b'!$B165,'Table 2.5a'!$A$8:$A$192&amp;'Table 2.5a'!$B$8:$B$192,0)))*1000, "")</f>
        <v>4018.0327868852455</v>
      </c>
      <c r="H165" s="705">
        <f t="array" ref="H165">IFERROR(INDEX('Table 2.5a'!$G$8:$G$192,MATCH('Table 2.5b'!$A165&amp;'Table 2.5b'!$B165,'Table 2.5a'!$A$8:$A$192&amp;'Table 2.5a'!$B$8:$B$192,0))/INDEX('Table 2.5a'!$H$8:$H$192,MATCH('Table 2.5b'!$A165&amp;'Table 2.5b'!$B165,'Table 2.5a'!$A$8:$A$192&amp;'Table 2.5a'!$B$8:$B$192,0)),"")</f>
        <v>0.5</v>
      </c>
      <c r="I165" s="655">
        <f t="array" ref="I165">IFERROR((INDEX('Table 2.5a'!$L$8:$L$192,MATCH('Table 2.5b'!$A165&amp;'Table 2.5b'!$B165,'Table 2.5a'!$A$8:$A$192&amp;'Table 2.5a'!$B$8:$B$192,0))/INDEX('Table 2.5a'!$I$8:$I$192,MATCH('Table 2.5b'!$A165&amp;'Table 2.5b'!$B165,'Table 2.5a'!$A$8:$A$192&amp;'Table 2.5a'!$B$8:$B$192,0)))*1000, "")</f>
        <v>6991.0163934426228</v>
      </c>
      <c r="J165" s="655">
        <f t="array" ref="J165">IFERROR((INDEX('Table 2.5a'!$K$8:$K$192,MATCH('Table 2.5b'!$A165&amp;'Table 2.5b'!$B165,'Table 2.5a'!$A$8:$A$192&amp;'Table 2.5a'!$B$8:$B$192,0))/INDEX('Table 2.5a'!$I$8:$I$192,MATCH('Table 2.5b'!$A165&amp;'Table 2.5b'!$B165,'Table 2.5a'!$A$8:$A$192&amp;'Table 2.5a'!$B$8:$B$192,0)))*1000, "")</f>
        <v>3495.5081967213114</v>
      </c>
      <c r="K165" s="705">
        <f t="array" ref="K165">IFERROR(INDEX('Table 2.5a'!$I$8:$I$192,MATCH('Table 2.5b'!$A165&amp;'Table 2.5b'!$B165,'Table 2.5a'!$A$8:$A$192&amp;'Table 2.5a'!$B$8:$B$192,0))/INDEX('Table 2.5a'!$L$8:$L$192,MATCH('Table 2.5b'!$A165&amp;'Table 2.5b'!$B165,'Table 2.5a'!$A$8:$A$192&amp;'Table 2.5a'!$B$8:$B$192,0)),"")</f>
        <v>0.14304071736092222</v>
      </c>
      <c r="L165" s="658" t="s">
        <v>356</v>
      </c>
      <c r="M165" s="709">
        <f t="array" ref="M165">INDEX(UtilityList!Q$4:Q$251,MATCH('Table 2.5b'!$A165&amp;'Table 2.5b'!$B165,UtilityList!$A$4:$A$251&amp;UtilityList!$C$4:$C$251,0))</f>
        <v>0</v>
      </c>
      <c r="N165" s="709" t="str">
        <f t="array" ref="N165">INDEX(UtilityList!J$4:J$251,MATCH('Table 2.5b'!$A165&amp;'Table 2.5b'!$B165,UtilityList!$A$4:$A$251&amp;UtilityList!$C$4:$C$251,0))</f>
        <v>Bristol Bay</v>
      </c>
      <c r="O165" s="709" t="str">
        <f t="array" ref="O165">INDEX(UtilityList!K$4:K$251,MATCH('Table 2.5b'!$A165&amp;'Table 2.5b'!$B165,UtilityList!$A$4:$A$251&amp;UtilityList!$C$4:$C$251,0))</f>
        <v>Lake and Peninsula</v>
      </c>
      <c r="P165" s="709" t="str">
        <f t="array" ref="P165">INDEX(UtilityList!L$4:L$251,MATCH('Table 2.5b'!$A165&amp;'Table 2.5b'!$B165,UtilityList!$A$4:$A$251&amp;UtilityList!$C$4:$C$251,0))</f>
        <v>Bristol Bay</v>
      </c>
      <c r="Q165" s="709" t="str">
        <f t="array" ref="Q165">INDEX(UtilityList!M$4:M$251,MATCH('Table 2.5b'!$A165&amp;'Table 2.5b'!$B165,UtilityList!$A$4:$A$251&amp;UtilityList!$C$4:$C$251,0))</f>
        <v>SW</v>
      </c>
    </row>
    <row r="166" spans="1:17" s="267" customFormat="1" x14ac:dyDescent="0.25">
      <c r="A166" s="361" t="s">
        <v>300</v>
      </c>
      <c r="B166" s="654" t="s">
        <v>301</v>
      </c>
      <c r="C166" s="655">
        <f t="array" ref="C166">IFERROR((INDEX('Table 2.5a'!$D$8:$D$192,MATCH('Table 2.5b'!A166&amp;'Table 2.5b'!B166,'Table 2.5a'!$A$8:$A$192&amp;'Table 2.5a'!$B$8:$B$192,0))/INDEX('Table 2.5a'!$E$8:$E$192,MATCH('Table 2.5b'!A166&amp;'Table 2.5b'!B166,'Table 2.5a'!$A$8:$A$192&amp;'Table 2.5a'!$B$8:$B$192,0)))*1000, "")</f>
        <v>4365.3854748603353</v>
      </c>
      <c r="D166" s="655">
        <f t="array" ref="D166">IFERROR((INDEX('Table 2.5a'!$C$8:$C$192,MATCH('Table 2.5b'!A166&amp;'Table 2.5b'!B166,'Table 2.5a'!$A$8:$A$192&amp;'Table 2.5a'!$B$8:$B$192,0))/INDEX('Table 2.5a'!$E$8:$E$192,MATCH('Table 2.5b'!A166&amp;'Table 2.5b'!B166,'Table 2.5a'!$A$8:$A$192&amp;'Table 2.5a'!$B$8:$B$192,0)))*1000, "")</f>
        <v>3274.0391061452515</v>
      </c>
      <c r="E166" s="705">
        <f t="array" ref="E166">IFERROR(INDEX('Table 2.5a'!$C$8:$C$192,MATCH('Table 2.5b'!$A166&amp;'Table 2.5b'!$B166,'Table 2.5a'!$A$8:$A$192&amp;'Table 2.5a'!$B$8:$B$192,0))/INDEX('Table 2.5a'!$D$8:$D$192,MATCH('Table 2.5b'!$A166&amp;'Table 2.5b'!$B166,'Table 2.5a'!$A$8:$A$192&amp;'Table 2.5a'!$B$8:$B$192,0)),"")</f>
        <v>0.75</v>
      </c>
      <c r="F166" s="655">
        <f t="array" ref="F166">IFERROR((INDEX('Table 2.5a'!$H$8:$H$192,MATCH('Table 2.5b'!$A166&amp;'Table 2.5b'!$B166,'Table 2.5a'!$A$8:$A$192&amp;'Table 2.5a'!$B$8:$B$192,0))/INDEX('Table 2.5a'!$I$8:$I$192,MATCH('Table 2.5b'!$A166&amp;'Table 2.5b'!$B166,'Table 2.5a'!$A$8:$A$192&amp;'Table 2.5a'!$B$8:$B$192,0)))*1000, "")</f>
        <v>5152.8818595557304</v>
      </c>
      <c r="G166" s="655">
        <f t="array" ref="G166">IFERROR((INDEX('Table 2.5a'!$G$8:$G$192,MATCH('Table 2.5b'!$A166&amp;'Table 2.5b'!$B166,'Table 2.5a'!$A$8:$A$192&amp;'Table 2.5a'!$B$8:$B$192,0))/INDEX('Table 2.5a'!$I$8:$I$192,MATCH('Table 2.5b'!$A166&amp;'Table 2.5b'!$B166,'Table 2.5a'!$A$8:$A$192&amp;'Table 2.5a'!$B$8:$B$192,0)))*1000, "")</f>
        <v>3864.6613946667976</v>
      </c>
      <c r="H166" s="705">
        <f t="array" ref="H166">IFERROR(INDEX('Table 2.5a'!$G$8:$G$192,MATCH('Table 2.5b'!$A166&amp;'Table 2.5b'!$B166,'Table 2.5a'!$A$8:$A$192&amp;'Table 2.5a'!$B$8:$B$192,0))/INDEX('Table 2.5a'!$H$8:$H$192,MATCH('Table 2.5b'!$A166&amp;'Table 2.5b'!$B166,'Table 2.5a'!$A$8:$A$192&amp;'Table 2.5a'!$B$8:$B$192,0)),"")</f>
        <v>0.75</v>
      </c>
      <c r="I166" s="655">
        <f t="array" ref="I166">IFERROR((INDEX('Table 2.5a'!$L$8:$L$192,MATCH('Table 2.5b'!$A166&amp;'Table 2.5b'!$B166,'Table 2.5a'!$A$8:$A$192&amp;'Table 2.5a'!$B$8:$B$192,0))/INDEX('Table 2.5a'!$I$8:$I$192,MATCH('Table 2.5b'!$A166&amp;'Table 2.5b'!$B166,'Table 2.5a'!$A$8:$A$192&amp;'Table 2.5a'!$B$8:$B$192,0)))*1000, "")</f>
        <v>9446.7575292731053</v>
      </c>
      <c r="J166" s="655">
        <f t="array" ref="J166">IFERROR((INDEX('Table 2.5a'!$K$8:$K$192,MATCH('Table 2.5b'!$A166&amp;'Table 2.5b'!$B166,'Table 2.5a'!$A$8:$A$192&amp;'Table 2.5a'!$B$8:$B$192,0))/INDEX('Table 2.5a'!$I$8:$I$192,MATCH('Table 2.5b'!$A166&amp;'Table 2.5b'!$B166,'Table 2.5a'!$A$8:$A$192&amp;'Table 2.5a'!$B$8:$B$192,0)))*1000, "")</f>
        <v>7085.0681469548272</v>
      </c>
      <c r="K166" s="705">
        <f t="array" ref="K166">IFERROR(INDEX('Table 2.5a'!$I$8:$I$192,MATCH('Table 2.5b'!$A166&amp;'Table 2.5b'!$B166,'Table 2.5a'!$A$8:$A$192&amp;'Table 2.5a'!$B$8:$B$192,0))/INDEX('Table 2.5a'!$L$8:$L$192,MATCH('Table 2.5b'!$A166&amp;'Table 2.5b'!$B166,'Table 2.5a'!$A$8:$A$192&amp;'Table 2.5a'!$B$8:$B$192,0)),"")</f>
        <v>0.10585642712870037</v>
      </c>
      <c r="L166" s="658" t="s">
        <v>356</v>
      </c>
      <c r="M166" s="709">
        <f t="array" ref="M166">INDEX(UtilityList!Q$4:Q$251,MATCH('Table 2.5b'!$A166&amp;'Table 2.5b'!$B166,UtilityList!$A$4:$A$251&amp;UtilityList!$C$4:$C$251,0))</f>
        <v>0</v>
      </c>
      <c r="N166" s="709" t="str">
        <f t="array" ref="N166">INDEX(UtilityList!J$4:J$251,MATCH('Table 2.5b'!$A166&amp;'Table 2.5b'!$B166,UtilityList!$A$4:$A$251&amp;UtilityList!$C$4:$C$251,0))</f>
        <v>Bristol Bay</v>
      </c>
      <c r="O166" s="709" t="str">
        <f t="array" ref="O166">INDEX(UtilityList!K$4:K$251,MATCH('Table 2.5b'!$A166&amp;'Table 2.5b'!$B166,UtilityList!$A$4:$A$251&amp;UtilityList!$C$4:$C$251,0))</f>
        <v>Lake and Peninsula</v>
      </c>
      <c r="P166" s="709" t="str">
        <f t="array" ref="P166">INDEX(UtilityList!L$4:L$251,MATCH('Table 2.5b'!$A166&amp;'Table 2.5b'!$B166,UtilityList!$A$4:$A$251&amp;UtilityList!$C$4:$C$251,0))</f>
        <v>Bristol Bay</v>
      </c>
      <c r="Q166" s="709" t="str">
        <f t="array" ref="Q166">INDEX(UtilityList!M$4:M$251,MATCH('Table 2.5b'!$A166&amp;'Table 2.5b'!$B166,UtilityList!$A$4:$A$251&amp;UtilityList!$C$4:$C$251,0))</f>
        <v>SW</v>
      </c>
    </row>
    <row r="167" spans="1:17" s="267" customFormat="1" ht="30" x14ac:dyDescent="0.25">
      <c r="A167" s="361" t="s">
        <v>302</v>
      </c>
      <c r="B167" s="654" t="s">
        <v>303</v>
      </c>
      <c r="C167" s="655">
        <f t="array" ref="C167">IFERROR((INDEX('Table 2.5a'!$D$8:$D$192,MATCH('Table 2.5b'!A167&amp;'Table 2.5b'!B167,'Table 2.5a'!$A$8:$A$192&amp;'Table 2.5a'!$B$8:$B$192,0))/INDEX('Table 2.5a'!$E$8:$E$192,MATCH('Table 2.5b'!A167&amp;'Table 2.5b'!B167,'Table 2.5a'!$A$8:$A$192&amp;'Table 2.5a'!$B$8:$B$192,0)))*1000, "")</f>
        <v>4848.2678247304348</v>
      </c>
      <c r="D167" s="655">
        <f t="array" ref="D167">IFERROR((INDEX('Table 2.5a'!$C$8:$C$192,MATCH('Table 2.5b'!A167&amp;'Table 2.5b'!B167,'Table 2.5a'!$A$8:$A$192&amp;'Table 2.5a'!$B$8:$B$192,0))/INDEX('Table 2.5a'!$E$8:$E$192,MATCH('Table 2.5b'!A167&amp;'Table 2.5b'!B167,'Table 2.5a'!$A$8:$A$192&amp;'Table 2.5a'!$B$8:$B$192,0)))*1000, "")</f>
        <v>2707.4747806497317</v>
      </c>
      <c r="E167" s="705">
        <f t="array" ref="E167">IFERROR(INDEX('Table 2.5a'!$C$8:$C$192,MATCH('Table 2.5b'!$A167&amp;'Table 2.5b'!$B167,'Table 2.5a'!$A$8:$A$192&amp;'Table 2.5a'!$B$8:$B$192,0))/INDEX('Table 2.5a'!$D$8:$D$192,MATCH('Table 2.5b'!$A167&amp;'Table 2.5b'!$B167,'Table 2.5a'!$A$8:$A$192&amp;'Table 2.5a'!$B$8:$B$192,0)),"")</f>
        <v>0.55844167</v>
      </c>
      <c r="F167" s="655">
        <f t="array" ref="F167">IFERROR((INDEX('Table 2.5a'!$H$8:$H$192,MATCH('Table 2.5b'!$A167&amp;'Table 2.5b'!$B167,'Table 2.5a'!$A$8:$A$192&amp;'Table 2.5a'!$B$8:$B$192,0))/INDEX('Table 2.5a'!$I$8:$I$192,MATCH('Table 2.5b'!$A167&amp;'Table 2.5b'!$B167,'Table 2.5a'!$A$8:$A$192&amp;'Table 2.5a'!$B$8:$B$192,0)))*1000, "")</f>
        <v>11665.483408213111</v>
      </c>
      <c r="G167" s="655">
        <f t="array" ref="G167">IFERROR((INDEX('Table 2.5a'!$G$8:$G$192,MATCH('Table 2.5b'!$A167&amp;'Table 2.5b'!$B167,'Table 2.5a'!$A$8:$A$192&amp;'Table 2.5a'!$B$8:$B$192,0))/INDEX('Table 2.5a'!$I$8:$I$192,MATCH('Table 2.5b'!$A167&amp;'Table 2.5b'!$B167,'Table 2.5a'!$A$8:$A$192&amp;'Table 2.5a'!$B$8:$B$192,0)))*1000, "")</f>
        <v>6514.4920358398222</v>
      </c>
      <c r="H167" s="705">
        <f t="array" ref="H167">IFERROR(INDEX('Table 2.5a'!$G$8:$G$192,MATCH('Table 2.5b'!$A167&amp;'Table 2.5b'!$B167,'Table 2.5a'!$A$8:$A$192&amp;'Table 2.5a'!$B$8:$B$192,0))/INDEX('Table 2.5a'!$H$8:$H$192,MATCH('Table 2.5b'!$A167&amp;'Table 2.5b'!$B167,'Table 2.5a'!$A$8:$A$192&amp;'Table 2.5a'!$B$8:$B$192,0)),"")</f>
        <v>0.55844167</v>
      </c>
      <c r="I167" s="655">
        <f t="array" ref="I167">IFERROR((INDEX('Table 2.5a'!$L$8:$L$192,MATCH('Table 2.5b'!$A167&amp;'Table 2.5b'!$B167,'Table 2.5a'!$A$8:$A$192&amp;'Table 2.5a'!$B$8:$B$192,0))/INDEX('Table 2.5a'!$I$8:$I$192,MATCH('Table 2.5b'!$A167&amp;'Table 2.5b'!$B167,'Table 2.5a'!$A$8:$A$192&amp;'Table 2.5a'!$B$8:$B$192,0)))*1000, "")</f>
        <v>6618.8091375013291</v>
      </c>
      <c r="J167" s="655">
        <f t="array" ref="J167">IFERROR((INDEX('Table 2.5a'!$K$8:$K$192,MATCH('Table 2.5b'!$A167&amp;'Table 2.5b'!$B167,'Table 2.5a'!$A$8:$A$192&amp;'Table 2.5a'!$B$8:$B$192,0))/INDEX('Table 2.5a'!$I$8:$I$192,MATCH('Table 2.5b'!$A167&amp;'Table 2.5b'!$B167,'Table 2.5a'!$A$8:$A$192&amp;'Table 2.5a'!$B$8:$B$192,0)))*1000, "")</f>
        <v>3696.2188281575022</v>
      </c>
      <c r="K167" s="705">
        <f t="array" ref="K167">IFERROR(INDEX('Table 2.5a'!$I$8:$I$192,MATCH('Table 2.5b'!$A167&amp;'Table 2.5b'!$B167,'Table 2.5a'!$A$8:$A$192&amp;'Table 2.5a'!$B$8:$B$192,0))/INDEX('Table 2.5a'!$L$8:$L$192,MATCH('Table 2.5b'!$A167&amp;'Table 2.5b'!$B167,'Table 2.5a'!$A$8:$A$192&amp;'Table 2.5a'!$B$8:$B$192,0)),"")</f>
        <v>0.15108458020554294</v>
      </c>
      <c r="L167" s="658" t="s">
        <v>356</v>
      </c>
      <c r="M167" s="709">
        <f t="array" ref="M167">INDEX(UtilityList!Q$4:Q$251,MATCH('Table 2.5b'!$A167&amp;'Table 2.5b'!$B167,UtilityList!$A$4:$A$251&amp;UtilityList!$C$4:$C$251,0))</f>
        <v>0</v>
      </c>
      <c r="N167" s="709" t="str">
        <f t="array" ref="N167">INDEX(UtilityList!J$4:J$251,MATCH('Table 2.5b'!$A167&amp;'Table 2.5b'!$B167,UtilityList!$A$4:$A$251&amp;UtilityList!$C$4:$C$251,0))</f>
        <v>Lower Yukon-Kuskokwim</v>
      </c>
      <c r="O167" s="709" t="str">
        <f t="array" ref="O167">INDEX(UtilityList!K$4:K$251,MATCH('Table 2.5b'!$A167&amp;'Table 2.5b'!$B167,UtilityList!$A$4:$A$251&amp;UtilityList!$C$4:$C$251,0))</f>
        <v>Bethel (CA)</v>
      </c>
      <c r="P167" s="709" t="str">
        <f t="array" ref="P167">INDEX(UtilityList!L$4:L$251,MATCH('Table 2.5b'!$A167&amp;'Table 2.5b'!$B167,UtilityList!$A$4:$A$251&amp;UtilityList!$C$4:$C$251,0))</f>
        <v>Calista</v>
      </c>
      <c r="Q167" s="709" t="str">
        <f t="array" ref="Q167">INDEX(UtilityList!M$4:M$251,MATCH('Table 2.5b'!$A167&amp;'Table 2.5b'!$B167,UtilityList!$A$4:$A$251&amp;UtilityList!$C$4:$C$251,0))</f>
        <v>SW</v>
      </c>
    </row>
    <row r="168" spans="1:17" s="267" customFormat="1" x14ac:dyDescent="0.25">
      <c r="A168" s="361" t="s">
        <v>306</v>
      </c>
      <c r="B168" s="654" t="s">
        <v>307</v>
      </c>
      <c r="C168" s="655">
        <f t="array" ref="C168">IFERROR((INDEX('Table 2.5a'!$D$8:$D$192,MATCH('Table 2.5b'!A168&amp;'Table 2.5b'!B168,'Table 2.5a'!$A$8:$A$192&amp;'Table 2.5a'!$B$8:$B$192,0))/INDEX('Table 2.5a'!$E$8:$E$192,MATCH('Table 2.5b'!A168&amp;'Table 2.5b'!B168,'Table 2.5a'!$A$8:$A$192&amp;'Table 2.5a'!$B$8:$B$192,0)))*1000, "")</f>
        <v>1884.7485198027109</v>
      </c>
      <c r="D168" s="655">
        <f t="array" ref="D168">IFERROR((INDEX('Table 2.5a'!$C$8:$C$192,MATCH('Table 2.5b'!A168&amp;'Table 2.5b'!B168,'Table 2.5a'!$A$8:$A$192&amp;'Table 2.5a'!$B$8:$B$192,0))/INDEX('Table 2.5a'!$E$8:$E$192,MATCH('Table 2.5b'!A168&amp;'Table 2.5b'!B168,'Table 2.5a'!$A$8:$A$192&amp;'Table 2.5a'!$B$8:$B$192,0)))*1000, "")</f>
        <v>1583.1887566342771</v>
      </c>
      <c r="E168" s="705">
        <f t="array" ref="E168">IFERROR(INDEX('Table 2.5a'!$C$8:$C$192,MATCH('Table 2.5b'!$A168&amp;'Table 2.5b'!$B168,'Table 2.5a'!$A$8:$A$192&amp;'Table 2.5a'!$B$8:$B$192,0))/INDEX('Table 2.5a'!$D$8:$D$192,MATCH('Table 2.5b'!$A168&amp;'Table 2.5b'!$B168,'Table 2.5a'!$A$8:$A$192&amp;'Table 2.5a'!$B$8:$B$192,0)),"")</f>
        <v>0.84</v>
      </c>
      <c r="F168" s="655">
        <f t="array" ref="F168">IFERROR((INDEX('Table 2.5a'!$H$8:$H$192,MATCH('Table 2.5b'!$A168&amp;'Table 2.5b'!$B168,'Table 2.5a'!$A$8:$A$192&amp;'Table 2.5a'!$B$8:$B$192,0))/INDEX('Table 2.5a'!$I$8:$I$192,MATCH('Table 2.5b'!$A168&amp;'Table 2.5b'!$B168,'Table 2.5a'!$A$8:$A$192&amp;'Table 2.5a'!$B$8:$B$192,0)))*1000, "")</f>
        <v>20570.857142857145</v>
      </c>
      <c r="G168" s="655">
        <f t="array" ref="G168">IFERROR((INDEX('Table 2.5a'!$G$8:$G$192,MATCH('Table 2.5b'!$A168&amp;'Table 2.5b'!$B168,'Table 2.5a'!$A$8:$A$192&amp;'Table 2.5a'!$B$8:$B$192,0))/INDEX('Table 2.5a'!$I$8:$I$192,MATCH('Table 2.5b'!$A168&amp;'Table 2.5b'!$B168,'Table 2.5a'!$A$8:$A$192&amp;'Table 2.5a'!$B$8:$B$192,0)))*1000, "")</f>
        <v>17279.52</v>
      </c>
      <c r="H168" s="705">
        <f t="array" ref="H168">IFERROR(INDEX('Table 2.5a'!$G$8:$G$192,MATCH('Table 2.5b'!$A168&amp;'Table 2.5b'!$B168,'Table 2.5a'!$A$8:$A$192&amp;'Table 2.5a'!$B$8:$B$192,0))/INDEX('Table 2.5a'!$H$8:$H$192,MATCH('Table 2.5b'!$A168&amp;'Table 2.5b'!$B168,'Table 2.5a'!$A$8:$A$192&amp;'Table 2.5a'!$B$8:$B$192,0)),"")</f>
        <v>0.84</v>
      </c>
      <c r="I168" s="655">
        <f t="array" ref="I168">IFERROR((INDEX('Table 2.5a'!$L$8:$L$192,MATCH('Table 2.5b'!$A168&amp;'Table 2.5b'!$B168,'Table 2.5a'!$A$8:$A$192&amp;'Table 2.5a'!$B$8:$B$192,0))/INDEX('Table 2.5a'!$I$8:$I$192,MATCH('Table 2.5b'!$A168&amp;'Table 2.5b'!$B168,'Table 2.5a'!$A$8:$A$192&amp;'Table 2.5a'!$B$8:$B$192,0)))*1000, "")</f>
        <v>8991.0714285714294</v>
      </c>
      <c r="J168" s="655">
        <f t="array" ref="J168">IFERROR((INDEX('Table 2.5a'!$K$8:$K$192,MATCH('Table 2.5b'!$A168&amp;'Table 2.5b'!$B168,'Table 2.5a'!$A$8:$A$192&amp;'Table 2.5a'!$B$8:$B$192,0))/INDEX('Table 2.5a'!$I$8:$I$192,MATCH('Table 2.5b'!$A168&amp;'Table 2.5b'!$B168,'Table 2.5a'!$A$8:$A$192&amp;'Table 2.5a'!$B$8:$B$192,0)))*1000, "")</f>
        <v>7552.5</v>
      </c>
      <c r="K168" s="705">
        <f t="array" ref="K168">IFERROR(INDEX('Table 2.5a'!$I$8:$I$192,MATCH('Table 2.5b'!$A168&amp;'Table 2.5b'!$B168,'Table 2.5a'!$A$8:$A$192&amp;'Table 2.5a'!$B$8:$B$192,0))/INDEX('Table 2.5a'!$L$8:$L$192,MATCH('Table 2.5b'!$A168&amp;'Table 2.5b'!$B168,'Table 2.5a'!$A$8:$A$192&amp;'Table 2.5a'!$B$8:$B$192,0)),"")</f>
        <v>0.11122144985104269</v>
      </c>
      <c r="L168" s="658" t="s">
        <v>356</v>
      </c>
      <c r="M168" s="709">
        <f t="array" ref="M168">INDEX(UtilityList!Q$4:Q$251,MATCH('Table 2.5b'!$A168&amp;'Table 2.5b'!$B168,UtilityList!$A$4:$A$251&amp;UtilityList!$C$4:$C$251,0))</f>
        <v>0</v>
      </c>
      <c r="N168" s="709" t="str">
        <f t="array" ref="N168">INDEX(UtilityList!J$4:J$251,MATCH('Table 2.5b'!$A168&amp;'Table 2.5b'!$B168,UtilityList!$A$4:$A$251&amp;UtilityList!$C$4:$C$251,0))</f>
        <v>Yukon-Koyukuk/Upper Tanana</v>
      </c>
      <c r="O168" s="709" t="str">
        <f t="array" ref="O168">INDEX(UtilityList!K$4:K$251,MATCH('Table 2.5b'!$A168&amp;'Table 2.5b'!$B168,UtilityList!$A$4:$A$251&amp;UtilityList!$C$4:$C$251,0))</f>
        <v>Yukon-Koyukuk (CA)</v>
      </c>
      <c r="P168" s="709" t="str">
        <f t="array" ref="P168">INDEX(UtilityList!L$4:L$251,MATCH('Table 2.5b'!$A168&amp;'Table 2.5b'!$B168,UtilityList!$A$4:$A$251&amp;UtilityList!$C$4:$C$251,0))</f>
        <v>Doyon</v>
      </c>
      <c r="Q168" s="709" t="str">
        <f t="array" ref="Q168">INDEX(UtilityList!M$4:M$251,MATCH('Table 2.5b'!$A168&amp;'Table 2.5b'!$B168,UtilityList!$A$4:$A$251&amp;UtilityList!$C$4:$C$251,0))</f>
        <v>YU</v>
      </c>
    </row>
    <row r="169" spans="1:17" s="267" customFormat="1" x14ac:dyDescent="0.25">
      <c r="A169" s="361" t="s">
        <v>308</v>
      </c>
      <c r="B169" s="654" t="s">
        <v>309</v>
      </c>
      <c r="C169" s="655">
        <f t="array" ref="C169">IFERROR((INDEX('Table 2.5a'!$D$8:$D$192,MATCH('Table 2.5b'!A169&amp;'Table 2.5b'!B169,'Table 2.5a'!$A$8:$A$192&amp;'Table 2.5a'!$B$8:$B$192,0))/INDEX('Table 2.5a'!$E$8:$E$192,MATCH('Table 2.5b'!A169&amp;'Table 2.5b'!B169,'Table 2.5a'!$A$8:$A$192&amp;'Table 2.5a'!$B$8:$B$192,0)))*1000, "")</f>
        <v>2866.8249258160236</v>
      </c>
      <c r="D169" s="655">
        <f t="array" ref="D169">IFERROR((INDEX('Table 2.5a'!$C$8:$C$192,MATCH('Table 2.5b'!A169&amp;'Table 2.5b'!B169,'Table 2.5a'!$A$8:$A$192&amp;'Table 2.5a'!$B$8:$B$192,0))/INDEX('Table 2.5a'!$E$8:$E$192,MATCH('Table 2.5b'!A169&amp;'Table 2.5b'!B169,'Table 2.5a'!$A$8:$A$192&amp;'Table 2.5a'!$B$8:$B$192,0)))*1000, "")</f>
        <v>2386.6317507418398</v>
      </c>
      <c r="E169" s="705">
        <f t="array" ref="E169">IFERROR(INDEX('Table 2.5a'!$C$8:$C$192,MATCH('Table 2.5b'!$A169&amp;'Table 2.5b'!$B169,'Table 2.5a'!$A$8:$A$192&amp;'Table 2.5a'!$B$8:$B$192,0))/INDEX('Table 2.5a'!$D$8:$D$192,MATCH('Table 2.5b'!$A169&amp;'Table 2.5b'!$B169,'Table 2.5a'!$A$8:$A$192&amp;'Table 2.5a'!$B$8:$B$192,0)),"")</f>
        <v>0.83250000000000002</v>
      </c>
      <c r="F169" s="655">
        <f t="array" ref="F169">IFERROR((INDEX('Table 2.5a'!$H$8:$H$192,MATCH('Table 2.5b'!$A169&amp;'Table 2.5b'!$B169,'Table 2.5a'!$A$8:$A$192&amp;'Table 2.5a'!$B$8:$B$192,0))/INDEX('Table 2.5a'!$I$8:$I$192,MATCH('Table 2.5b'!$A169&amp;'Table 2.5b'!$B169,'Table 2.5a'!$A$8:$A$192&amp;'Table 2.5a'!$B$8:$B$192,0)))*1000, "")</f>
        <v>6067.2</v>
      </c>
      <c r="G169" s="655">
        <f t="array" ref="G169">IFERROR((INDEX('Table 2.5a'!$G$8:$G$192,MATCH('Table 2.5b'!$A169&amp;'Table 2.5b'!$B169,'Table 2.5a'!$A$8:$A$192&amp;'Table 2.5a'!$B$8:$B$192,0))/INDEX('Table 2.5a'!$I$8:$I$192,MATCH('Table 2.5b'!$A169&amp;'Table 2.5b'!$B169,'Table 2.5a'!$A$8:$A$192&amp;'Table 2.5a'!$B$8:$B$192,0)))*1000, "")</f>
        <v>5050.9440000000004</v>
      </c>
      <c r="H169" s="705">
        <f t="array" ref="H169">IFERROR(INDEX('Table 2.5a'!$G$8:$G$192,MATCH('Table 2.5b'!$A169&amp;'Table 2.5b'!$B169,'Table 2.5a'!$A$8:$A$192&amp;'Table 2.5a'!$B$8:$B$192,0))/INDEX('Table 2.5a'!$H$8:$H$192,MATCH('Table 2.5b'!$A169&amp;'Table 2.5b'!$B169,'Table 2.5a'!$A$8:$A$192&amp;'Table 2.5a'!$B$8:$B$192,0)),"")</f>
        <v>0.83250000000000013</v>
      </c>
      <c r="I169" s="655">
        <f t="array" ref="I169">IFERROR((INDEX('Table 2.5a'!$L$8:$L$192,MATCH('Table 2.5b'!$A169&amp;'Table 2.5b'!$B169,'Table 2.5a'!$A$8:$A$192&amp;'Table 2.5a'!$B$8:$B$192,0))/INDEX('Table 2.5a'!$I$8:$I$192,MATCH('Table 2.5b'!$A169&amp;'Table 2.5b'!$B169,'Table 2.5a'!$A$8:$A$192&amp;'Table 2.5a'!$B$8:$B$192,0)))*1000, "")</f>
        <v>12037.800000000001</v>
      </c>
      <c r="J169" s="655">
        <f t="array" ref="J169">IFERROR((INDEX('Table 2.5a'!$K$8:$K$192,MATCH('Table 2.5b'!$A169&amp;'Table 2.5b'!$B169,'Table 2.5a'!$A$8:$A$192&amp;'Table 2.5a'!$B$8:$B$192,0))/INDEX('Table 2.5a'!$I$8:$I$192,MATCH('Table 2.5b'!$A169&amp;'Table 2.5b'!$B169,'Table 2.5a'!$A$8:$A$192&amp;'Table 2.5a'!$B$8:$B$192,0)))*1000, "")</f>
        <v>10021.468500000001</v>
      </c>
      <c r="K169" s="705">
        <f t="array" ref="K169">IFERROR(INDEX('Table 2.5a'!$I$8:$I$192,MATCH('Table 2.5b'!$A169&amp;'Table 2.5b'!$B169,'Table 2.5a'!$A$8:$A$192&amp;'Table 2.5a'!$B$8:$B$192,0))/INDEX('Table 2.5a'!$L$8:$L$192,MATCH('Table 2.5b'!$A169&amp;'Table 2.5b'!$B169,'Table 2.5a'!$A$8:$A$192&amp;'Table 2.5a'!$B$8:$B$192,0)),"")</f>
        <v>8.307165761185599E-2</v>
      </c>
      <c r="L169" s="658" t="s">
        <v>356</v>
      </c>
      <c r="M169" s="709">
        <f t="array" ref="M169">INDEX(UtilityList!Q$4:Q$251,MATCH('Table 2.5b'!$A169&amp;'Table 2.5b'!$B169,UtilityList!$A$4:$A$251&amp;UtilityList!$C$4:$C$251,0))</f>
        <v>0</v>
      </c>
      <c r="N169" s="709" t="str">
        <f t="array" ref="N169">INDEX(UtilityList!J$4:J$251,MATCH('Table 2.5b'!$A169&amp;'Table 2.5b'!$B169,UtilityList!$A$4:$A$251&amp;UtilityList!$C$4:$C$251,0))</f>
        <v>Aleutians</v>
      </c>
      <c r="O169" s="709" t="str">
        <f t="array" ref="O169">INDEX(UtilityList!K$4:K$251,MATCH('Table 2.5b'!$A169&amp;'Table 2.5b'!$B169,UtilityList!$A$4:$A$251&amp;UtilityList!$C$4:$C$251,0))</f>
        <v>Aleutians West (CA)</v>
      </c>
      <c r="P169" s="709" t="str">
        <f t="array" ref="P169">INDEX(UtilityList!L$4:L$251,MATCH('Table 2.5b'!$A169&amp;'Table 2.5b'!$B169,UtilityList!$A$4:$A$251&amp;UtilityList!$C$4:$C$251,0))</f>
        <v>Aleut</v>
      </c>
      <c r="Q169" s="709" t="str">
        <f t="array" ref="Q169">INDEX(UtilityList!M$4:M$251,MATCH('Table 2.5b'!$A169&amp;'Table 2.5b'!$B169,UtilityList!$A$4:$A$251&amp;UtilityList!$C$4:$C$251,0))</f>
        <v>SW</v>
      </c>
    </row>
    <row r="170" spans="1:17" s="267" customFormat="1" ht="30" x14ac:dyDescent="0.25">
      <c r="A170" s="361" t="s">
        <v>633</v>
      </c>
      <c r="B170" s="654" t="s">
        <v>320</v>
      </c>
      <c r="C170" s="655">
        <f t="array" ref="C170">IFERROR((INDEX('Table 2.5a'!$D$8:$D$192,MATCH('Table 2.5b'!A170&amp;'Table 2.5b'!B170,'Table 2.5a'!$A$8:$A$192&amp;'Table 2.5a'!$B$8:$B$192,0))/INDEX('Table 2.5a'!$E$8:$E$192,MATCH('Table 2.5b'!A170&amp;'Table 2.5b'!B170,'Table 2.5a'!$A$8:$A$192&amp;'Table 2.5a'!$B$8:$B$192,0)))*1000, "")</f>
        <v>5799.8151241174501</v>
      </c>
      <c r="D170" s="655">
        <f t="array" ref="D170">IFERROR((INDEX('Table 2.5a'!$C$8:$C$192,MATCH('Table 2.5b'!A170&amp;'Table 2.5b'!B170,'Table 2.5a'!$A$8:$A$192&amp;'Table 2.5a'!$B$8:$B$192,0))/INDEX('Table 2.5a'!$E$8:$E$192,MATCH('Table 2.5b'!A170&amp;'Table 2.5b'!B170,'Table 2.5a'!$A$8:$A$192&amp;'Table 2.5a'!$B$8:$B$192,0)))*1000, "")</f>
        <v>3011.0707046036937</v>
      </c>
      <c r="E170" s="705">
        <f t="array" ref="E170">IFERROR(INDEX('Table 2.5a'!$C$8:$C$192,MATCH('Table 2.5b'!$A170&amp;'Table 2.5b'!$B170,'Table 2.5a'!$A$8:$A$192&amp;'Table 2.5a'!$B$8:$B$192,0))/INDEX('Table 2.5a'!$D$8:$D$192,MATCH('Table 2.5b'!$A170&amp;'Table 2.5b'!$B170,'Table 2.5a'!$A$8:$A$192&amp;'Table 2.5a'!$B$8:$B$192,0)),"")</f>
        <v>0.51916667000000005</v>
      </c>
      <c r="F170" s="655">
        <f t="array" ref="F170">IFERROR((INDEX('Table 2.5a'!$H$8:$H$192,MATCH('Table 2.5b'!$A170&amp;'Table 2.5b'!$B170,'Table 2.5a'!$A$8:$A$192&amp;'Table 2.5a'!$B$8:$B$192,0))/INDEX('Table 2.5a'!$I$8:$I$192,MATCH('Table 2.5b'!$A170&amp;'Table 2.5b'!$B170,'Table 2.5a'!$A$8:$A$192&amp;'Table 2.5a'!$B$8:$B$192,0)))*1000, "")</f>
        <v>41746.181818181816</v>
      </c>
      <c r="G170" s="655">
        <f t="array" ref="G170">IFERROR((INDEX('Table 2.5a'!$G$8:$G$192,MATCH('Table 2.5b'!$A170&amp;'Table 2.5b'!$B170,'Table 2.5a'!$A$8:$A$192&amp;'Table 2.5a'!$B$8:$B$192,0))/INDEX('Table 2.5a'!$I$8:$I$192,MATCH('Table 2.5b'!$A170&amp;'Table 2.5b'!$B170,'Table 2.5a'!$A$8:$A$192&amp;'Table 2.5a'!$B$8:$B$192,0)))*1000, "")</f>
        <v>21673.226199760004</v>
      </c>
      <c r="H170" s="705">
        <f t="array" ref="H170">IFERROR(INDEX('Table 2.5a'!$G$8:$G$192,MATCH('Table 2.5b'!$A170&amp;'Table 2.5b'!$B170,'Table 2.5a'!$A$8:$A$192&amp;'Table 2.5a'!$B$8:$B$192,0))/INDEX('Table 2.5a'!$H$8:$H$192,MATCH('Table 2.5b'!$A170&amp;'Table 2.5b'!$B170,'Table 2.5a'!$A$8:$A$192&amp;'Table 2.5a'!$B$8:$B$192,0)),"")</f>
        <v>0.51916667000000005</v>
      </c>
      <c r="I170" s="655">
        <f t="array" ref="I170">IFERROR((INDEX('Table 2.5a'!$L$8:$L$192,MATCH('Table 2.5b'!$A170&amp;'Table 2.5b'!$B170,'Table 2.5a'!$A$8:$A$192&amp;'Table 2.5a'!$B$8:$B$192,0))/INDEX('Table 2.5a'!$I$8:$I$192,MATCH('Table 2.5b'!$A170&amp;'Table 2.5b'!$B170,'Table 2.5a'!$A$8:$A$192&amp;'Table 2.5a'!$B$8:$B$192,0)))*1000, "")</f>
        <v>44173</v>
      </c>
      <c r="J170" s="655">
        <f t="array" ref="J170">IFERROR((INDEX('Table 2.5a'!$K$8:$K$192,MATCH('Table 2.5b'!$A170&amp;'Table 2.5b'!$B170,'Table 2.5a'!$A$8:$A$192&amp;'Table 2.5a'!$B$8:$B$192,0))/INDEX('Table 2.5a'!$I$8:$I$192,MATCH('Table 2.5b'!$A170&amp;'Table 2.5b'!$B170,'Table 2.5a'!$A$8:$A$192&amp;'Table 2.5a'!$B$8:$B$192,0)))*1000, "")</f>
        <v>22933.149313910006</v>
      </c>
      <c r="K170" s="705">
        <f t="array" ref="K170">IFERROR(INDEX('Table 2.5a'!$I$8:$I$192,MATCH('Table 2.5b'!$A170&amp;'Table 2.5b'!$B170,'Table 2.5a'!$A$8:$A$192&amp;'Table 2.5a'!$B$8:$B$192,0))/INDEX('Table 2.5a'!$L$8:$L$192,MATCH('Table 2.5b'!$A170&amp;'Table 2.5b'!$B170,'Table 2.5a'!$A$8:$A$192&amp;'Table 2.5a'!$B$8:$B$192,0)),"")</f>
        <v>2.2638263192447876E-2</v>
      </c>
      <c r="L170" s="658" t="s">
        <v>356</v>
      </c>
      <c r="M170" s="709">
        <f t="array" ref="M170">INDEX(UtilityList!Q$4:Q$251,MATCH('Table 2.5b'!$A170&amp;'Table 2.5b'!$B170,UtilityList!$A$4:$A$251&amp;UtilityList!$C$4:$C$251,0))</f>
        <v>0</v>
      </c>
      <c r="N170" s="709" t="str">
        <f t="array" ref="N170">INDEX(UtilityList!J$4:J$251,MATCH('Table 2.5b'!$A170&amp;'Table 2.5b'!$B170,UtilityList!$A$4:$A$251&amp;UtilityList!$C$4:$C$251,0))</f>
        <v>Aleutians</v>
      </c>
      <c r="O170" s="709" t="str">
        <f t="array" ref="O170">INDEX(UtilityList!K$4:K$251,MATCH('Table 2.5b'!$A170&amp;'Table 2.5b'!$B170,UtilityList!$A$4:$A$251&amp;UtilityList!$C$4:$C$251,0))</f>
        <v>Aleutians West (CA)</v>
      </c>
      <c r="P170" s="709" t="str">
        <f t="array" ref="P170">INDEX(UtilityList!L$4:L$251,MATCH('Table 2.5b'!$A170&amp;'Table 2.5b'!$B170,UtilityList!$A$4:$A$251&amp;UtilityList!$C$4:$C$251,0))</f>
        <v>Aleut</v>
      </c>
      <c r="Q170" s="709" t="str">
        <f t="array" ref="Q170">INDEX(UtilityList!M$4:M$251,MATCH('Table 2.5b'!$A170&amp;'Table 2.5b'!$B170,UtilityList!$A$4:$A$251&amp;UtilityList!$C$4:$C$251,0))</f>
        <v>SW</v>
      </c>
    </row>
    <row r="171" spans="1:17" s="267" customFormat="1" x14ac:dyDescent="0.25">
      <c r="A171" s="361" t="s">
        <v>310</v>
      </c>
      <c r="B171" s="361" t="s">
        <v>311</v>
      </c>
      <c r="C171" s="655">
        <f t="array" ref="C171">IFERROR((INDEX('Table 2.5a'!$D$8:$D$192,MATCH('Table 2.5b'!A171&amp;'Table 2.5b'!B171,'Table 2.5a'!$A$8:$A$192&amp;'Table 2.5a'!$B$8:$B$192,0))/INDEX('Table 2.5a'!$E$8:$E$192,MATCH('Table 2.5b'!A171&amp;'Table 2.5b'!B171,'Table 2.5a'!$A$8:$A$192&amp;'Table 2.5a'!$B$8:$B$192,0)))*1000, "")</f>
        <v>7913.2976132489039</v>
      </c>
      <c r="D171" s="655">
        <f t="array" ref="D171">IFERROR((INDEX('Table 2.5a'!$C$8:$C$192,MATCH('Table 2.5b'!A171&amp;'Table 2.5b'!B171,'Table 2.5a'!$A$8:$A$192&amp;'Table 2.5a'!$B$8:$B$192,0))/INDEX('Table 2.5a'!$E$8:$E$192,MATCH('Table 2.5b'!A171&amp;'Table 2.5b'!B171,'Table 2.5a'!$A$8:$A$192&amp;'Table 2.5a'!$B$8:$B$192,0)))*1000, "")</f>
        <v>1521.1885046273746</v>
      </c>
      <c r="E171" s="705">
        <f t="array" ref="E171">IFERROR(INDEX('Table 2.5a'!$C$8:$C$192,MATCH('Table 2.5b'!$A171&amp;'Table 2.5b'!$B171,'Table 2.5a'!$A$8:$A$192&amp;'Table 2.5a'!$B$8:$B$192,0))/INDEX('Table 2.5a'!$D$8:$D$192,MATCH('Table 2.5b'!$A171&amp;'Table 2.5b'!$B171,'Table 2.5a'!$A$8:$A$192&amp;'Table 2.5a'!$B$8:$B$192,0)),"")</f>
        <v>0.19223193401452665</v>
      </c>
      <c r="F171" s="655">
        <f t="array" ref="F171">IFERROR((INDEX('Table 2.5a'!$H$8:$H$192,MATCH('Table 2.5b'!$A171&amp;'Table 2.5b'!$B171,'Table 2.5a'!$A$8:$A$192&amp;'Table 2.5a'!$B$8:$B$192,0))/INDEX('Table 2.5a'!$I$8:$I$192,MATCH('Table 2.5b'!$A171&amp;'Table 2.5b'!$B171,'Table 2.5a'!$A$8:$A$192&amp;'Table 2.5a'!$B$8:$B$192,0)))*1000, "")</f>
        <v>17064.516129032261</v>
      </c>
      <c r="G171" s="655">
        <f t="array" ref="G171">IFERROR((INDEX('Table 2.5a'!$G$8:$G$192,MATCH('Table 2.5b'!$A171&amp;'Table 2.5b'!$B171,'Table 2.5a'!$A$8:$A$192&amp;'Table 2.5a'!$B$8:$B$192,0))/INDEX('Table 2.5a'!$I$8:$I$192,MATCH('Table 2.5b'!$A171&amp;'Table 2.5b'!$B171,'Table 2.5a'!$A$8:$A$192&amp;'Table 2.5a'!$B$8:$B$192,0)))*1000, "")</f>
        <v>3475.8064516129029</v>
      </c>
      <c r="H171" s="705">
        <f t="array" ref="H171">IFERROR(INDEX('Table 2.5a'!$G$8:$G$192,MATCH('Table 2.5b'!$A171&amp;'Table 2.5b'!$B171,'Table 2.5a'!$A$8:$A$192&amp;'Table 2.5a'!$B$8:$B$192,0))/INDEX('Table 2.5a'!$H$8:$H$192,MATCH('Table 2.5b'!$A171&amp;'Table 2.5b'!$B171,'Table 2.5a'!$A$8:$A$192&amp;'Table 2.5a'!$B$8:$B$192,0)),"")</f>
        <v>0.20368620037807184</v>
      </c>
      <c r="I171" s="655">
        <f t="array" ref="I171">IFERROR((INDEX('Table 2.5a'!$L$8:$L$192,MATCH('Table 2.5b'!$A171&amp;'Table 2.5b'!$B171,'Table 2.5a'!$A$8:$A$192&amp;'Table 2.5a'!$B$8:$B$192,0))/INDEX('Table 2.5a'!$I$8:$I$192,MATCH('Table 2.5b'!$A171&amp;'Table 2.5b'!$B171,'Table 2.5a'!$A$8:$A$192&amp;'Table 2.5a'!$B$8:$B$192,0)))*1000, "")</f>
        <v>65612.903225806454</v>
      </c>
      <c r="J171" s="655">
        <f t="array" ref="J171">IFERROR((INDEX('Table 2.5a'!$K$8:$K$192,MATCH('Table 2.5b'!$A171&amp;'Table 2.5b'!$B171,'Table 2.5a'!$A$8:$A$192&amp;'Table 2.5a'!$B$8:$B$192,0))/INDEX('Table 2.5a'!$I$8:$I$192,MATCH('Table 2.5b'!$A171&amp;'Table 2.5b'!$B171,'Table 2.5a'!$A$8:$A$192&amp;'Table 2.5a'!$B$8:$B$192,0)))*1000, "")</f>
        <v>10723.790322580646</v>
      </c>
      <c r="K171" s="705">
        <f t="array" ref="K171">IFERROR(INDEX('Table 2.5a'!$I$8:$I$192,MATCH('Table 2.5b'!$A171&amp;'Table 2.5b'!$B171,'Table 2.5a'!$A$8:$A$192&amp;'Table 2.5a'!$B$8:$B$192,0))/INDEX('Table 2.5a'!$L$8:$L$192,MATCH('Table 2.5b'!$A171&amp;'Table 2.5b'!$B171,'Table 2.5a'!$A$8:$A$192&amp;'Table 2.5a'!$B$8:$B$192,0)),"")</f>
        <v>1.5240904621435595E-2</v>
      </c>
      <c r="L171" s="707" t="s">
        <v>558</v>
      </c>
      <c r="M171" s="709">
        <f t="array" ref="M171">INDEX(UtilityList!Q$4:Q$251,MATCH('Table 2.5b'!$A171&amp;'Table 2.5b'!$B171,UtilityList!$A$4:$A$251&amp;UtilityList!$C$4:$C$251,0))</f>
        <v>0</v>
      </c>
      <c r="N171" s="709" t="str">
        <f t="array" ref="N171">INDEX(UtilityList!J$4:J$251,MATCH('Table 2.5b'!$A171&amp;'Table 2.5b'!$B171,UtilityList!$A$4:$A$251&amp;UtilityList!$C$4:$C$251,0))</f>
        <v>Railbelt</v>
      </c>
      <c r="O171" s="709" t="str">
        <f t="array" ref="O171">INDEX(UtilityList!K$4:K$251,MATCH('Table 2.5b'!$A171&amp;'Table 2.5b'!$B171,UtilityList!$A$4:$A$251&amp;UtilityList!$C$4:$C$251,0))</f>
        <v>Kenai Peninsula</v>
      </c>
      <c r="P171" s="709" t="str">
        <f t="array" ref="P171">INDEX(UtilityList!L$4:L$251,MATCH('Table 2.5b'!$A171&amp;'Table 2.5b'!$B171,UtilityList!$A$4:$A$251&amp;UtilityList!$C$4:$C$251,0))</f>
        <v>Chugach</v>
      </c>
      <c r="Q171" s="709" t="str">
        <f t="array" ref="Q171">INDEX(UtilityList!M$4:M$251,MATCH('Table 2.5b'!$A171&amp;'Table 2.5b'!$B171,UtilityList!$A$4:$A$251&amp;UtilityList!$C$4:$C$251,0))</f>
        <v>SC</v>
      </c>
    </row>
    <row r="172" spans="1:17" s="267" customFormat="1" ht="30" x14ac:dyDescent="0.25">
      <c r="A172" s="361" t="s">
        <v>638</v>
      </c>
      <c r="B172" s="361" t="s">
        <v>314</v>
      </c>
      <c r="C172" s="655">
        <f t="array" ref="C172">IFERROR((INDEX('Table 2.5a'!$D$8:$D$192,MATCH('Table 2.5b'!A172&amp;'Table 2.5b'!B172,'Table 2.5a'!$A$8:$A$192&amp;'Table 2.5a'!$B$8:$B$192,0))/INDEX('Table 2.5a'!$E$8:$E$192,MATCH('Table 2.5b'!A172&amp;'Table 2.5b'!B172,'Table 2.5a'!$A$8:$A$192&amp;'Table 2.5a'!$B$8:$B$192,0)))*1000, "")</f>
        <v>13117.055947854427</v>
      </c>
      <c r="D172" s="655">
        <f t="array" ref="D172">IFERROR((INDEX('Table 2.5a'!$C$8:$C$192,MATCH('Table 2.5b'!A172&amp;'Table 2.5b'!B172,'Table 2.5a'!$A$8:$A$192&amp;'Table 2.5a'!$B$8:$B$192,0))/INDEX('Table 2.5a'!$E$8:$E$192,MATCH('Table 2.5b'!A172&amp;'Table 2.5b'!B172,'Table 2.5a'!$A$8:$A$192&amp;'Table 2.5a'!$B$8:$B$192,0)))*1000, "")</f>
        <v>1241.9880499728408</v>
      </c>
      <c r="E172" s="705">
        <f t="array" ref="E172">IFERROR(INDEX('Table 2.5a'!$C$8:$C$192,MATCH('Table 2.5b'!$A172&amp;'Table 2.5b'!$B172,'Table 2.5a'!$A$8:$A$192&amp;'Table 2.5a'!$B$8:$B$192,0))/INDEX('Table 2.5a'!$D$8:$D$192,MATCH('Table 2.5b'!$A172&amp;'Table 2.5b'!$B172,'Table 2.5a'!$A$8:$A$192&amp;'Table 2.5a'!$B$8:$B$192,0)),"")</f>
        <v>9.4684970080957415E-2</v>
      </c>
      <c r="F172" s="655">
        <f t="array" ref="F172">IFERROR((INDEX('Table 2.5a'!$H$8:$H$192,MATCH('Table 2.5b'!$A172&amp;'Table 2.5b'!$B172,'Table 2.5a'!$A$8:$A$192&amp;'Table 2.5a'!$B$8:$B$192,0))/INDEX('Table 2.5a'!$I$8:$I$192,MATCH('Table 2.5b'!$A172&amp;'Table 2.5b'!$B172,'Table 2.5a'!$A$8:$A$192&amp;'Table 2.5a'!$B$8:$B$192,0)))*1000, "")</f>
        <v>36445.41484716157</v>
      </c>
      <c r="G172" s="655">
        <f t="array" ref="G172">IFERROR((INDEX('Table 2.5a'!$G$8:$G$192,MATCH('Table 2.5b'!$A172&amp;'Table 2.5b'!$B172,'Table 2.5a'!$A$8:$A$192&amp;'Table 2.5a'!$B$8:$B$192,0))/INDEX('Table 2.5a'!$I$8:$I$192,MATCH('Table 2.5b'!$A172&amp;'Table 2.5b'!$B172,'Table 2.5a'!$A$8:$A$192&amp;'Table 2.5a'!$B$8:$B$192,0)))*1000, "")</f>
        <v>3394.8845913911418</v>
      </c>
      <c r="H172" s="705">
        <f t="array" ref="H172">IFERROR(INDEX('Table 2.5a'!$G$8:$G$192,MATCH('Table 2.5b'!$A172&amp;'Table 2.5b'!$B172,'Table 2.5a'!$A$8:$A$192&amp;'Table 2.5a'!$B$8:$B$192,0))/INDEX('Table 2.5a'!$H$8:$H$192,MATCH('Table 2.5b'!$A172&amp;'Table 2.5b'!$B172,'Table 2.5a'!$A$8:$A$192&amp;'Table 2.5a'!$B$8:$B$192,0)),"")</f>
        <v>9.3149840813392212E-2</v>
      </c>
      <c r="I172" s="655">
        <f t="array" ref="I172">IFERROR((INDEX('Table 2.5a'!$L$8:$L$192,MATCH('Table 2.5b'!$A172&amp;'Table 2.5b'!$B172,'Table 2.5a'!$A$8:$A$192&amp;'Table 2.5a'!$B$8:$B$192,0))/INDEX('Table 2.5a'!$I$8:$I$192,MATCH('Table 2.5b'!$A172&amp;'Table 2.5b'!$B172,'Table 2.5a'!$A$8:$A$192&amp;'Table 2.5a'!$B$8:$B$192,0)))*1000, "")</f>
        <v>3470.3680598877104</v>
      </c>
      <c r="J172" s="655">
        <f t="array" ref="J172">IFERROR((INDEX('Table 2.5a'!$K$8:$K$192,MATCH('Table 2.5b'!$A172&amp;'Table 2.5b'!$B172,'Table 2.5a'!$A$8:$A$192&amp;'Table 2.5a'!$B$8:$B$192,0))/INDEX('Table 2.5a'!$I$8:$I$192,MATCH('Table 2.5b'!$A172&amp;'Table 2.5b'!$B172,'Table 2.5a'!$A$8:$A$192&amp;'Table 2.5a'!$B$8:$B$192,0)))*1000, "")</f>
        <v>325.63942607610727</v>
      </c>
      <c r="K172" s="705">
        <f t="array" ref="K172">IFERROR(INDEX('Table 2.5a'!$I$8:$I$192,MATCH('Table 2.5b'!$A172&amp;'Table 2.5b'!$B172,'Table 2.5a'!$A$8:$A$192&amp;'Table 2.5a'!$B$8:$B$192,0))/INDEX('Table 2.5a'!$L$8:$L$192,MATCH('Table 2.5b'!$A172&amp;'Table 2.5b'!$B172,'Table 2.5a'!$A$8:$A$192&amp;'Table 2.5a'!$B$8:$B$192,0)),"")</f>
        <v>0.2881538738090958</v>
      </c>
      <c r="L172" s="707" t="s">
        <v>558</v>
      </c>
      <c r="M172" s="709">
        <f t="array" ref="M172">INDEX(UtilityList!Q$4:Q$251,MATCH('Table 2.5b'!$A172&amp;'Table 2.5b'!$B172,UtilityList!$A$4:$A$251&amp;UtilityList!$C$4:$C$251,0))</f>
        <v>0</v>
      </c>
      <c r="N172" s="709" t="str">
        <f t="array" ref="N172">INDEX(UtilityList!J$4:J$251,MATCH('Table 2.5b'!$A172&amp;'Table 2.5b'!$B172,UtilityList!$A$4:$A$251&amp;UtilityList!$C$4:$C$251,0))</f>
        <v>Southeast</v>
      </c>
      <c r="O172" s="709" t="str">
        <f t="array" ref="O172">INDEX(UtilityList!K$4:K$251,MATCH('Table 2.5b'!$A172&amp;'Table 2.5b'!$B172,UtilityList!$A$4:$A$251&amp;UtilityList!$C$4:$C$251,0))</f>
        <v>Sitka</v>
      </c>
      <c r="P172" s="709" t="str">
        <f t="array" ref="P172">INDEX(UtilityList!L$4:L$251,MATCH('Table 2.5b'!$A172&amp;'Table 2.5b'!$B172,UtilityList!$A$4:$A$251&amp;UtilityList!$C$4:$C$251,0))</f>
        <v>Sealaska</v>
      </c>
      <c r="Q172" s="709" t="str">
        <f t="array" ref="Q172">INDEX(UtilityList!M$4:M$251,MATCH('Table 2.5b'!$A172&amp;'Table 2.5b'!$B172,UtilityList!$A$4:$A$251&amp;UtilityList!$C$4:$C$251,0))</f>
        <v>SE</v>
      </c>
    </row>
    <row r="173" spans="1:17" s="267" customFormat="1" ht="30" x14ac:dyDescent="0.25">
      <c r="A173" s="361" t="s">
        <v>323</v>
      </c>
      <c r="B173" s="654" t="s">
        <v>324</v>
      </c>
      <c r="C173" s="655">
        <f t="array" ref="C173">IFERROR((INDEX('Table 2.5a'!$D$8:$D$192,MATCH('Table 2.5b'!A173&amp;'Table 2.5b'!B173,'Table 2.5a'!$A$8:$A$192&amp;'Table 2.5a'!$B$8:$B$192,0))/INDEX('Table 2.5a'!$E$8:$E$192,MATCH('Table 2.5b'!A173&amp;'Table 2.5b'!B173,'Table 2.5a'!$A$8:$A$192&amp;'Table 2.5a'!$B$8:$B$192,0)))*1000, "")</f>
        <v>2411.0901830732073</v>
      </c>
      <c r="D173" s="655">
        <f t="array" ref="D173">IFERROR((INDEX('Table 2.5a'!$C$8:$C$192,MATCH('Table 2.5b'!A173&amp;'Table 2.5b'!B173,'Table 2.5a'!$A$8:$A$192&amp;'Table 2.5a'!$B$8:$B$192,0))/INDEX('Table 2.5a'!$E$8:$E$192,MATCH('Table 2.5b'!A173&amp;'Table 2.5b'!B173,'Table 2.5a'!$A$8:$A$192&amp;'Table 2.5a'!$B$8:$B$192,0)))*1000, "")</f>
        <v>2464.1341671008181</v>
      </c>
      <c r="E173" s="705">
        <f t="array" ref="E173">IFERROR(INDEX('Table 2.5a'!$C$8:$C$192,MATCH('Table 2.5b'!$A173&amp;'Table 2.5b'!$B173,'Table 2.5a'!$A$8:$A$192&amp;'Table 2.5a'!$B$8:$B$192,0))/INDEX('Table 2.5a'!$D$8:$D$192,MATCH('Table 2.5b'!$A173&amp;'Table 2.5b'!$B173,'Table 2.5a'!$A$8:$A$192&amp;'Table 2.5a'!$B$8:$B$192,0)),"")</f>
        <v>1.022</v>
      </c>
      <c r="F173" s="655">
        <f t="array" ref="F173">IFERROR((INDEX('Table 2.5a'!$H$8:$H$192,MATCH('Table 2.5b'!$A173&amp;'Table 2.5b'!$B173,'Table 2.5a'!$A$8:$A$192&amp;'Table 2.5a'!$B$8:$B$192,0))/INDEX('Table 2.5a'!$I$8:$I$192,MATCH('Table 2.5b'!$A173&amp;'Table 2.5b'!$B173,'Table 2.5a'!$A$8:$A$192&amp;'Table 2.5a'!$B$8:$B$192,0)))*1000, "")</f>
        <v>4959.4735536980643</v>
      </c>
      <c r="G173" s="655">
        <f t="array" ref="G173">IFERROR((INDEX('Table 2.5a'!$G$8:$G$192,MATCH('Table 2.5b'!$A173&amp;'Table 2.5b'!$B173,'Table 2.5a'!$A$8:$A$192&amp;'Table 2.5a'!$B$8:$B$192,0))/INDEX('Table 2.5a'!$I$8:$I$192,MATCH('Table 2.5b'!$A173&amp;'Table 2.5b'!$B173,'Table 2.5a'!$A$8:$A$192&amp;'Table 2.5a'!$B$8:$B$192,0)))*1000, "")</f>
        <v>5068.581971879421</v>
      </c>
      <c r="H173" s="705">
        <f t="array" ref="H173">IFERROR(INDEX('Table 2.5a'!$G$8:$G$192,MATCH('Table 2.5b'!$A173&amp;'Table 2.5b'!$B173,'Table 2.5a'!$A$8:$A$192&amp;'Table 2.5a'!$B$8:$B$192,0))/INDEX('Table 2.5a'!$H$8:$H$192,MATCH('Table 2.5b'!$A173&amp;'Table 2.5b'!$B173,'Table 2.5a'!$A$8:$A$192&amp;'Table 2.5a'!$B$8:$B$192,0)),"")</f>
        <v>1.022</v>
      </c>
      <c r="I173" s="655">
        <f t="array" ref="I173">IFERROR((INDEX('Table 2.5a'!$L$8:$L$192,MATCH('Table 2.5b'!$A173&amp;'Table 2.5b'!$B173,'Table 2.5a'!$A$8:$A$192&amp;'Table 2.5a'!$B$8:$B$192,0))/INDEX('Table 2.5a'!$I$8:$I$192,MATCH('Table 2.5b'!$A173&amp;'Table 2.5b'!$B173,'Table 2.5a'!$A$8:$A$192&amp;'Table 2.5a'!$B$8:$B$192,0)))*1000, "")</f>
        <v>4331.4472544355986</v>
      </c>
      <c r="J173" s="655">
        <f t="array" ref="J173">IFERROR((INDEX('Table 2.5a'!$K$8:$K$192,MATCH('Table 2.5b'!$A173&amp;'Table 2.5b'!$B173,'Table 2.5a'!$A$8:$A$192&amp;'Table 2.5a'!$B$8:$B$192,0))/INDEX('Table 2.5a'!$I$8:$I$192,MATCH('Table 2.5b'!$A173&amp;'Table 2.5b'!$B173,'Table 2.5a'!$A$8:$A$192&amp;'Table 2.5a'!$B$8:$B$192,0)))*1000, "")</f>
        <v>4426.7390940331816</v>
      </c>
      <c r="K173" s="705">
        <f t="array" ref="K173">IFERROR(INDEX('Table 2.5a'!$I$8:$I$192,MATCH('Table 2.5b'!$A173&amp;'Table 2.5b'!$B173,'Table 2.5a'!$A$8:$A$192&amp;'Table 2.5a'!$B$8:$B$192,0))/INDEX('Table 2.5a'!$L$8:$L$192,MATCH('Table 2.5b'!$A173&amp;'Table 2.5b'!$B173,'Table 2.5a'!$A$8:$A$192&amp;'Table 2.5a'!$B$8:$B$192,0)),"")</f>
        <v>0.23086971657705277</v>
      </c>
      <c r="L173" s="658" t="s">
        <v>356</v>
      </c>
      <c r="M173" s="709">
        <f t="array" ref="M173">INDEX(UtilityList!Q$4:Q$251,MATCH('Table 2.5b'!$A173&amp;'Table 2.5b'!$B173,UtilityList!$A$4:$A$251&amp;UtilityList!$C$4:$C$251,0))</f>
        <v>0</v>
      </c>
      <c r="N173" s="709" t="str">
        <f t="array" ref="N173">INDEX(UtilityList!J$4:J$251,MATCH('Table 2.5b'!$A173&amp;'Table 2.5b'!$B173,UtilityList!$A$4:$A$251&amp;UtilityList!$C$4:$C$251,0))</f>
        <v>Yukon-Koyukuk/Upper Tanana</v>
      </c>
      <c r="O173" s="709" t="str">
        <f t="array" ref="O173">INDEX(UtilityList!K$4:K$251,MATCH('Table 2.5b'!$A173&amp;'Table 2.5b'!$B173,UtilityList!$A$4:$A$251&amp;UtilityList!$C$4:$C$251,0))</f>
        <v>Yukon-Koyukuk (CA)</v>
      </c>
      <c r="P173" s="709" t="str">
        <f t="array" ref="P173">INDEX(UtilityList!L$4:L$251,MATCH('Table 2.5b'!$A173&amp;'Table 2.5b'!$B173,UtilityList!$A$4:$A$251&amp;UtilityList!$C$4:$C$251,0))</f>
        <v>Doyon</v>
      </c>
      <c r="Q173" s="709" t="str">
        <f t="array" ref="Q173">INDEX(UtilityList!M$4:M$251,MATCH('Table 2.5b'!$A173&amp;'Table 2.5b'!$B173,UtilityList!$A$4:$A$251&amp;UtilityList!$C$4:$C$251,0))</f>
        <v>SW</v>
      </c>
    </row>
    <row r="174" spans="1:17" s="267" customFormat="1" ht="30" x14ac:dyDescent="0.25">
      <c r="A174" s="361" t="s">
        <v>325</v>
      </c>
      <c r="B174" s="654" t="s">
        <v>326</v>
      </c>
      <c r="C174" s="655">
        <f t="array" ref="C174">IFERROR((INDEX('Table 2.5a'!$D$8:$D$192,MATCH('Table 2.5b'!A174&amp;'Table 2.5b'!B174,'Table 2.5a'!$A$8:$A$192&amp;'Table 2.5a'!$B$8:$B$192,0))/INDEX('Table 2.5a'!$E$8:$E$192,MATCH('Table 2.5b'!A174&amp;'Table 2.5b'!B174,'Table 2.5a'!$A$8:$A$192&amp;'Table 2.5a'!$B$8:$B$192,0)))*1000, "")</f>
        <v>4180.2948165084217</v>
      </c>
      <c r="D174" s="655">
        <f t="array" ref="D174">IFERROR((INDEX('Table 2.5a'!$C$8:$C$192,MATCH('Table 2.5b'!A174&amp;'Table 2.5b'!B174,'Table 2.5a'!$A$8:$A$192&amp;'Table 2.5a'!$B$8:$B$192,0))/INDEX('Table 2.5a'!$E$8:$E$192,MATCH('Table 2.5b'!A174&amp;'Table 2.5b'!B174,'Table 2.5a'!$A$8:$A$192&amp;'Table 2.5a'!$B$8:$B$192,0)))*1000, "")</f>
        <v>2853.9917786007127</v>
      </c>
      <c r="E174" s="705">
        <f t="array" ref="E174">IFERROR(INDEX('Table 2.5a'!$C$8:$C$192,MATCH('Table 2.5b'!$A174&amp;'Table 2.5b'!$B174,'Table 2.5a'!$A$8:$A$192&amp;'Table 2.5a'!$B$8:$B$192,0))/INDEX('Table 2.5a'!$D$8:$D$192,MATCH('Table 2.5b'!$A174&amp;'Table 2.5b'!$B174,'Table 2.5a'!$A$8:$A$192&amp;'Table 2.5a'!$B$8:$B$192,0)),"")</f>
        <v>0.68272500000000003</v>
      </c>
      <c r="F174" s="655">
        <f t="array" ref="F174">IFERROR((INDEX('Table 2.5a'!$H$8:$H$192,MATCH('Table 2.5b'!$A174&amp;'Table 2.5b'!$B174,'Table 2.5a'!$A$8:$A$192&amp;'Table 2.5a'!$B$8:$B$192,0))/INDEX('Table 2.5a'!$I$8:$I$192,MATCH('Table 2.5b'!$A174&amp;'Table 2.5b'!$B174,'Table 2.5a'!$A$8:$A$192&amp;'Table 2.5a'!$B$8:$B$192,0)))*1000, "")</f>
        <v>8498.6739203962643</v>
      </c>
      <c r="G174" s="655">
        <f t="array" ref="G174">IFERROR((INDEX('Table 2.5a'!$G$8:$G$192,MATCH('Table 2.5b'!$A174&amp;'Table 2.5b'!$B174,'Table 2.5a'!$A$8:$A$192&amp;'Table 2.5a'!$B$8:$B$192,0))/INDEX('Table 2.5a'!$I$8:$I$192,MATCH('Table 2.5b'!$A174&amp;'Table 2.5b'!$B174,'Table 2.5a'!$A$8:$A$192&amp;'Table 2.5a'!$B$8:$B$192,0)))*1000, "")</f>
        <v>5802.2571523025399</v>
      </c>
      <c r="H174" s="705">
        <f t="array" ref="H174">IFERROR(INDEX('Table 2.5a'!$G$8:$G$192,MATCH('Table 2.5b'!$A174&amp;'Table 2.5b'!$B174,'Table 2.5a'!$A$8:$A$192&amp;'Table 2.5a'!$B$8:$B$192,0))/INDEX('Table 2.5a'!$H$8:$H$192,MATCH('Table 2.5b'!$A174&amp;'Table 2.5b'!$B174,'Table 2.5a'!$A$8:$A$192&amp;'Table 2.5a'!$B$8:$B$192,0)),"")</f>
        <v>0.68272500000000003</v>
      </c>
      <c r="I174" s="655">
        <f t="array" ref="I174">IFERROR((INDEX('Table 2.5a'!$L$8:$L$192,MATCH('Table 2.5b'!$A174&amp;'Table 2.5b'!$B174,'Table 2.5a'!$A$8:$A$192&amp;'Table 2.5a'!$B$8:$B$192,0))/INDEX('Table 2.5a'!$I$8:$I$192,MATCH('Table 2.5b'!$A174&amp;'Table 2.5b'!$B174,'Table 2.5a'!$A$8:$A$192&amp;'Table 2.5a'!$B$8:$B$192,0)))*1000, "")</f>
        <v>2521.6552259237183</v>
      </c>
      <c r="J174" s="655">
        <f t="array" ref="J174">IFERROR((INDEX('Table 2.5a'!$K$8:$K$192,MATCH('Table 2.5b'!$A174&amp;'Table 2.5b'!$B174,'Table 2.5a'!$A$8:$A$192&amp;'Table 2.5a'!$B$8:$B$192,0))/INDEX('Table 2.5a'!$I$8:$I$192,MATCH('Table 2.5b'!$A174&amp;'Table 2.5b'!$B174,'Table 2.5a'!$A$8:$A$192&amp;'Table 2.5a'!$B$8:$B$192,0)))*1000, "")</f>
        <v>1721.5970641187705</v>
      </c>
      <c r="K174" s="705">
        <f t="array" ref="K174">IFERROR(INDEX('Table 2.5a'!$I$8:$I$192,MATCH('Table 2.5b'!$A174&amp;'Table 2.5b'!$B174,'Table 2.5a'!$A$8:$A$192&amp;'Table 2.5a'!$B$8:$B$192,0))/INDEX('Table 2.5a'!$L$8:$L$192,MATCH('Table 2.5b'!$A174&amp;'Table 2.5b'!$B174,'Table 2.5a'!$A$8:$A$192&amp;'Table 2.5a'!$B$8:$B$192,0)),"")</f>
        <v>0.39656491883567696</v>
      </c>
      <c r="L174" s="658" t="s">
        <v>356</v>
      </c>
      <c r="M174" s="709">
        <f t="array" ref="M174">INDEX(UtilityList!Q$4:Q$251,MATCH('Table 2.5b'!$A174&amp;'Table 2.5b'!$B174,UtilityList!$A$4:$A$251&amp;UtilityList!$C$4:$C$251,0))</f>
        <v>0</v>
      </c>
      <c r="N174" s="709" t="str">
        <f t="array" ref="N174">INDEX(UtilityList!J$4:J$251,MATCH('Table 2.5b'!$A174&amp;'Table 2.5b'!$B174,UtilityList!$A$4:$A$251&amp;UtilityList!$C$4:$C$251,0))</f>
        <v>Bristol Bay</v>
      </c>
      <c r="O174" s="709" t="str">
        <f t="array" ref="O174">INDEX(UtilityList!K$4:K$251,MATCH('Table 2.5b'!$A174&amp;'Table 2.5b'!$B174,UtilityList!$A$4:$A$251&amp;UtilityList!$C$4:$C$251,0))</f>
        <v>Lake and Peninsula</v>
      </c>
      <c r="P174" s="709" t="str">
        <f t="array" ref="P174">INDEX(UtilityList!L$4:L$251,MATCH('Table 2.5b'!$A174&amp;'Table 2.5b'!$B174,UtilityList!$A$4:$A$251&amp;UtilityList!$C$4:$C$251,0))</f>
        <v>Cook Inlet</v>
      </c>
      <c r="Q174" s="709" t="str">
        <f t="array" ref="Q174">INDEX(UtilityList!M$4:M$251,MATCH('Table 2.5b'!$A174&amp;'Table 2.5b'!$B174,UtilityList!$A$4:$A$251&amp;UtilityList!$C$4:$C$251,0))</f>
        <v>SW</v>
      </c>
    </row>
    <row r="175" spans="1:17" s="267" customFormat="1" ht="30" x14ac:dyDescent="0.25">
      <c r="A175" s="361" t="s">
        <v>510</v>
      </c>
      <c r="B175" s="654" t="s">
        <v>327</v>
      </c>
      <c r="C175" s="655">
        <f t="array" ref="C175">IFERROR((INDEX('Table 2.5a'!$D$8:$D$192,MATCH('Table 2.5b'!A175&amp;'Table 2.5b'!B175,'Table 2.5a'!$A$8:$A$192&amp;'Table 2.5a'!$B$8:$B$192,0))/INDEX('Table 2.5a'!$E$8:$E$192,MATCH('Table 2.5b'!A175&amp;'Table 2.5b'!B175,'Table 2.5a'!$A$8:$A$192&amp;'Table 2.5a'!$B$8:$B$192,0)))*1000, "")</f>
        <v>2859.3913300630052</v>
      </c>
      <c r="D175" s="655">
        <f t="array" ref="D175">IFERROR((INDEX('Table 2.5a'!$C$8:$C$192,MATCH('Table 2.5b'!A175&amp;'Table 2.5b'!B175,'Table 2.5a'!$A$8:$A$192&amp;'Table 2.5a'!$B$8:$B$192,0))/INDEX('Table 2.5a'!$E$8:$E$192,MATCH('Table 2.5b'!A175&amp;'Table 2.5b'!B175,'Table 2.5a'!$A$8:$A$192&amp;'Table 2.5a'!$B$8:$B$192,0)))*1000, "")</f>
        <v>2040.676107482715</v>
      </c>
      <c r="E175" s="705">
        <f t="array" ref="E175">IFERROR(INDEX('Table 2.5a'!$C$8:$C$192,MATCH('Table 2.5b'!$A175&amp;'Table 2.5b'!$B175,'Table 2.5a'!$A$8:$A$192&amp;'Table 2.5a'!$B$8:$B$192,0))/INDEX('Table 2.5a'!$D$8:$D$192,MATCH('Table 2.5b'!$A175&amp;'Table 2.5b'!$B175,'Table 2.5a'!$A$8:$A$192&amp;'Table 2.5a'!$B$8:$B$192,0)),"")</f>
        <v>0.71367499999999995</v>
      </c>
      <c r="F175" s="655">
        <f t="array" ref="F175">IFERROR((INDEX('Table 2.5a'!$H$8:$H$192,MATCH('Table 2.5b'!$A175&amp;'Table 2.5b'!$B175,'Table 2.5a'!$A$8:$A$192&amp;'Table 2.5a'!$B$8:$B$192,0))/INDEX('Table 2.5a'!$I$8:$I$192,MATCH('Table 2.5b'!$A175&amp;'Table 2.5b'!$B175,'Table 2.5a'!$A$8:$A$192&amp;'Table 2.5a'!$B$8:$B$192,0)))*1000, "")</f>
        <v>11734.080697505269</v>
      </c>
      <c r="G175" s="655">
        <f t="array" ref="G175">IFERROR((INDEX('Table 2.5a'!$G$8:$G$192,MATCH('Table 2.5b'!$A175&amp;'Table 2.5b'!$B175,'Table 2.5a'!$A$8:$A$192&amp;'Table 2.5a'!$B$8:$B$192,0))/INDEX('Table 2.5a'!$I$8:$I$192,MATCH('Table 2.5b'!$A175&amp;'Table 2.5b'!$B175,'Table 2.5a'!$A$8:$A$192&amp;'Table 2.5a'!$B$8:$B$192,0)))*1000, "")</f>
        <v>8374.3200417920725</v>
      </c>
      <c r="H175" s="705">
        <f t="array" ref="H175">IFERROR(INDEX('Table 2.5a'!$G$8:$G$192,MATCH('Table 2.5b'!$A175&amp;'Table 2.5b'!$B175,'Table 2.5a'!$A$8:$A$192&amp;'Table 2.5a'!$B$8:$B$192,0))/INDEX('Table 2.5a'!$H$8:$H$192,MATCH('Table 2.5b'!$A175&amp;'Table 2.5b'!$B175,'Table 2.5a'!$A$8:$A$192&amp;'Table 2.5a'!$B$8:$B$192,0)),"")</f>
        <v>0.71367499999999995</v>
      </c>
      <c r="I175" s="655">
        <f t="array" ref="I175">IFERROR((INDEX('Table 2.5a'!$L$8:$L$192,MATCH('Table 2.5b'!$A175&amp;'Table 2.5b'!$B175,'Table 2.5a'!$A$8:$A$192&amp;'Table 2.5a'!$B$8:$B$192,0))/INDEX('Table 2.5a'!$I$8:$I$192,MATCH('Table 2.5b'!$A175&amp;'Table 2.5b'!$B175,'Table 2.5a'!$A$8:$A$192&amp;'Table 2.5a'!$B$8:$B$192,0)))*1000, "")</f>
        <v>10346.519891302343</v>
      </c>
      <c r="J175" s="655">
        <f t="array" ref="J175">IFERROR((INDEX('Table 2.5a'!$K$8:$K$192,MATCH('Table 2.5b'!$A175&amp;'Table 2.5b'!$B175,'Table 2.5a'!$A$8:$A$192&amp;'Table 2.5a'!$B$8:$B$192,0))/INDEX('Table 2.5a'!$I$8:$I$192,MATCH('Table 2.5b'!$A175&amp;'Table 2.5b'!$B175,'Table 2.5a'!$A$8:$A$192&amp;'Table 2.5a'!$B$8:$B$192,0)))*1000, "")</f>
        <v>7384.0525834252003</v>
      </c>
      <c r="K175" s="705">
        <f t="array" ref="K175">IFERROR(INDEX('Table 2.5a'!$I$8:$I$192,MATCH('Table 2.5b'!$A175&amp;'Table 2.5b'!$B175,'Table 2.5a'!$A$8:$A$192&amp;'Table 2.5a'!$B$8:$B$192,0))/INDEX('Table 2.5a'!$L$8:$L$192,MATCH('Table 2.5b'!$A175&amp;'Table 2.5b'!$B175,'Table 2.5a'!$A$8:$A$192&amp;'Table 2.5a'!$B$8:$B$192,0)),"")</f>
        <v>9.6650855602243221E-2</v>
      </c>
      <c r="L175" s="658" t="s">
        <v>356</v>
      </c>
      <c r="M175" s="709">
        <f t="array" ref="M175">INDEX(UtilityList!Q$4:Q$251,MATCH('Table 2.5b'!$A175&amp;'Table 2.5b'!$B175,UtilityList!$A$4:$A$251&amp;UtilityList!$C$4:$C$251,0))</f>
        <v>0</v>
      </c>
      <c r="N175" s="709" t="str">
        <f t="array" ref="N175">INDEX(UtilityList!J$4:J$251,MATCH('Table 2.5b'!$A175&amp;'Table 2.5b'!$B175,UtilityList!$A$4:$A$251&amp;UtilityList!$C$4:$C$251,0))</f>
        <v>Yukon-Koyukuk/Upper Tanana</v>
      </c>
      <c r="O175" s="709" t="str">
        <f t="array" ref="O175">INDEX(UtilityList!K$4:K$251,MATCH('Table 2.5b'!$A175&amp;'Table 2.5b'!$B175,UtilityList!$A$4:$A$251&amp;UtilityList!$C$4:$C$251,0))</f>
        <v>Yukon-Koyukuk (CA)</v>
      </c>
      <c r="P175" s="709" t="str">
        <f t="array" ref="P175">INDEX(UtilityList!L$4:L$251,MATCH('Table 2.5b'!$A175&amp;'Table 2.5b'!$B175,UtilityList!$A$4:$A$251&amp;UtilityList!$C$4:$C$251,0))</f>
        <v>Doyon</v>
      </c>
      <c r="Q175" s="709" t="str">
        <f t="array" ref="Q175">INDEX(UtilityList!M$4:M$251,MATCH('Table 2.5b'!$A175&amp;'Table 2.5b'!$B175,UtilityList!$A$4:$A$251&amp;UtilityList!$C$4:$C$251,0))</f>
        <v>YU</v>
      </c>
    </row>
    <row r="176" spans="1:17" s="267" customFormat="1" ht="30" x14ac:dyDescent="0.25">
      <c r="A176" s="361" t="s">
        <v>328</v>
      </c>
      <c r="B176" s="654" t="s">
        <v>329</v>
      </c>
      <c r="C176" s="655">
        <f t="array" ref="C176">IFERROR((INDEX('Table 2.5a'!$D$8:$D$192,MATCH('Table 2.5b'!A176&amp;'Table 2.5b'!B176,'Table 2.5a'!$A$8:$A$192&amp;'Table 2.5a'!$B$8:$B$192,0))/INDEX('Table 2.5a'!$E$8:$E$192,MATCH('Table 2.5b'!A176&amp;'Table 2.5b'!B176,'Table 2.5a'!$A$8:$A$192&amp;'Table 2.5a'!$B$8:$B$192,0)))*1000, "")</f>
        <v>3447.2250000000004</v>
      </c>
      <c r="D176" s="655">
        <f t="array" ref="D176">IFERROR((INDEX('Table 2.5a'!$C$8:$C$192,MATCH('Table 2.5b'!A176&amp;'Table 2.5b'!B176,'Table 2.5a'!$A$8:$A$192&amp;'Table 2.5a'!$B$8:$B$192,0))/INDEX('Table 2.5a'!$E$8:$E$192,MATCH('Table 2.5b'!A176&amp;'Table 2.5b'!B176,'Table 2.5a'!$A$8:$A$192&amp;'Table 2.5a'!$B$8:$B$192,0)))*1000, "")</f>
        <v>2154.1709025</v>
      </c>
      <c r="E176" s="705">
        <f t="array" ref="E176">IFERROR(INDEX('Table 2.5a'!$C$8:$C$192,MATCH('Table 2.5b'!$A176&amp;'Table 2.5b'!$B176,'Table 2.5a'!$A$8:$A$192&amp;'Table 2.5a'!$B$8:$B$192,0))/INDEX('Table 2.5a'!$D$8:$D$192,MATCH('Table 2.5b'!$A176&amp;'Table 2.5b'!$B176,'Table 2.5a'!$A$8:$A$192&amp;'Table 2.5a'!$B$8:$B$192,0)),"")</f>
        <v>0.62490000000000001</v>
      </c>
      <c r="F176" s="655">
        <f t="array" ref="F176">IFERROR((INDEX('Table 2.5a'!$H$8:$H$192,MATCH('Table 2.5b'!$A176&amp;'Table 2.5b'!$B176,'Table 2.5a'!$A$8:$A$192&amp;'Table 2.5a'!$B$8:$B$192,0))/INDEX('Table 2.5a'!$I$8:$I$192,MATCH('Table 2.5b'!$A176&amp;'Table 2.5b'!$B176,'Table 2.5a'!$A$8:$A$192&amp;'Table 2.5a'!$B$8:$B$192,0)))*1000, "")</f>
        <v>6074.5714285714284</v>
      </c>
      <c r="G176" s="655">
        <f t="array" ref="G176">IFERROR((INDEX('Table 2.5a'!$G$8:$G$192,MATCH('Table 2.5b'!$A176&amp;'Table 2.5b'!$B176,'Table 2.5a'!$A$8:$A$192&amp;'Table 2.5a'!$B$8:$B$192,0))/INDEX('Table 2.5a'!$I$8:$I$192,MATCH('Table 2.5b'!$A176&amp;'Table 2.5b'!$B176,'Table 2.5a'!$A$8:$A$192&amp;'Table 2.5a'!$B$8:$B$192,0)))*1000, "")</f>
        <v>3795.9996857142855</v>
      </c>
      <c r="H176" s="705">
        <f t="array" ref="H176">IFERROR(INDEX('Table 2.5a'!$G$8:$G$192,MATCH('Table 2.5b'!$A176&amp;'Table 2.5b'!$B176,'Table 2.5a'!$A$8:$A$192&amp;'Table 2.5a'!$B$8:$B$192,0))/INDEX('Table 2.5a'!$H$8:$H$192,MATCH('Table 2.5b'!$A176&amp;'Table 2.5b'!$B176,'Table 2.5a'!$A$8:$A$192&amp;'Table 2.5a'!$B$8:$B$192,0)),"")</f>
        <v>0.62490000000000001</v>
      </c>
      <c r="I176" s="655">
        <f t="array" ref="I176">IFERROR((INDEX('Table 2.5a'!$L$8:$L$192,MATCH('Table 2.5b'!$A176&amp;'Table 2.5b'!$B176,'Table 2.5a'!$A$8:$A$192&amp;'Table 2.5a'!$B$8:$B$192,0))/INDEX('Table 2.5a'!$I$8:$I$192,MATCH('Table 2.5b'!$A176&amp;'Table 2.5b'!$B176,'Table 2.5a'!$A$8:$A$192&amp;'Table 2.5a'!$B$8:$B$192,0)))*1000, "")</f>
        <v>11772</v>
      </c>
      <c r="J176" s="655">
        <f t="array" ref="J176">IFERROR((INDEX('Table 2.5a'!$K$8:$K$192,MATCH('Table 2.5b'!$A176&amp;'Table 2.5b'!$B176,'Table 2.5a'!$A$8:$A$192&amp;'Table 2.5a'!$B$8:$B$192,0))/INDEX('Table 2.5a'!$I$8:$I$192,MATCH('Table 2.5b'!$A176&amp;'Table 2.5b'!$B176,'Table 2.5a'!$A$8:$A$192&amp;'Table 2.5a'!$B$8:$B$192,0)))*1000, "")</f>
        <v>7356.3227999999999</v>
      </c>
      <c r="K176" s="705">
        <f t="array" ref="K176">IFERROR(INDEX('Table 2.5a'!$I$8:$I$192,MATCH('Table 2.5b'!$A176&amp;'Table 2.5b'!$B176,'Table 2.5a'!$A$8:$A$192&amp;'Table 2.5a'!$B$8:$B$192,0))/INDEX('Table 2.5a'!$L$8:$L$192,MATCH('Table 2.5b'!$A176&amp;'Table 2.5b'!$B176,'Table 2.5a'!$A$8:$A$192&amp;'Table 2.5a'!$B$8:$B$192,0)),"")</f>
        <v>8.4947332653754676E-2</v>
      </c>
      <c r="L176" s="658" t="s">
        <v>356</v>
      </c>
      <c r="M176" s="709">
        <f t="array" ref="M176">INDEX(UtilityList!Q$4:Q$251,MATCH('Table 2.5b'!$A176&amp;'Table 2.5b'!$B176,UtilityList!$A$4:$A$251&amp;UtilityList!$C$4:$C$251,0))</f>
        <v>0</v>
      </c>
      <c r="N176" s="709" t="str">
        <f t="array" ref="N176">INDEX(UtilityList!J$4:J$251,MATCH('Table 2.5b'!$A176&amp;'Table 2.5b'!$B176,UtilityList!$A$4:$A$251&amp;UtilityList!$C$4:$C$251,0))</f>
        <v>Copper River/Chugach</v>
      </c>
      <c r="O176" s="709" t="str">
        <f t="array" ref="O176">INDEX(UtilityList!K$4:K$251,MATCH('Table 2.5b'!$A176&amp;'Table 2.5b'!$B176,UtilityList!$A$4:$A$251&amp;UtilityList!$C$4:$C$251,0))</f>
        <v>Valdez-Cordova (CA)</v>
      </c>
      <c r="P176" s="709" t="str">
        <f t="array" ref="P176">INDEX(UtilityList!L$4:L$251,MATCH('Table 2.5b'!$A176&amp;'Table 2.5b'!$B176,UtilityList!$A$4:$A$251&amp;UtilityList!$C$4:$C$251,0))</f>
        <v>Chugach</v>
      </c>
      <c r="Q176" s="709" t="str">
        <f t="array" ref="Q176">INDEX(UtilityList!M$4:M$251,MATCH('Table 2.5b'!$A176&amp;'Table 2.5b'!$B176,UtilityList!$A$4:$A$251&amp;UtilityList!$C$4:$C$251,0))</f>
        <v>SC</v>
      </c>
    </row>
    <row r="177" spans="1:17" s="267" customFormat="1" ht="30" x14ac:dyDescent="0.25">
      <c r="A177" s="361" t="s">
        <v>1080</v>
      </c>
      <c r="B177" s="654" t="s">
        <v>330</v>
      </c>
      <c r="C177" s="655">
        <f t="array" ref="C177">IFERROR((INDEX('Table 2.5a'!$D$8:$D$192,MATCH('Table 2.5b'!A177&amp;'Table 2.5b'!B177,'Table 2.5a'!$A$8:$A$192&amp;'Table 2.5a'!$B$8:$B$192,0))/INDEX('Table 2.5a'!$E$8:$E$192,MATCH('Table 2.5b'!A177&amp;'Table 2.5b'!B177,'Table 2.5a'!$A$8:$A$192&amp;'Table 2.5a'!$B$8:$B$192,0)))*1000, "")</f>
        <v>3494.8111163447952</v>
      </c>
      <c r="D177" s="655">
        <f t="array" ref="D177">IFERROR((INDEX('Table 2.5a'!$C$8:$C$192,MATCH('Table 2.5b'!A177&amp;'Table 2.5b'!B177,'Table 2.5a'!$A$8:$A$192&amp;'Table 2.5a'!$B$8:$B$192,0))/INDEX('Table 2.5a'!$E$8:$E$192,MATCH('Table 2.5b'!A177&amp;'Table 2.5b'!B177,'Table 2.5a'!$A$8:$A$192&amp;'Table 2.5a'!$B$8:$B$192,0)))*1000, "")</f>
        <v>2836.5051840799438</v>
      </c>
      <c r="E177" s="705">
        <f t="array" ref="E177">IFERROR(INDEX('Table 2.5a'!$C$8:$C$192,MATCH('Table 2.5b'!$A177&amp;'Table 2.5b'!$B177,'Table 2.5a'!$A$8:$A$192&amp;'Table 2.5a'!$B$8:$B$192,0))/INDEX('Table 2.5a'!$D$8:$D$192,MATCH('Table 2.5b'!$A177&amp;'Table 2.5b'!$B177,'Table 2.5a'!$A$8:$A$192&amp;'Table 2.5a'!$B$8:$B$192,0)),"")</f>
        <v>0.81163333000000004</v>
      </c>
      <c r="F177" s="655">
        <f t="array" ref="F177">IFERROR((INDEX('Table 2.5a'!$H$8:$H$192,MATCH('Table 2.5b'!$A177&amp;'Table 2.5b'!$B177,'Table 2.5a'!$A$8:$A$192&amp;'Table 2.5a'!$B$8:$B$192,0))/INDEX('Table 2.5a'!$I$8:$I$192,MATCH('Table 2.5b'!$A177&amp;'Table 2.5b'!$B177,'Table 2.5a'!$A$8:$A$192&amp;'Table 2.5a'!$B$8:$B$192,0)))*1000, "")</f>
        <v>15744.154344155828</v>
      </c>
      <c r="G177" s="655">
        <f t="array" ref="G177">IFERROR((INDEX('Table 2.5a'!$G$8:$G$192,MATCH('Table 2.5b'!$A177&amp;'Table 2.5b'!$B177,'Table 2.5a'!$A$8:$A$192&amp;'Table 2.5a'!$B$8:$B$192,0))/INDEX('Table 2.5a'!$I$8:$I$192,MATCH('Table 2.5b'!$A177&amp;'Table 2.5b'!$B177,'Table 2.5a'!$A$8:$A$192&amp;'Table 2.5a'!$B$8:$B$192,0)))*1000, "")</f>
        <v>12778.480418381163</v>
      </c>
      <c r="H177" s="705">
        <f t="array" ref="H177">IFERROR(INDEX('Table 2.5a'!$G$8:$G$192,MATCH('Table 2.5b'!$A177&amp;'Table 2.5b'!$B177,'Table 2.5a'!$A$8:$A$192&amp;'Table 2.5a'!$B$8:$B$192,0))/INDEX('Table 2.5a'!$H$8:$H$192,MATCH('Table 2.5b'!$A177&amp;'Table 2.5b'!$B177,'Table 2.5a'!$A$8:$A$192&amp;'Table 2.5a'!$B$8:$B$192,0)),"")</f>
        <v>0.81163333000000004</v>
      </c>
      <c r="I177" s="655">
        <f t="array" ref="I177">IFERROR((INDEX('Table 2.5a'!$L$8:$L$192,MATCH('Table 2.5b'!$A177&amp;'Table 2.5b'!$B177,'Table 2.5a'!$A$8:$A$192&amp;'Table 2.5a'!$B$8:$B$192,0))/INDEX('Table 2.5a'!$I$8:$I$192,MATCH('Table 2.5b'!$A177&amp;'Table 2.5b'!$B177,'Table 2.5a'!$A$8:$A$192&amp;'Table 2.5a'!$B$8:$B$192,0)))*1000, "")</f>
        <v>10124.566489556386</v>
      </c>
      <c r="J177" s="655">
        <f t="array" ref="J177">IFERROR((INDEX('Table 2.5a'!$K$8:$K$192,MATCH('Table 2.5b'!$A177&amp;'Table 2.5b'!$B177,'Table 2.5a'!$A$8:$A$192&amp;'Table 2.5a'!$B$8:$B$192,0))/INDEX('Table 2.5a'!$I$8:$I$192,MATCH('Table 2.5b'!$A177&amp;'Table 2.5b'!$B177,'Table 2.5a'!$A$8:$A$192&amp;'Table 2.5a'!$B$8:$B$192,0)))*1000, "")</f>
        <v>8217.4356147250601</v>
      </c>
      <c r="K177" s="705">
        <f t="array" ref="K177">IFERROR(INDEX('Table 2.5a'!$I$8:$I$192,MATCH('Table 2.5b'!$A177&amp;'Table 2.5b'!$B177,'Table 2.5a'!$A$8:$A$192&amp;'Table 2.5a'!$B$8:$B$192,0))/INDEX('Table 2.5a'!$L$8:$L$192,MATCH('Table 2.5b'!$A177&amp;'Table 2.5b'!$B177,'Table 2.5a'!$A$8:$A$192&amp;'Table 2.5a'!$B$8:$B$192,0)),"")</f>
        <v>9.8769661005388448E-2</v>
      </c>
      <c r="L177" s="658" t="s">
        <v>356</v>
      </c>
      <c r="M177" s="709">
        <f t="array" ref="M177">INDEX(UtilityList!Q$4:Q$251,MATCH('Table 2.5b'!$A177&amp;'Table 2.5b'!$B177,UtilityList!$A$4:$A$251&amp;UtilityList!$C$4:$C$251,0))</f>
        <v>0</v>
      </c>
      <c r="N177" s="709" t="str">
        <f t="array" ref="N177">INDEX(UtilityList!J$4:J$251,MATCH('Table 2.5b'!$A177&amp;'Table 2.5b'!$B177,UtilityList!$A$4:$A$251&amp;UtilityList!$C$4:$C$251,0))</f>
        <v>Aleutians</v>
      </c>
      <c r="O177" s="709" t="str">
        <f t="array" ref="O177">INDEX(UtilityList!K$4:K$251,MATCH('Table 2.5b'!$A177&amp;'Table 2.5b'!$B177,UtilityList!$A$4:$A$251&amp;UtilityList!$C$4:$C$251,0))</f>
        <v>Aleutians West (CA)</v>
      </c>
      <c r="P177" s="709" t="str">
        <f t="array" ref="P177">INDEX(UtilityList!L$4:L$251,MATCH('Table 2.5b'!$A177&amp;'Table 2.5b'!$B177,UtilityList!$A$4:$A$251&amp;UtilityList!$C$4:$C$251,0))</f>
        <v>Aleut</v>
      </c>
      <c r="Q177" s="709" t="str">
        <f t="array" ref="Q177">INDEX(UtilityList!M$4:M$251,MATCH('Table 2.5b'!$A177&amp;'Table 2.5b'!$B177,UtilityList!$A$4:$A$251&amp;UtilityList!$C$4:$C$251,0))</f>
        <v>SW</v>
      </c>
    </row>
    <row r="178" spans="1:17" s="267" customFormat="1" x14ac:dyDescent="0.25">
      <c r="A178" s="361" t="s">
        <v>331</v>
      </c>
      <c r="B178" s="654" t="s">
        <v>332</v>
      </c>
      <c r="C178" s="655">
        <f t="array" ref="C178">IFERROR((INDEX('Table 2.5a'!$D$8:$D$192,MATCH('Table 2.5b'!A178&amp;'Table 2.5b'!B178,'Table 2.5a'!$A$8:$A$192&amp;'Table 2.5a'!$B$8:$B$192,0))/INDEX('Table 2.5a'!$E$8:$E$192,MATCH('Table 2.5b'!A178&amp;'Table 2.5b'!B178,'Table 2.5a'!$A$8:$A$192&amp;'Table 2.5a'!$B$8:$B$192,0)))*1000, "")</f>
        <v>5128.5574769074738</v>
      </c>
      <c r="D178" s="655">
        <f t="array" ref="D178">IFERROR((INDEX('Table 2.5a'!$C$8:$C$192,MATCH('Table 2.5b'!A178&amp;'Table 2.5b'!B178,'Table 2.5a'!$A$8:$A$192&amp;'Table 2.5a'!$B$8:$B$192,0))/INDEX('Table 2.5a'!$E$8:$E$192,MATCH('Table 2.5b'!A178&amp;'Table 2.5b'!B178,'Table 2.5a'!$A$8:$A$192&amp;'Table 2.5a'!$B$8:$B$192,0)))*1000, "")</f>
        <v>2995.5477013778723</v>
      </c>
      <c r="E178" s="705">
        <f t="array" ref="E178">IFERROR(INDEX('Table 2.5a'!$C$8:$C$192,MATCH('Table 2.5b'!$A178&amp;'Table 2.5b'!$B178,'Table 2.5a'!$A$8:$A$192&amp;'Table 2.5a'!$B$8:$B$192,0))/INDEX('Table 2.5a'!$D$8:$D$192,MATCH('Table 2.5b'!$A178&amp;'Table 2.5b'!$B178,'Table 2.5a'!$A$8:$A$192&amp;'Table 2.5a'!$B$8:$B$192,0)),"")</f>
        <v>0.58409166999999995</v>
      </c>
      <c r="F178" s="655">
        <f t="array" ref="F178">IFERROR((INDEX('Table 2.5a'!$H$8:$H$192,MATCH('Table 2.5b'!$A178&amp;'Table 2.5b'!$B178,'Table 2.5a'!$A$8:$A$192&amp;'Table 2.5a'!$B$8:$B$192,0))/INDEX('Table 2.5a'!$I$8:$I$192,MATCH('Table 2.5b'!$A178&amp;'Table 2.5b'!$B178,'Table 2.5a'!$A$8:$A$192&amp;'Table 2.5a'!$B$8:$B$192,0)))*1000, "")</f>
        <v>10676.673730527184</v>
      </c>
      <c r="G178" s="655">
        <f t="array" ref="G178">IFERROR((INDEX('Table 2.5a'!$G$8:$G$192,MATCH('Table 2.5b'!$A178&amp;'Table 2.5b'!$B178,'Table 2.5a'!$A$8:$A$192&amp;'Table 2.5a'!$B$8:$B$192,0))/INDEX('Table 2.5a'!$I$8:$I$192,MATCH('Table 2.5b'!$A178&amp;'Table 2.5b'!$B178,'Table 2.5a'!$A$8:$A$192&amp;'Table 2.5a'!$B$8:$B$192,0)))*1000, "")</f>
        <v>6236.156189308751</v>
      </c>
      <c r="H178" s="705">
        <f t="array" ref="H178">IFERROR(INDEX('Table 2.5a'!$G$8:$G$192,MATCH('Table 2.5b'!$A178&amp;'Table 2.5b'!$B178,'Table 2.5a'!$A$8:$A$192&amp;'Table 2.5a'!$B$8:$B$192,0))/INDEX('Table 2.5a'!$H$8:$H$192,MATCH('Table 2.5b'!$A178&amp;'Table 2.5b'!$B178,'Table 2.5a'!$A$8:$A$192&amp;'Table 2.5a'!$B$8:$B$192,0)),"")</f>
        <v>0.58409166999999995</v>
      </c>
      <c r="I178" s="655">
        <f t="array" ref="I178">IFERROR((INDEX('Table 2.5a'!$L$8:$L$192,MATCH('Table 2.5b'!$A178&amp;'Table 2.5b'!$B178,'Table 2.5a'!$A$8:$A$192&amp;'Table 2.5a'!$B$8:$B$192,0))/INDEX('Table 2.5a'!$I$8:$I$192,MATCH('Table 2.5b'!$A178&amp;'Table 2.5b'!$B178,'Table 2.5a'!$A$8:$A$192&amp;'Table 2.5a'!$B$8:$B$192,0)))*1000, "")</f>
        <v>4011.1417661425417</v>
      </c>
      <c r="J178" s="655">
        <f t="array" ref="J178">IFERROR((INDEX('Table 2.5a'!$K$8:$K$192,MATCH('Table 2.5b'!$A178&amp;'Table 2.5b'!$B178,'Table 2.5a'!$A$8:$A$192&amp;'Table 2.5a'!$B$8:$B$192,0))/INDEX('Table 2.5a'!$I$8:$I$192,MATCH('Table 2.5b'!$A178&amp;'Table 2.5b'!$B178,'Table 2.5a'!$A$8:$A$192&amp;'Table 2.5a'!$B$8:$B$192,0)))*1000, "")</f>
        <v>2342.8744927929465</v>
      </c>
      <c r="K178" s="705">
        <f t="array" ref="K178">IFERROR(INDEX('Table 2.5a'!$I$8:$I$192,MATCH('Table 2.5b'!$A178&amp;'Table 2.5b'!$B178,'Table 2.5a'!$A$8:$A$192&amp;'Table 2.5a'!$B$8:$B$192,0))/INDEX('Table 2.5a'!$L$8:$L$192,MATCH('Table 2.5b'!$A178&amp;'Table 2.5b'!$B178,'Table 2.5a'!$A$8:$A$192&amp;'Table 2.5a'!$B$8:$B$192,0)),"")</f>
        <v>0.24930557389939517</v>
      </c>
      <c r="L178" s="658" t="s">
        <v>356</v>
      </c>
      <c r="M178" s="709">
        <f t="array" ref="M178">INDEX(UtilityList!Q$4:Q$251,MATCH('Table 2.5b'!$A178&amp;'Table 2.5b'!$B178,UtilityList!$A$4:$A$251&amp;UtilityList!$C$4:$C$251,0))</f>
        <v>0</v>
      </c>
      <c r="N178" s="709" t="str">
        <f t="array" ref="N178">INDEX(UtilityList!J$4:J$251,MATCH('Table 2.5b'!$A178&amp;'Table 2.5b'!$B178,UtilityList!$A$4:$A$251&amp;UtilityList!$C$4:$C$251,0))</f>
        <v>Aleutians</v>
      </c>
      <c r="O178" s="709" t="str">
        <f t="array" ref="O178">INDEX(UtilityList!K$4:K$251,MATCH('Table 2.5b'!$A178&amp;'Table 2.5b'!$B178,UtilityList!$A$4:$A$251&amp;UtilityList!$C$4:$C$251,0))</f>
        <v>Aleutians East</v>
      </c>
      <c r="P178" s="709" t="str">
        <f t="array" ref="P178">INDEX(UtilityList!L$4:L$251,MATCH('Table 2.5b'!$A178&amp;'Table 2.5b'!$B178,UtilityList!$A$4:$A$251&amp;UtilityList!$C$4:$C$251,0))</f>
        <v>Aleut</v>
      </c>
      <c r="Q178" s="709" t="str">
        <f t="array" ref="Q178">INDEX(UtilityList!M$4:M$251,MATCH('Table 2.5b'!$A178&amp;'Table 2.5b'!$B178,UtilityList!$A$4:$A$251&amp;UtilityList!$C$4:$C$251,0))</f>
        <v>SW</v>
      </c>
    </row>
    <row r="179" spans="1:17" s="267" customFormat="1" ht="30" x14ac:dyDescent="0.25">
      <c r="A179" s="361" t="s">
        <v>333</v>
      </c>
      <c r="B179" s="654" t="s">
        <v>334</v>
      </c>
      <c r="C179" s="655">
        <f t="array" ref="C179">IFERROR((INDEX('Table 2.5a'!$D$8:$D$192,MATCH('Table 2.5b'!A179&amp;'Table 2.5b'!B179,'Table 2.5a'!$A$8:$A$192&amp;'Table 2.5a'!$B$8:$B$192,0))/INDEX('Table 2.5a'!$E$8:$E$192,MATCH('Table 2.5b'!A179&amp;'Table 2.5b'!B179,'Table 2.5a'!$A$8:$A$192&amp;'Table 2.5a'!$B$8:$B$192,0)))*1000, "")</f>
        <v>1914.6931910564163</v>
      </c>
      <c r="D179" s="655">
        <f t="array" ref="D179">IFERROR((INDEX('Table 2.5a'!$C$8:$C$192,MATCH('Table 2.5b'!A179&amp;'Table 2.5b'!B179,'Table 2.5a'!$A$8:$A$192&amp;'Table 2.5a'!$B$8:$B$192,0))/INDEX('Table 2.5a'!$E$8:$E$192,MATCH('Table 2.5b'!A179&amp;'Table 2.5b'!B179,'Table 2.5a'!$A$8:$A$192&amp;'Table 2.5a'!$B$8:$B$192,0)))*1000, "")</f>
        <v>1290.0085880799788</v>
      </c>
      <c r="E179" s="705">
        <f t="array" ref="E179">IFERROR(INDEX('Table 2.5a'!$C$8:$C$192,MATCH('Table 2.5b'!$A179&amp;'Table 2.5b'!$B179,'Table 2.5a'!$A$8:$A$192&amp;'Table 2.5a'!$B$8:$B$192,0))/INDEX('Table 2.5a'!$D$8:$D$192,MATCH('Table 2.5b'!$A179&amp;'Table 2.5b'!$B179,'Table 2.5a'!$A$8:$A$192&amp;'Table 2.5a'!$B$8:$B$192,0)),"")</f>
        <v>0.67374166999999996</v>
      </c>
      <c r="F179" s="655">
        <f t="array" ref="F179">IFERROR((INDEX('Table 2.5a'!$H$8:$H$192,MATCH('Table 2.5b'!$A179&amp;'Table 2.5b'!$B179,'Table 2.5a'!$A$8:$A$192&amp;'Table 2.5a'!$B$8:$B$192,0))/INDEX('Table 2.5a'!$I$8:$I$192,MATCH('Table 2.5b'!$A179&amp;'Table 2.5b'!$B179,'Table 2.5a'!$A$8:$A$192&amp;'Table 2.5a'!$B$8:$B$192,0)))*1000, "")</f>
        <v>10998.620110650189</v>
      </c>
      <c r="G179" s="655">
        <f t="array" ref="G179">IFERROR((INDEX('Table 2.5a'!$G$8:$G$192,MATCH('Table 2.5b'!$A179&amp;'Table 2.5b'!$B179,'Table 2.5a'!$A$8:$A$192&amp;'Table 2.5a'!$B$8:$B$192,0))/INDEX('Table 2.5a'!$I$8:$I$192,MATCH('Table 2.5b'!$A179&amp;'Table 2.5b'!$B179,'Table 2.5a'!$A$8:$A$192&amp;'Table 2.5a'!$B$8:$B$192,0)))*1000, "")</f>
        <v>7410.2286810450423</v>
      </c>
      <c r="H179" s="705">
        <f t="array" ref="H179">IFERROR(INDEX('Table 2.5a'!$G$8:$G$192,MATCH('Table 2.5b'!$A179&amp;'Table 2.5b'!$B179,'Table 2.5a'!$A$8:$A$192&amp;'Table 2.5a'!$B$8:$B$192,0))/INDEX('Table 2.5a'!$H$8:$H$192,MATCH('Table 2.5b'!$A179&amp;'Table 2.5b'!$B179,'Table 2.5a'!$A$8:$A$192&amp;'Table 2.5a'!$B$8:$B$192,0)),"")</f>
        <v>0.67374166999999996</v>
      </c>
      <c r="I179" s="655">
        <f t="array" ref="I179">IFERROR((INDEX('Table 2.5a'!$L$8:$L$192,MATCH('Table 2.5b'!$A179&amp;'Table 2.5b'!$B179,'Table 2.5a'!$A$8:$A$192&amp;'Table 2.5a'!$B$8:$B$192,0))/INDEX('Table 2.5a'!$I$8:$I$192,MATCH('Table 2.5b'!$A179&amp;'Table 2.5b'!$B179,'Table 2.5a'!$A$8:$A$192&amp;'Table 2.5a'!$B$8:$B$192,0)))*1000, "")</f>
        <v>1155.9631378584186</v>
      </c>
      <c r="J179" s="655">
        <f t="array" ref="J179">IFERROR((INDEX('Table 2.5a'!$K$8:$K$192,MATCH('Table 2.5b'!$A179&amp;'Table 2.5b'!$B179,'Table 2.5a'!$A$8:$A$192&amp;'Table 2.5a'!$B$8:$B$192,0))/INDEX('Table 2.5a'!$I$8:$I$192,MATCH('Table 2.5b'!$A179&amp;'Table 2.5b'!$B179,'Table 2.5a'!$A$8:$A$192&amp;'Table 2.5a'!$B$8:$B$192,0)))*1000, "")</f>
        <v>778.82053495917103</v>
      </c>
      <c r="K179" s="705">
        <f t="array" ref="K179">IFERROR(INDEX('Table 2.5a'!$I$8:$I$192,MATCH('Table 2.5b'!$A179&amp;'Table 2.5b'!$B179,'Table 2.5a'!$A$8:$A$192&amp;'Table 2.5a'!$B$8:$B$192,0))/INDEX('Table 2.5a'!$L$8:$L$192,MATCH('Table 2.5b'!$A179&amp;'Table 2.5b'!$B179,'Table 2.5a'!$A$8:$A$192&amp;'Table 2.5a'!$B$8:$B$192,0)),"")</f>
        <v>0.86507948847974359</v>
      </c>
      <c r="L179" s="658" t="s">
        <v>356</v>
      </c>
      <c r="M179" s="709">
        <f t="array" ref="M179">INDEX(UtilityList!Q$4:Q$251,MATCH('Table 2.5b'!$A179&amp;'Table 2.5b'!$B179,UtilityList!$A$4:$A$251&amp;UtilityList!$C$4:$C$251,0))</f>
        <v>0</v>
      </c>
      <c r="N179" s="709" t="str">
        <f t="array" ref="N179">INDEX(UtilityList!J$4:J$251,MATCH('Table 2.5b'!$A179&amp;'Table 2.5b'!$B179,UtilityList!$A$4:$A$251&amp;UtilityList!$C$4:$C$251,0))</f>
        <v>Yukon-Koyukuk/Upper Tanana</v>
      </c>
      <c r="O179" s="709" t="str">
        <f t="array" ref="O179">INDEX(UtilityList!K$4:K$251,MATCH('Table 2.5b'!$A179&amp;'Table 2.5b'!$B179,UtilityList!$A$4:$A$251&amp;UtilityList!$C$4:$C$251,0))</f>
        <v>Yukon-Koyukuk (CA)</v>
      </c>
      <c r="P179" s="709" t="str">
        <f t="array" ref="P179">INDEX(UtilityList!L$4:L$251,MATCH('Table 2.5b'!$A179&amp;'Table 2.5b'!$B179,UtilityList!$A$4:$A$251&amp;UtilityList!$C$4:$C$251,0))</f>
        <v>Doyon</v>
      </c>
      <c r="Q179" s="709" t="str">
        <f t="array" ref="Q179">INDEX(UtilityList!M$4:M$251,MATCH('Table 2.5b'!$A179&amp;'Table 2.5b'!$B179,UtilityList!$A$4:$A$251&amp;UtilityList!$C$4:$C$251,0))</f>
        <v>YU</v>
      </c>
    </row>
    <row r="180" spans="1:17" s="267" customFormat="1" ht="30" x14ac:dyDescent="0.25">
      <c r="A180" s="361" t="s">
        <v>335</v>
      </c>
      <c r="B180" s="654" t="s">
        <v>336</v>
      </c>
      <c r="C180" s="655">
        <f t="array" ref="C180">IFERROR((INDEX('Table 2.5a'!$D$8:$D$192,MATCH('Table 2.5b'!A180&amp;'Table 2.5b'!B180,'Table 2.5a'!$A$8:$A$192&amp;'Table 2.5a'!$B$8:$B$192,0))/INDEX('Table 2.5a'!$E$8:$E$192,MATCH('Table 2.5b'!A180&amp;'Table 2.5b'!B180,'Table 2.5a'!$A$8:$A$192&amp;'Table 2.5a'!$B$8:$B$192,0)))*1000, "")</f>
        <v>1946.6747967479673</v>
      </c>
      <c r="D180" s="655">
        <f t="array" ref="D180">IFERROR((INDEX('Table 2.5a'!$C$8:$C$192,MATCH('Table 2.5b'!A180&amp;'Table 2.5b'!B180,'Table 2.5a'!$A$8:$A$192&amp;'Table 2.5a'!$B$8:$B$192,0))/INDEX('Table 2.5a'!$E$8:$E$192,MATCH('Table 2.5b'!A180&amp;'Table 2.5b'!B180,'Table 2.5a'!$A$8:$A$192&amp;'Table 2.5a'!$B$8:$B$192,0)))*1000, "")</f>
        <v>1339.9611452726015</v>
      </c>
      <c r="E180" s="705">
        <f t="array" ref="E180">IFERROR(INDEX('Table 2.5a'!$C$8:$C$192,MATCH('Table 2.5b'!$A180&amp;'Table 2.5b'!$B180,'Table 2.5a'!$A$8:$A$192&amp;'Table 2.5a'!$B$8:$B$192,0))/INDEX('Table 2.5a'!$D$8:$D$192,MATCH('Table 2.5b'!$A180&amp;'Table 2.5b'!$B180,'Table 2.5a'!$A$8:$A$192&amp;'Table 2.5a'!$B$8:$B$192,0)),"")</f>
        <v>0.68833332999999997</v>
      </c>
      <c r="F180" s="655">
        <f t="array" ref="F180">IFERROR((INDEX('Table 2.5a'!$H$8:$H$192,MATCH('Table 2.5b'!$A180&amp;'Table 2.5b'!$B180,'Table 2.5a'!$A$8:$A$192&amp;'Table 2.5a'!$B$8:$B$192,0))/INDEX('Table 2.5a'!$I$8:$I$192,MATCH('Table 2.5b'!$A180&amp;'Table 2.5b'!$B180,'Table 2.5a'!$A$8:$A$192&amp;'Table 2.5a'!$B$8:$B$192,0)))*1000, "")</f>
        <v>3914.3436276767616</v>
      </c>
      <c r="G180" s="655">
        <f t="array" ref="G180">IFERROR((INDEX('Table 2.5a'!$G$8:$G$192,MATCH('Table 2.5b'!$A180&amp;'Table 2.5b'!$B180,'Table 2.5a'!$A$8:$A$192&amp;'Table 2.5a'!$B$8:$B$192,0))/INDEX('Table 2.5a'!$I$8:$I$192,MATCH('Table 2.5b'!$A180&amp;'Table 2.5b'!$B180,'Table 2.5a'!$A$8:$A$192&amp;'Table 2.5a'!$B$8:$B$192,0)))*1000, "")</f>
        <v>2694.3731840030255</v>
      </c>
      <c r="H180" s="705">
        <f t="array" ref="H180">IFERROR(INDEX('Table 2.5a'!$G$8:$G$192,MATCH('Table 2.5b'!$A180&amp;'Table 2.5b'!$B180,'Table 2.5a'!$A$8:$A$192&amp;'Table 2.5a'!$B$8:$B$192,0))/INDEX('Table 2.5a'!$H$8:$H$192,MATCH('Table 2.5b'!$A180&amp;'Table 2.5b'!$B180,'Table 2.5a'!$A$8:$A$192&amp;'Table 2.5a'!$B$8:$B$192,0)),"")</f>
        <v>0.68833332999999997</v>
      </c>
      <c r="I180" s="655">
        <f t="array" ref="I180">IFERROR((INDEX('Table 2.5a'!$L$8:$L$192,MATCH('Table 2.5b'!$A180&amp;'Table 2.5b'!$B180,'Table 2.5a'!$A$8:$A$192&amp;'Table 2.5a'!$B$8:$B$192,0))/INDEX('Table 2.5a'!$I$8:$I$192,MATCH('Table 2.5b'!$A180&amp;'Table 2.5b'!$B180,'Table 2.5a'!$A$8:$A$192&amp;'Table 2.5a'!$B$8:$B$192,0)))*1000, "")</f>
        <v>1727.7655710073259</v>
      </c>
      <c r="J180" s="655">
        <f t="array" ref="J180">IFERROR((INDEX('Table 2.5a'!$K$8:$K$192,MATCH('Table 2.5b'!$A180&amp;'Table 2.5b'!$B180,'Table 2.5a'!$A$8:$A$192&amp;'Table 2.5a'!$B$8:$B$192,0))/INDEX('Table 2.5a'!$I$8:$I$192,MATCH('Table 2.5b'!$A180&amp;'Table 2.5b'!$B180,'Table 2.5a'!$A$8:$A$192&amp;'Table 2.5a'!$B$8:$B$192,0)))*1000, "")</f>
        <v>1189.278628950824</v>
      </c>
      <c r="K180" s="705">
        <f t="array" ref="K180">IFERROR(INDEX('Table 2.5a'!$I$8:$I$192,MATCH('Table 2.5b'!$A180&amp;'Table 2.5b'!$B180,'Table 2.5a'!$A$8:$A$192&amp;'Table 2.5a'!$B$8:$B$192,0))/INDEX('Table 2.5a'!$L$8:$L$192,MATCH('Table 2.5b'!$A180&amp;'Table 2.5b'!$B180,'Table 2.5a'!$A$8:$A$192&amp;'Table 2.5a'!$B$8:$B$192,0)),"")</f>
        <v>0.57878222415149627</v>
      </c>
      <c r="L180" s="658" t="s">
        <v>356</v>
      </c>
      <c r="M180" s="709">
        <f t="array" ref="M180">INDEX(UtilityList!Q$4:Q$251,MATCH('Table 2.5b'!$A180&amp;'Table 2.5b'!$B180,UtilityList!$A$4:$A$251&amp;UtilityList!$C$4:$C$251,0))</f>
        <v>0</v>
      </c>
      <c r="N180" s="709" t="str">
        <f t="array" ref="N180">INDEX(UtilityList!J$4:J$251,MATCH('Table 2.5b'!$A180&amp;'Table 2.5b'!$B180,UtilityList!$A$4:$A$251&amp;UtilityList!$C$4:$C$251,0))</f>
        <v>Southeast</v>
      </c>
      <c r="O180" s="709" t="str">
        <f t="array" ref="O180">INDEX(UtilityList!K$4:K$251,MATCH('Table 2.5b'!$A180&amp;'Table 2.5b'!$B180,UtilityList!$A$4:$A$251&amp;UtilityList!$C$4:$C$251,0))</f>
        <v>Hoonah-Angoon (CA)</v>
      </c>
      <c r="P180" s="709" t="str">
        <f t="array" ref="P180">INDEX(UtilityList!L$4:L$251,MATCH('Table 2.5b'!$A180&amp;'Table 2.5b'!$B180,UtilityList!$A$4:$A$251&amp;UtilityList!$C$4:$C$251,0))</f>
        <v>Sealaska</v>
      </c>
      <c r="Q180" s="709" t="str">
        <f t="array" ref="Q180">INDEX(UtilityList!M$4:M$251,MATCH('Table 2.5b'!$A180&amp;'Table 2.5b'!$B180,UtilityList!$A$4:$A$251&amp;UtilityList!$C$4:$C$251,0))</f>
        <v>SE</v>
      </c>
    </row>
    <row r="181" spans="1:17" s="267" customFormat="1" x14ac:dyDescent="0.25">
      <c r="A181" s="361" t="s">
        <v>337</v>
      </c>
      <c r="B181" s="654" t="s">
        <v>338</v>
      </c>
      <c r="C181" s="655">
        <f t="array" ref="C181">IFERROR((INDEX('Table 2.5a'!$D$8:$D$192,MATCH('Table 2.5b'!A181&amp;'Table 2.5b'!B181,'Table 2.5a'!$A$8:$A$192&amp;'Table 2.5a'!$B$8:$B$192,0))/INDEX('Table 2.5a'!$E$8:$E$192,MATCH('Table 2.5b'!A181&amp;'Table 2.5b'!B181,'Table 2.5a'!$A$8:$A$192&amp;'Table 2.5a'!$B$8:$B$192,0)))*1000, "")</f>
        <v>3149.9644970414201</v>
      </c>
      <c r="D181" s="655">
        <f t="array" ref="D181">IFERROR((INDEX('Table 2.5a'!$C$8:$C$192,MATCH('Table 2.5b'!A181&amp;'Table 2.5b'!B181,'Table 2.5a'!$A$8:$A$192&amp;'Table 2.5a'!$B$8:$B$192,0))/INDEX('Table 2.5a'!$E$8:$E$192,MATCH('Table 2.5b'!A181&amp;'Table 2.5b'!B181,'Table 2.5a'!$A$8:$A$192&amp;'Table 2.5a'!$B$8:$B$192,0)))*1000, "")</f>
        <v>1889.978698224852</v>
      </c>
      <c r="E181" s="705">
        <f t="array" ref="E181">IFERROR(INDEX('Table 2.5a'!$C$8:$C$192,MATCH('Table 2.5b'!$A181&amp;'Table 2.5b'!$B181,'Table 2.5a'!$A$8:$A$192&amp;'Table 2.5a'!$B$8:$B$192,0))/INDEX('Table 2.5a'!$D$8:$D$192,MATCH('Table 2.5b'!$A181&amp;'Table 2.5b'!$B181,'Table 2.5a'!$A$8:$A$192&amp;'Table 2.5a'!$B$8:$B$192,0)),"")</f>
        <v>0.6</v>
      </c>
      <c r="F181" s="655">
        <f t="array" ref="F181">IFERROR((INDEX('Table 2.5a'!$H$8:$H$192,MATCH('Table 2.5b'!$A181&amp;'Table 2.5b'!$B181,'Table 2.5a'!$A$8:$A$192&amp;'Table 2.5a'!$B$8:$B$192,0))/INDEX('Table 2.5a'!$I$8:$I$192,MATCH('Table 2.5b'!$A181&amp;'Table 2.5b'!$B181,'Table 2.5a'!$A$8:$A$192&amp;'Table 2.5a'!$B$8:$B$192,0)))*1000, "")</f>
        <v>16167.661565005477</v>
      </c>
      <c r="G181" s="655">
        <f t="array" ref="G181">IFERROR((INDEX('Table 2.5a'!$G$8:$G$192,MATCH('Table 2.5b'!$A181&amp;'Table 2.5b'!$B181,'Table 2.5a'!$A$8:$A$192&amp;'Table 2.5a'!$B$8:$B$192,0))/INDEX('Table 2.5a'!$I$8:$I$192,MATCH('Table 2.5b'!$A181&amp;'Table 2.5b'!$B181,'Table 2.5a'!$A$8:$A$192&amp;'Table 2.5a'!$B$8:$B$192,0)))*1000, "")</f>
        <v>9700.596939003286</v>
      </c>
      <c r="H181" s="705">
        <f t="array" ref="H181">IFERROR(INDEX('Table 2.5a'!$G$8:$G$192,MATCH('Table 2.5b'!$A181&amp;'Table 2.5b'!$B181,'Table 2.5a'!$A$8:$A$192&amp;'Table 2.5a'!$B$8:$B$192,0))/INDEX('Table 2.5a'!$H$8:$H$192,MATCH('Table 2.5b'!$A181&amp;'Table 2.5b'!$B181,'Table 2.5a'!$A$8:$A$192&amp;'Table 2.5a'!$B$8:$B$192,0)),"")</f>
        <v>0.6</v>
      </c>
      <c r="I181" s="655">
        <f t="array" ref="I181">IFERROR((INDEX('Table 2.5a'!$L$8:$L$192,MATCH('Table 2.5b'!$A181&amp;'Table 2.5b'!$B181,'Table 2.5a'!$A$8:$A$192&amp;'Table 2.5a'!$B$8:$B$192,0))/INDEX('Table 2.5a'!$I$8:$I$192,MATCH('Table 2.5b'!$A181&amp;'Table 2.5b'!$B181,'Table 2.5a'!$A$8:$A$192&amp;'Table 2.5a'!$B$8:$B$192,0)))*1000, "")</f>
        <v>7265.1866869554815</v>
      </c>
      <c r="J181" s="655">
        <f t="array" ref="J181">IFERROR((INDEX('Table 2.5a'!$K$8:$K$192,MATCH('Table 2.5b'!$A181&amp;'Table 2.5b'!$B181,'Table 2.5a'!$A$8:$A$192&amp;'Table 2.5a'!$B$8:$B$192,0))/INDEX('Table 2.5a'!$I$8:$I$192,MATCH('Table 2.5b'!$A181&amp;'Table 2.5b'!$B181,'Table 2.5a'!$A$8:$A$192&amp;'Table 2.5a'!$B$8:$B$192,0)))*1000, "")</f>
        <v>4359.1120121732883</v>
      </c>
      <c r="K181" s="705">
        <f t="array" ref="K181">IFERROR(INDEX('Table 2.5a'!$I$8:$I$192,MATCH('Table 2.5b'!$A181&amp;'Table 2.5b'!$B181,'Table 2.5a'!$A$8:$A$192&amp;'Table 2.5a'!$B$8:$B$192,0))/INDEX('Table 2.5a'!$L$8:$L$192,MATCH('Table 2.5b'!$A181&amp;'Table 2.5b'!$B181,'Table 2.5a'!$A$8:$A$192&amp;'Table 2.5a'!$B$8:$B$192,0)),"")</f>
        <v>0.13764271216808274</v>
      </c>
      <c r="L181" s="658" t="s">
        <v>356</v>
      </c>
      <c r="M181" s="709">
        <f t="array" ref="M181">INDEX(UtilityList!Q$4:Q$251,MATCH('Table 2.5b'!$A181&amp;'Table 2.5b'!$B181,UtilityList!$A$4:$A$251&amp;UtilityList!$C$4:$C$251,0))</f>
        <v>0</v>
      </c>
      <c r="N181" s="709" t="str">
        <f t="array" ref="N181">INDEX(UtilityList!J$4:J$251,MATCH('Table 2.5b'!$A181&amp;'Table 2.5b'!$B181,UtilityList!$A$4:$A$251&amp;UtilityList!$C$4:$C$251,0))</f>
        <v>Lower Yukon-Kuskokwim</v>
      </c>
      <c r="O181" s="709" t="str">
        <f t="array" ref="O181">INDEX(UtilityList!K$4:K$251,MATCH('Table 2.5b'!$A181&amp;'Table 2.5b'!$B181,UtilityList!$A$4:$A$251&amp;UtilityList!$C$4:$C$251,0))</f>
        <v>Bethel (CA)</v>
      </c>
      <c r="P181" s="709" t="str">
        <f t="array" ref="P181">INDEX(UtilityList!L$4:L$251,MATCH('Table 2.5b'!$A181&amp;'Table 2.5b'!$B181,UtilityList!$A$4:$A$251&amp;UtilityList!$C$4:$C$251,0))</f>
        <v>Calista</v>
      </c>
      <c r="Q181" s="709" t="str">
        <f t="array" ref="Q181">INDEX(UtilityList!M$4:M$251,MATCH('Table 2.5b'!$A181&amp;'Table 2.5b'!$B181,UtilityList!$A$4:$A$251&amp;UtilityList!$C$4:$C$251,0))</f>
        <v>SW</v>
      </c>
    </row>
    <row r="182" spans="1:17" s="267" customFormat="1" ht="30" x14ac:dyDescent="0.25">
      <c r="A182" s="361" t="s">
        <v>339</v>
      </c>
      <c r="B182" s="654" t="s">
        <v>340</v>
      </c>
      <c r="C182" s="655">
        <f t="array" ref="C182">IFERROR((INDEX('Table 2.5a'!$D$8:$D$192,MATCH('Table 2.5b'!A182&amp;'Table 2.5b'!B182,'Table 2.5a'!$A$8:$A$192&amp;'Table 2.5a'!$B$8:$B$192,0))/INDEX('Table 2.5a'!$E$8:$E$192,MATCH('Table 2.5b'!A182&amp;'Table 2.5b'!B182,'Table 2.5a'!$A$8:$A$192&amp;'Table 2.5a'!$B$8:$B$192,0)))*1000, "")</f>
        <v>4495.6104241496505</v>
      </c>
      <c r="D182" s="655">
        <f t="array" ref="D182">IFERROR((INDEX('Table 2.5a'!$C$8:$C$192,MATCH('Table 2.5b'!A182&amp;'Table 2.5b'!B182,'Table 2.5a'!$A$8:$A$192&amp;'Table 2.5a'!$B$8:$B$192,0))/INDEX('Table 2.5a'!$E$8:$E$192,MATCH('Table 2.5b'!A182&amp;'Table 2.5b'!B182,'Table 2.5a'!$A$8:$A$192&amp;'Table 2.5a'!$B$8:$B$192,0)))*1000, "")</f>
        <v>2922.1467756972734</v>
      </c>
      <c r="E182" s="705">
        <f t="array" ref="E182">IFERROR(INDEX('Table 2.5a'!$C$8:$C$192,MATCH('Table 2.5b'!$A182&amp;'Table 2.5b'!$B182,'Table 2.5a'!$A$8:$A$192&amp;'Table 2.5a'!$B$8:$B$192,0))/INDEX('Table 2.5a'!$D$8:$D$192,MATCH('Table 2.5b'!$A182&amp;'Table 2.5b'!$B182,'Table 2.5a'!$A$8:$A$192&amp;'Table 2.5a'!$B$8:$B$192,0)),"")</f>
        <v>0.65</v>
      </c>
      <c r="F182" s="655">
        <f t="array" ref="F182">IFERROR((INDEX('Table 2.5a'!$H$8:$H$192,MATCH('Table 2.5b'!$A182&amp;'Table 2.5b'!$B182,'Table 2.5a'!$A$8:$A$192&amp;'Table 2.5a'!$B$8:$B$192,0))/INDEX('Table 2.5a'!$I$8:$I$192,MATCH('Table 2.5b'!$A182&amp;'Table 2.5b'!$B182,'Table 2.5a'!$A$8:$A$192&amp;'Table 2.5a'!$B$8:$B$192,0)))*1000, "")</f>
        <v>16022.784313725491</v>
      </c>
      <c r="G182" s="655">
        <f t="array" ref="G182">IFERROR((INDEX('Table 2.5a'!$G$8:$G$192,MATCH('Table 2.5b'!$A182&amp;'Table 2.5b'!$B182,'Table 2.5a'!$A$8:$A$192&amp;'Table 2.5a'!$B$8:$B$192,0))/INDEX('Table 2.5a'!$I$8:$I$192,MATCH('Table 2.5b'!$A182&amp;'Table 2.5b'!$B182,'Table 2.5a'!$A$8:$A$192&amp;'Table 2.5a'!$B$8:$B$192,0)))*1000, "")</f>
        <v>10414.809803921569</v>
      </c>
      <c r="H182" s="705">
        <f t="array" ref="H182">IFERROR(INDEX('Table 2.5a'!$G$8:$G$192,MATCH('Table 2.5b'!$A182&amp;'Table 2.5b'!$B182,'Table 2.5a'!$A$8:$A$192&amp;'Table 2.5a'!$B$8:$B$192,0))/INDEX('Table 2.5a'!$H$8:$H$192,MATCH('Table 2.5b'!$A182&amp;'Table 2.5b'!$B182,'Table 2.5a'!$A$8:$A$192&amp;'Table 2.5a'!$B$8:$B$192,0)),"")</f>
        <v>0.65</v>
      </c>
      <c r="I182" s="655">
        <f t="array" ref="I182">IFERROR((INDEX('Table 2.5a'!$L$8:$L$192,MATCH('Table 2.5b'!$A182&amp;'Table 2.5b'!$B182,'Table 2.5a'!$A$8:$A$192&amp;'Table 2.5a'!$B$8:$B$192,0))/INDEX('Table 2.5a'!$I$8:$I$192,MATCH('Table 2.5b'!$A182&amp;'Table 2.5b'!$B182,'Table 2.5a'!$A$8:$A$192&amp;'Table 2.5a'!$B$8:$B$192,0)))*1000, "")</f>
        <v>2843.7254901960787</v>
      </c>
      <c r="J182" s="655">
        <f t="array" ref="J182">IFERROR((INDEX('Table 2.5a'!$K$8:$K$192,MATCH('Table 2.5b'!$A182&amp;'Table 2.5b'!$B182,'Table 2.5a'!$A$8:$A$192&amp;'Table 2.5a'!$B$8:$B$192,0))/INDEX('Table 2.5a'!$I$8:$I$192,MATCH('Table 2.5b'!$A182&amp;'Table 2.5b'!$B182,'Table 2.5a'!$A$8:$A$192&amp;'Table 2.5a'!$B$8:$B$192,0)))*1000, "")</f>
        <v>1848.4215686274513</v>
      </c>
      <c r="K182" s="705">
        <f t="array" ref="K182">IFERROR(INDEX('Table 2.5a'!$I$8:$I$192,MATCH('Table 2.5b'!$A182&amp;'Table 2.5b'!$B182,'Table 2.5a'!$A$8:$A$192&amp;'Table 2.5a'!$B$8:$B$192,0))/INDEX('Table 2.5a'!$L$8:$L$192,MATCH('Table 2.5b'!$A182&amp;'Table 2.5b'!$B182,'Table 2.5a'!$A$8:$A$192&amp;'Table 2.5a'!$B$8:$B$192,0)),"")</f>
        <v>0.35165138247259187</v>
      </c>
      <c r="L182" s="658" t="s">
        <v>356</v>
      </c>
      <c r="M182" s="709">
        <f t="array" ref="M182">INDEX(UtilityList!Q$4:Q$251,MATCH('Table 2.5b'!$A182&amp;'Table 2.5b'!$B182,UtilityList!$A$4:$A$251&amp;UtilityList!$C$4:$C$251,0))</f>
        <v>0</v>
      </c>
      <c r="N182" s="709" t="str">
        <f t="array" ref="N182">INDEX(UtilityList!J$4:J$251,MATCH('Table 2.5b'!$A182&amp;'Table 2.5b'!$B182,UtilityList!$A$4:$A$251&amp;UtilityList!$C$4:$C$251,0))</f>
        <v>Lower Yukon-Kuskokwim</v>
      </c>
      <c r="O182" s="709" t="str">
        <f t="array" ref="O182">INDEX(UtilityList!K$4:K$251,MATCH('Table 2.5b'!$A182&amp;'Table 2.5b'!$B182,UtilityList!$A$4:$A$251&amp;UtilityList!$C$4:$C$251,0))</f>
        <v>Bethel (CA)</v>
      </c>
      <c r="P182" s="709" t="str">
        <f t="array" ref="P182">INDEX(UtilityList!L$4:L$251,MATCH('Table 2.5b'!$A182&amp;'Table 2.5b'!$B182,UtilityList!$A$4:$A$251&amp;UtilityList!$C$4:$C$251,0))</f>
        <v>Calista</v>
      </c>
      <c r="Q182" s="709" t="str">
        <f t="array" ref="Q182">INDEX(UtilityList!M$4:M$251,MATCH('Table 2.5b'!$A182&amp;'Table 2.5b'!$B182,UtilityList!$A$4:$A$251&amp;UtilityList!$C$4:$C$251,0))</f>
        <v>SW</v>
      </c>
    </row>
    <row r="183" spans="1:17" s="267" customFormat="1" ht="30" x14ac:dyDescent="0.25">
      <c r="A183" s="361" t="s">
        <v>341</v>
      </c>
      <c r="B183" s="654" t="s">
        <v>342</v>
      </c>
      <c r="C183" s="655">
        <f t="array" ref="C183">IFERROR((INDEX('Table 2.5a'!$D$8:$D$192,MATCH('Table 2.5b'!A183&amp;'Table 2.5b'!B183,'Table 2.5a'!$A$8:$A$192&amp;'Table 2.5a'!$B$8:$B$192,0))/INDEX('Table 2.5a'!$E$8:$E$192,MATCH('Table 2.5b'!A183&amp;'Table 2.5b'!B183,'Table 2.5a'!$A$8:$A$192&amp;'Table 2.5a'!$B$8:$B$192,0)))*1000, "")</f>
        <v>3657.2334453357257</v>
      </c>
      <c r="D183" s="655">
        <f t="array" ref="D183">IFERROR((INDEX('Table 2.5a'!$C$8:$C$192,MATCH('Table 2.5b'!A183&amp;'Table 2.5b'!B183,'Table 2.5a'!$A$8:$A$192&amp;'Table 2.5a'!$B$8:$B$192,0))/INDEX('Table 2.5a'!$E$8:$E$192,MATCH('Table 2.5b'!A183&amp;'Table 2.5b'!B183,'Table 2.5a'!$A$8:$A$192&amp;'Table 2.5a'!$B$8:$B$192,0)))*1000, "")</f>
        <v>2028.575961291594</v>
      </c>
      <c r="E183" s="705">
        <f t="array" ref="E183">IFERROR(INDEX('Table 2.5a'!$C$8:$C$192,MATCH('Table 2.5b'!$A183&amp;'Table 2.5b'!$B183,'Table 2.5a'!$A$8:$A$192&amp;'Table 2.5a'!$B$8:$B$192,0))/INDEX('Table 2.5a'!$D$8:$D$192,MATCH('Table 2.5b'!$A183&amp;'Table 2.5b'!$B183,'Table 2.5a'!$A$8:$A$192&amp;'Table 2.5a'!$B$8:$B$192,0)),"")</f>
        <v>0.55467500000000003</v>
      </c>
      <c r="F183" s="655">
        <f t="array" ref="F183">IFERROR((INDEX('Table 2.5a'!$H$8:$H$192,MATCH('Table 2.5b'!$A183&amp;'Table 2.5b'!$B183,'Table 2.5a'!$A$8:$A$192&amp;'Table 2.5a'!$B$8:$B$192,0))/INDEX('Table 2.5a'!$I$8:$I$192,MATCH('Table 2.5b'!$A183&amp;'Table 2.5b'!$B183,'Table 2.5a'!$A$8:$A$192&amp;'Table 2.5a'!$B$8:$B$192,0)))*1000, "")</f>
        <v>11806.25</v>
      </c>
      <c r="G183" s="655">
        <f t="array" ref="G183">IFERROR((INDEX('Table 2.5a'!$G$8:$G$192,MATCH('Table 2.5b'!$A183&amp;'Table 2.5b'!$B183,'Table 2.5a'!$A$8:$A$192&amp;'Table 2.5a'!$B$8:$B$192,0))/INDEX('Table 2.5a'!$I$8:$I$192,MATCH('Table 2.5b'!$A183&amp;'Table 2.5b'!$B183,'Table 2.5a'!$A$8:$A$192&amp;'Table 2.5a'!$B$8:$B$192,0)))*1000, "")</f>
        <v>6548.6317187499999</v>
      </c>
      <c r="H183" s="705">
        <f t="array" ref="H183">IFERROR(INDEX('Table 2.5a'!$G$8:$G$192,MATCH('Table 2.5b'!$A183&amp;'Table 2.5b'!$B183,'Table 2.5a'!$A$8:$A$192&amp;'Table 2.5a'!$B$8:$B$192,0))/INDEX('Table 2.5a'!$H$8:$H$192,MATCH('Table 2.5b'!$A183&amp;'Table 2.5b'!$B183,'Table 2.5a'!$A$8:$A$192&amp;'Table 2.5a'!$B$8:$B$192,0)),"")</f>
        <v>0.55467500000000003</v>
      </c>
      <c r="I183" s="655">
        <f t="array" ref="I183">IFERROR((INDEX('Table 2.5a'!$L$8:$L$192,MATCH('Table 2.5b'!$A183&amp;'Table 2.5b'!$B183,'Table 2.5a'!$A$8:$A$192&amp;'Table 2.5a'!$B$8:$B$192,0))/INDEX('Table 2.5a'!$I$8:$I$192,MATCH('Table 2.5b'!$A183&amp;'Table 2.5b'!$B183,'Table 2.5a'!$A$8:$A$192&amp;'Table 2.5a'!$B$8:$B$192,0)))*1000, "")</f>
        <v>13615.25</v>
      </c>
      <c r="J183" s="655">
        <f t="array" ref="J183">IFERROR((INDEX('Table 2.5a'!$K$8:$K$192,MATCH('Table 2.5b'!$A183&amp;'Table 2.5b'!$B183,'Table 2.5a'!$A$8:$A$192&amp;'Table 2.5a'!$B$8:$B$192,0))/INDEX('Table 2.5a'!$I$8:$I$192,MATCH('Table 2.5b'!$A183&amp;'Table 2.5b'!$B183,'Table 2.5a'!$A$8:$A$192&amp;'Table 2.5a'!$B$8:$B$192,0)))*1000, "")</f>
        <v>7552.03879375</v>
      </c>
      <c r="K183" s="705">
        <f t="array" ref="K183">IFERROR(INDEX('Table 2.5a'!$I$8:$I$192,MATCH('Table 2.5b'!$A183&amp;'Table 2.5b'!$B183,'Table 2.5a'!$A$8:$A$192&amp;'Table 2.5a'!$B$8:$B$192,0))/INDEX('Table 2.5a'!$L$8:$L$192,MATCH('Table 2.5b'!$A183&amp;'Table 2.5b'!$B183,'Table 2.5a'!$A$8:$A$192&amp;'Table 2.5a'!$B$8:$B$192,0)),"")</f>
        <v>7.3447053855052236E-2</v>
      </c>
      <c r="L183" s="658" t="s">
        <v>356</v>
      </c>
      <c r="M183" s="709">
        <f t="array" ref="M183">INDEX(UtilityList!Q$4:Q$251,MATCH('Table 2.5b'!$A183&amp;'Table 2.5b'!$B183,UtilityList!$A$4:$A$251&amp;UtilityList!$C$4:$C$251,0))</f>
        <v>0</v>
      </c>
      <c r="N183" s="709" t="str">
        <f t="array" ref="N183">INDEX(UtilityList!J$4:J$251,MATCH('Table 2.5b'!$A183&amp;'Table 2.5b'!$B183,UtilityList!$A$4:$A$251&amp;UtilityList!$C$4:$C$251,0))</f>
        <v>Bristol Bay</v>
      </c>
      <c r="O183" s="709" t="str">
        <f t="array" ref="O183">INDEX(UtilityList!K$4:K$251,MATCH('Table 2.5b'!$A183&amp;'Table 2.5b'!$B183,UtilityList!$A$4:$A$251&amp;UtilityList!$C$4:$C$251,0))</f>
        <v>Dillingham (CA)</v>
      </c>
      <c r="P183" s="709" t="str">
        <f t="array" ref="P183">INDEX(UtilityList!L$4:L$251,MATCH('Table 2.5b'!$A183&amp;'Table 2.5b'!$B183,UtilityList!$A$4:$A$251&amp;UtilityList!$C$4:$C$251,0))</f>
        <v>Bristol Bay</v>
      </c>
      <c r="Q183" s="709" t="str">
        <f t="array" ref="Q183">INDEX(UtilityList!M$4:M$251,MATCH('Table 2.5b'!$A183&amp;'Table 2.5b'!$B183,UtilityList!$A$4:$A$251&amp;UtilityList!$C$4:$C$251,0))</f>
        <v>SW</v>
      </c>
    </row>
    <row r="184" spans="1:17" s="267" customFormat="1" ht="30" x14ac:dyDescent="0.25">
      <c r="A184" s="361" t="s">
        <v>343</v>
      </c>
      <c r="B184" s="654" t="s">
        <v>344</v>
      </c>
      <c r="C184" s="655">
        <f t="array" ref="C184">IFERROR((INDEX('Table 2.5a'!$D$8:$D$192,MATCH('Table 2.5b'!A184&amp;'Table 2.5b'!B184,'Table 2.5a'!$A$8:$A$192&amp;'Table 2.5a'!$B$8:$B$192,0))/INDEX('Table 2.5a'!$E$8:$E$192,MATCH('Table 2.5b'!A184&amp;'Table 2.5b'!B184,'Table 2.5a'!$A$8:$A$192&amp;'Table 2.5a'!$B$8:$B$192,0)))*1000, "")</f>
        <v>3480.2666666666664</v>
      </c>
      <c r="D184" s="655">
        <f t="array" ref="D184">IFERROR((INDEX('Table 2.5a'!$C$8:$C$192,MATCH('Table 2.5b'!A184&amp;'Table 2.5b'!B184,'Table 2.5a'!$A$8:$A$192&amp;'Table 2.5a'!$B$8:$B$192,0))/INDEX('Table 2.5a'!$E$8:$E$192,MATCH('Table 2.5b'!A184&amp;'Table 2.5b'!B184,'Table 2.5a'!$A$8:$A$192&amp;'Table 2.5a'!$B$8:$B$192,0)))*1000, "")</f>
        <v>2088.16</v>
      </c>
      <c r="E184" s="705">
        <f t="array" ref="E184">IFERROR(INDEX('Table 2.5a'!$C$8:$C$192,MATCH('Table 2.5b'!$A184&amp;'Table 2.5b'!$B184,'Table 2.5a'!$A$8:$A$192&amp;'Table 2.5a'!$B$8:$B$192,0))/INDEX('Table 2.5a'!$D$8:$D$192,MATCH('Table 2.5b'!$A184&amp;'Table 2.5b'!$B184,'Table 2.5a'!$A$8:$A$192&amp;'Table 2.5a'!$B$8:$B$192,0)),"")</f>
        <v>0.6</v>
      </c>
      <c r="F184" s="655">
        <f t="array" ref="F184">IFERROR((INDEX('Table 2.5a'!$H$8:$H$192,MATCH('Table 2.5b'!$A184&amp;'Table 2.5b'!$B184,'Table 2.5a'!$A$8:$A$192&amp;'Table 2.5a'!$B$8:$B$192,0))/INDEX('Table 2.5a'!$I$8:$I$192,MATCH('Table 2.5b'!$A184&amp;'Table 2.5b'!$B184,'Table 2.5a'!$A$8:$A$192&amp;'Table 2.5a'!$B$8:$B$192,0)))*1000, "")</f>
        <v>10302.636363636364</v>
      </c>
      <c r="G184" s="655">
        <f t="array" ref="G184">IFERROR((INDEX('Table 2.5a'!$G$8:$G$192,MATCH('Table 2.5b'!$A184&amp;'Table 2.5b'!$B184,'Table 2.5a'!$A$8:$A$192&amp;'Table 2.5a'!$B$8:$B$192,0))/INDEX('Table 2.5a'!$I$8:$I$192,MATCH('Table 2.5b'!$A184&amp;'Table 2.5b'!$B184,'Table 2.5a'!$A$8:$A$192&amp;'Table 2.5a'!$B$8:$B$192,0)))*1000, "")</f>
        <v>6181.5818181818177</v>
      </c>
      <c r="H184" s="705">
        <f t="array" ref="H184">IFERROR(INDEX('Table 2.5a'!$G$8:$G$192,MATCH('Table 2.5b'!$A184&amp;'Table 2.5b'!$B184,'Table 2.5a'!$A$8:$A$192&amp;'Table 2.5a'!$B$8:$B$192,0))/INDEX('Table 2.5a'!$H$8:$H$192,MATCH('Table 2.5b'!$A184&amp;'Table 2.5b'!$B184,'Table 2.5a'!$A$8:$A$192&amp;'Table 2.5a'!$B$8:$B$192,0)),"")</f>
        <v>0.6</v>
      </c>
      <c r="I184" s="655">
        <f t="array" ref="I184">IFERROR((INDEX('Table 2.5a'!$L$8:$L$192,MATCH('Table 2.5b'!$A184&amp;'Table 2.5b'!$B184,'Table 2.5a'!$A$8:$A$192&amp;'Table 2.5a'!$B$8:$B$192,0))/INDEX('Table 2.5a'!$I$8:$I$192,MATCH('Table 2.5b'!$A184&amp;'Table 2.5b'!$B184,'Table 2.5a'!$A$8:$A$192&amp;'Table 2.5a'!$B$8:$B$192,0)))*1000, "")</f>
        <v>2949.363636363636</v>
      </c>
      <c r="J184" s="655">
        <f t="array" ref="J184">IFERROR((INDEX('Table 2.5a'!$K$8:$K$192,MATCH('Table 2.5b'!$A184&amp;'Table 2.5b'!$B184,'Table 2.5a'!$A$8:$A$192&amp;'Table 2.5a'!$B$8:$B$192,0))/INDEX('Table 2.5a'!$I$8:$I$192,MATCH('Table 2.5b'!$A184&amp;'Table 2.5b'!$B184,'Table 2.5a'!$A$8:$A$192&amp;'Table 2.5a'!$B$8:$B$192,0)))*1000, "")</f>
        <v>1769.6181818181815</v>
      </c>
      <c r="K184" s="705">
        <f t="array" ref="K184">IFERROR(INDEX('Table 2.5a'!$I$8:$I$192,MATCH('Table 2.5b'!$A184&amp;'Table 2.5b'!$B184,'Table 2.5a'!$A$8:$A$192&amp;'Table 2.5a'!$B$8:$B$192,0))/INDEX('Table 2.5a'!$L$8:$L$192,MATCH('Table 2.5b'!$A184&amp;'Table 2.5b'!$B184,'Table 2.5a'!$A$8:$A$192&amp;'Table 2.5a'!$B$8:$B$192,0)),"")</f>
        <v>0.33905619085781219</v>
      </c>
      <c r="L184" s="658" t="s">
        <v>356</v>
      </c>
      <c r="M184" s="709">
        <f t="array" ref="M184">INDEX(UtilityList!Q$4:Q$251,MATCH('Table 2.5b'!$A184&amp;'Table 2.5b'!$B184,UtilityList!$A$4:$A$251&amp;UtilityList!$C$4:$C$251,0))</f>
        <v>0</v>
      </c>
      <c r="N184" s="709" t="str">
        <f t="array" ref="N184">INDEX(UtilityList!J$4:J$251,MATCH('Table 2.5b'!$A184&amp;'Table 2.5b'!$B184,UtilityList!$A$4:$A$251&amp;UtilityList!$C$4:$C$251,0))</f>
        <v>Aleutians</v>
      </c>
      <c r="O184" s="709" t="str">
        <f t="array" ref="O184">INDEX(UtilityList!K$4:K$251,MATCH('Table 2.5b'!$A184&amp;'Table 2.5b'!$B184,UtilityList!$A$4:$A$251&amp;UtilityList!$C$4:$C$251,0))</f>
        <v>Aleutians West (CA)</v>
      </c>
      <c r="P184" s="709" t="str">
        <f t="array" ref="P184">INDEX(UtilityList!L$4:L$251,MATCH('Table 2.5b'!$A184&amp;'Table 2.5b'!$B184,UtilityList!$A$4:$A$251&amp;UtilityList!$C$4:$C$251,0))</f>
        <v>Aleut</v>
      </c>
      <c r="Q184" s="709" t="str">
        <f t="array" ref="Q184">INDEX(UtilityList!M$4:M$251,MATCH('Table 2.5b'!$A184&amp;'Table 2.5b'!$B184,UtilityList!$A$4:$A$251&amp;UtilityList!$C$4:$C$251,0))</f>
        <v>SW</v>
      </c>
    </row>
    <row r="185" spans="1:17" s="267" customFormat="1" ht="30" x14ac:dyDescent="0.25">
      <c r="A185" s="361" t="s">
        <v>537</v>
      </c>
      <c r="B185" s="654" t="s">
        <v>345</v>
      </c>
      <c r="C185" s="655">
        <f t="array" ref="C185">IFERROR((INDEX('Table 2.5a'!$D$8:$D$192,MATCH('Table 2.5b'!A185&amp;'Table 2.5b'!B185,'Table 2.5a'!$A$8:$A$192&amp;'Table 2.5a'!$B$8:$B$192,0))/INDEX('Table 2.5a'!$E$8:$E$192,MATCH('Table 2.5b'!A185&amp;'Table 2.5b'!B185,'Table 2.5a'!$A$8:$A$192&amp;'Table 2.5a'!$B$8:$B$192,0)))*1000, "")</f>
        <v>5253.1894394643841</v>
      </c>
      <c r="D185" s="655">
        <f t="array" ref="D185">IFERROR((INDEX('Table 2.5a'!$C$8:$C$192,MATCH('Table 2.5b'!A185&amp;'Table 2.5b'!B185,'Table 2.5a'!$A$8:$A$192&amp;'Table 2.5a'!$B$8:$B$192,0))/INDEX('Table 2.5a'!$E$8:$E$192,MATCH('Table 2.5b'!A185&amp;'Table 2.5b'!B185,'Table 2.5a'!$A$8:$A$192&amp;'Table 2.5a'!$B$8:$B$192,0)))*1000, "")</f>
        <v>2056.0107759384041</v>
      </c>
      <c r="E185" s="705">
        <f t="array" ref="E185">IFERROR(INDEX('Table 2.5a'!$C$8:$C$192,MATCH('Table 2.5b'!$A185&amp;'Table 2.5b'!$B185,'Table 2.5a'!$A$8:$A$192&amp;'Table 2.5a'!$B$8:$B$192,0))/INDEX('Table 2.5a'!$D$8:$D$192,MATCH('Table 2.5b'!$A185&amp;'Table 2.5b'!$B185,'Table 2.5a'!$A$8:$A$192&amp;'Table 2.5a'!$B$8:$B$192,0)),"")</f>
        <v>0.39138332999999997</v>
      </c>
      <c r="F185" s="655">
        <f t="array" ref="F185">IFERROR((INDEX('Table 2.5a'!$H$8:$H$192,MATCH('Table 2.5b'!$A185&amp;'Table 2.5b'!$B185,'Table 2.5a'!$A$8:$A$192&amp;'Table 2.5a'!$B$8:$B$192,0))/INDEX('Table 2.5a'!$I$8:$I$192,MATCH('Table 2.5b'!$A185&amp;'Table 2.5b'!$B185,'Table 2.5a'!$A$8:$A$192&amp;'Table 2.5a'!$B$8:$B$192,0)))*1000, "")</f>
        <v>43408.75</v>
      </c>
      <c r="G185" s="655">
        <f t="array" ref="G185">IFERROR((INDEX('Table 2.5a'!$G$8:$G$192,MATCH('Table 2.5b'!$A185&amp;'Table 2.5b'!$B185,'Table 2.5a'!$A$8:$A$192&amp;'Table 2.5a'!$B$8:$B$192,0))/INDEX('Table 2.5a'!$I$8:$I$192,MATCH('Table 2.5b'!$A185&amp;'Table 2.5b'!$B185,'Table 2.5a'!$A$8:$A$192&amp;'Table 2.5a'!$B$8:$B$192,0)))*1000, "")</f>
        <v>16989.461126137499</v>
      </c>
      <c r="H185" s="705">
        <f t="array" ref="H185">IFERROR(INDEX('Table 2.5a'!$G$8:$G$192,MATCH('Table 2.5b'!$A185&amp;'Table 2.5b'!$B185,'Table 2.5a'!$A$8:$A$192&amp;'Table 2.5a'!$B$8:$B$192,0))/INDEX('Table 2.5a'!$H$8:$H$192,MATCH('Table 2.5b'!$A185&amp;'Table 2.5b'!$B185,'Table 2.5a'!$A$8:$A$192&amp;'Table 2.5a'!$B$8:$B$192,0)),"")</f>
        <v>0.39138332999999997</v>
      </c>
      <c r="I185" s="655">
        <f t="array" ref="I185">IFERROR((INDEX('Table 2.5a'!$L$8:$L$192,MATCH('Table 2.5b'!$A185&amp;'Table 2.5b'!$B185,'Table 2.5a'!$A$8:$A$192&amp;'Table 2.5a'!$B$8:$B$192,0))/INDEX('Table 2.5a'!$I$8:$I$192,MATCH('Table 2.5b'!$A185&amp;'Table 2.5b'!$B185,'Table 2.5a'!$A$8:$A$192&amp;'Table 2.5a'!$B$8:$B$192,0)))*1000, "")</f>
        <v>16486.795454545456</v>
      </c>
      <c r="J185" s="655">
        <f t="array" ref="J185">IFERROR((INDEX('Table 2.5a'!$K$8:$K$192,MATCH('Table 2.5b'!$A185&amp;'Table 2.5b'!$B185,'Table 2.5a'!$A$8:$A$192&amp;'Table 2.5a'!$B$8:$B$192,0))/INDEX('Table 2.5a'!$I$8:$I$192,MATCH('Table 2.5b'!$A185&amp;'Table 2.5b'!$B185,'Table 2.5a'!$A$8:$A$192&amp;'Table 2.5a'!$B$8:$B$192,0)))*1000, "")</f>
        <v>6452.6569060288639</v>
      </c>
      <c r="K185" s="705">
        <f t="array" ref="K185">IFERROR(INDEX('Table 2.5a'!$I$8:$I$192,MATCH('Table 2.5b'!$A185&amp;'Table 2.5b'!$B185,'Table 2.5a'!$A$8:$A$192&amp;'Table 2.5a'!$B$8:$B$192,0))/INDEX('Table 2.5a'!$L$8:$L$192,MATCH('Table 2.5b'!$A185&amp;'Table 2.5b'!$B185,'Table 2.5a'!$A$8:$A$192&amp;'Table 2.5a'!$B$8:$B$192,0)),"")</f>
        <v>6.0654600996113972E-2</v>
      </c>
      <c r="L185" s="658" t="s">
        <v>356</v>
      </c>
      <c r="M185" s="709">
        <f t="array" ref="M185">INDEX(UtilityList!Q$4:Q$251,MATCH('Table 2.5b'!$A185&amp;'Table 2.5b'!$B185,UtilityList!$A$4:$A$251&amp;UtilityList!$C$4:$C$251,0))</f>
        <v>0</v>
      </c>
      <c r="N185" s="709" t="str">
        <f t="array" ref="N185">INDEX(UtilityList!J$4:J$251,MATCH('Table 2.5b'!$A185&amp;'Table 2.5b'!$B185,UtilityList!$A$4:$A$251&amp;UtilityList!$C$4:$C$251,0))</f>
        <v>Bering Straits</v>
      </c>
      <c r="O185" s="709" t="str">
        <f t="array" ref="O185">INDEX(UtilityList!K$4:K$251,MATCH('Table 2.5b'!$A185&amp;'Table 2.5b'!$B185,UtilityList!$A$4:$A$251&amp;UtilityList!$C$4:$C$251,0))</f>
        <v>Nome (CA)</v>
      </c>
      <c r="P185" s="709" t="str">
        <f t="array" ref="P185">INDEX(UtilityList!L$4:L$251,MATCH('Table 2.5b'!$A185&amp;'Table 2.5b'!$B185,UtilityList!$A$4:$A$251&amp;UtilityList!$C$4:$C$251,0))</f>
        <v>Bering Straits</v>
      </c>
      <c r="Q185" s="709" t="str">
        <f t="array" ref="Q185">INDEX(UtilityList!M$4:M$251,MATCH('Table 2.5b'!$A185&amp;'Table 2.5b'!$B185,UtilityList!$A$4:$A$251&amp;UtilityList!$C$4:$C$251,0))</f>
        <v>AN</v>
      </c>
    </row>
    <row r="186" spans="1:17" s="267" customFormat="1" x14ac:dyDescent="0.25">
      <c r="A186" s="361" t="s">
        <v>637</v>
      </c>
      <c r="B186" s="654" t="s">
        <v>492</v>
      </c>
      <c r="C186" s="655">
        <f t="array" ref="C186">IFERROR((INDEX('Table 2.5a'!$D$8:$D$192,MATCH('Table 2.5b'!A186&amp;'Table 2.5b'!B186,'Table 2.5a'!$A$8:$A$192&amp;'Table 2.5a'!$B$8:$B$192,0))/INDEX('Table 2.5a'!$E$8:$E$192,MATCH('Table 2.5b'!A186&amp;'Table 2.5b'!B186,'Table 2.5a'!$A$8:$A$192&amp;'Table 2.5a'!$B$8:$B$192,0)))*1000, "")</f>
        <v>5765.7558549840705</v>
      </c>
      <c r="D186" s="655">
        <f t="array" ref="D186">IFERROR((INDEX('Table 2.5a'!$C$8:$C$192,MATCH('Table 2.5b'!A186&amp;'Table 2.5b'!B186,'Table 2.5a'!$A$8:$A$192&amp;'Table 2.5a'!$B$8:$B$192,0))/INDEX('Table 2.5a'!$E$8:$E$192,MATCH('Table 2.5b'!A186&amp;'Table 2.5b'!B186,'Table 2.5a'!$A$8:$A$192&amp;'Table 2.5a'!$B$8:$B$192,0)))*1000, "")</f>
        <v>2570.4219888981706</v>
      </c>
      <c r="E186" s="705">
        <f t="array" ref="E186">IFERROR(INDEX('Table 2.5a'!$C$8:$C$192,MATCH('Table 2.5b'!$A186&amp;'Table 2.5b'!$B186,'Table 2.5a'!$A$8:$A$192&amp;'Table 2.5a'!$B$8:$B$192,0))/INDEX('Table 2.5a'!$D$8:$D$192,MATCH('Table 2.5b'!$A186&amp;'Table 2.5b'!$B186,'Table 2.5a'!$A$8:$A$192&amp;'Table 2.5a'!$B$8:$B$192,0)),"")</f>
        <v>0.44580832999999997</v>
      </c>
      <c r="F186" s="655">
        <f t="array" ref="F186">IFERROR((INDEX('Table 2.5a'!$H$8:$H$192,MATCH('Table 2.5b'!$A186&amp;'Table 2.5b'!$B186,'Table 2.5a'!$A$8:$A$192&amp;'Table 2.5a'!$B$8:$B$192,0))/INDEX('Table 2.5a'!$I$8:$I$192,MATCH('Table 2.5b'!$A186&amp;'Table 2.5b'!$B186,'Table 2.5a'!$A$8:$A$192&amp;'Table 2.5a'!$B$8:$B$192,0)))*1000, "")</f>
        <v>188030.69601100413</v>
      </c>
      <c r="G186" s="655">
        <f t="array" ref="G186">IFERROR((INDEX('Table 2.5a'!$G$8:$G$192,MATCH('Table 2.5b'!$A186&amp;'Table 2.5b'!$B186,'Table 2.5a'!$A$8:$A$192&amp;'Table 2.5a'!$B$8:$B$192,0))/INDEX('Table 2.5a'!$I$8:$I$192,MATCH('Table 2.5b'!$A186&amp;'Table 2.5b'!$B186,'Table 2.5a'!$A$8:$A$192&amp;'Table 2.5a'!$B$8:$B$192,0)))*1000, "")</f>
        <v>83825.650577403401</v>
      </c>
      <c r="H186" s="705">
        <f t="array" ref="H186">IFERROR(INDEX('Table 2.5a'!$G$8:$G$192,MATCH('Table 2.5b'!$A186&amp;'Table 2.5b'!$B186,'Table 2.5a'!$A$8:$A$192&amp;'Table 2.5a'!$B$8:$B$192,0))/INDEX('Table 2.5a'!$H$8:$H$192,MATCH('Table 2.5b'!$A186&amp;'Table 2.5b'!$B186,'Table 2.5a'!$A$8:$A$192&amp;'Table 2.5a'!$B$8:$B$192,0)),"")</f>
        <v>0.44580832999999997</v>
      </c>
      <c r="I186" s="655">
        <f t="array" ref="I186">IFERROR((INDEX('Table 2.5a'!$L$8:$L$192,MATCH('Table 2.5b'!$A186&amp;'Table 2.5b'!$B186,'Table 2.5a'!$A$8:$A$192&amp;'Table 2.5a'!$B$8:$B$192,0))/INDEX('Table 2.5a'!$I$8:$I$192,MATCH('Table 2.5b'!$A186&amp;'Table 2.5b'!$B186,'Table 2.5a'!$A$8:$A$192&amp;'Table 2.5a'!$B$8:$B$192,0)))*1000, "")</f>
        <v>18953.193947730397</v>
      </c>
      <c r="J186" s="655">
        <f t="array" ref="J186">IFERROR((INDEX('Table 2.5a'!$K$8:$K$192,MATCH('Table 2.5b'!$A186&amp;'Table 2.5b'!$B186,'Table 2.5a'!$A$8:$A$192&amp;'Table 2.5a'!$B$8:$B$192,0))/INDEX('Table 2.5a'!$I$8:$I$192,MATCH('Table 2.5b'!$A186&amp;'Table 2.5b'!$B186,'Table 2.5a'!$A$8:$A$192&amp;'Table 2.5a'!$B$8:$B$192,0)))*1000, "")</f>
        <v>8449.4917420037946</v>
      </c>
      <c r="K186" s="705">
        <f t="array" ref="K186">IFERROR(INDEX('Table 2.5a'!$I$8:$I$192,MATCH('Table 2.5b'!$A186&amp;'Table 2.5b'!$B186,'Table 2.5a'!$A$8:$A$192&amp;'Table 2.5a'!$B$8:$B$192,0))/INDEX('Table 2.5a'!$L$8:$L$192,MATCH('Table 2.5b'!$A186&amp;'Table 2.5b'!$B186,'Table 2.5a'!$A$8:$A$192&amp;'Table 2.5a'!$B$8:$B$192,0)),"")</f>
        <v>5.2761555796760458E-2</v>
      </c>
      <c r="L186" s="658" t="s">
        <v>356</v>
      </c>
      <c r="M186" s="709">
        <f t="array" ref="M186">INDEX(UtilityList!Q$4:Q$251,MATCH('Table 2.5b'!$A186&amp;'Table 2.5b'!$B186,UtilityList!$A$4:$A$251&amp;UtilityList!$C$4:$C$251,0))</f>
        <v>0</v>
      </c>
      <c r="N186" s="709" t="str">
        <f t="array" ref="N186">INDEX(UtilityList!J$4:J$251,MATCH('Table 2.5b'!$A186&amp;'Table 2.5b'!$B186,UtilityList!$A$4:$A$251&amp;UtilityList!$C$4:$C$251,0))</f>
        <v>Aleutians</v>
      </c>
      <c r="O186" s="709" t="str">
        <f t="array" ref="O186">INDEX(UtilityList!K$4:K$251,MATCH('Table 2.5b'!$A186&amp;'Table 2.5b'!$B186,UtilityList!$A$4:$A$251&amp;UtilityList!$C$4:$C$251,0))</f>
        <v>Aleutians West (CA)</v>
      </c>
      <c r="P186" s="709" t="str">
        <f t="array" ref="P186">INDEX(UtilityList!L$4:L$251,MATCH('Table 2.5b'!$A186&amp;'Table 2.5b'!$B186,UtilityList!$A$4:$A$251&amp;UtilityList!$C$4:$C$251,0))</f>
        <v>Aleut</v>
      </c>
      <c r="Q186" s="709" t="str">
        <f t="array" ref="Q186">INDEX(UtilityList!M$4:M$251,MATCH('Table 2.5b'!$A186&amp;'Table 2.5b'!$B186,UtilityList!$A$4:$A$251&amp;UtilityList!$C$4:$C$251,0))</f>
        <v>SW</v>
      </c>
    </row>
    <row r="187" spans="1:17" s="267" customFormat="1" ht="30" x14ac:dyDescent="0.25">
      <c r="A187" s="361" t="s">
        <v>346</v>
      </c>
      <c r="B187" s="654" t="s">
        <v>347</v>
      </c>
      <c r="C187" s="655">
        <f t="array" ref="C187">IFERROR((INDEX('Table 2.5a'!$D$8:$D$192,MATCH('Table 2.5b'!A187&amp;'Table 2.5b'!B187,'Table 2.5a'!$A$8:$A$192&amp;'Table 2.5a'!$B$8:$B$192,0))/INDEX('Table 2.5a'!$E$8:$E$192,MATCH('Table 2.5b'!A187&amp;'Table 2.5b'!B187,'Table 2.5a'!$A$8:$A$192&amp;'Table 2.5a'!$B$8:$B$192,0)))*1000, "")</f>
        <v>3744.4511278195491</v>
      </c>
      <c r="D187" s="655">
        <f t="array" ref="D187">IFERROR((INDEX('Table 2.5a'!$C$8:$C$192,MATCH('Table 2.5b'!A187&amp;'Table 2.5b'!B187,'Table 2.5a'!$A$8:$A$192&amp;'Table 2.5a'!$B$8:$B$192,0))/INDEX('Table 2.5a'!$E$8:$E$192,MATCH('Table 2.5b'!A187&amp;'Table 2.5b'!B187,'Table 2.5a'!$A$8:$A$192&amp;'Table 2.5a'!$B$8:$B$192,0)))*1000, "")</f>
        <v>2995.5609022556391</v>
      </c>
      <c r="E187" s="705">
        <f t="array" ref="E187">IFERROR(INDEX('Table 2.5a'!$C$8:$C$192,MATCH('Table 2.5b'!$A187&amp;'Table 2.5b'!$B187,'Table 2.5a'!$A$8:$A$192&amp;'Table 2.5a'!$B$8:$B$192,0))/INDEX('Table 2.5a'!$D$8:$D$192,MATCH('Table 2.5b'!$A187&amp;'Table 2.5b'!$B187,'Table 2.5a'!$A$8:$A$192&amp;'Table 2.5a'!$B$8:$B$192,0)),"")</f>
        <v>0.8</v>
      </c>
      <c r="F187" s="655">
        <f t="array" ref="F187">IFERROR((INDEX('Table 2.5a'!$H$8:$H$192,MATCH('Table 2.5b'!$A187&amp;'Table 2.5b'!$B187,'Table 2.5a'!$A$8:$A$192&amp;'Table 2.5a'!$B$8:$B$192,0))/INDEX('Table 2.5a'!$I$8:$I$192,MATCH('Table 2.5b'!$A187&amp;'Table 2.5b'!$B187,'Table 2.5a'!$A$8:$A$192&amp;'Table 2.5a'!$B$8:$B$192,0)))*1000, "")</f>
        <v>7134.8125</v>
      </c>
      <c r="G187" s="655">
        <f t="array" ref="G187">IFERROR((INDEX('Table 2.5a'!$G$8:$G$192,MATCH('Table 2.5b'!$A187&amp;'Table 2.5b'!$B187,'Table 2.5a'!$A$8:$A$192&amp;'Table 2.5a'!$B$8:$B$192,0))/INDEX('Table 2.5a'!$I$8:$I$192,MATCH('Table 2.5b'!$A187&amp;'Table 2.5b'!$B187,'Table 2.5a'!$A$8:$A$192&amp;'Table 2.5a'!$B$8:$B$192,0)))*1000, "")</f>
        <v>5707.85</v>
      </c>
      <c r="H187" s="705">
        <f t="array" ref="H187">IFERROR(INDEX('Table 2.5a'!$G$8:$G$192,MATCH('Table 2.5b'!$A187&amp;'Table 2.5b'!$B187,'Table 2.5a'!$A$8:$A$192&amp;'Table 2.5a'!$B$8:$B$192,0))/INDEX('Table 2.5a'!$H$8:$H$192,MATCH('Table 2.5b'!$A187&amp;'Table 2.5b'!$B187,'Table 2.5a'!$A$8:$A$192&amp;'Table 2.5a'!$B$8:$B$192,0)),"")</f>
        <v>0.8</v>
      </c>
      <c r="I187" s="655">
        <f t="array" ref="I187">IFERROR((INDEX('Table 2.5a'!$L$8:$L$192,MATCH('Table 2.5b'!$A187&amp;'Table 2.5b'!$B187,'Table 2.5a'!$A$8:$A$192&amp;'Table 2.5a'!$B$8:$B$192,0))/INDEX('Table 2.5a'!$I$8:$I$192,MATCH('Table 2.5b'!$A187&amp;'Table 2.5b'!$B187,'Table 2.5a'!$A$8:$A$192&amp;'Table 2.5a'!$B$8:$B$192,0)))*1000, "")</f>
        <v>2527.1875</v>
      </c>
      <c r="J187" s="655">
        <f t="array" ref="J187">IFERROR((INDEX('Table 2.5a'!$K$8:$K$192,MATCH('Table 2.5b'!$A187&amp;'Table 2.5b'!$B187,'Table 2.5a'!$A$8:$A$192&amp;'Table 2.5a'!$B$8:$B$192,0))/INDEX('Table 2.5a'!$I$8:$I$192,MATCH('Table 2.5b'!$A187&amp;'Table 2.5b'!$B187,'Table 2.5a'!$A$8:$A$192&amp;'Table 2.5a'!$B$8:$B$192,0)))*1000, "")</f>
        <v>2021.7500000000005</v>
      </c>
      <c r="K187" s="705">
        <f t="array" ref="K187">IFERROR(INDEX('Table 2.5a'!$I$8:$I$192,MATCH('Table 2.5b'!$A187&amp;'Table 2.5b'!$B187,'Table 2.5a'!$A$8:$A$192&amp;'Table 2.5a'!$B$8:$B$192,0))/INDEX('Table 2.5a'!$L$8:$L$192,MATCH('Table 2.5b'!$A187&amp;'Table 2.5b'!$B187,'Table 2.5a'!$A$8:$A$192&amp;'Table 2.5a'!$B$8:$B$192,0)),"")</f>
        <v>0.39569679732904661</v>
      </c>
      <c r="L187" s="658" t="s">
        <v>356</v>
      </c>
      <c r="M187" s="709">
        <f t="array" ref="M187">INDEX(UtilityList!Q$4:Q$251,MATCH('Table 2.5b'!$A187&amp;'Table 2.5b'!$B187,UtilityList!$A$4:$A$251&amp;UtilityList!$C$4:$C$251,0))</f>
        <v>0</v>
      </c>
      <c r="N187" s="709" t="str">
        <f t="array" ref="N187">INDEX(UtilityList!J$4:J$251,MATCH('Table 2.5b'!$A187&amp;'Table 2.5b'!$B187,UtilityList!$A$4:$A$251&amp;UtilityList!$C$4:$C$251,0))</f>
        <v>Lower Yukon-Kuskokwim</v>
      </c>
      <c r="O187" s="709" t="str">
        <f t="array" ref="O187">INDEX(UtilityList!K$4:K$251,MATCH('Table 2.5b'!$A187&amp;'Table 2.5b'!$B187,UtilityList!$A$4:$A$251&amp;UtilityList!$C$4:$C$251,0))</f>
        <v>Bethel (CA)</v>
      </c>
      <c r="P187" s="709" t="str">
        <f t="array" ref="P187">INDEX(UtilityList!L$4:L$251,MATCH('Table 2.5b'!$A187&amp;'Table 2.5b'!$B187,UtilityList!$A$4:$A$251&amp;UtilityList!$C$4:$C$251,0))</f>
        <v>Calista</v>
      </c>
      <c r="Q187" s="709" t="str">
        <f t="array" ref="Q187">INDEX(UtilityList!M$4:M$251,MATCH('Table 2.5b'!$A187&amp;'Table 2.5b'!$B187,UtilityList!$A$4:$A$251&amp;UtilityList!$C$4:$C$251,0))</f>
        <v>SW</v>
      </c>
    </row>
    <row r="188" spans="1:17" s="267" customFormat="1" ht="30" x14ac:dyDescent="0.25">
      <c r="A188" s="361" t="s">
        <v>350</v>
      </c>
      <c r="B188" s="654" t="s">
        <v>351</v>
      </c>
      <c r="C188" s="655">
        <f t="array" ref="C188">IFERROR((INDEX('Table 2.5a'!$D$8:$D$192,MATCH('Table 2.5b'!A188&amp;'Table 2.5b'!B188,'Table 2.5a'!$A$8:$A$192&amp;'Table 2.5a'!$B$8:$B$192,0))/INDEX('Table 2.5a'!$E$8:$E$192,MATCH('Table 2.5b'!A188&amp;'Table 2.5b'!B188,'Table 2.5a'!$A$8:$A$192&amp;'Table 2.5a'!$B$8:$B$192,0)))*1000, "")</f>
        <v>1765.2268622353372</v>
      </c>
      <c r="D188" s="655">
        <f t="array" ref="D188">IFERROR((INDEX('Table 2.5a'!$C$8:$C$192,MATCH('Table 2.5b'!A188&amp;'Table 2.5b'!B188,'Table 2.5a'!$A$8:$A$192&amp;'Table 2.5a'!$B$8:$B$192,0))/INDEX('Table 2.5a'!$E$8:$E$192,MATCH('Table 2.5b'!A188&amp;'Table 2.5b'!B188,'Table 2.5a'!$A$8:$A$192&amp;'Table 2.5a'!$B$8:$B$192,0)))*1000, "")</f>
        <v>1212.1224512856877</v>
      </c>
      <c r="E188" s="705">
        <f t="array" ref="E188">IFERROR(INDEX('Table 2.5a'!$C$8:$C$192,MATCH('Table 2.5b'!$A188&amp;'Table 2.5b'!$B188,'Table 2.5a'!$A$8:$A$192&amp;'Table 2.5a'!$B$8:$B$192,0))/INDEX('Table 2.5a'!$D$8:$D$192,MATCH('Table 2.5b'!$A188&amp;'Table 2.5b'!$B188,'Table 2.5a'!$A$8:$A$192&amp;'Table 2.5a'!$B$8:$B$192,0)),"")</f>
        <v>0.68666667000000003</v>
      </c>
      <c r="F188" s="655">
        <f t="array" ref="F188">IFERROR((INDEX('Table 2.5a'!$H$8:$H$192,MATCH('Table 2.5b'!$A188&amp;'Table 2.5b'!$B188,'Table 2.5a'!$A$8:$A$192&amp;'Table 2.5a'!$B$8:$B$192,0))/INDEX('Table 2.5a'!$I$8:$I$192,MATCH('Table 2.5b'!$A188&amp;'Table 2.5b'!$B188,'Table 2.5a'!$A$8:$A$192&amp;'Table 2.5a'!$B$8:$B$192,0)))*1000, "")</f>
        <v>8809.177240778421</v>
      </c>
      <c r="G188" s="655">
        <f t="array" ref="G188">IFERROR((INDEX('Table 2.5a'!$G$8:$G$192,MATCH('Table 2.5b'!$A188&amp;'Table 2.5b'!$B188,'Table 2.5a'!$A$8:$A$192&amp;'Table 2.5a'!$B$8:$B$192,0))/INDEX('Table 2.5a'!$I$8:$I$192,MATCH('Table 2.5b'!$A188&amp;'Table 2.5b'!$B188,'Table 2.5a'!$A$8:$A$192&amp;'Table 2.5a'!$B$8:$B$192,0)))*1000, "")</f>
        <v>6048.9684013651067</v>
      </c>
      <c r="H188" s="705">
        <f t="array" ref="H188">IFERROR(INDEX('Table 2.5a'!$G$8:$G$192,MATCH('Table 2.5b'!$A188&amp;'Table 2.5b'!$B188,'Table 2.5a'!$A$8:$A$192&amp;'Table 2.5a'!$B$8:$B$192,0))/INDEX('Table 2.5a'!$H$8:$H$192,MATCH('Table 2.5b'!$A188&amp;'Table 2.5b'!$B188,'Table 2.5a'!$A$8:$A$192&amp;'Table 2.5a'!$B$8:$B$192,0)),"")</f>
        <v>0.68666667000000003</v>
      </c>
      <c r="I188" s="655">
        <f t="array" ref="I188">IFERROR((INDEX('Table 2.5a'!$L$8:$L$192,MATCH('Table 2.5b'!$A188&amp;'Table 2.5b'!$B188,'Table 2.5a'!$A$8:$A$192&amp;'Table 2.5a'!$B$8:$B$192,0))/INDEX('Table 2.5a'!$I$8:$I$192,MATCH('Table 2.5b'!$A188&amp;'Table 2.5b'!$B188,'Table 2.5a'!$A$8:$A$192&amp;'Table 2.5a'!$B$8:$B$192,0)))*1000, "")</f>
        <v>3939.2521891868341</v>
      </c>
      <c r="J188" s="655">
        <f t="array" ref="J188">IFERROR((INDEX('Table 2.5a'!$K$8:$K$192,MATCH('Table 2.5b'!$A188&amp;'Table 2.5b'!$B188,'Table 2.5a'!$A$8:$A$192&amp;'Table 2.5a'!$B$8:$B$192,0))/INDEX('Table 2.5a'!$I$8:$I$192,MATCH('Table 2.5b'!$A188&amp;'Table 2.5b'!$B188,'Table 2.5a'!$A$8:$A$192&amp;'Table 2.5a'!$B$8:$B$192,0)))*1000, "")</f>
        <v>2704.9531830391334</v>
      </c>
      <c r="K188" s="705">
        <f t="array" ref="K188">IFERROR(INDEX('Table 2.5a'!$I$8:$I$192,MATCH('Table 2.5b'!$A188&amp;'Table 2.5b'!$B188,'Table 2.5a'!$A$8:$A$192&amp;'Table 2.5a'!$B$8:$B$192,0))/INDEX('Table 2.5a'!$L$8:$L$192,MATCH('Table 2.5b'!$A188&amp;'Table 2.5b'!$B188,'Table 2.5a'!$A$8:$A$192&amp;'Table 2.5a'!$B$8:$B$192,0)),"")</f>
        <v>0.25385528825622777</v>
      </c>
      <c r="L188" s="658" t="s">
        <v>356</v>
      </c>
      <c r="M188" s="709">
        <f t="array" ref="M188">INDEX(UtilityList!Q$4:Q$251,MATCH('Table 2.5b'!$A188&amp;'Table 2.5b'!$B188,UtilityList!$A$4:$A$251&amp;UtilityList!$C$4:$C$251,0))</f>
        <v>0</v>
      </c>
      <c r="N188" s="709" t="str">
        <f t="array" ref="N188">INDEX(UtilityList!J$4:J$251,MATCH('Table 2.5b'!$A188&amp;'Table 2.5b'!$B188,UtilityList!$A$4:$A$251&amp;UtilityList!$C$4:$C$251,0))</f>
        <v>Bering Straits</v>
      </c>
      <c r="O188" s="709" t="str">
        <f t="array" ref="O188">INDEX(UtilityList!K$4:K$251,MATCH('Table 2.5b'!$A188&amp;'Table 2.5b'!$B188,UtilityList!$A$4:$A$251&amp;UtilityList!$C$4:$C$251,0))</f>
        <v>Nome (CA)</v>
      </c>
      <c r="P188" s="709" t="str">
        <f t="array" ref="P188">INDEX(UtilityList!L$4:L$251,MATCH('Table 2.5b'!$A188&amp;'Table 2.5b'!$B188,UtilityList!$A$4:$A$251&amp;UtilityList!$C$4:$C$251,0))</f>
        <v>Bering Straits</v>
      </c>
      <c r="Q188" s="709" t="str">
        <f t="array" ref="Q188">INDEX(UtilityList!M$4:M$251,MATCH('Table 2.5b'!$A188&amp;'Table 2.5b'!$B188,UtilityList!$A$4:$A$251&amp;UtilityList!$C$4:$C$251,0))</f>
        <v>AN</v>
      </c>
    </row>
    <row r="189" spans="1:17" s="285" customFormat="1" x14ac:dyDescent="0.25">
      <c r="A189" s="361" t="s">
        <v>352</v>
      </c>
      <c r="B189" s="708" t="s">
        <v>353</v>
      </c>
      <c r="C189" s="655">
        <f t="array" ref="C189">IFERROR((INDEX('Table 2.5a'!$D$8:$D$192,MATCH('Table 2.5b'!A189&amp;'Table 2.5b'!B189,'Table 2.5a'!$A$8:$A$192&amp;'Table 2.5a'!$B$8:$B$192,0))/INDEX('Table 2.5a'!$E$8:$E$192,MATCH('Table 2.5b'!A189&amp;'Table 2.5b'!B189,'Table 2.5a'!$A$8:$A$192&amp;'Table 2.5a'!$B$8:$B$192,0)))*1000, "")</f>
        <v>13507.619047619048</v>
      </c>
      <c r="D189" s="655">
        <f t="array" ref="D189">IFERROR((INDEX('Table 2.5a'!$C$8:$C$192,MATCH('Table 2.5b'!A189&amp;'Table 2.5b'!B189,'Table 2.5a'!$A$8:$A$192&amp;'Table 2.5a'!$B$8:$B$192,0))/INDEX('Table 2.5a'!$E$8:$E$192,MATCH('Table 2.5b'!A189&amp;'Table 2.5b'!B189,'Table 2.5a'!$A$8:$A$192&amp;'Table 2.5a'!$B$8:$B$192,0)))*1000, "")</f>
        <v>1434.2857142857144</v>
      </c>
      <c r="E189" s="705">
        <f t="array" ref="E189">IFERROR(INDEX('Table 2.5a'!$C$8:$C$192,MATCH('Table 2.5b'!$A189&amp;'Table 2.5b'!$B189,'Table 2.5a'!$A$8:$A$192&amp;'Table 2.5a'!$B$8:$B$192,0))/INDEX('Table 2.5a'!$D$8:$D$192,MATCH('Table 2.5b'!$A189&amp;'Table 2.5b'!$B189,'Table 2.5a'!$A$8:$A$192&amp;'Table 2.5a'!$B$8:$B$192,0)),"")</f>
        <v>0.10618345907071847</v>
      </c>
      <c r="F189" s="655">
        <f t="array" ref="F189">IFERROR((INDEX('Table 2.5a'!$H$8:$H$192,MATCH('Table 2.5b'!$A189&amp;'Table 2.5b'!$B189,'Table 2.5a'!$A$8:$A$192&amp;'Table 2.5a'!$B$8:$B$192,0))/INDEX('Table 2.5a'!$I$8:$I$192,MATCH('Table 2.5b'!$A189&amp;'Table 2.5b'!$B189,'Table 2.5a'!$A$8:$A$192&amp;'Table 2.5a'!$B$8:$B$192,0)))*1000, "")</f>
        <v>33884.083044982704</v>
      </c>
      <c r="G189" s="655">
        <f t="array" ref="G189">IFERROR((INDEX('Table 2.5a'!$G$8:$G$192,MATCH('Table 2.5b'!$A189&amp;'Table 2.5b'!$B189,'Table 2.5a'!$A$8:$A$192&amp;'Table 2.5a'!$B$8:$B$192,0))/INDEX('Table 2.5a'!$I$8:$I$192,MATCH('Table 2.5b'!$A189&amp;'Table 2.5b'!$B189,'Table 2.5a'!$A$8:$A$192&amp;'Table 2.5a'!$B$8:$B$192,0)))*1000, "")</f>
        <v>3626.2975778546715</v>
      </c>
      <c r="H189" s="705">
        <f t="array" ref="H189">IFERROR(INDEX('Table 2.5a'!$G$8:$G$192,MATCH('Table 2.5b'!$A189&amp;'Table 2.5b'!$B189,'Table 2.5a'!$A$8:$A$192&amp;'Table 2.5a'!$B$8:$B$192,0))/INDEX('Table 2.5a'!$H$8:$H$192,MATCH('Table 2.5b'!$A189&amp;'Table 2.5b'!$B189,'Table 2.5a'!$A$8:$A$192&amp;'Table 2.5a'!$B$8:$B$192,0)),"")</f>
        <v>0.10702067909114119</v>
      </c>
      <c r="I189" s="655">
        <f t="array" ref="I189">IFERROR((INDEX('Table 2.5a'!$L$8:$L$192,MATCH('Table 2.5b'!$A189&amp;'Table 2.5b'!$B189,'Table 2.5a'!$A$8:$A$192&amp;'Table 2.5a'!$B$8:$B$192,0))/INDEX('Table 2.5a'!$I$8:$I$192,MATCH('Table 2.5b'!$A189&amp;'Table 2.5b'!$B189,'Table 2.5a'!$A$8:$A$192&amp;'Table 2.5a'!$B$8:$B$192,0)))*1000, "")</f>
        <v>0</v>
      </c>
      <c r="J189" s="655">
        <f t="array" ref="J189">IFERROR((INDEX('Table 2.5a'!$K$8:$K$192,MATCH('Table 2.5b'!$A189&amp;'Table 2.5b'!$B189,'Table 2.5a'!$A$8:$A$192&amp;'Table 2.5a'!$B$8:$B$192,0))/INDEX('Table 2.5a'!$I$8:$I$192,MATCH('Table 2.5b'!$A189&amp;'Table 2.5b'!$B189,'Table 2.5a'!$A$8:$A$192&amp;'Table 2.5a'!$B$8:$B$192,0)))*1000, "")</f>
        <v>0</v>
      </c>
      <c r="K189" s="705" t="str">
        <f t="array" ref="K189">IFERROR(INDEX('Table 2.5a'!$I$8:$I$192,MATCH('Table 2.5b'!$A189&amp;'Table 2.5b'!$B189,'Table 2.5a'!$A$8:$A$192&amp;'Table 2.5a'!$B$8:$B$192,0))/INDEX('Table 2.5a'!$L$8:$L$192,MATCH('Table 2.5b'!$A189&amp;'Table 2.5b'!$B189,'Table 2.5a'!$A$8:$A$192&amp;'Table 2.5a'!$B$8:$B$192,0)),"")</f>
        <v/>
      </c>
      <c r="L189" s="707" t="s">
        <v>558</v>
      </c>
      <c r="M189" s="709">
        <f t="array" ref="M189">INDEX(UtilityList!Q$4:Q$251,MATCH('Table 2.5b'!$A189&amp;'Table 2.5b'!$B189,UtilityList!$A$4:$A$251&amp;UtilityList!$C$4:$C$251,0))</f>
        <v>0</v>
      </c>
      <c r="N189" s="709" t="str">
        <f t="array" ref="N189">INDEX(UtilityList!J$4:J$251,MATCH('Table 2.5b'!$A189&amp;'Table 2.5b'!$B189,UtilityList!$A$4:$A$251&amp;UtilityList!$C$4:$C$251,0))</f>
        <v>Southeast</v>
      </c>
      <c r="O189" s="709" t="str">
        <f t="array" ref="O189">INDEX(UtilityList!K$4:K$251,MATCH('Table 2.5b'!$A189&amp;'Table 2.5b'!$B189,UtilityList!$A$4:$A$251&amp;UtilityList!$C$4:$C$251,0))</f>
        <v>Wrangell</v>
      </c>
      <c r="P189" s="709" t="str">
        <f t="array" ref="P189">INDEX(UtilityList!L$4:L$251,MATCH('Table 2.5b'!$A189&amp;'Table 2.5b'!$B189,UtilityList!$A$4:$A$251&amp;UtilityList!$C$4:$C$251,0))</f>
        <v>Sealaska</v>
      </c>
      <c r="Q189" s="709" t="str">
        <f t="array" ref="Q189">INDEX(UtilityList!M$4:M$251,MATCH('Table 2.5b'!$A189&amp;'Table 2.5b'!$B189,UtilityList!$A$4:$A$251&amp;UtilityList!$C$4:$C$251,0))</f>
        <v>SE</v>
      </c>
    </row>
    <row r="190" spans="1:17" s="267" customFormat="1" x14ac:dyDescent="0.25">
      <c r="A190" s="361" t="s">
        <v>354</v>
      </c>
      <c r="B190" s="654" t="s">
        <v>355</v>
      </c>
      <c r="C190" s="655">
        <f t="array" ref="C190">IFERROR((INDEX('Table 2.5a'!$D$8:$D$192,MATCH('Table 2.5b'!A190&amp;'Table 2.5b'!B190,'Table 2.5a'!$A$8:$A$192&amp;'Table 2.5a'!$B$8:$B$192,0))/INDEX('Table 2.5a'!$E$8:$E$192,MATCH('Table 2.5b'!A190&amp;'Table 2.5b'!B190,'Table 2.5a'!$A$8:$A$192&amp;'Table 2.5a'!$B$8:$B$192,0)))*1000, "")</f>
        <v>5234.0866710995651</v>
      </c>
      <c r="D190" s="655">
        <f t="array" ref="D190">IFERROR((INDEX('Table 2.5a'!$C$8:$C$192,MATCH('Table 2.5b'!A190&amp;'Table 2.5b'!B190,'Table 2.5a'!$A$8:$A$192&amp;'Table 2.5a'!$B$8:$B$192,0))/INDEX('Table 2.5a'!$E$8:$E$192,MATCH('Table 2.5b'!A190&amp;'Table 2.5b'!B190,'Table 2.5a'!$A$8:$A$192&amp;'Table 2.5a'!$B$8:$B$192,0)))*1000, "")</f>
        <v>2633.0508998386063</v>
      </c>
      <c r="E190" s="705">
        <f t="array" ref="E190">IFERROR(INDEX('Table 2.5a'!$C$8:$C$192,MATCH('Table 2.5b'!$A190&amp;'Table 2.5b'!$B190,'Table 2.5a'!$A$8:$A$192&amp;'Table 2.5a'!$B$8:$B$192,0))/INDEX('Table 2.5a'!$D$8:$D$192,MATCH('Table 2.5b'!$A190&amp;'Table 2.5b'!$B190,'Table 2.5a'!$A$8:$A$192&amp;'Table 2.5a'!$B$8:$B$192,0)),"")</f>
        <v>0.50305833</v>
      </c>
      <c r="F190" s="655">
        <f t="array" ref="F190">IFERROR((INDEX('Table 2.5a'!$H$8:$H$192,MATCH('Table 2.5b'!$A190&amp;'Table 2.5b'!$B190,'Table 2.5a'!$A$8:$A$192&amp;'Table 2.5a'!$B$8:$B$192,0))/INDEX('Table 2.5a'!$I$8:$I$192,MATCH('Table 2.5b'!$A190&amp;'Table 2.5b'!$B190,'Table 2.5a'!$A$8:$A$192&amp;'Table 2.5a'!$B$8:$B$192,0)))*1000, "")</f>
        <v>39180.563049853379</v>
      </c>
      <c r="G190" s="655">
        <f t="array" ref="G190">IFERROR((INDEX('Table 2.5a'!$G$8:$G$192,MATCH('Table 2.5b'!$A190&amp;'Table 2.5b'!$B190,'Table 2.5a'!$A$8:$A$192&amp;'Table 2.5a'!$B$8:$B$192,0))/INDEX('Table 2.5a'!$I$8:$I$192,MATCH('Table 2.5b'!$A190&amp;'Table 2.5b'!$B190,'Table 2.5a'!$A$8:$A$192&amp;'Table 2.5a'!$B$8:$B$192,0)))*1000, "")</f>
        <v>19710.108616318943</v>
      </c>
      <c r="H190" s="705">
        <f t="array" ref="H190">IFERROR(INDEX('Table 2.5a'!$G$8:$G$192,MATCH('Table 2.5b'!$A190&amp;'Table 2.5b'!$B190,'Table 2.5a'!$A$8:$A$192&amp;'Table 2.5a'!$B$8:$B$192,0))/INDEX('Table 2.5a'!$H$8:$H$192,MATCH('Table 2.5b'!$A190&amp;'Table 2.5b'!$B190,'Table 2.5a'!$A$8:$A$192&amp;'Table 2.5a'!$B$8:$B$192,0)),"")</f>
        <v>0.50305833</v>
      </c>
      <c r="I190" s="655">
        <f t="array" ref="I190">IFERROR((INDEX('Table 2.5a'!$L$8:$L$192,MATCH('Table 2.5b'!$A190&amp;'Table 2.5b'!$B190,'Table 2.5a'!$A$8:$A$192&amp;'Table 2.5a'!$B$8:$B$192,0))/INDEX('Table 2.5a'!$I$8:$I$192,MATCH('Table 2.5b'!$A190&amp;'Table 2.5b'!$B190,'Table 2.5a'!$A$8:$A$192&amp;'Table 2.5a'!$B$8:$B$192,0)))*1000, "")</f>
        <v>13942.897360703813</v>
      </c>
      <c r="J190" s="655">
        <f t="array" ref="J190">IFERROR((INDEX('Table 2.5a'!$K$8:$K$192,MATCH('Table 2.5b'!$A190&amp;'Table 2.5b'!$B190,'Table 2.5a'!$A$8:$A$192&amp;'Table 2.5a'!$B$8:$B$192,0))/INDEX('Table 2.5a'!$I$8:$I$192,MATCH('Table 2.5b'!$A190&amp;'Table 2.5b'!$B190,'Table 2.5a'!$A$8:$A$192&amp;'Table 2.5a'!$B$8:$B$192,0)))*1000, "")</f>
        <v>7014.0906616370685</v>
      </c>
      <c r="K190" s="705">
        <f t="array" ref="K190">IFERROR(INDEX('Table 2.5a'!$I$8:$I$192,MATCH('Table 2.5b'!$A190&amp;'Table 2.5b'!$B190,'Table 2.5a'!$A$8:$A$192&amp;'Table 2.5a'!$B$8:$B$192,0))/INDEX('Table 2.5a'!$L$8:$L$192,MATCH('Table 2.5b'!$A190&amp;'Table 2.5b'!$B190,'Table 2.5a'!$A$8:$A$192&amp;'Table 2.5a'!$B$8:$B$192,0)),"")</f>
        <v>7.1721104597554153E-2</v>
      </c>
      <c r="L190" s="658" t="s">
        <v>356</v>
      </c>
      <c r="M190" s="709">
        <f t="array" ref="M190">INDEX(UtilityList!Q$4:Q$251,MATCH('Table 2.5b'!$A190&amp;'Table 2.5b'!$B190,UtilityList!$A$4:$A$251&amp;UtilityList!$C$4:$C$251,0))</f>
        <v>0</v>
      </c>
      <c r="N190" s="709" t="str">
        <f t="array" ref="N190">INDEX(UtilityList!J$4:J$251,MATCH('Table 2.5b'!$A190&amp;'Table 2.5b'!$B190,UtilityList!$A$4:$A$251&amp;UtilityList!$C$4:$C$251,0))</f>
        <v>Southeast</v>
      </c>
      <c r="O190" s="709" t="str">
        <f t="array" ref="O190">INDEX(UtilityList!K$4:K$251,MATCH('Table 2.5b'!$A190&amp;'Table 2.5b'!$B190,UtilityList!$A$4:$A$251&amp;UtilityList!$C$4:$C$251,0))</f>
        <v>Yakutat</v>
      </c>
      <c r="P190" s="709" t="str">
        <f t="array" ref="P190">INDEX(UtilityList!L$4:L$251,MATCH('Table 2.5b'!$A190&amp;'Table 2.5b'!$B190,UtilityList!$A$4:$A$251&amp;UtilityList!$C$4:$C$251,0))</f>
        <v>Sealaska</v>
      </c>
      <c r="Q190" s="709" t="str">
        <f t="array" ref="Q190">INDEX(UtilityList!M$4:M$251,MATCH('Table 2.5b'!$A190&amp;'Table 2.5b'!$B190,UtilityList!$A$4:$A$251&amp;UtilityList!$C$4:$C$251,0))</f>
        <v>SE</v>
      </c>
    </row>
    <row r="191" spans="1:17" s="267" customFormat="1" x14ac:dyDescent="0.25">
      <c r="A191" s="272"/>
      <c r="B191" s="272"/>
      <c r="C191" s="288"/>
      <c r="D191" s="288"/>
      <c r="E191" s="288"/>
      <c r="F191" s="288"/>
      <c r="G191" s="288"/>
      <c r="H191" s="288"/>
      <c r="I191" s="287"/>
      <c r="J191" s="287"/>
      <c r="K191" s="287"/>
      <c r="L191" s="275"/>
      <c r="M191" s="271"/>
    </row>
    <row r="192" spans="1:17" s="267" customFormat="1" x14ac:dyDescent="0.25">
      <c r="A192" s="272"/>
      <c r="B192" s="272"/>
      <c r="C192" s="288"/>
      <c r="D192" s="288"/>
      <c r="E192" s="288"/>
      <c r="F192" s="288"/>
      <c r="G192" s="288"/>
      <c r="H192" s="288"/>
      <c r="I192" s="287"/>
      <c r="J192" s="287"/>
      <c r="K192" s="287"/>
      <c r="L192" s="275"/>
      <c r="M192" s="271"/>
    </row>
    <row r="193" spans="1:13" s="267" customFormat="1" x14ac:dyDescent="0.25">
      <c r="A193" s="272"/>
      <c r="B193" s="270"/>
      <c r="C193" s="288"/>
      <c r="D193" s="288"/>
      <c r="E193" s="288"/>
      <c r="F193" s="288"/>
      <c r="G193" s="288"/>
      <c r="H193" s="288"/>
      <c r="I193" s="288"/>
      <c r="J193" s="288"/>
      <c r="K193" s="288"/>
      <c r="L193" s="275"/>
      <c r="M193" s="279"/>
    </row>
    <row r="194" spans="1:13" s="267" customFormat="1" x14ac:dyDescent="0.25">
      <c r="A194" s="272"/>
      <c r="B194" s="273"/>
      <c r="C194" s="288"/>
      <c r="D194" s="288"/>
      <c r="E194" s="288"/>
      <c r="F194" s="288"/>
      <c r="G194" s="288"/>
      <c r="H194" s="288"/>
      <c r="I194" s="287"/>
      <c r="J194" s="287"/>
      <c r="K194" s="287"/>
      <c r="L194" s="275"/>
      <c r="M194" s="271"/>
    </row>
    <row r="195" spans="1:13" s="267" customFormat="1" x14ac:dyDescent="0.25">
      <c r="A195" s="272"/>
      <c r="B195" s="272"/>
      <c r="C195" s="288"/>
      <c r="D195" s="288"/>
      <c r="E195" s="288"/>
      <c r="F195" s="288"/>
      <c r="G195" s="288"/>
      <c r="H195" s="288"/>
      <c r="I195" s="287"/>
      <c r="J195" s="287"/>
      <c r="K195" s="287"/>
      <c r="L195" s="275"/>
      <c r="M195" s="271"/>
    </row>
    <row r="196" spans="1:13" s="267" customFormat="1" x14ac:dyDescent="0.25">
      <c r="A196" s="272"/>
      <c r="B196" s="272"/>
      <c r="C196" s="288"/>
      <c r="D196" s="288"/>
      <c r="E196" s="288"/>
      <c r="F196" s="288"/>
      <c r="G196" s="288"/>
      <c r="H196" s="288"/>
      <c r="I196" s="287"/>
      <c r="J196" s="287"/>
      <c r="K196" s="287"/>
      <c r="L196" s="275"/>
      <c r="M196" s="271"/>
    </row>
    <row r="197" spans="1:13" s="267" customFormat="1" x14ac:dyDescent="0.25">
      <c r="A197" s="272"/>
      <c r="B197" s="273"/>
      <c r="C197" s="288"/>
      <c r="D197" s="288"/>
      <c r="E197" s="288"/>
      <c r="F197" s="288"/>
      <c r="G197" s="288"/>
      <c r="H197" s="288"/>
      <c r="I197" s="287"/>
      <c r="J197" s="287"/>
      <c r="K197" s="287"/>
      <c r="L197" s="275"/>
      <c r="M197" s="279"/>
    </row>
    <row r="198" spans="1:13" s="267" customFormat="1" x14ac:dyDescent="0.25">
      <c r="A198" s="272"/>
      <c r="B198" s="272"/>
      <c r="C198" s="288"/>
      <c r="D198" s="288"/>
      <c r="E198" s="288"/>
      <c r="F198" s="288"/>
      <c r="G198" s="288"/>
      <c r="H198" s="288"/>
      <c r="I198" s="287"/>
      <c r="J198" s="287"/>
      <c r="K198" s="287"/>
      <c r="L198" s="275"/>
      <c r="M198" s="271"/>
    </row>
    <row r="199" spans="1:13" s="267" customFormat="1" x14ac:dyDescent="0.25">
      <c r="A199" s="272"/>
      <c r="B199" s="273"/>
      <c r="C199" s="288"/>
      <c r="D199" s="288"/>
      <c r="E199" s="288"/>
      <c r="F199" s="288"/>
      <c r="G199" s="288"/>
      <c r="H199" s="288"/>
      <c r="I199" s="287"/>
      <c r="J199" s="287"/>
      <c r="K199" s="287"/>
      <c r="L199" s="275"/>
      <c r="M199" s="278"/>
    </row>
    <row r="200" spans="1:13" s="267" customFormat="1" x14ac:dyDescent="0.25">
      <c r="A200" s="272"/>
      <c r="B200" s="272"/>
      <c r="C200" s="288"/>
      <c r="D200" s="288"/>
      <c r="E200" s="288"/>
      <c r="F200" s="288"/>
      <c r="G200" s="288"/>
      <c r="H200" s="288"/>
      <c r="I200" s="287"/>
      <c r="J200" s="287"/>
      <c r="K200" s="287"/>
      <c r="L200" s="275"/>
      <c r="M200" s="284"/>
    </row>
    <row r="201" spans="1:13" s="267" customFormat="1" x14ac:dyDescent="0.25">
      <c r="A201" s="272"/>
      <c r="B201" s="272"/>
      <c r="C201" s="288"/>
      <c r="D201" s="288"/>
      <c r="E201" s="288"/>
      <c r="F201" s="288"/>
      <c r="G201" s="288"/>
      <c r="H201" s="288"/>
      <c r="I201" s="287"/>
      <c r="J201" s="287"/>
      <c r="K201" s="287"/>
      <c r="L201" s="275"/>
      <c r="M201" s="271"/>
    </row>
    <row r="202" spans="1:13" s="267" customFormat="1" x14ac:dyDescent="0.25">
      <c r="A202" s="272"/>
      <c r="B202" s="270"/>
      <c r="C202" s="288"/>
      <c r="D202" s="288"/>
      <c r="E202" s="288"/>
      <c r="F202" s="288"/>
      <c r="G202" s="288"/>
      <c r="H202" s="288"/>
      <c r="I202" s="287"/>
      <c r="J202" s="287"/>
      <c r="K202" s="287"/>
      <c r="L202" s="282"/>
      <c r="M202" s="271"/>
    </row>
    <row r="203" spans="1:13" s="267" customFormat="1" x14ac:dyDescent="0.25">
      <c r="A203" s="272"/>
      <c r="B203" s="272"/>
      <c r="C203" s="288"/>
      <c r="D203" s="288"/>
      <c r="E203" s="288"/>
      <c r="F203" s="288"/>
      <c r="G203" s="288"/>
      <c r="H203" s="288"/>
      <c r="I203" s="287"/>
      <c r="J203" s="287"/>
      <c r="K203" s="287"/>
      <c r="L203" s="275"/>
      <c r="M203" s="271"/>
    </row>
    <row r="204" spans="1:13" s="267" customFormat="1" x14ac:dyDescent="0.25">
      <c r="A204" s="272"/>
      <c r="B204" s="273"/>
      <c r="C204" s="288"/>
      <c r="D204" s="288"/>
      <c r="E204" s="288"/>
      <c r="F204" s="288"/>
      <c r="G204" s="288"/>
      <c r="H204" s="288"/>
      <c r="I204" s="288"/>
      <c r="J204" s="288"/>
      <c r="K204" s="288"/>
      <c r="L204" s="275"/>
      <c r="M204" s="279"/>
    </row>
    <row r="205" spans="1:13" s="267" customFormat="1" x14ac:dyDescent="0.25">
      <c r="A205" s="272"/>
      <c r="B205" s="273"/>
      <c r="C205" s="288"/>
      <c r="D205" s="288"/>
      <c r="E205" s="288"/>
      <c r="F205" s="288"/>
      <c r="G205" s="288"/>
      <c r="H205" s="288"/>
      <c r="I205" s="287"/>
      <c r="J205" s="287"/>
      <c r="K205" s="287"/>
      <c r="L205" s="275"/>
      <c r="M205" s="271"/>
    </row>
    <row r="206" spans="1:13" s="267" customFormat="1" x14ac:dyDescent="0.25">
      <c r="A206" s="272"/>
      <c r="B206" s="276"/>
      <c r="C206" s="288"/>
      <c r="D206" s="288"/>
      <c r="E206" s="288"/>
      <c r="F206" s="288"/>
      <c r="G206" s="288"/>
      <c r="H206" s="288"/>
      <c r="I206" s="287"/>
      <c r="J206" s="287"/>
      <c r="K206" s="287"/>
      <c r="L206" s="282"/>
      <c r="M206" s="279"/>
    </row>
    <row r="207" spans="1:13" s="267" customFormat="1" x14ac:dyDescent="0.25">
      <c r="A207" s="272"/>
      <c r="B207" s="274"/>
      <c r="C207" s="288"/>
      <c r="D207" s="288"/>
      <c r="E207" s="288"/>
      <c r="F207" s="288"/>
      <c r="G207" s="288"/>
      <c r="H207" s="288"/>
      <c r="I207" s="287"/>
      <c r="J207" s="287"/>
      <c r="K207" s="287"/>
      <c r="L207" s="282"/>
      <c r="M207" s="279"/>
    </row>
    <row r="208" spans="1:13" s="267" customFormat="1" x14ac:dyDescent="0.25">
      <c r="A208" s="272"/>
      <c r="B208" s="276"/>
      <c r="C208" s="288"/>
      <c r="D208" s="288"/>
      <c r="E208" s="288"/>
      <c r="F208" s="288"/>
      <c r="G208" s="288"/>
      <c r="H208" s="288"/>
      <c r="I208" s="287"/>
      <c r="J208" s="287"/>
      <c r="K208" s="287"/>
      <c r="L208" s="282"/>
      <c r="M208" s="279"/>
    </row>
    <row r="209" spans="1:13" s="267" customFormat="1" ht="30" customHeight="1" x14ac:dyDescent="0.25">
      <c r="A209" s="280"/>
      <c r="B209" s="280"/>
      <c r="C209" s="280"/>
      <c r="D209" s="280"/>
      <c r="E209" s="280"/>
      <c r="F209" s="280"/>
      <c r="G209" s="280"/>
      <c r="H209" s="280"/>
      <c r="I209" s="293"/>
      <c r="J209" s="293"/>
      <c r="K209" s="293"/>
      <c r="L209" s="281"/>
      <c r="M209" s="273"/>
    </row>
    <row r="210" spans="1:13" s="267" customFormat="1" ht="30" customHeight="1" x14ac:dyDescent="0.25">
      <c r="A210" s="280"/>
      <c r="B210" s="280"/>
      <c r="C210" s="280"/>
      <c r="D210" s="280"/>
      <c r="E210" s="280"/>
      <c r="F210" s="280"/>
      <c r="G210" s="280"/>
      <c r="H210" s="280"/>
      <c r="I210" s="280"/>
      <c r="J210" s="280"/>
      <c r="K210" s="280"/>
      <c r="L210" s="281"/>
      <c r="M210" s="273"/>
    </row>
    <row r="211" spans="1:13" s="267" customFormat="1" ht="30" customHeight="1" x14ac:dyDescent="0.25">
      <c r="A211" s="280"/>
      <c r="B211" s="280"/>
      <c r="C211" s="280"/>
      <c r="D211" s="280"/>
      <c r="E211" s="280"/>
      <c r="F211" s="280"/>
      <c r="G211" s="280"/>
      <c r="H211" s="280"/>
      <c r="I211" s="280"/>
      <c r="J211" s="280"/>
      <c r="K211" s="280"/>
      <c r="L211" s="281"/>
      <c r="M211" s="273"/>
    </row>
    <row r="212" spans="1:13" s="267" customFormat="1" ht="30" customHeight="1" x14ac:dyDescent="0.25">
      <c r="A212" s="280"/>
      <c r="B212" s="280"/>
      <c r="C212" s="280"/>
      <c r="D212" s="280"/>
      <c r="E212" s="280"/>
      <c r="F212" s="280"/>
      <c r="G212" s="280"/>
      <c r="H212" s="280"/>
      <c r="I212" s="280"/>
      <c r="J212" s="280"/>
      <c r="K212" s="280"/>
      <c r="L212" s="281"/>
      <c r="M212" s="273"/>
    </row>
    <row r="213" spans="1:13" s="267" customFormat="1" ht="30" customHeight="1" x14ac:dyDescent="0.25">
      <c r="A213" s="280"/>
      <c r="B213" s="280"/>
      <c r="C213" s="280"/>
      <c r="D213" s="280"/>
      <c r="E213" s="280"/>
      <c r="F213" s="280"/>
      <c r="G213" s="280"/>
      <c r="H213" s="280"/>
      <c r="I213" s="280"/>
      <c r="J213" s="280"/>
      <c r="K213" s="280"/>
      <c r="L213" s="281"/>
      <c r="M213" s="273"/>
    </row>
    <row r="214" spans="1:13" s="267" customFormat="1" ht="30" customHeight="1" x14ac:dyDescent="0.25">
      <c r="A214" s="280"/>
      <c r="B214" s="280"/>
      <c r="C214" s="280"/>
      <c r="D214" s="280"/>
      <c r="E214" s="280"/>
      <c r="F214" s="280"/>
      <c r="G214" s="280"/>
      <c r="H214" s="280"/>
      <c r="I214" s="280"/>
      <c r="J214" s="280"/>
      <c r="K214" s="280"/>
      <c r="L214" s="281"/>
      <c r="M214" s="273"/>
    </row>
    <row r="215" spans="1:13" s="267" customFormat="1" ht="30" customHeight="1" x14ac:dyDescent="0.25">
      <c r="A215" s="280"/>
      <c r="B215" s="280"/>
      <c r="C215" s="280"/>
      <c r="D215" s="280"/>
      <c r="E215" s="280"/>
      <c r="F215" s="280"/>
      <c r="G215" s="280"/>
      <c r="H215" s="280"/>
      <c r="I215" s="280"/>
      <c r="J215" s="280"/>
      <c r="K215" s="280"/>
      <c r="L215" s="281"/>
      <c r="M215" s="273"/>
    </row>
    <row r="216" spans="1:13" s="267" customFormat="1" ht="30" customHeight="1" x14ac:dyDescent="0.25">
      <c r="A216" s="280"/>
      <c r="B216" s="280"/>
      <c r="C216" s="280"/>
      <c r="D216" s="280"/>
      <c r="E216" s="280"/>
      <c r="F216" s="280"/>
      <c r="G216" s="280"/>
      <c r="H216" s="280"/>
      <c r="I216" s="280"/>
      <c r="J216" s="280"/>
      <c r="K216" s="280"/>
      <c r="L216" s="281"/>
      <c r="M216" s="273"/>
    </row>
    <row r="217" spans="1:13" s="267" customFormat="1" ht="30" customHeight="1" x14ac:dyDescent="0.25">
      <c r="A217" s="280"/>
      <c r="B217" s="280"/>
      <c r="C217" s="280"/>
      <c r="D217" s="280"/>
      <c r="E217" s="280"/>
      <c r="F217" s="280"/>
      <c r="G217" s="280"/>
      <c r="H217" s="280"/>
      <c r="I217" s="280"/>
      <c r="J217" s="280"/>
      <c r="K217" s="280"/>
      <c r="L217" s="281"/>
      <c r="M217" s="273"/>
    </row>
    <row r="218" spans="1:13" s="267" customFormat="1" ht="30" customHeight="1" x14ac:dyDescent="0.25">
      <c r="A218" s="280"/>
      <c r="B218" s="280"/>
      <c r="C218" s="280"/>
      <c r="D218" s="280"/>
      <c r="E218" s="280"/>
      <c r="F218" s="280"/>
      <c r="G218" s="280"/>
      <c r="H218" s="280"/>
      <c r="I218" s="280"/>
      <c r="J218" s="280"/>
      <c r="K218" s="280"/>
      <c r="L218" s="281"/>
      <c r="M218" s="273"/>
    </row>
    <row r="219" spans="1:13" s="267" customFormat="1" ht="30" customHeight="1" x14ac:dyDescent="0.25">
      <c r="A219" s="280"/>
      <c r="B219" s="280"/>
      <c r="C219" s="280"/>
      <c r="D219" s="280"/>
      <c r="E219" s="280"/>
      <c r="F219" s="280"/>
      <c r="G219" s="280"/>
      <c r="H219" s="280"/>
      <c r="I219" s="280"/>
      <c r="J219" s="280"/>
      <c r="K219" s="280"/>
      <c r="L219" s="281"/>
      <c r="M219" s="273"/>
    </row>
    <row r="220" spans="1:13" s="267" customFormat="1" ht="30" customHeight="1" x14ac:dyDescent="0.25">
      <c r="A220" s="280"/>
      <c r="B220" s="280"/>
      <c r="C220" s="280"/>
      <c r="D220" s="280"/>
      <c r="E220" s="280"/>
      <c r="F220" s="280"/>
      <c r="G220" s="280"/>
      <c r="H220" s="280"/>
      <c r="I220" s="280"/>
      <c r="J220" s="280"/>
      <c r="K220" s="280"/>
      <c r="L220" s="281"/>
      <c r="M220" s="273"/>
    </row>
    <row r="221" spans="1:13" s="267" customFormat="1" ht="30" customHeight="1" x14ac:dyDescent="0.25">
      <c r="A221" s="280"/>
      <c r="B221" s="280"/>
      <c r="C221" s="280"/>
      <c r="D221" s="280"/>
      <c r="E221" s="280"/>
      <c r="F221" s="280"/>
      <c r="G221" s="280"/>
      <c r="H221" s="280"/>
      <c r="I221" s="280"/>
      <c r="J221" s="280"/>
      <c r="K221" s="280"/>
      <c r="L221" s="281"/>
      <c r="M221" s="273"/>
    </row>
    <row r="222" spans="1:13" s="267" customFormat="1" ht="30" customHeight="1" x14ac:dyDescent="0.25">
      <c r="A222" s="280"/>
      <c r="B222" s="280"/>
      <c r="C222" s="280"/>
      <c r="D222" s="280"/>
      <c r="E222" s="280"/>
      <c r="F222" s="280"/>
      <c r="G222" s="280"/>
      <c r="H222" s="280"/>
      <c r="I222" s="280"/>
      <c r="J222" s="280"/>
      <c r="K222" s="280"/>
      <c r="L222" s="281"/>
      <c r="M222" s="273"/>
    </row>
    <row r="223" spans="1:13" s="267" customFormat="1" ht="30" customHeight="1" x14ac:dyDescent="0.25">
      <c r="A223" s="280"/>
      <c r="B223" s="280"/>
      <c r="C223" s="280"/>
      <c r="D223" s="280"/>
      <c r="E223" s="280"/>
      <c r="F223" s="280"/>
      <c r="G223" s="280"/>
      <c r="H223" s="280"/>
      <c r="I223" s="280"/>
      <c r="J223" s="280"/>
      <c r="K223" s="280"/>
      <c r="L223" s="281"/>
      <c r="M223" s="273"/>
    </row>
    <row r="224" spans="1:13" s="267" customFormat="1" ht="30" customHeight="1" x14ac:dyDescent="0.25">
      <c r="A224" s="280"/>
      <c r="B224" s="280"/>
      <c r="C224" s="280"/>
      <c r="D224" s="280"/>
      <c r="E224" s="280"/>
      <c r="F224" s="280"/>
      <c r="G224" s="280"/>
      <c r="H224" s="280"/>
      <c r="I224" s="280"/>
      <c r="J224" s="280"/>
      <c r="K224" s="280"/>
      <c r="L224" s="281"/>
      <c r="M224" s="273"/>
    </row>
    <row r="225" spans="1:13" s="267" customFormat="1" ht="30" customHeight="1" x14ac:dyDescent="0.25">
      <c r="A225" s="280"/>
      <c r="B225" s="280"/>
      <c r="C225" s="280"/>
      <c r="D225" s="280"/>
      <c r="E225" s="280"/>
      <c r="F225" s="280"/>
      <c r="G225" s="280"/>
      <c r="H225" s="280"/>
      <c r="I225" s="280"/>
      <c r="J225" s="280"/>
      <c r="K225" s="280"/>
      <c r="L225" s="281"/>
      <c r="M225" s="273"/>
    </row>
    <row r="226" spans="1:13" s="267" customFormat="1" ht="30" customHeight="1" x14ac:dyDescent="0.25">
      <c r="A226" s="280"/>
      <c r="B226" s="280"/>
      <c r="C226" s="280"/>
      <c r="D226" s="280"/>
      <c r="E226" s="280"/>
      <c r="F226" s="280"/>
      <c r="G226" s="280"/>
      <c r="H226" s="280"/>
      <c r="I226" s="280"/>
      <c r="J226" s="280"/>
      <c r="K226" s="280"/>
      <c r="L226" s="281"/>
      <c r="M226" s="273"/>
    </row>
    <row r="227" spans="1:13" s="267" customFormat="1" ht="30" customHeight="1" x14ac:dyDescent="0.25">
      <c r="A227" s="280"/>
      <c r="B227" s="280"/>
      <c r="C227" s="280"/>
      <c r="D227" s="280"/>
      <c r="E227" s="280"/>
      <c r="F227" s="280"/>
      <c r="G227" s="280"/>
      <c r="H227" s="280"/>
      <c r="I227" s="280"/>
      <c r="J227" s="280"/>
      <c r="K227" s="280"/>
      <c r="L227" s="281"/>
      <c r="M227" s="273"/>
    </row>
    <row r="228" spans="1:13" s="267" customFormat="1" ht="30" customHeight="1" x14ac:dyDescent="0.25">
      <c r="A228" s="280"/>
      <c r="B228" s="280"/>
      <c r="C228" s="280"/>
      <c r="D228" s="280"/>
      <c r="E228" s="280"/>
      <c r="F228" s="280"/>
      <c r="G228" s="280"/>
      <c r="H228" s="280"/>
      <c r="I228" s="280"/>
      <c r="J228" s="280"/>
      <c r="K228" s="280"/>
      <c r="L228" s="281"/>
      <c r="M228" s="273"/>
    </row>
    <row r="229" spans="1:13" s="267" customFormat="1" ht="30" customHeight="1" x14ac:dyDescent="0.25">
      <c r="A229" s="280"/>
      <c r="B229" s="280"/>
      <c r="C229" s="280"/>
      <c r="D229" s="280"/>
      <c r="E229" s="280"/>
      <c r="F229" s="280"/>
      <c r="G229" s="280"/>
      <c r="H229" s="280"/>
      <c r="I229" s="280"/>
      <c r="J229" s="280"/>
      <c r="K229" s="280"/>
      <c r="L229" s="281"/>
      <c r="M229" s="273"/>
    </row>
    <row r="230" spans="1:13" s="267" customFormat="1" ht="30" customHeight="1" x14ac:dyDescent="0.25">
      <c r="A230" s="280"/>
      <c r="B230" s="280"/>
      <c r="C230" s="280"/>
      <c r="D230" s="280"/>
      <c r="E230" s="280"/>
      <c r="F230" s="280"/>
      <c r="G230" s="280"/>
      <c r="H230" s="280"/>
      <c r="I230" s="280"/>
      <c r="J230" s="280"/>
      <c r="K230" s="280"/>
      <c r="L230" s="281"/>
      <c r="M230" s="273"/>
    </row>
    <row r="231" spans="1:13" s="267" customFormat="1" ht="30" customHeight="1" x14ac:dyDescent="0.25">
      <c r="A231" s="280"/>
      <c r="B231" s="280"/>
      <c r="C231" s="280"/>
      <c r="D231" s="280"/>
      <c r="E231" s="280"/>
      <c r="F231" s="280"/>
      <c r="G231" s="280"/>
      <c r="H231" s="280"/>
      <c r="I231" s="280"/>
      <c r="J231" s="280"/>
      <c r="K231" s="280"/>
      <c r="L231" s="281"/>
      <c r="M231" s="273"/>
    </row>
    <row r="232" spans="1:13" s="267" customFormat="1" ht="30" customHeight="1" x14ac:dyDescent="0.25">
      <c r="A232" s="280"/>
      <c r="B232" s="280"/>
      <c r="C232" s="280"/>
      <c r="D232" s="280"/>
      <c r="E232" s="280"/>
      <c r="F232" s="280"/>
      <c r="G232" s="280"/>
      <c r="H232" s="280"/>
      <c r="I232" s="280"/>
      <c r="J232" s="280"/>
      <c r="K232" s="280"/>
      <c r="L232" s="281"/>
      <c r="M232" s="273"/>
    </row>
    <row r="233" spans="1:13" s="267" customFormat="1" ht="30" customHeight="1" x14ac:dyDescent="0.25">
      <c r="A233" s="280"/>
      <c r="B233" s="280"/>
      <c r="C233" s="280"/>
      <c r="D233" s="280"/>
      <c r="E233" s="280"/>
      <c r="F233" s="280"/>
      <c r="G233" s="280"/>
      <c r="H233" s="280"/>
      <c r="I233" s="280"/>
      <c r="J233" s="280"/>
      <c r="K233" s="280"/>
      <c r="L233" s="281"/>
      <c r="M233" s="273"/>
    </row>
    <row r="234" spans="1:13" s="267" customFormat="1" ht="30" customHeight="1" x14ac:dyDescent="0.25">
      <c r="A234" s="280"/>
      <c r="B234" s="280"/>
      <c r="C234" s="280"/>
      <c r="D234" s="280"/>
      <c r="E234" s="280"/>
      <c r="F234" s="280"/>
      <c r="G234" s="280"/>
      <c r="H234" s="280"/>
      <c r="I234" s="280"/>
      <c r="J234" s="280"/>
      <c r="K234" s="280"/>
      <c r="L234" s="281"/>
      <c r="M234" s="273"/>
    </row>
    <row r="235" spans="1:13" s="267" customFormat="1" ht="30" customHeight="1" x14ac:dyDescent="0.25">
      <c r="A235" s="280"/>
      <c r="B235" s="280"/>
      <c r="C235" s="280"/>
      <c r="D235" s="280"/>
      <c r="E235" s="280"/>
      <c r="F235" s="280"/>
      <c r="G235" s="280"/>
      <c r="H235" s="280"/>
      <c r="I235" s="280"/>
      <c r="J235" s="280"/>
      <c r="K235" s="280"/>
      <c r="L235" s="281"/>
      <c r="M235" s="273"/>
    </row>
    <row r="236" spans="1:13" s="267" customFormat="1" ht="30" customHeight="1" x14ac:dyDescent="0.25">
      <c r="A236" s="280"/>
      <c r="B236" s="280"/>
      <c r="C236" s="280"/>
      <c r="D236" s="280"/>
      <c r="E236" s="280"/>
      <c r="F236" s="280"/>
      <c r="G236" s="280"/>
      <c r="H236" s="280"/>
      <c r="I236" s="280"/>
      <c r="J236" s="280"/>
      <c r="K236" s="280"/>
      <c r="L236" s="281"/>
      <c r="M236" s="273"/>
    </row>
    <row r="237" spans="1:13" s="267" customFormat="1" ht="30" customHeight="1" x14ac:dyDescent="0.25">
      <c r="A237" s="280"/>
      <c r="B237" s="280"/>
      <c r="C237" s="280"/>
      <c r="D237" s="280"/>
      <c r="E237" s="280"/>
      <c r="F237" s="280"/>
      <c r="G237" s="280"/>
      <c r="H237" s="280"/>
      <c r="I237" s="280"/>
      <c r="J237" s="280"/>
      <c r="K237" s="280"/>
      <c r="L237" s="281"/>
      <c r="M237" s="273"/>
    </row>
    <row r="238" spans="1:13" s="267" customFormat="1" ht="30" customHeight="1" x14ac:dyDescent="0.25">
      <c r="A238" s="280"/>
      <c r="B238" s="280"/>
      <c r="C238" s="280"/>
      <c r="D238" s="280"/>
      <c r="E238" s="280"/>
      <c r="F238" s="280"/>
      <c r="G238" s="280"/>
      <c r="H238" s="280"/>
      <c r="I238" s="280"/>
      <c r="J238" s="280"/>
      <c r="K238" s="280"/>
      <c r="L238" s="281"/>
      <c r="M238" s="273"/>
    </row>
    <row r="239" spans="1:13" s="267" customFormat="1" ht="30" customHeight="1" x14ac:dyDescent="0.25">
      <c r="A239" s="280"/>
      <c r="B239" s="280"/>
      <c r="C239" s="280"/>
      <c r="D239" s="280"/>
      <c r="E239" s="280"/>
      <c r="F239" s="280"/>
      <c r="G239" s="280"/>
      <c r="H239" s="280"/>
      <c r="I239" s="280"/>
      <c r="J239" s="280"/>
      <c r="K239" s="280"/>
      <c r="L239" s="281"/>
      <c r="M239" s="273"/>
    </row>
    <row r="240" spans="1:13" s="267" customFormat="1" ht="30" customHeight="1" x14ac:dyDescent="0.25">
      <c r="A240" s="280"/>
      <c r="B240" s="280"/>
      <c r="C240" s="280"/>
      <c r="D240" s="280"/>
      <c r="E240" s="280"/>
      <c r="F240" s="280"/>
      <c r="G240" s="280"/>
      <c r="H240" s="280"/>
      <c r="I240" s="280"/>
      <c r="J240" s="280"/>
      <c r="K240" s="280"/>
      <c r="L240" s="281"/>
      <c r="M240" s="273"/>
    </row>
    <row r="241" spans="1:13" s="267" customFormat="1" ht="30" customHeight="1" x14ac:dyDescent="0.25">
      <c r="A241" s="280"/>
      <c r="B241" s="280"/>
      <c r="C241" s="280"/>
      <c r="D241" s="280"/>
      <c r="E241" s="280"/>
      <c r="F241" s="280"/>
      <c r="G241" s="280"/>
      <c r="H241" s="280"/>
      <c r="I241" s="280"/>
      <c r="J241" s="280"/>
      <c r="K241" s="280"/>
      <c r="L241" s="281"/>
      <c r="M241" s="273"/>
    </row>
    <row r="242" spans="1:13" s="267" customFormat="1" ht="30" customHeight="1" x14ac:dyDescent="0.25">
      <c r="A242" s="280"/>
      <c r="B242" s="280"/>
      <c r="C242" s="280"/>
      <c r="D242" s="280"/>
      <c r="E242" s="280"/>
      <c r="F242" s="280"/>
      <c r="G242" s="280"/>
      <c r="H242" s="280"/>
      <c r="I242" s="280"/>
      <c r="J242" s="280"/>
      <c r="K242" s="280"/>
      <c r="L242" s="281"/>
      <c r="M242" s="273"/>
    </row>
    <row r="243" spans="1:13" s="267" customFormat="1" ht="30" customHeight="1" x14ac:dyDescent="0.25">
      <c r="A243" s="280"/>
      <c r="B243" s="280"/>
      <c r="C243" s="280"/>
      <c r="D243" s="280"/>
      <c r="E243" s="280"/>
      <c r="F243" s="280"/>
      <c r="G243" s="280"/>
      <c r="H243" s="280"/>
      <c r="I243" s="280"/>
      <c r="J243" s="280"/>
      <c r="K243" s="280"/>
      <c r="L243" s="281"/>
      <c r="M243" s="273"/>
    </row>
    <row r="244" spans="1:13" s="267" customFormat="1" ht="30" customHeight="1" x14ac:dyDescent="0.25">
      <c r="A244" s="280"/>
      <c r="B244" s="280"/>
      <c r="C244" s="280"/>
      <c r="D244" s="280"/>
      <c r="E244" s="280"/>
      <c r="F244" s="280"/>
      <c r="G244" s="280"/>
      <c r="H244" s="280"/>
      <c r="I244" s="280"/>
      <c r="J244" s="280"/>
      <c r="K244" s="280"/>
      <c r="L244" s="281"/>
      <c r="M244" s="273"/>
    </row>
    <row r="245" spans="1:13" s="267" customFormat="1" ht="30" customHeight="1" x14ac:dyDescent="0.25">
      <c r="A245" s="280"/>
      <c r="B245" s="280"/>
      <c r="C245" s="280"/>
      <c r="D245" s="280"/>
      <c r="E245" s="280"/>
      <c r="F245" s="280"/>
      <c r="G245" s="280"/>
      <c r="H245" s="280"/>
      <c r="I245" s="280"/>
      <c r="J245" s="280"/>
      <c r="K245" s="280"/>
      <c r="L245" s="281"/>
      <c r="M245" s="273"/>
    </row>
    <row r="246" spans="1:13" s="267" customFormat="1" ht="30" customHeight="1" x14ac:dyDescent="0.25">
      <c r="A246" s="280"/>
      <c r="B246" s="280"/>
      <c r="C246" s="280"/>
      <c r="D246" s="280"/>
      <c r="E246" s="280"/>
      <c r="F246" s="280"/>
      <c r="G246" s="280"/>
      <c r="H246" s="280"/>
      <c r="I246" s="280"/>
      <c r="J246" s="280"/>
      <c r="K246" s="280"/>
      <c r="L246" s="281"/>
      <c r="M246" s="273"/>
    </row>
    <row r="247" spans="1:13" s="267" customFormat="1" ht="30" customHeight="1" x14ac:dyDescent="0.25">
      <c r="A247" s="280"/>
      <c r="B247" s="280"/>
      <c r="C247" s="280"/>
      <c r="D247" s="280"/>
      <c r="E247" s="280"/>
      <c r="F247" s="280"/>
      <c r="G247" s="280"/>
      <c r="H247" s="280"/>
      <c r="I247" s="280"/>
      <c r="J247" s="280"/>
      <c r="K247" s="280"/>
      <c r="L247" s="281"/>
      <c r="M247" s="273"/>
    </row>
    <row r="248" spans="1:13" s="267" customFormat="1" ht="30" customHeight="1" x14ac:dyDescent="0.25">
      <c r="A248" s="280"/>
      <c r="B248" s="280"/>
      <c r="C248" s="280"/>
      <c r="D248" s="280"/>
      <c r="E248" s="280"/>
      <c r="F248" s="280"/>
      <c r="G248" s="280"/>
      <c r="H248" s="280"/>
      <c r="I248" s="280"/>
      <c r="J248" s="280"/>
      <c r="K248" s="280"/>
      <c r="L248" s="281"/>
      <c r="M248" s="273"/>
    </row>
    <row r="249" spans="1:13" s="267" customFormat="1" ht="30" customHeight="1" x14ac:dyDescent="0.25">
      <c r="A249" s="280"/>
      <c r="B249" s="280"/>
      <c r="C249" s="280"/>
      <c r="D249" s="280"/>
      <c r="E249" s="280"/>
      <c r="F249" s="280"/>
      <c r="G249" s="280"/>
      <c r="H249" s="280"/>
      <c r="I249" s="280"/>
      <c r="J249" s="280"/>
      <c r="K249" s="280"/>
      <c r="L249" s="281"/>
      <c r="M249" s="273"/>
    </row>
    <row r="250" spans="1:13" s="267" customFormat="1" ht="30" customHeight="1" x14ac:dyDescent="0.25">
      <c r="A250" s="280"/>
      <c r="B250" s="280"/>
      <c r="C250" s="280"/>
      <c r="D250" s="280"/>
      <c r="E250" s="280"/>
      <c r="F250" s="280"/>
      <c r="G250" s="280"/>
      <c r="H250" s="280"/>
      <c r="I250" s="280"/>
      <c r="J250" s="280"/>
      <c r="K250" s="280"/>
      <c r="L250" s="281"/>
      <c r="M250" s="273"/>
    </row>
    <row r="251" spans="1:13" s="267" customFormat="1" ht="30" customHeight="1" x14ac:dyDescent="0.25">
      <c r="A251" s="280"/>
      <c r="B251" s="280"/>
      <c r="C251" s="280"/>
      <c r="D251" s="280"/>
      <c r="E251" s="280"/>
      <c r="F251" s="280"/>
      <c r="G251" s="280"/>
      <c r="H251" s="280"/>
      <c r="I251" s="280"/>
      <c r="J251" s="280"/>
      <c r="K251" s="280"/>
      <c r="L251" s="281"/>
      <c r="M251" s="273"/>
    </row>
    <row r="252" spans="1:13" s="267" customFormat="1" ht="24.95" customHeight="1" x14ac:dyDescent="0.25">
      <c r="A252" s="280"/>
      <c r="B252" s="280"/>
      <c r="C252" s="280"/>
      <c r="D252" s="280"/>
      <c r="E252" s="280"/>
      <c r="F252" s="280"/>
      <c r="G252" s="280"/>
      <c r="H252" s="280"/>
      <c r="I252" s="280"/>
      <c r="J252" s="280"/>
      <c r="K252" s="280"/>
      <c r="L252" s="281"/>
      <c r="M252" s="273"/>
    </row>
    <row r="253" spans="1:13" s="267" customFormat="1" ht="24.95" customHeight="1" x14ac:dyDescent="0.25">
      <c r="A253" s="280"/>
      <c r="B253" s="280"/>
      <c r="C253" s="280"/>
      <c r="D253" s="280"/>
      <c r="E253" s="280"/>
      <c r="F253" s="280"/>
      <c r="G253" s="280"/>
      <c r="H253" s="280"/>
      <c r="I253" s="280"/>
      <c r="J253" s="280"/>
      <c r="K253" s="280"/>
      <c r="L253" s="281"/>
      <c r="M253" s="273"/>
    </row>
    <row r="254" spans="1:13" s="267" customFormat="1" ht="24.95" customHeight="1" x14ac:dyDescent="0.25">
      <c r="A254" s="280"/>
      <c r="B254" s="280"/>
      <c r="C254" s="280"/>
      <c r="D254" s="280"/>
      <c r="E254" s="280"/>
      <c r="F254" s="280"/>
      <c r="G254" s="280"/>
      <c r="H254" s="280"/>
      <c r="I254" s="280"/>
      <c r="J254" s="280"/>
      <c r="K254" s="280"/>
      <c r="L254" s="281"/>
      <c r="M254" s="273"/>
    </row>
    <row r="255" spans="1:13" s="267" customFormat="1" ht="24.95" customHeight="1" x14ac:dyDescent="0.25">
      <c r="A255" s="280"/>
      <c r="B255" s="280"/>
      <c r="C255" s="280"/>
      <c r="D255" s="280"/>
      <c r="E255" s="280"/>
      <c r="F255" s="280"/>
      <c r="G255" s="280"/>
      <c r="H255" s="280"/>
      <c r="I255" s="280"/>
      <c r="J255" s="280"/>
      <c r="K255" s="280"/>
      <c r="L255" s="281"/>
      <c r="M255" s="273"/>
    </row>
    <row r="256" spans="1:13" s="267" customFormat="1" ht="24.95" customHeight="1" x14ac:dyDescent="0.25">
      <c r="A256" s="280"/>
      <c r="B256" s="280"/>
      <c r="C256" s="280"/>
      <c r="D256" s="280"/>
      <c r="E256" s="280"/>
      <c r="F256" s="280"/>
      <c r="G256" s="280"/>
      <c r="H256" s="280"/>
      <c r="I256" s="280"/>
      <c r="J256" s="280"/>
      <c r="K256" s="280"/>
      <c r="L256" s="281"/>
      <c r="M256" s="273"/>
    </row>
    <row r="257" spans="1:13" s="267" customFormat="1" ht="24.95" customHeight="1" x14ac:dyDescent="0.25">
      <c r="A257" s="280"/>
      <c r="B257" s="280"/>
      <c r="C257" s="280"/>
      <c r="D257" s="280"/>
      <c r="E257" s="280"/>
      <c r="F257" s="280"/>
      <c r="G257" s="280"/>
      <c r="H257" s="280"/>
      <c r="I257" s="280"/>
      <c r="J257" s="280"/>
      <c r="K257" s="280"/>
      <c r="L257" s="281"/>
      <c r="M257" s="273"/>
    </row>
    <row r="258" spans="1:13" s="267" customFormat="1" ht="24.95" customHeight="1" x14ac:dyDescent="0.25">
      <c r="A258" s="280"/>
      <c r="B258" s="280"/>
      <c r="C258" s="280"/>
      <c r="D258" s="280"/>
      <c r="E258" s="280"/>
      <c r="F258" s="280"/>
      <c r="G258" s="280"/>
      <c r="H258" s="280"/>
      <c r="I258" s="280"/>
      <c r="J258" s="280"/>
      <c r="K258" s="280"/>
      <c r="L258" s="281"/>
      <c r="M258" s="273"/>
    </row>
    <row r="259" spans="1:13" s="267" customFormat="1" ht="24.95" customHeight="1" x14ac:dyDescent="0.25">
      <c r="A259" s="280"/>
      <c r="B259" s="280"/>
      <c r="C259" s="280"/>
      <c r="D259" s="280"/>
      <c r="E259" s="280"/>
      <c r="F259" s="280"/>
      <c r="G259" s="280"/>
      <c r="H259" s="280"/>
      <c r="I259" s="280"/>
      <c r="J259" s="280"/>
      <c r="K259" s="280"/>
      <c r="L259" s="281"/>
      <c r="M259" s="273"/>
    </row>
    <row r="260" spans="1:13" s="267" customFormat="1" ht="24.95" customHeight="1" x14ac:dyDescent="0.25">
      <c r="A260" s="280"/>
      <c r="B260" s="280"/>
      <c r="C260" s="280"/>
      <c r="D260" s="280"/>
      <c r="E260" s="280"/>
      <c r="F260" s="280"/>
      <c r="G260" s="280"/>
      <c r="H260" s="280"/>
      <c r="I260" s="280"/>
      <c r="J260" s="280"/>
      <c r="K260" s="280"/>
      <c r="L260" s="281"/>
      <c r="M260" s="273"/>
    </row>
  </sheetData>
  <autoFilter ref="A6:Q190"/>
  <sortState ref="A7:R191">
    <sortCondition ref="A7:A191"/>
    <sortCondition ref="B7:B191"/>
  </sortState>
  <mergeCells count="7">
    <mergeCell ref="A1:Q1"/>
    <mergeCell ref="A2:Q2"/>
    <mergeCell ref="A3:Q3"/>
    <mergeCell ref="A4:Q4"/>
    <mergeCell ref="C5:E5"/>
    <mergeCell ref="F5:H5"/>
    <mergeCell ref="I5:K5"/>
  </mergeCells>
  <printOptions gridLines="1"/>
  <pageMargins left="0.7" right="0.7" top="0.25" bottom="0.25" header="0.3" footer="0.3"/>
  <pageSetup scale="4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249977111117893"/>
  </sheetPr>
  <dimension ref="A1:M209"/>
  <sheetViews>
    <sheetView showGridLines="0" workbookViewId="0">
      <pane xSplit="2" ySplit="3" topLeftCell="C4" activePane="bottomRight" state="frozen"/>
      <selection pane="topRight" activeCell="C1" sqref="C1"/>
      <selection pane="bottomLeft" activeCell="A2" sqref="A2"/>
      <selection pane="bottomRight" activeCell="H3" sqref="H3"/>
    </sheetView>
  </sheetViews>
  <sheetFormatPr defaultRowHeight="15" x14ac:dyDescent="0.25"/>
  <cols>
    <col min="1" max="1" width="37.140625" style="81" customWidth="1"/>
    <col min="2" max="2" width="27.5703125" style="156" customWidth="1"/>
    <col min="3" max="3" width="14.85546875" customWidth="1"/>
    <col min="4" max="4" width="17.140625" customWidth="1"/>
    <col min="5" max="5" width="16.5703125" customWidth="1"/>
    <col min="6" max="6" width="15.85546875" customWidth="1"/>
    <col min="7" max="7" width="11.5703125" bestFit="1" customWidth="1"/>
    <col min="8" max="8" width="11.7109375" customWidth="1"/>
    <col min="9" max="9" width="29.85546875" customWidth="1"/>
    <col min="10" max="10" width="30.42578125" customWidth="1"/>
    <col min="11" max="11" width="25" customWidth="1"/>
    <col min="12" max="12" width="16.28515625" customWidth="1"/>
  </cols>
  <sheetData>
    <row r="1" spans="1:13" s="267" customFormat="1" ht="30" customHeight="1" x14ac:dyDescent="0.25">
      <c r="A1" s="904" t="s">
        <v>1044</v>
      </c>
      <c r="B1" s="905"/>
      <c r="C1" s="905"/>
      <c r="D1" s="905"/>
      <c r="E1" s="905"/>
      <c r="F1" s="905"/>
      <c r="G1" s="905"/>
      <c r="H1" s="905"/>
      <c r="I1" s="905"/>
      <c r="J1" s="905"/>
      <c r="K1" s="905"/>
      <c r="L1" s="905"/>
      <c r="M1" s="905"/>
    </row>
    <row r="2" spans="1:13" s="267" customFormat="1" ht="15.75" thickBot="1" x14ac:dyDescent="0.3">
      <c r="A2" s="903" t="s">
        <v>1051</v>
      </c>
      <c r="B2" s="903"/>
      <c r="C2" s="903"/>
      <c r="D2" s="903"/>
      <c r="E2" s="903"/>
      <c r="F2" s="903"/>
      <c r="G2" s="903"/>
      <c r="H2" s="903"/>
      <c r="I2" s="903"/>
      <c r="J2" s="903"/>
      <c r="K2" s="903"/>
      <c r="L2" s="903"/>
      <c r="M2" s="903"/>
    </row>
    <row r="3" spans="1:13" s="294" customFormat="1" ht="31.5" customHeight="1" thickBot="1" x14ac:dyDescent="0.3">
      <c r="A3" s="96" t="s">
        <v>0</v>
      </c>
      <c r="B3" s="96" t="s">
        <v>604</v>
      </c>
      <c r="C3" s="135" t="s">
        <v>547</v>
      </c>
      <c r="D3" s="135" t="s">
        <v>548</v>
      </c>
      <c r="E3" s="135" t="s">
        <v>549</v>
      </c>
      <c r="F3" s="136" t="s">
        <v>550</v>
      </c>
      <c r="G3" s="96" t="s">
        <v>4</v>
      </c>
      <c r="H3" s="96" t="s">
        <v>551</v>
      </c>
      <c r="I3" s="96" t="s">
        <v>20</v>
      </c>
      <c r="J3" s="137" t="s">
        <v>5</v>
      </c>
      <c r="K3" s="137" t="s">
        <v>6</v>
      </c>
      <c r="L3" s="137" t="s">
        <v>552</v>
      </c>
      <c r="M3" s="137" t="s">
        <v>553</v>
      </c>
    </row>
    <row r="4" spans="1:13" s="63" customFormat="1" x14ac:dyDescent="0.25">
      <c r="A4" s="192" t="s">
        <v>29</v>
      </c>
      <c r="B4" s="192" t="s">
        <v>30</v>
      </c>
      <c r="C4" s="195">
        <v>0.60499999999999998</v>
      </c>
      <c r="D4" s="195">
        <v>0.38092500000000001</v>
      </c>
      <c r="E4" s="193">
        <v>0.22407499999999997</v>
      </c>
      <c r="F4" s="194">
        <v>0.62962809917355378</v>
      </c>
      <c r="G4" s="173" t="s">
        <v>356</v>
      </c>
      <c r="H4" s="170" t="s">
        <v>554</v>
      </c>
      <c r="I4" s="369">
        <f t="array" ref="I4">INDEX(UtilityList!Q$4:Q$251,MATCH('Table 2.5c'!$A4&amp;'Table 2.5c'!$B4,UtilityList!$A$4:$A$251&amp;UtilityList!$C$4:$C$251,0))</f>
        <v>0</v>
      </c>
      <c r="J4" s="369" t="str">
        <f t="array" ref="J4">INDEX(UtilityList!J$4:J$251,MATCH('Table 2.5c'!$A4&amp;'Table 2.5c'!$B4,UtilityList!$A$4:$A$251&amp;UtilityList!$C$4:$C$251,0))</f>
        <v>Lower Yukon-Kuskokwim</v>
      </c>
      <c r="K4" s="369" t="str">
        <f t="array" ref="K4">INDEX(UtilityList!K$4:K$251,MATCH('Table 2.5c'!$A4&amp;'Table 2.5c'!$B4,UtilityList!$A$4:$A$251&amp;UtilityList!$C$4:$C$251,0))</f>
        <v>Bethel (CA)</v>
      </c>
      <c r="L4" s="369" t="str">
        <f t="array" ref="L4">INDEX(UtilityList!L$4:L$251,MATCH('Table 2.5c'!$A4&amp;'Table 2.5c'!$B4,UtilityList!$A$4:$A$251&amp;UtilityList!$C$4:$C$251,0))</f>
        <v>Calista</v>
      </c>
      <c r="M4" s="369" t="str">
        <f t="array" ref="M4">INDEX(UtilityList!M$4:M$251,MATCH('Table 2.5c'!$A4&amp;'Table 2.5c'!$B4,UtilityList!$A$4:$A$251&amp;UtilityList!$C$4:$C$251,0))</f>
        <v>SW</v>
      </c>
    </row>
    <row r="5" spans="1:13" s="63" customFormat="1" x14ac:dyDescent="0.25">
      <c r="A5" s="710" t="s">
        <v>31</v>
      </c>
      <c r="B5" s="710" t="s">
        <v>32</v>
      </c>
      <c r="C5" s="711">
        <v>0.63</v>
      </c>
      <c r="D5" s="711">
        <v>0.33463333000000001</v>
      </c>
      <c r="E5" s="712">
        <v>0.29536667</v>
      </c>
      <c r="F5" s="713">
        <v>0.53116401587301587</v>
      </c>
      <c r="G5" s="658" t="s">
        <v>356</v>
      </c>
      <c r="H5" s="622" t="s">
        <v>554</v>
      </c>
      <c r="I5" s="709">
        <f t="array" ref="I5">INDEX(UtilityList!Q$4:Q$251,MATCH('Table 2.5c'!$A5&amp;'Table 2.5c'!$B5,UtilityList!$A$4:$A$251&amp;UtilityList!$C$4:$C$251,0))</f>
        <v>0</v>
      </c>
      <c r="J5" s="709" t="str">
        <f t="array" ref="J5">INDEX(UtilityList!J$4:J$251,MATCH('Table 2.5c'!$A5&amp;'Table 2.5c'!$B5,UtilityList!$A$4:$A$251&amp;UtilityList!$C$4:$C$251,0))</f>
        <v>Lower Yukon-Kuskokwim</v>
      </c>
      <c r="K5" s="709" t="str">
        <f t="array" ref="K5">INDEX(UtilityList!K$4:K$251,MATCH('Table 2.5c'!$A5&amp;'Table 2.5c'!$B5,UtilityList!$A$4:$A$251&amp;UtilityList!$C$4:$C$251,0))</f>
        <v>Bethel (CA)</v>
      </c>
      <c r="L5" s="709" t="str">
        <f t="array" ref="L5">INDEX(UtilityList!L$4:L$251,MATCH('Table 2.5c'!$A5&amp;'Table 2.5c'!$B5,UtilityList!$A$4:$A$251&amp;UtilityList!$C$4:$C$251,0))</f>
        <v>Calista</v>
      </c>
      <c r="M5" s="709" t="str">
        <f t="array" ref="M5">INDEX(UtilityList!M$4:M$251,MATCH('Table 2.5c'!$A5&amp;'Table 2.5c'!$B5,UtilityList!$A$4:$A$251&amp;UtilityList!$C$4:$C$251,0))</f>
        <v>SW</v>
      </c>
    </row>
    <row r="6" spans="1:13" s="63" customFormat="1" x14ac:dyDescent="0.25">
      <c r="A6" s="710" t="s">
        <v>33</v>
      </c>
      <c r="B6" s="710" t="s">
        <v>34</v>
      </c>
      <c r="C6" s="711">
        <v>0.32300000000000001</v>
      </c>
      <c r="D6" s="711">
        <v>0.18395</v>
      </c>
      <c r="E6" s="712">
        <v>0.13905000000000001</v>
      </c>
      <c r="F6" s="713">
        <v>0.56950464396284828</v>
      </c>
      <c r="G6" s="658" t="s">
        <v>356</v>
      </c>
      <c r="H6" s="622" t="s">
        <v>554</v>
      </c>
      <c r="I6" s="709">
        <f t="array" ref="I6">INDEX(UtilityList!Q$4:Q$251,MATCH('Table 2.5c'!$A6&amp;'Table 2.5c'!$B6,UtilityList!$A$4:$A$251&amp;UtilityList!$C$4:$C$251,0))</f>
        <v>0</v>
      </c>
      <c r="J6" s="709" t="str">
        <f t="array" ref="J6">INDEX(UtilityList!J$4:J$251,MATCH('Table 2.5c'!$A6&amp;'Table 2.5c'!$B6,UtilityList!$A$4:$A$251&amp;UtilityList!$C$4:$C$251,0))</f>
        <v>Aleutians</v>
      </c>
      <c r="K6" s="709" t="str">
        <f t="array" ref="K6">INDEX(UtilityList!K$4:K$251,MATCH('Table 2.5c'!$A6&amp;'Table 2.5c'!$B6,UtilityList!$A$4:$A$251&amp;UtilityList!$C$4:$C$251,0))</f>
        <v>Aleutians East</v>
      </c>
      <c r="L6" s="709" t="str">
        <f t="array" ref="L6">INDEX(UtilityList!L$4:L$251,MATCH('Table 2.5c'!$A6&amp;'Table 2.5c'!$B6,UtilityList!$A$4:$A$251&amp;UtilityList!$C$4:$C$251,0))</f>
        <v>Aleut</v>
      </c>
      <c r="M6" s="709" t="str">
        <f t="array" ref="M6">INDEX(UtilityList!M$4:M$251,MATCH('Table 2.5c'!$A6&amp;'Table 2.5c'!$B6,UtilityList!$A$4:$A$251&amp;UtilityList!$C$4:$C$251,0))</f>
        <v>SW</v>
      </c>
    </row>
    <row r="7" spans="1:13" s="63" customFormat="1" x14ac:dyDescent="0.25">
      <c r="A7" s="352" t="s">
        <v>523</v>
      </c>
      <c r="B7" s="352" t="s">
        <v>36</v>
      </c>
      <c r="C7" s="711">
        <v>0.12099</v>
      </c>
      <c r="D7" s="711">
        <v>0</v>
      </c>
      <c r="E7" s="712">
        <v>0.12099</v>
      </c>
      <c r="F7" s="713">
        <v>0</v>
      </c>
      <c r="G7" s="685" t="s">
        <v>558</v>
      </c>
      <c r="H7" s="685" t="s">
        <v>581</v>
      </c>
      <c r="I7" s="709">
        <f t="array" ref="I7">INDEX(UtilityList!Q$4:Q$251,MATCH('Table 2.5c'!$A7&amp;'Table 2.5c'!$B7,UtilityList!$A$4:$A$251&amp;UtilityList!$C$4:$C$251,0))</f>
        <v>0</v>
      </c>
      <c r="J7" s="709" t="str">
        <f t="array" ref="J7">INDEX(UtilityList!J$4:J$251,MATCH('Table 2.5c'!$A7&amp;'Table 2.5c'!$B7,UtilityList!$A$4:$A$251&amp;UtilityList!$C$4:$C$251,0))</f>
        <v>Southeast</v>
      </c>
      <c r="K7" s="709" t="str">
        <f t="array" ref="K7">INDEX(UtilityList!K$4:K$251,MATCH('Table 2.5c'!$A7&amp;'Table 2.5c'!$B7,UtilityList!$A$4:$A$251&amp;UtilityList!$C$4:$C$251,0))</f>
        <v>Juneau</v>
      </c>
      <c r="L7" s="709" t="str">
        <f t="array" ref="L7">INDEX(UtilityList!L$4:L$251,MATCH('Table 2.5c'!$A7&amp;'Table 2.5c'!$B7,UtilityList!$A$4:$A$251&amp;UtilityList!$C$4:$C$251,0))</f>
        <v>Sealaska</v>
      </c>
      <c r="M7" s="709" t="str">
        <f t="array" ref="M7">INDEX(UtilityList!M$4:M$251,MATCH('Table 2.5c'!$A7&amp;'Table 2.5c'!$B7,UtilityList!$A$4:$A$251&amp;UtilityList!$C$4:$C$251,0))</f>
        <v>SE</v>
      </c>
    </row>
    <row r="8" spans="1:13" s="63" customFormat="1" ht="45" x14ac:dyDescent="0.25">
      <c r="A8" s="710" t="s">
        <v>43</v>
      </c>
      <c r="B8" s="710" t="s">
        <v>678</v>
      </c>
      <c r="C8" s="711">
        <v>0.85897500000000004</v>
      </c>
      <c r="D8" s="711">
        <v>0.66300000000000003</v>
      </c>
      <c r="E8" s="712">
        <v>0.19597500000000001</v>
      </c>
      <c r="F8" s="713">
        <v>0.77185017026106695</v>
      </c>
      <c r="G8" s="658" t="s">
        <v>356</v>
      </c>
      <c r="H8" s="622" t="s">
        <v>554</v>
      </c>
      <c r="I8" s="709" t="str">
        <f t="array" ref="I8">INDEX(UtilityList!Q$4:Q$251,MATCH('Table 2.5c'!$A8&amp;'Table 2.5c'!$B8,UtilityList!$A$4:$A$251&amp;UtilityList!$C$4:$C$251,0))</f>
        <v>Provides power to Alatna via intertie. Data includes Alatna's information.</v>
      </c>
      <c r="J8" s="709" t="str">
        <f t="array" ref="J8">INDEX(UtilityList!J$4:J$251,MATCH('Table 2.5c'!$A8&amp;'Table 2.5c'!$B8,UtilityList!$A$4:$A$251&amp;UtilityList!$C$4:$C$251,0))</f>
        <v>Yukon-Koyukuk/Upper Tanana</v>
      </c>
      <c r="K8" s="709" t="str">
        <f t="array" ref="K8">INDEX(UtilityList!K$4:K$251,MATCH('Table 2.5c'!$A8&amp;'Table 2.5c'!$B8,UtilityList!$A$4:$A$251&amp;UtilityList!$C$4:$C$251,0))</f>
        <v>Yukon-Koyukuk (CA)</v>
      </c>
      <c r="L8" s="709" t="str">
        <f t="array" ref="L8">INDEX(UtilityList!L$4:L$251,MATCH('Table 2.5c'!$A8&amp;'Table 2.5c'!$B8,UtilityList!$A$4:$A$251&amp;UtilityList!$C$4:$C$251,0))</f>
        <v>Doyon</v>
      </c>
      <c r="M8" s="709" t="str">
        <f t="array" ref="M8">INDEX(UtilityList!M$4:M$251,MATCH('Table 2.5c'!$A8&amp;'Table 2.5c'!$B8,UtilityList!$A$4:$A$251&amp;UtilityList!$C$4:$C$251,0))</f>
        <v>YU</v>
      </c>
    </row>
    <row r="9" spans="1:13" s="63" customFormat="1" ht="45" x14ac:dyDescent="0.25">
      <c r="A9" s="710" t="s">
        <v>43</v>
      </c>
      <c r="B9" s="710" t="s">
        <v>680</v>
      </c>
      <c r="C9" s="711">
        <v>0.63519999999999999</v>
      </c>
      <c r="D9" s="711">
        <v>0.45052500000000001</v>
      </c>
      <c r="E9" s="712">
        <v>0.18467499999999998</v>
      </c>
      <c r="F9" s="713">
        <v>0.70926479848866497</v>
      </c>
      <c r="G9" s="658" t="s">
        <v>356</v>
      </c>
      <c r="H9" s="622" t="s">
        <v>554</v>
      </c>
      <c r="I9" s="709" t="str">
        <f t="array" ref="I9">INDEX(UtilityList!Q$4:Q$251,MATCH('Table 2.5c'!$A9&amp;'Table 2.5c'!$B9,UtilityList!$A$4:$A$251&amp;UtilityList!$C$4:$C$251,0))</f>
        <v>Provides power to Evansville via intertie. Data includes Evansville's information.</v>
      </c>
      <c r="J9" s="709" t="str">
        <f t="array" ref="J9">INDEX(UtilityList!J$4:J$251,MATCH('Table 2.5c'!$A9&amp;'Table 2.5c'!$B9,UtilityList!$A$4:$A$251&amp;UtilityList!$C$4:$C$251,0))</f>
        <v>Yukon-Koyukuk/Upper Tanana</v>
      </c>
      <c r="K9" s="709" t="str">
        <f t="array" ref="K9">INDEX(UtilityList!K$4:K$251,MATCH('Table 2.5c'!$A9&amp;'Table 2.5c'!$B9,UtilityList!$A$4:$A$251&amp;UtilityList!$C$4:$C$251,0))</f>
        <v>Yukon-Koyukuk (CA)</v>
      </c>
      <c r="L9" s="709" t="str">
        <f t="array" ref="L9">INDEX(UtilityList!L$4:L$251,MATCH('Table 2.5c'!$A9&amp;'Table 2.5c'!$B9,UtilityList!$A$4:$A$251&amp;UtilityList!$C$4:$C$251,0))</f>
        <v>Doyon</v>
      </c>
      <c r="M9" s="709" t="str">
        <f t="array" ref="M9">INDEX(UtilityList!M$4:M$251,MATCH('Table 2.5c'!$A9&amp;'Table 2.5c'!$B9,UtilityList!$A$4:$A$251&amp;UtilityList!$C$4:$C$251,0))</f>
        <v>YU</v>
      </c>
    </row>
    <row r="10" spans="1:13" s="63" customFormat="1" ht="30" x14ac:dyDescent="0.25">
      <c r="A10" s="710" t="s">
        <v>43</v>
      </c>
      <c r="B10" s="710" t="s">
        <v>46</v>
      </c>
      <c r="C10" s="711">
        <v>0.67158333000000003</v>
      </c>
      <c r="D10" s="711">
        <v>0.48381667</v>
      </c>
      <c r="E10" s="712">
        <v>0.18776666000000003</v>
      </c>
      <c r="F10" s="713">
        <v>0.72041197032094284</v>
      </c>
      <c r="G10" s="658" t="s">
        <v>356</v>
      </c>
      <c r="H10" s="622" t="s">
        <v>554</v>
      </c>
      <c r="I10" s="709" t="str">
        <f t="array" ref="I10">INDEX(UtilityList!Q$4:Q$251,MATCH('Table 2.5c'!$A10&amp;'Table 2.5c'!$B10,UtilityList!$A$4:$A$251&amp;UtilityList!$C$4:$C$251,0))</f>
        <v>Receives power from Slana via intertie.</v>
      </c>
      <c r="J10" s="709" t="str">
        <f t="array" ref="J10">INDEX(UtilityList!J$4:J$251,MATCH('Table 2.5c'!$A10&amp;'Table 2.5c'!$B10,UtilityList!$A$4:$A$251&amp;UtilityList!$C$4:$C$251,0))</f>
        <v>Copper River/Chugach</v>
      </c>
      <c r="K10" s="709" t="str">
        <f t="array" ref="K10">INDEX(UtilityList!K$4:K$251,MATCH('Table 2.5c'!$A10&amp;'Table 2.5c'!$B10,UtilityList!$A$4:$A$251&amp;UtilityList!$C$4:$C$251,0))</f>
        <v>Valdez-Cordova (CA)</v>
      </c>
      <c r="L10" s="709" t="str">
        <f t="array" ref="L10">INDEX(UtilityList!L$4:L$251,MATCH('Table 2.5c'!$A10&amp;'Table 2.5c'!$B10,UtilityList!$A$4:$A$251&amp;UtilityList!$C$4:$C$251,0))</f>
        <v>Ahtna</v>
      </c>
      <c r="M10" s="709" t="str">
        <f t="array" ref="M10">INDEX(UtilityList!M$4:M$251,MATCH('Table 2.5c'!$A10&amp;'Table 2.5c'!$B10,UtilityList!$A$4:$A$251&amp;UtilityList!$C$4:$C$251,0))</f>
        <v>YU</v>
      </c>
    </row>
    <row r="11" spans="1:13" s="63" customFormat="1" ht="45" x14ac:dyDescent="0.25">
      <c r="A11" s="710" t="s">
        <v>43</v>
      </c>
      <c r="B11" s="710" t="s">
        <v>47</v>
      </c>
      <c r="C11" s="711">
        <v>0.46661667000000001</v>
      </c>
      <c r="D11" s="711">
        <v>0.28821667000000001</v>
      </c>
      <c r="E11" s="712">
        <v>0.1784</v>
      </c>
      <c r="F11" s="713">
        <v>0.61767332487285553</v>
      </c>
      <c r="G11" s="658" t="s">
        <v>356</v>
      </c>
      <c r="H11" s="622" t="s">
        <v>554</v>
      </c>
      <c r="I11" s="709" t="str">
        <f t="array" ref="I11">INDEX(UtilityList!Q$4:Q$251,MATCH('Table 2.5c'!$A11&amp;'Table 2.5c'!$B11,UtilityList!$A$4:$A$251&amp;UtilityList!$C$4:$C$251,0))</f>
        <v>Part of the Alaska Power Company's grid on Prince of Wales Island.</v>
      </c>
      <c r="J11" s="709" t="str">
        <f t="array" ref="J11">INDEX(UtilityList!J$4:J$251,MATCH('Table 2.5c'!$A11&amp;'Table 2.5c'!$B11,UtilityList!$A$4:$A$251&amp;UtilityList!$C$4:$C$251,0))</f>
        <v>Southeast</v>
      </c>
      <c r="K11" s="709" t="str">
        <f t="array" ref="K11">INDEX(UtilityList!K$4:K$251,MATCH('Table 2.5c'!$A11&amp;'Table 2.5c'!$B11,UtilityList!$A$4:$A$251&amp;UtilityList!$C$4:$C$251,0))</f>
        <v>Prince of Wales-Hyder (CA)</v>
      </c>
      <c r="L11" s="709" t="str">
        <f t="array" ref="L11">INDEX(UtilityList!L$4:L$251,MATCH('Table 2.5c'!$A11&amp;'Table 2.5c'!$B11,UtilityList!$A$4:$A$251&amp;UtilityList!$C$4:$C$251,0))</f>
        <v>Sealaska</v>
      </c>
      <c r="M11" s="709" t="str">
        <f t="array" ref="M11">INDEX(UtilityList!M$4:M$251,MATCH('Table 2.5c'!$A11&amp;'Table 2.5c'!$B11,UtilityList!$A$4:$A$251&amp;UtilityList!$C$4:$C$251,0))</f>
        <v>SE</v>
      </c>
    </row>
    <row r="12" spans="1:13" s="126" customFormat="1" ht="45" x14ac:dyDescent="0.25">
      <c r="A12" s="710" t="s">
        <v>43</v>
      </c>
      <c r="B12" s="710" t="s">
        <v>48</v>
      </c>
      <c r="C12" s="711">
        <v>0.24024166999999999</v>
      </c>
      <c r="D12" s="711">
        <v>8.4058330000000001E-2</v>
      </c>
      <c r="E12" s="712">
        <v>0.15618334</v>
      </c>
      <c r="F12" s="713">
        <v>0.34989071629413832</v>
      </c>
      <c r="G12" s="658" t="s">
        <v>356</v>
      </c>
      <c r="H12" s="622" t="s">
        <v>554</v>
      </c>
      <c r="I12" s="709" t="str">
        <f t="array" ref="I12">INDEX(UtilityList!Q$4:Q$251,MATCH('Table 2.5c'!$A12&amp;'Table 2.5c'!$B12,UtilityList!$A$4:$A$251&amp;UtilityList!$C$4:$C$251,0))</f>
        <v>Provides power to Hollis, Klawock, Thorne Bay/Kasaan and Hydaburg via intertie.</v>
      </c>
      <c r="J12" s="709" t="str">
        <f t="array" ref="J12">INDEX(UtilityList!J$4:J$251,MATCH('Table 2.5c'!$A12&amp;'Table 2.5c'!$B12,UtilityList!$A$4:$A$251&amp;UtilityList!$C$4:$C$251,0))</f>
        <v>Southeast</v>
      </c>
      <c r="K12" s="709" t="str">
        <f t="array" ref="K12">INDEX(UtilityList!K$4:K$251,MATCH('Table 2.5c'!$A12&amp;'Table 2.5c'!$B12,UtilityList!$A$4:$A$251&amp;UtilityList!$C$4:$C$251,0))</f>
        <v>Prince of Wales-Hyder (CA)</v>
      </c>
      <c r="L12" s="709" t="str">
        <f t="array" ref="L12">INDEX(UtilityList!L$4:L$251,MATCH('Table 2.5c'!$A12&amp;'Table 2.5c'!$B12,UtilityList!$A$4:$A$251&amp;UtilityList!$C$4:$C$251,0))</f>
        <v>Sealaska</v>
      </c>
      <c r="M12" s="709" t="str">
        <f t="array" ref="M12">INDEX(UtilityList!M$4:M$251,MATCH('Table 2.5c'!$A12&amp;'Table 2.5c'!$B12,UtilityList!$A$4:$A$251&amp;UtilityList!$C$4:$C$251,0))</f>
        <v>SE</v>
      </c>
    </row>
    <row r="13" spans="1:13" s="126" customFormat="1" ht="90" x14ac:dyDescent="0.25">
      <c r="A13" s="710" t="s">
        <v>43</v>
      </c>
      <c r="B13" s="710" t="s">
        <v>684</v>
      </c>
      <c r="C13" s="711">
        <v>0.49041667</v>
      </c>
      <c r="D13" s="711">
        <v>0.31230000000000002</v>
      </c>
      <c r="E13" s="712">
        <v>0.17811666999999998</v>
      </c>
      <c r="F13" s="713">
        <v>0.6368054332247719</v>
      </c>
      <c r="G13" s="658" t="s">
        <v>356</v>
      </c>
      <c r="H13" s="622" t="s">
        <v>554</v>
      </c>
      <c r="I13" s="709" t="str">
        <f t="array" ref="I13">INDEX(UtilityList!Q$4:Q$251,MATCH('Table 2.5c'!$A13&amp;'Table 2.5c'!$B13,UtilityList!$A$4:$A$251&amp;UtilityList!$C$4:$C$251,0))</f>
        <v>Receives power form Tok via intertie. Dot Lake's data includes Dot Lake Village's information. For fuel use and cost information, please refer to Tok.</v>
      </c>
      <c r="J13" s="709" t="str">
        <f t="array" ref="J13">INDEX(UtilityList!J$4:J$251,MATCH('Table 2.5c'!$A13&amp;'Table 2.5c'!$B13,UtilityList!$A$4:$A$251&amp;UtilityList!$C$4:$C$251,0))</f>
        <v>Yukon-Koyukuk/Upper Tanana</v>
      </c>
      <c r="K13" s="709" t="str">
        <f t="array" ref="K13">INDEX(UtilityList!K$4:K$251,MATCH('Table 2.5c'!$A13&amp;'Table 2.5c'!$B13,UtilityList!$A$4:$A$251&amp;UtilityList!$C$4:$C$251,0))</f>
        <v>Southeast Fairbanks (CA)</v>
      </c>
      <c r="L13" s="709" t="str">
        <f t="array" ref="L13">INDEX(UtilityList!L$4:L$251,MATCH('Table 2.5c'!$A13&amp;'Table 2.5c'!$B13,UtilityList!$A$4:$A$251&amp;UtilityList!$C$4:$C$251,0))</f>
        <v>Doyon</v>
      </c>
      <c r="M13" s="709" t="str">
        <f t="array" ref="M13">INDEX(UtilityList!M$4:M$251,MATCH('Table 2.5c'!$A13&amp;'Table 2.5c'!$B13,UtilityList!$A$4:$A$251&amp;UtilityList!$C$4:$C$251,0))</f>
        <v>YU</v>
      </c>
    </row>
    <row r="14" spans="1:13" s="63" customFormat="1" ht="45" x14ac:dyDescent="0.25">
      <c r="A14" s="710" t="s">
        <v>43</v>
      </c>
      <c r="B14" s="710" t="s">
        <v>686</v>
      </c>
      <c r="C14" s="711">
        <v>0.59460000000000002</v>
      </c>
      <c r="D14" s="711">
        <v>0.41197499999999998</v>
      </c>
      <c r="E14" s="712">
        <v>0.18262500000000004</v>
      </c>
      <c r="F14" s="713">
        <v>0.69286074672048426</v>
      </c>
      <c r="G14" s="658" t="s">
        <v>356</v>
      </c>
      <c r="H14" s="622" t="s">
        <v>554</v>
      </c>
      <c r="I14" s="709" t="str">
        <f t="array" ref="I14">INDEX(UtilityList!Q$4:Q$251,MATCH('Table 2.5c'!$A14&amp;'Table 2.5c'!$B14,UtilityList!$A$4:$A$251&amp;UtilityList!$C$4:$C$251,0))</f>
        <v>Provides power to Eagle Village via intertie. Data includes Eagle Village's information.</v>
      </c>
      <c r="J14" s="709" t="str">
        <f t="array" ref="J14">INDEX(UtilityList!J$4:J$251,MATCH('Table 2.5c'!$A14&amp;'Table 2.5c'!$B14,UtilityList!$A$4:$A$251&amp;UtilityList!$C$4:$C$251,0))</f>
        <v>Yukon-Koyukuk/Upper Tanana</v>
      </c>
      <c r="K14" s="709" t="str">
        <f t="array" ref="K14">INDEX(UtilityList!K$4:K$251,MATCH('Table 2.5c'!$A14&amp;'Table 2.5c'!$B14,UtilityList!$A$4:$A$251&amp;UtilityList!$C$4:$C$251,0))</f>
        <v>Southeast Fairbanks (CA)</v>
      </c>
      <c r="L14" s="709" t="str">
        <f t="array" ref="L14">INDEX(UtilityList!L$4:L$251,MATCH('Table 2.5c'!$A14&amp;'Table 2.5c'!$B14,UtilityList!$A$4:$A$251&amp;UtilityList!$C$4:$C$251,0))</f>
        <v>Doyon</v>
      </c>
      <c r="M14" s="709" t="str">
        <f t="array" ref="M14">INDEX(UtilityList!M$4:M$251,MATCH('Table 2.5c'!$A14&amp;'Table 2.5c'!$B14,UtilityList!$A$4:$A$251&amp;UtilityList!$C$4:$C$251,0))</f>
        <v>YU</v>
      </c>
    </row>
    <row r="15" spans="1:13" s="63" customFormat="1" ht="60" x14ac:dyDescent="0.25">
      <c r="A15" s="710" t="s">
        <v>43</v>
      </c>
      <c r="B15" s="710" t="s">
        <v>651</v>
      </c>
      <c r="C15" s="711">
        <v>0.22019167000000001</v>
      </c>
      <c r="D15" s="711">
        <v>6.6233330000000007E-2</v>
      </c>
      <c r="E15" s="712">
        <v>0.15395834</v>
      </c>
      <c r="F15" s="713">
        <v>0.30079852702874732</v>
      </c>
      <c r="G15" s="658" t="s">
        <v>356</v>
      </c>
      <c r="H15" s="622" t="s">
        <v>554</v>
      </c>
      <c r="I15" s="709" t="e">
        <f t="array" ref="I15">INDEX(UtilityList!Q$4:Q$251,MATCH('Table 2.5c'!$A15&amp;'Table 2.5c'!$B15,UtilityList!$A$4:$A$251&amp;UtilityList!$C$4:$C$251,0))</f>
        <v>#N/A</v>
      </c>
      <c r="J15" s="709" t="e">
        <f t="array" ref="J15">INDEX(UtilityList!J$4:J$251,MATCH('Table 2.5c'!$A15&amp;'Table 2.5c'!$B15,UtilityList!$A$4:$A$251&amp;UtilityList!$C$4:$C$251,0))</f>
        <v>#N/A</v>
      </c>
      <c r="K15" s="709" t="e">
        <f t="array" ref="K15">INDEX(UtilityList!K$4:K$251,MATCH('Table 2.5c'!$A15&amp;'Table 2.5c'!$B15,UtilityList!$A$4:$A$251&amp;UtilityList!$C$4:$C$251,0))</f>
        <v>#N/A</v>
      </c>
      <c r="L15" s="709" t="e">
        <f t="array" ref="L15">INDEX(UtilityList!L$4:L$251,MATCH('Table 2.5c'!$A15&amp;'Table 2.5c'!$B15,UtilityList!$A$4:$A$251&amp;UtilityList!$C$4:$C$251,0))</f>
        <v>#N/A</v>
      </c>
      <c r="M15" s="709" t="e">
        <f t="array" ref="M15">INDEX(UtilityList!M$4:M$251,MATCH('Table 2.5c'!$A15&amp;'Table 2.5c'!$B15,UtilityList!$A$4:$A$251&amp;UtilityList!$C$4:$C$251,0))</f>
        <v>#N/A</v>
      </c>
    </row>
    <row r="16" spans="1:13" s="63" customFormat="1" x14ac:dyDescent="0.25">
      <c r="A16" s="710" t="s">
        <v>43</v>
      </c>
      <c r="B16" s="710" t="s">
        <v>51</v>
      </c>
      <c r="C16" s="711">
        <v>0.82661667000000005</v>
      </c>
      <c r="D16" s="711">
        <v>0.59830000000000005</v>
      </c>
      <c r="E16" s="712">
        <v>0.22831667</v>
      </c>
      <c r="F16" s="713">
        <v>0.72379377493076691</v>
      </c>
      <c r="G16" s="658" t="s">
        <v>356</v>
      </c>
      <c r="H16" s="622" t="s">
        <v>554</v>
      </c>
      <c r="I16" s="709">
        <f t="array" ref="I16">INDEX(UtilityList!Q$4:Q$251,MATCH('Table 2.5c'!$A16&amp;'Table 2.5c'!$B16,UtilityList!$A$4:$A$251&amp;UtilityList!$C$4:$C$251,0))</f>
        <v>0</v>
      </c>
      <c r="J16" s="709" t="str">
        <f t="array" ref="J16">INDEX(UtilityList!J$4:J$251,MATCH('Table 2.5c'!$A16&amp;'Table 2.5c'!$B16,UtilityList!$A$4:$A$251&amp;UtilityList!$C$4:$C$251,0))</f>
        <v>Yukon-Koyukuk/Upper Tanana</v>
      </c>
      <c r="K16" s="709" t="str">
        <f t="array" ref="K16">INDEX(UtilityList!K$4:K$251,MATCH('Table 2.5c'!$A16&amp;'Table 2.5c'!$B16,UtilityList!$A$4:$A$251&amp;UtilityList!$C$4:$C$251,0))</f>
        <v>Southeast Fairbanks (CA)</v>
      </c>
      <c r="L16" s="709" t="str">
        <f t="array" ref="L16">INDEX(UtilityList!L$4:L$251,MATCH('Table 2.5c'!$A16&amp;'Table 2.5c'!$B16,UtilityList!$A$4:$A$251&amp;UtilityList!$C$4:$C$251,0))</f>
        <v>Doyon</v>
      </c>
      <c r="M16" s="709" t="str">
        <f t="array" ref="M16">INDEX(UtilityList!M$4:M$251,MATCH('Table 2.5c'!$A16&amp;'Table 2.5c'!$B16,UtilityList!$A$4:$A$251&amp;UtilityList!$C$4:$C$251,0))</f>
        <v>YU</v>
      </c>
    </row>
    <row r="17" spans="1:13" s="63" customFormat="1" ht="75" x14ac:dyDescent="0.25">
      <c r="A17" s="710" t="s">
        <v>43</v>
      </c>
      <c r="B17" s="710" t="s">
        <v>52</v>
      </c>
      <c r="C17" s="711">
        <v>0.24022499999999999</v>
      </c>
      <c r="D17" s="711">
        <v>8.4058330000000001E-2</v>
      </c>
      <c r="E17" s="712">
        <v>0.15616667000000001</v>
      </c>
      <c r="F17" s="713">
        <v>0.34991499635758144</v>
      </c>
      <c r="G17" s="658" t="s">
        <v>356</v>
      </c>
      <c r="H17" s="622" t="s">
        <v>554</v>
      </c>
      <c r="I17" s="709" t="str">
        <f t="array" ref="I17">INDEX(UtilityList!Q$4:Q$251,MATCH('Table 2.5c'!$A17&amp;'Table 2.5c'!$B17,UtilityList!$A$4:$A$251&amp;UtilityList!$C$4:$C$251,0))</f>
        <v>Part of the Alaska Power Company's grid on Prince of Wales Island. Receives power from Craig. Refer to Craig for fuel use and cost.</v>
      </c>
      <c r="J17" s="709" t="str">
        <f t="array" ref="J17">INDEX(UtilityList!J$4:J$251,MATCH('Table 2.5c'!$A17&amp;'Table 2.5c'!$B17,UtilityList!$A$4:$A$251&amp;UtilityList!$C$4:$C$251,0))</f>
        <v>Southeast</v>
      </c>
      <c r="K17" s="709" t="str">
        <f t="array" ref="K17">INDEX(UtilityList!K$4:K$251,MATCH('Table 2.5c'!$A17&amp;'Table 2.5c'!$B17,UtilityList!$A$4:$A$251&amp;UtilityList!$C$4:$C$251,0))</f>
        <v>Prince of Wales-Hyder (CA)</v>
      </c>
      <c r="L17" s="709" t="str">
        <f t="array" ref="L17">INDEX(UtilityList!L$4:L$251,MATCH('Table 2.5c'!$A17&amp;'Table 2.5c'!$B17,UtilityList!$A$4:$A$251&amp;UtilityList!$C$4:$C$251,0))</f>
        <v>Sealaska</v>
      </c>
      <c r="M17" s="709" t="str">
        <f t="array" ref="M17">INDEX(UtilityList!M$4:M$251,MATCH('Table 2.5c'!$A17&amp;'Table 2.5c'!$B17,UtilityList!$A$4:$A$251&amp;UtilityList!$C$4:$C$251,0))</f>
        <v>SE</v>
      </c>
    </row>
    <row r="18" spans="1:13" s="63" customFormat="1" ht="75" x14ac:dyDescent="0.25">
      <c r="A18" s="710" t="s">
        <v>43</v>
      </c>
      <c r="B18" s="710" t="s">
        <v>53</v>
      </c>
      <c r="C18" s="711">
        <v>0.24023332999999999</v>
      </c>
      <c r="D18" s="711">
        <v>8.4058330000000001E-2</v>
      </c>
      <c r="E18" s="712">
        <v>0.15617500000000001</v>
      </c>
      <c r="F18" s="713">
        <v>0.34990286318721886</v>
      </c>
      <c r="G18" s="658" t="s">
        <v>356</v>
      </c>
      <c r="H18" s="622" t="s">
        <v>554</v>
      </c>
      <c r="I18" s="709" t="str">
        <f t="array" ref="I18">INDEX(UtilityList!Q$4:Q$251,MATCH('Table 2.5c'!$A18&amp;'Table 2.5c'!$B18,UtilityList!$A$4:$A$251&amp;UtilityList!$C$4:$C$251,0))</f>
        <v>Part of the Alaska Power Company's grid on Prince of Wales Island. Receives power from Craig. Refer to Craig for fuel use and cost.</v>
      </c>
      <c r="J18" s="709" t="str">
        <f t="array" ref="J18">INDEX(UtilityList!J$4:J$251,MATCH('Table 2.5c'!$A18&amp;'Table 2.5c'!$B18,UtilityList!$A$4:$A$251&amp;UtilityList!$C$4:$C$251,0))</f>
        <v>Southeast</v>
      </c>
      <c r="K18" s="709" t="str">
        <f t="array" ref="K18">INDEX(UtilityList!K$4:K$251,MATCH('Table 2.5c'!$A18&amp;'Table 2.5c'!$B18,UtilityList!$A$4:$A$251&amp;UtilityList!$C$4:$C$251,0))</f>
        <v>Prince of Wales-Hyder (CA)</v>
      </c>
      <c r="L18" s="709" t="str">
        <f t="array" ref="L18">INDEX(UtilityList!L$4:L$251,MATCH('Table 2.5c'!$A18&amp;'Table 2.5c'!$B18,UtilityList!$A$4:$A$251&amp;UtilityList!$C$4:$C$251,0))</f>
        <v>Sealaska</v>
      </c>
      <c r="M18" s="709" t="str">
        <f t="array" ref="M18">INDEX(UtilityList!M$4:M$251,MATCH('Table 2.5c'!$A18&amp;'Table 2.5c'!$B18,UtilityList!$A$4:$A$251&amp;UtilityList!$C$4:$C$251,0))</f>
        <v>SE</v>
      </c>
    </row>
    <row r="19" spans="1:13" s="126" customFormat="1" ht="75" x14ac:dyDescent="0.25">
      <c r="A19" s="710" t="s">
        <v>43</v>
      </c>
      <c r="B19" s="710" t="s">
        <v>54</v>
      </c>
      <c r="C19" s="711">
        <v>0.24023332999999999</v>
      </c>
      <c r="D19" s="711">
        <v>8.4058330000000001E-2</v>
      </c>
      <c r="E19" s="712">
        <v>0.15617500000000001</v>
      </c>
      <c r="F19" s="713">
        <v>0.34990286318721886</v>
      </c>
      <c r="G19" s="658" t="s">
        <v>356</v>
      </c>
      <c r="H19" s="622" t="s">
        <v>554</v>
      </c>
      <c r="I19" s="709" t="str">
        <f t="array" ref="I19">INDEX(UtilityList!Q$4:Q$251,MATCH('Table 2.5c'!$A19&amp;'Table 2.5c'!$B19,UtilityList!$A$4:$A$251&amp;UtilityList!$C$4:$C$251,0))</f>
        <v>Part of the Alaska Power Company's grid on Prince of Wales Island. Receives power from Craig. Refer to Craig for fuel use and cost.</v>
      </c>
      <c r="J19" s="709" t="str">
        <f t="array" ref="J19">INDEX(UtilityList!J$4:J$251,MATCH('Table 2.5c'!$A19&amp;'Table 2.5c'!$B19,UtilityList!$A$4:$A$251&amp;UtilityList!$C$4:$C$251,0))</f>
        <v>Southeast</v>
      </c>
      <c r="K19" s="709" t="str">
        <f t="array" ref="K19">INDEX(UtilityList!K$4:K$251,MATCH('Table 2.5c'!$A19&amp;'Table 2.5c'!$B19,UtilityList!$A$4:$A$251&amp;UtilityList!$C$4:$C$251,0))</f>
        <v>Prince of Wales-Hyder (CA)</v>
      </c>
      <c r="L19" s="709" t="str">
        <f t="array" ref="L19">INDEX(UtilityList!L$4:L$251,MATCH('Table 2.5c'!$A19&amp;'Table 2.5c'!$B19,UtilityList!$A$4:$A$251&amp;UtilityList!$C$4:$C$251,0))</f>
        <v>Sealaska</v>
      </c>
      <c r="M19" s="709" t="str">
        <f t="array" ref="M19">INDEX(UtilityList!M$4:M$251,MATCH('Table 2.5c'!$A19&amp;'Table 2.5c'!$B19,UtilityList!$A$4:$A$251&amp;UtilityList!$C$4:$C$251,0))</f>
        <v>SE</v>
      </c>
    </row>
    <row r="20" spans="1:13" s="63" customFormat="1" x14ac:dyDescent="0.25">
      <c r="A20" s="710" t="s">
        <v>43</v>
      </c>
      <c r="B20" s="710" t="s">
        <v>55</v>
      </c>
      <c r="C20" s="711">
        <v>0.67206666999999998</v>
      </c>
      <c r="D20" s="711">
        <v>0.47995832999999999</v>
      </c>
      <c r="E20" s="712">
        <v>0.19210833999999999</v>
      </c>
      <c r="F20" s="713">
        <v>0.71415285331736511</v>
      </c>
      <c r="G20" s="658" t="s">
        <v>356</v>
      </c>
      <c r="H20" s="622" t="s">
        <v>554</v>
      </c>
      <c r="I20" s="709">
        <f t="array" ref="I20">INDEX(UtilityList!Q$4:Q$251,MATCH('Table 2.5c'!$A20&amp;'Table 2.5c'!$B20,UtilityList!$A$4:$A$251&amp;UtilityList!$C$4:$C$251,0))</f>
        <v>0</v>
      </c>
      <c r="J20" s="709" t="str">
        <f t="array" ref="J20">INDEX(UtilityList!J$4:J$251,MATCH('Table 2.5c'!$A20&amp;'Table 2.5c'!$B20,UtilityList!$A$4:$A$251&amp;UtilityList!$C$4:$C$251,0))</f>
        <v>Copper River/Chugach</v>
      </c>
      <c r="K20" s="709" t="str">
        <f t="array" ref="K20">INDEX(UtilityList!K$4:K$251,MATCH('Table 2.5c'!$A20&amp;'Table 2.5c'!$B20,UtilityList!$A$4:$A$251&amp;UtilityList!$C$4:$C$251,0))</f>
        <v>Valdez-Cordova (CA)</v>
      </c>
      <c r="L20" s="709" t="str">
        <f t="array" ref="L20">INDEX(UtilityList!L$4:L$251,MATCH('Table 2.5c'!$A20&amp;'Table 2.5c'!$B20,UtilityList!$A$4:$A$251&amp;UtilityList!$C$4:$C$251,0))</f>
        <v>Ahtna</v>
      </c>
      <c r="M20" s="709" t="str">
        <f t="array" ref="M20">INDEX(UtilityList!M$4:M$251,MATCH('Table 2.5c'!$A20&amp;'Table 2.5c'!$B20,UtilityList!$A$4:$A$251&amp;UtilityList!$C$4:$C$251,0))</f>
        <v>YU</v>
      </c>
    </row>
    <row r="21" spans="1:13" s="63" customFormat="1" ht="30" x14ac:dyDescent="0.25">
      <c r="A21" s="710" t="s">
        <v>43</v>
      </c>
      <c r="B21" s="710" t="s">
        <v>56</v>
      </c>
      <c r="C21" s="711">
        <v>0.55281667000000001</v>
      </c>
      <c r="D21" s="711">
        <v>0.37011666999999998</v>
      </c>
      <c r="E21" s="712">
        <v>0.18270000000000003</v>
      </c>
      <c r="F21" s="713">
        <v>0.66951068968307337</v>
      </c>
      <c r="G21" s="658" t="s">
        <v>356</v>
      </c>
      <c r="H21" s="622" t="s">
        <v>554</v>
      </c>
      <c r="I21" s="709">
        <f t="array" ref="I21">INDEX(UtilityList!Q$4:Q$251,MATCH('Table 2.5c'!$A21&amp;'Table 2.5c'!$B21,UtilityList!$A$4:$A$251&amp;UtilityList!$C$4:$C$251,0))</f>
        <v>0</v>
      </c>
      <c r="J21" s="709" t="str">
        <f t="array" ref="J21">INDEX(UtilityList!J$4:J$251,MATCH('Table 2.5c'!$A21&amp;'Table 2.5c'!$B21,UtilityList!$A$4:$A$251&amp;UtilityList!$C$4:$C$251,0))</f>
        <v>Southeast</v>
      </c>
      <c r="K21" s="709" t="str">
        <f t="array" ref="K21">INDEX(UtilityList!K$4:K$251,MATCH('Table 2.5c'!$A21&amp;'Table 2.5c'!$B21,UtilityList!$A$4:$A$251&amp;UtilityList!$C$4:$C$251,0))</f>
        <v>Prince of Wales-Hyder (CA)</v>
      </c>
      <c r="L21" s="709" t="str">
        <f t="array" ref="L21">INDEX(UtilityList!L$4:L$251,MATCH('Table 2.5c'!$A21&amp;'Table 2.5c'!$B21,UtilityList!$A$4:$A$251&amp;UtilityList!$C$4:$C$251,0))</f>
        <v>Sealaska</v>
      </c>
      <c r="M21" s="709" t="str">
        <f t="array" ref="M21">INDEX(UtilityList!M$4:M$251,MATCH('Table 2.5c'!$A21&amp;'Table 2.5c'!$B21,UtilityList!$A$4:$A$251&amp;UtilityList!$C$4:$C$251,0))</f>
        <v>SE</v>
      </c>
    </row>
    <row r="22" spans="1:13" s="63" customFormat="1" ht="60" x14ac:dyDescent="0.25">
      <c r="A22" s="710" t="s">
        <v>43</v>
      </c>
      <c r="B22" s="710" t="s">
        <v>683</v>
      </c>
      <c r="C22" s="711">
        <v>0.66501666999999998</v>
      </c>
      <c r="D22" s="711">
        <v>0.47889166999999999</v>
      </c>
      <c r="E22" s="712">
        <v>0.18612499999999998</v>
      </c>
      <c r="F22" s="713">
        <v>0.72011979789920155</v>
      </c>
      <c r="G22" s="658" t="s">
        <v>356</v>
      </c>
      <c r="H22" s="622" t="s">
        <v>554</v>
      </c>
      <c r="I22" s="709" t="str">
        <f t="array" ref="I22">INDEX(UtilityList!Q$4:Q$251,MATCH('Table 2.5c'!$A22&amp;'Table 2.5c'!$B22,UtilityList!$A$4:$A$251&amp;UtilityList!$C$4:$C$251,0))</f>
        <v>Provides power to Northway Village via intertie. Data includes Northway Village's information.</v>
      </c>
      <c r="J22" s="709" t="str">
        <f t="array" ref="J22">INDEX(UtilityList!J$4:J$251,MATCH('Table 2.5c'!$A22&amp;'Table 2.5c'!$B22,UtilityList!$A$4:$A$251&amp;UtilityList!$C$4:$C$251,0))</f>
        <v>Yukon-Koyukuk/Upper Tanana</v>
      </c>
      <c r="K22" s="709" t="str">
        <f t="array" ref="K22">INDEX(UtilityList!K$4:K$251,MATCH('Table 2.5c'!$A22&amp;'Table 2.5c'!$B22,UtilityList!$A$4:$A$251&amp;UtilityList!$C$4:$C$251,0))</f>
        <v>Southeast Fairbanks (CA)</v>
      </c>
      <c r="L22" s="709" t="str">
        <f t="array" ref="L22">INDEX(UtilityList!L$4:L$251,MATCH('Table 2.5c'!$A22&amp;'Table 2.5c'!$B22,UtilityList!$A$4:$A$251&amp;UtilityList!$C$4:$C$251,0))</f>
        <v>Doyon</v>
      </c>
      <c r="M22" s="709" t="str">
        <f t="array" ref="M22">INDEX(UtilityList!M$4:M$251,MATCH('Table 2.5c'!$A22&amp;'Table 2.5c'!$B22,UtilityList!$A$4:$A$251&amp;UtilityList!$C$4:$C$251,0))</f>
        <v>YU</v>
      </c>
    </row>
    <row r="23" spans="1:13" s="63" customFormat="1" ht="60" x14ac:dyDescent="0.25">
      <c r="A23" s="710" t="s">
        <v>43</v>
      </c>
      <c r="B23" s="710" t="s">
        <v>995</v>
      </c>
      <c r="C23" s="711">
        <v>0.67160832999999998</v>
      </c>
      <c r="D23" s="711">
        <v>0.48381667</v>
      </c>
      <c r="E23" s="712">
        <v>0.18779165999999997</v>
      </c>
      <c r="F23" s="713">
        <v>0.72038515365049149</v>
      </c>
      <c r="G23" s="658" t="s">
        <v>356</v>
      </c>
      <c r="H23" s="622" t="s">
        <v>554</v>
      </c>
      <c r="I23" s="709" t="str">
        <f t="array" ref="I23">INDEX(UtilityList!Q$4:Q$251,MATCH('Table 2.5c'!$A23&amp;'Table 2.5c'!$B23,UtilityList!$A$4:$A$251&amp;UtilityList!$C$4:$C$251,0))</f>
        <v>Provides power to Chistochina via intertie. Includes Chistochina's fuel use and fuel cost.</v>
      </c>
      <c r="J23" s="709" t="str">
        <f t="array" ref="J23">INDEX(UtilityList!J$4:J$251,MATCH('Table 2.5c'!$A23&amp;'Table 2.5c'!$B23,UtilityList!$A$4:$A$251&amp;UtilityList!$C$4:$C$251,0))</f>
        <v>Copper River/Chugach</v>
      </c>
      <c r="K23" s="709" t="str">
        <f t="array" ref="K23">INDEX(UtilityList!K$4:K$251,MATCH('Table 2.5c'!$A23&amp;'Table 2.5c'!$B23,UtilityList!$A$4:$A$251&amp;UtilityList!$C$4:$C$251,0))</f>
        <v>Valdez-Cordova (CA)</v>
      </c>
      <c r="L23" s="709" t="str">
        <f t="array" ref="L23">INDEX(UtilityList!L$4:L$251,MATCH('Table 2.5c'!$A23&amp;'Table 2.5c'!$B23,UtilityList!$A$4:$A$251&amp;UtilityList!$C$4:$C$251,0))</f>
        <v>Ahtna</v>
      </c>
      <c r="M23" s="709" t="str">
        <f t="array" ref="M23">INDEX(UtilityList!M$4:M$251,MATCH('Table 2.5c'!$A23&amp;'Table 2.5c'!$B23,UtilityList!$A$4:$A$251&amp;UtilityList!$C$4:$C$251,0))</f>
        <v>YU</v>
      </c>
    </row>
    <row r="24" spans="1:13" s="63" customFormat="1" ht="45" x14ac:dyDescent="0.25">
      <c r="A24" s="710" t="s">
        <v>43</v>
      </c>
      <c r="B24" s="710" t="s">
        <v>62</v>
      </c>
      <c r="C24" s="711">
        <v>0.49043333</v>
      </c>
      <c r="D24" s="711">
        <v>0.31230000000000002</v>
      </c>
      <c r="E24" s="712">
        <v>0.17813332999999998</v>
      </c>
      <c r="F24" s="713">
        <v>0.63678380097046017</v>
      </c>
      <c r="G24" s="658" t="s">
        <v>356</v>
      </c>
      <c r="H24" s="622" t="s">
        <v>554</v>
      </c>
      <c r="I24" s="709" t="str">
        <f t="array" ref="I24">INDEX(UtilityList!Q$4:Q$251,MATCH('Table 2.5c'!$A24&amp;'Table 2.5c'!$B24,UtilityList!$A$4:$A$251&amp;UtilityList!$C$4:$C$251,0))</f>
        <v>Receives power from Tok via intertie. For fuel use and cost information please refer to Tok.</v>
      </c>
      <c r="J24" s="709" t="str">
        <f t="array" ref="J24">INDEX(UtilityList!J$4:J$251,MATCH('Table 2.5c'!$A24&amp;'Table 2.5c'!$B24,UtilityList!$A$4:$A$251&amp;UtilityList!$C$4:$C$251,0))</f>
        <v>Yukon-Koyukuk/Upper Tanana</v>
      </c>
      <c r="K24" s="709" t="str">
        <f t="array" ref="K24">INDEX(UtilityList!K$4:K$251,MATCH('Table 2.5c'!$A24&amp;'Table 2.5c'!$B24,UtilityList!$A$4:$A$251&amp;UtilityList!$C$4:$C$251,0))</f>
        <v>Southeast Fairbanks (CA)</v>
      </c>
      <c r="L24" s="709" t="str">
        <f t="array" ref="L24">INDEX(UtilityList!L$4:L$251,MATCH('Table 2.5c'!$A24&amp;'Table 2.5c'!$B24,UtilityList!$A$4:$A$251&amp;UtilityList!$C$4:$C$251,0))</f>
        <v>Dyon</v>
      </c>
      <c r="M24" s="709" t="str">
        <f t="array" ref="M24">INDEX(UtilityList!M$4:M$251,MATCH('Table 2.5c'!$A24&amp;'Table 2.5c'!$B24,UtilityList!$A$4:$A$251&amp;UtilityList!$C$4:$C$251,0))</f>
        <v>YU</v>
      </c>
    </row>
    <row r="25" spans="1:13" s="63" customFormat="1" ht="90" x14ac:dyDescent="0.25">
      <c r="A25" s="710" t="s">
        <v>43</v>
      </c>
      <c r="B25" s="710" t="s">
        <v>681</v>
      </c>
      <c r="C25" s="711">
        <v>0.2402</v>
      </c>
      <c r="D25" s="711">
        <v>8.4058330000000001E-2</v>
      </c>
      <c r="E25" s="712">
        <v>0.15614167000000001</v>
      </c>
      <c r="F25" s="713">
        <v>0.34995141548709408</v>
      </c>
      <c r="G25" s="658" t="s">
        <v>356</v>
      </c>
      <c r="H25" s="622" t="s">
        <v>554</v>
      </c>
      <c r="I25" s="709" t="str">
        <f t="array" ref="I25">INDEX(UtilityList!Q$4:Q$251,MATCH('Table 2.5c'!$A25&amp;'Table 2.5c'!$B25,UtilityList!$A$4:$A$251&amp;UtilityList!$C$4:$C$251,0))</f>
        <v>Part of the Alaska Power Company's grid on Prince of Wales Island. Receives power from Craig. Refer to Craig for fuel use and cost. Includes data for Kaasan.</v>
      </c>
      <c r="J25" s="709" t="str">
        <f t="array" ref="J25">INDEX(UtilityList!J$4:J$251,MATCH('Table 2.5c'!$A25&amp;'Table 2.5c'!$B25,UtilityList!$A$4:$A$251&amp;UtilityList!$C$4:$C$251,0))</f>
        <v>Southeast</v>
      </c>
      <c r="K25" s="709" t="str">
        <f t="array" ref="K25">INDEX(UtilityList!K$4:K$251,MATCH('Table 2.5c'!$A25&amp;'Table 2.5c'!$B25,UtilityList!$A$4:$A$251&amp;UtilityList!$C$4:$C$251,0))</f>
        <v>Prince of Wales-Hyder (CA)</v>
      </c>
      <c r="L25" s="709" t="str">
        <f t="array" ref="L25">INDEX(UtilityList!L$4:L$251,MATCH('Table 2.5c'!$A25&amp;'Table 2.5c'!$B25,UtilityList!$A$4:$A$251&amp;UtilityList!$C$4:$C$251,0))</f>
        <v>Sealaska</v>
      </c>
      <c r="M25" s="709" t="str">
        <f t="array" ref="M25">INDEX(UtilityList!M$4:M$251,MATCH('Table 2.5c'!$A25&amp;'Table 2.5c'!$B25,UtilityList!$A$4:$A$251&amp;UtilityList!$C$4:$C$251,0))</f>
        <v>SE</v>
      </c>
    </row>
    <row r="26" spans="1:13" s="63" customFormat="1" ht="90" x14ac:dyDescent="0.25">
      <c r="A26" s="710" t="s">
        <v>43</v>
      </c>
      <c r="B26" s="710" t="s">
        <v>685</v>
      </c>
      <c r="C26" s="711">
        <v>0.49040833</v>
      </c>
      <c r="D26" s="711">
        <v>0.31230000000000002</v>
      </c>
      <c r="E26" s="712">
        <v>0.17810832999999998</v>
      </c>
      <c r="F26" s="713">
        <v>0.63681626288851989</v>
      </c>
      <c r="G26" s="658" t="s">
        <v>356</v>
      </c>
      <c r="H26" s="622" t="s">
        <v>554</v>
      </c>
      <c r="I26" s="709" t="str">
        <f t="array" ref="I26">INDEX(UtilityList!Q$4:Q$251,MATCH('Table 2.5c'!$A26&amp;'Table 2.5c'!$B26,UtilityList!$A$4:$A$251&amp;UtilityList!$C$4:$C$251,0))</f>
        <v>Provides power to Tanacross, Tetlin and Dot Lake via intertie. Includes Tanacross' information. Fuel use and cost also includes Tetlin's and Dot Lake's information.</v>
      </c>
      <c r="J26" s="709" t="str">
        <f t="array" ref="J26">INDEX(UtilityList!J$4:J$251,MATCH('Table 2.5c'!$A26&amp;'Table 2.5c'!$B26,UtilityList!$A$4:$A$251&amp;UtilityList!$C$4:$C$251,0))</f>
        <v>Yukon-Koyukuk/Upper Tanana</v>
      </c>
      <c r="K26" s="709" t="str">
        <f t="array" ref="K26">INDEX(UtilityList!K$4:K$251,MATCH('Table 2.5c'!$A26&amp;'Table 2.5c'!$B26,UtilityList!$A$4:$A$251&amp;UtilityList!$C$4:$C$251,0))</f>
        <v>Southeast Fairbanks (CA)</v>
      </c>
      <c r="L26" s="709" t="str">
        <f t="array" ref="L26">INDEX(UtilityList!L$4:L$251,MATCH('Table 2.5c'!$A26&amp;'Table 2.5c'!$B26,UtilityList!$A$4:$A$251&amp;UtilityList!$C$4:$C$251,0))</f>
        <v>Doyon</v>
      </c>
      <c r="M26" s="709" t="str">
        <f t="array" ref="M26">INDEX(UtilityList!M$4:M$251,MATCH('Table 2.5c'!$A26&amp;'Table 2.5c'!$B26,UtilityList!$A$4:$A$251&amp;UtilityList!$C$4:$C$251,0))</f>
        <v>YU</v>
      </c>
    </row>
    <row r="27" spans="1:13" s="63" customFormat="1" ht="30" x14ac:dyDescent="0.25">
      <c r="A27" s="710" t="s">
        <v>43</v>
      </c>
      <c r="B27" s="710" t="s">
        <v>65</v>
      </c>
      <c r="C27" s="711">
        <v>0.59952499999999997</v>
      </c>
      <c r="D27" s="711">
        <v>0.3377</v>
      </c>
      <c r="E27" s="712">
        <v>0.26182499999999997</v>
      </c>
      <c r="F27" s="713">
        <v>0.56327926274967688</v>
      </c>
      <c r="G27" s="658" t="s">
        <v>356</v>
      </c>
      <c r="H27" s="622" t="s">
        <v>554</v>
      </c>
      <c r="I27" s="709">
        <f t="array" ref="I27">INDEX(UtilityList!Q$4:Q$251,MATCH('Table 2.5c'!$A27&amp;'Table 2.5c'!$B27,UtilityList!$A$4:$A$251&amp;UtilityList!$C$4:$C$251,0))</f>
        <v>0</v>
      </c>
      <c r="J27" s="709" t="str">
        <f t="array" ref="J27">INDEX(UtilityList!J$4:J$251,MATCH('Table 2.5c'!$A27&amp;'Table 2.5c'!$B27,UtilityList!$A$4:$A$251&amp;UtilityList!$C$4:$C$251,0))</f>
        <v>Southeast</v>
      </c>
      <c r="K27" s="709" t="str">
        <f t="array" ref="K27">INDEX(UtilityList!K$4:K$251,MATCH('Table 2.5c'!$A27&amp;'Table 2.5c'!$B27,UtilityList!$A$4:$A$251&amp;UtilityList!$C$4:$C$251,0))</f>
        <v>Prince of Wales-Hyder (CA)</v>
      </c>
      <c r="L27" s="709" t="str">
        <f t="array" ref="L27">INDEX(UtilityList!L$4:L$251,MATCH('Table 2.5c'!$A27&amp;'Table 2.5c'!$B27,UtilityList!$A$4:$A$251&amp;UtilityList!$C$4:$C$251,0))</f>
        <v>Sealaska</v>
      </c>
      <c r="M27" s="709" t="str">
        <f t="array" ref="M27">INDEX(UtilityList!M$4:M$251,MATCH('Table 2.5c'!$A27&amp;'Table 2.5c'!$B27,UtilityList!$A$4:$A$251&amp;UtilityList!$C$4:$C$251,0))</f>
        <v>SE</v>
      </c>
    </row>
    <row r="28" spans="1:13" s="63" customFormat="1" x14ac:dyDescent="0.25">
      <c r="A28" s="710" t="s">
        <v>524</v>
      </c>
      <c r="B28" s="710" t="s">
        <v>66</v>
      </c>
      <c r="C28" s="711">
        <v>0.59294999999999998</v>
      </c>
      <c r="D28" s="711">
        <v>0.37985000000000002</v>
      </c>
      <c r="E28" s="712">
        <v>0.21309999999999996</v>
      </c>
      <c r="F28" s="713">
        <v>0.6406105067880935</v>
      </c>
      <c r="G28" s="658" t="s">
        <v>356</v>
      </c>
      <c r="H28" s="622" t="s">
        <v>554</v>
      </c>
      <c r="I28" s="709">
        <f t="array" ref="I28">INDEX(UtilityList!Q$4:Q$251,MATCH('Table 2.5c'!$A28&amp;'Table 2.5c'!$B28,UtilityList!$A$4:$A$251&amp;UtilityList!$C$4:$C$251,0))</f>
        <v>0</v>
      </c>
      <c r="J28" s="709" t="str">
        <f t="array" ref="J28">INDEX(UtilityList!J$4:J$251,MATCH('Table 2.5c'!$A28&amp;'Table 2.5c'!$B28,UtilityList!$A$4:$A$251&amp;UtilityList!$C$4:$C$251,0))</f>
        <v>Lower Yukon-Kuskokwim</v>
      </c>
      <c r="K28" s="709" t="str">
        <f t="array" ref="K28">INDEX(UtilityList!K$4:K$251,MATCH('Table 2.5c'!$A28&amp;'Table 2.5c'!$B28,UtilityList!$A$4:$A$251&amp;UtilityList!$C$4:$C$251,0))</f>
        <v>Wade Hampton (CA)</v>
      </c>
      <c r="L28" s="709" t="str">
        <f t="array" ref="L28">INDEX(UtilityList!L$4:L$251,MATCH('Table 2.5c'!$A28&amp;'Table 2.5c'!$B28,UtilityList!$A$4:$A$251&amp;UtilityList!$C$4:$C$251,0))</f>
        <v>Calista</v>
      </c>
      <c r="M28" s="709" t="str">
        <f t="array" ref="M28">INDEX(UtilityList!M$4:M$251,MATCH('Table 2.5c'!$A28&amp;'Table 2.5c'!$B28,UtilityList!$A$4:$A$251&amp;UtilityList!$C$4:$C$251,0))</f>
        <v>YU</v>
      </c>
    </row>
    <row r="29" spans="1:13" s="63" customFormat="1" x14ac:dyDescent="0.25">
      <c r="A29" s="710" t="s">
        <v>524</v>
      </c>
      <c r="B29" s="710" t="s">
        <v>67</v>
      </c>
      <c r="C29" s="711">
        <v>0.63168332999999999</v>
      </c>
      <c r="D29" s="711">
        <v>0.41661667000000002</v>
      </c>
      <c r="E29" s="712">
        <v>0.21506665999999997</v>
      </c>
      <c r="F29" s="713">
        <v>0.65953405799073406</v>
      </c>
      <c r="G29" s="658" t="s">
        <v>356</v>
      </c>
      <c r="H29" s="622" t="s">
        <v>554</v>
      </c>
      <c r="I29" s="709">
        <f t="array" ref="I29">INDEX(UtilityList!Q$4:Q$251,MATCH('Table 2.5c'!$A29&amp;'Table 2.5c'!$B29,UtilityList!$A$4:$A$251&amp;UtilityList!$C$4:$C$251,0))</f>
        <v>0</v>
      </c>
      <c r="J29" s="709" t="str">
        <f t="array" ref="J29">INDEX(UtilityList!J$4:J$251,MATCH('Table 2.5c'!$A29&amp;'Table 2.5c'!$B29,UtilityList!$A$4:$A$251&amp;UtilityList!$C$4:$C$251,0))</f>
        <v>Northwest Arctic</v>
      </c>
      <c r="K29" s="709" t="str">
        <f t="array" ref="K29">INDEX(UtilityList!K$4:K$251,MATCH('Table 2.5c'!$A29&amp;'Table 2.5c'!$B29,UtilityList!$A$4:$A$251&amp;UtilityList!$C$4:$C$251,0))</f>
        <v>Northwest Arctic</v>
      </c>
      <c r="L29" s="709" t="str">
        <f t="array" ref="L29">INDEX(UtilityList!L$4:L$251,MATCH('Table 2.5c'!$A29&amp;'Table 2.5c'!$B29,UtilityList!$A$4:$A$251&amp;UtilityList!$C$4:$C$251,0))</f>
        <v>NANA</v>
      </c>
      <c r="M29" s="709" t="str">
        <f t="array" ref="M29">INDEX(UtilityList!M$4:M$251,MATCH('Table 2.5c'!$A29&amp;'Table 2.5c'!$B29,UtilityList!$A$4:$A$251&amp;UtilityList!$C$4:$C$251,0))</f>
        <v>AN</v>
      </c>
    </row>
    <row r="30" spans="1:13" s="63" customFormat="1" x14ac:dyDescent="0.25">
      <c r="A30" s="710" t="s">
        <v>524</v>
      </c>
      <c r="B30" s="710" t="s">
        <v>68</v>
      </c>
      <c r="C30" s="711">
        <v>0.59096667000000003</v>
      </c>
      <c r="D30" s="711">
        <v>0.37790833000000001</v>
      </c>
      <c r="E30" s="712">
        <v>0.21305834000000001</v>
      </c>
      <c r="F30" s="713">
        <v>0.639474862431751</v>
      </c>
      <c r="G30" s="658" t="s">
        <v>356</v>
      </c>
      <c r="H30" s="622" t="s">
        <v>554</v>
      </c>
      <c r="I30" s="709">
        <f t="array" ref="I30">INDEX(UtilityList!Q$4:Q$251,MATCH('Table 2.5c'!$A30&amp;'Table 2.5c'!$B30,UtilityList!$A$4:$A$251&amp;UtilityList!$C$4:$C$251,0))</f>
        <v>0</v>
      </c>
      <c r="J30" s="709" t="str">
        <f t="array" ref="J30">INDEX(UtilityList!J$4:J$251,MATCH('Table 2.5c'!$A30&amp;'Table 2.5c'!$B30,UtilityList!$A$4:$A$251&amp;UtilityList!$C$4:$C$251,0))</f>
        <v>Yukon-Koyukuk/Upper Tanana</v>
      </c>
      <c r="K30" s="709" t="str">
        <f t="array" ref="K30">INDEX(UtilityList!K$4:K$251,MATCH('Table 2.5c'!$A30&amp;'Table 2.5c'!$B30,UtilityList!$A$4:$A$251&amp;UtilityList!$C$4:$C$251,0))</f>
        <v>Yukon-Koyukuk (CA)</v>
      </c>
      <c r="L30" s="709" t="str">
        <f t="array" ref="L30">INDEX(UtilityList!L$4:L$251,MATCH('Table 2.5c'!$A30&amp;'Table 2.5c'!$B30,UtilityList!$A$4:$A$251&amp;UtilityList!$C$4:$C$251,0))</f>
        <v>Doyon</v>
      </c>
      <c r="M30" s="709" t="str">
        <f t="array" ref="M30">INDEX(UtilityList!M$4:M$251,MATCH('Table 2.5c'!$A30&amp;'Table 2.5c'!$B30,UtilityList!$A$4:$A$251&amp;UtilityList!$C$4:$C$251,0))</f>
        <v>YU</v>
      </c>
    </row>
    <row r="31" spans="1:13" s="63" customFormat="1" x14ac:dyDescent="0.25">
      <c r="A31" s="710" t="s">
        <v>524</v>
      </c>
      <c r="B31" s="710" t="s">
        <v>69</v>
      </c>
      <c r="C31" s="711">
        <v>0.53576667</v>
      </c>
      <c r="D31" s="711">
        <v>0.32549167000000001</v>
      </c>
      <c r="E31" s="712">
        <v>0.21027499999999999</v>
      </c>
      <c r="F31" s="713">
        <v>0.60752504443772137</v>
      </c>
      <c r="G31" s="658" t="s">
        <v>356</v>
      </c>
      <c r="H31" s="622" t="s">
        <v>554</v>
      </c>
      <c r="I31" s="709">
        <f t="array" ref="I31">INDEX(UtilityList!Q$4:Q$251,MATCH('Table 2.5c'!$A31&amp;'Table 2.5c'!$B31,UtilityList!$A$4:$A$251&amp;UtilityList!$C$4:$C$251,0))</f>
        <v>0</v>
      </c>
      <c r="J31" s="709" t="str">
        <f t="array" ref="J31">INDEX(UtilityList!J$4:J$251,MATCH('Table 2.5c'!$A31&amp;'Table 2.5c'!$B31,UtilityList!$A$4:$A$251&amp;UtilityList!$C$4:$C$251,0))</f>
        <v>Bering Straits</v>
      </c>
      <c r="K31" s="709" t="str">
        <f t="array" ref="K31">INDEX(UtilityList!K$4:K$251,MATCH('Table 2.5c'!$A31&amp;'Table 2.5c'!$B31,UtilityList!$A$4:$A$251&amp;UtilityList!$C$4:$C$251,0))</f>
        <v>Nome (CA)</v>
      </c>
      <c r="L31" s="709" t="str">
        <f t="array" ref="L31">INDEX(UtilityList!L$4:L$251,MATCH('Table 2.5c'!$A31&amp;'Table 2.5c'!$B31,UtilityList!$A$4:$A$251&amp;UtilityList!$C$4:$C$251,0))</f>
        <v>Bering Straits</v>
      </c>
      <c r="M31" s="709" t="str">
        <f t="array" ref="M31">INDEX(UtilityList!M$4:M$251,MATCH('Table 2.5c'!$A31&amp;'Table 2.5c'!$B31,UtilityList!$A$4:$A$251&amp;UtilityList!$C$4:$C$251,0))</f>
        <v>AN</v>
      </c>
    </row>
    <row r="32" spans="1:13" s="63" customFormat="1" x14ac:dyDescent="0.25">
      <c r="A32" s="710" t="s">
        <v>524</v>
      </c>
      <c r="B32" s="710" t="s">
        <v>70</v>
      </c>
      <c r="C32" s="711">
        <v>0.48440833</v>
      </c>
      <c r="D32" s="711">
        <v>0.2767</v>
      </c>
      <c r="E32" s="712">
        <v>0.20770833</v>
      </c>
      <c r="F32" s="713">
        <v>0.5712123076000778</v>
      </c>
      <c r="G32" s="658" t="s">
        <v>356</v>
      </c>
      <c r="H32" s="622" t="s">
        <v>554</v>
      </c>
      <c r="I32" s="709">
        <f t="array" ref="I32">INDEX(UtilityList!Q$4:Q$251,MATCH('Table 2.5c'!$A32&amp;'Table 2.5c'!$B32,UtilityList!$A$4:$A$251&amp;UtilityList!$C$4:$C$251,0))</f>
        <v>0</v>
      </c>
      <c r="J32" s="709" t="str">
        <f t="array" ref="J32">INDEX(UtilityList!J$4:J$251,MATCH('Table 2.5c'!$A32&amp;'Table 2.5c'!$B32,UtilityList!$A$4:$A$251&amp;UtilityList!$C$4:$C$251,0))</f>
        <v>Lower Yukon-Kuskokwim</v>
      </c>
      <c r="K32" s="709" t="str">
        <f t="array" ref="K32">INDEX(UtilityList!K$4:K$251,MATCH('Table 2.5c'!$A32&amp;'Table 2.5c'!$B32,UtilityList!$A$4:$A$251&amp;UtilityList!$C$4:$C$251,0))</f>
        <v>Wade Hampton (CA)</v>
      </c>
      <c r="L32" s="709" t="str">
        <f t="array" ref="L32">INDEX(UtilityList!L$4:L$251,MATCH('Table 2.5c'!$A32&amp;'Table 2.5c'!$B32,UtilityList!$A$4:$A$251&amp;UtilityList!$C$4:$C$251,0))</f>
        <v>Calista</v>
      </c>
      <c r="M32" s="709" t="str">
        <f t="array" ref="M32">INDEX(UtilityList!M$4:M$251,MATCH('Table 2.5c'!$A32&amp;'Table 2.5c'!$B32,UtilityList!$A$4:$A$251&amp;UtilityList!$C$4:$C$251,0))</f>
        <v>YU</v>
      </c>
    </row>
    <row r="33" spans="1:13" s="63" customFormat="1" x14ac:dyDescent="0.25">
      <c r="A33" s="710" t="s">
        <v>524</v>
      </c>
      <c r="B33" s="710" t="s">
        <v>71</v>
      </c>
      <c r="C33" s="711">
        <v>0.60357499999999997</v>
      </c>
      <c r="D33" s="711">
        <v>0.38990833000000003</v>
      </c>
      <c r="E33" s="712">
        <v>0.21366666999999995</v>
      </c>
      <c r="F33" s="713">
        <v>0.64599814438967829</v>
      </c>
      <c r="G33" s="658" t="s">
        <v>356</v>
      </c>
      <c r="H33" s="622" t="s">
        <v>554</v>
      </c>
      <c r="I33" s="709">
        <f t="array" ref="I33">INDEX(UtilityList!Q$4:Q$251,MATCH('Table 2.5c'!$A33&amp;'Table 2.5c'!$B33,UtilityList!$A$4:$A$251&amp;UtilityList!$C$4:$C$251,0))</f>
        <v>0</v>
      </c>
      <c r="J33" s="709" t="str">
        <f t="array" ref="J33">INDEX(UtilityList!J$4:J$251,MATCH('Table 2.5c'!$A33&amp;'Table 2.5c'!$B33,UtilityList!$A$4:$A$251&amp;UtilityList!$C$4:$C$251,0))</f>
        <v>Lower Yukon-Kuskokwim</v>
      </c>
      <c r="K33" s="709" t="str">
        <f t="array" ref="K33">INDEX(UtilityList!K$4:K$251,MATCH('Table 2.5c'!$A33&amp;'Table 2.5c'!$B33,UtilityList!$A$4:$A$251&amp;UtilityList!$C$4:$C$251,0))</f>
        <v>Bethel (CA)</v>
      </c>
      <c r="L33" s="709" t="str">
        <f t="array" ref="L33">INDEX(UtilityList!L$4:L$251,MATCH('Table 2.5c'!$A33&amp;'Table 2.5c'!$B33,UtilityList!$A$4:$A$251&amp;UtilityList!$C$4:$C$251,0))</f>
        <v>Calista</v>
      </c>
      <c r="M33" s="709" t="str">
        <f t="array" ref="M33">INDEX(UtilityList!M$4:M$251,MATCH('Table 2.5c'!$A33&amp;'Table 2.5c'!$B33,UtilityList!$A$4:$A$251&amp;UtilityList!$C$4:$C$251,0))</f>
        <v>SW</v>
      </c>
    </row>
    <row r="34" spans="1:13" s="63" customFormat="1" x14ac:dyDescent="0.25">
      <c r="A34" s="710" t="s">
        <v>524</v>
      </c>
      <c r="B34" s="710" t="s">
        <v>173</v>
      </c>
      <c r="C34" s="711">
        <v>0.74070000000000003</v>
      </c>
      <c r="D34" s="711">
        <v>0.51876</v>
      </c>
      <c r="E34" s="712">
        <v>0.22194000000000003</v>
      </c>
      <c r="F34" s="713">
        <v>0.70036452004860261</v>
      </c>
      <c r="G34" s="658" t="s">
        <v>356</v>
      </c>
      <c r="H34" s="622" t="s">
        <v>554</v>
      </c>
      <c r="I34" s="709">
        <f t="array" ref="I34">INDEX(UtilityList!Q$4:Q$251,MATCH('Table 2.5c'!$A34&amp;'Table 2.5c'!$B34,UtilityList!$A$4:$A$251&amp;UtilityList!$C$4:$C$251,0))</f>
        <v>0</v>
      </c>
      <c r="J34" s="709" t="str">
        <f t="array" ref="J34">INDEX(UtilityList!J$4:J$251,MATCH('Table 2.5c'!$A34&amp;'Table 2.5c'!$B34,UtilityList!$A$4:$A$251&amp;UtilityList!$C$4:$C$251,0))</f>
        <v>Bristol Bay</v>
      </c>
      <c r="K34" s="709" t="str">
        <f t="array" ref="K34">INDEX(UtilityList!K$4:K$251,MATCH('Table 2.5c'!$A34&amp;'Table 2.5c'!$B34,UtilityList!$A$4:$A$251&amp;UtilityList!$C$4:$C$251,0))</f>
        <v>Dillingham (CA)</v>
      </c>
      <c r="L34" s="709" t="str">
        <f t="array" ref="L34">INDEX(UtilityList!L$4:L$251,MATCH('Table 2.5c'!$A34&amp;'Table 2.5c'!$B34,UtilityList!$A$4:$A$251&amp;UtilityList!$C$4:$C$251,0))</f>
        <v>Bristol Bay</v>
      </c>
      <c r="M34" s="709" t="str">
        <f t="array" ref="M34">INDEX(UtilityList!M$4:M$251,MATCH('Table 2.5c'!$A34&amp;'Table 2.5c'!$B34,UtilityList!$A$4:$A$251&amp;UtilityList!$C$4:$C$251,0))</f>
        <v>SW</v>
      </c>
    </row>
    <row r="35" spans="1:13" s="63" customFormat="1" x14ac:dyDescent="0.25">
      <c r="A35" s="710" t="s">
        <v>524</v>
      </c>
      <c r="B35" s="710" t="s">
        <v>72</v>
      </c>
      <c r="C35" s="711">
        <v>0.58745000000000003</v>
      </c>
      <c r="D35" s="711">
        <v>0.35848332999999999</v>
      </c>
      <c r="E35" s="712">
        <v>0.22896667000000004</v>
      </c>
      <c r="F35" s="713">
        <v>0.61023632649587189</v>
      </c>
      <c r="G35" s="658" t="s">
        <v>356</v>
      </c>
      <c r="H35" s="622" t="s">
        <v>554</v>
      </c>
      <c r="I35" s="709">
        <f t="array" ref="I35">INDEX(UtilityList!Q$4:Q$251,MATCH('Table 2.5c'!$A35&amp;'Table 2.5c'!$B35,UtilityList!$A$4:$A$251&amp;UtilityList!$C$4:$C$251,0))</f>
        <v>0</v>
      </c>
      <c r="J35" s="709" t="str">
        <f t="array" ref="J35">INDEX(UtilityList!J$4:J$251,MATCH('Table 2.5c'!$A35&amp;'Table 2.5c'!$B35,UtilityList!$A$4:$A$251&amp;UtilityList!$C$4:$C$251,0))</f>
        <v>Bering Straits</v>
      </c>
      <c r="K35" s="709" t="str">
        <f t="array" ref="K35">INDEX(UtilityList!K$4:K$251,MATCH('Table 2.5c'!$A35&amp;'Table 2.5c'!$B35,UtilityList!$A$4:$A$251&amp;UtilityList!$C$4:$C$251,0))</f>
        <v>Nome (CA)</v>
      </c>
      <c r="L35" s="709" t="str">
        <f t="array" ref="L35">INDEX(UtilityList!L$4:L$251,MATCH('Table 2.5c'!$A35&amp;'Table 2.5c'!$B35,UtilityList!$A$4:$A$251&amp;UtilityList!$C$4:$C$251,0))</f>
        <v>Bering Straits</v>
      </c>
      <c r="M35" s="709" t="str">
        <f t="array" ref="M35">INDEX(UtilityList!M$4:M$251,MATCH('Table 2.5c'!$A35&amp;'Table 2.5c'!$B35,UtilityList!$A$4:$A$251&amp;UtilityList!$C$4:$C$251,0))</f>
        <v>AN</v>
      </c>
    </row>
    <row r="36" spans="1:13" s="63" customFormat="1" x14ac:dyDescent="0.25">
      <c r="A36" s="710" t="s">
        <v>524</v>
      </c>
      <c r="B36" s="710" t="s">
        <v>73</v>
      </c>
      <c r="C36" s="711">
        <v>0.55097499999999999</v>
      </c>
      <c r="D36" s="711">
        <v>0.33993332999999998</v>
      </c>
      <c r="E36" s="712">
        <v>0.21104167000000001</v>
      </c>
      <c r="F36" s="713">
        <v>0.61696688597486271</v>
      </c>
      <c r="G36" s="658" t="s">
        <v>356</v>
      </c>
      <c r="H36" s="622" t="s">
        <v>554</v>
      </c>
      <c r="I36" s="709">
        <f t="array" ref="I36">INDEX(UtilityList!Q$4:Q$251,MATCH('Table 2.5c'!$A36&amp;'Table 2.5c'!$B36,UtilityList!$A$4:$A$251&amp;UtilityList!$C$4:$C$251,0))</f>
        <v>0</v>
      </c>
      <c r="J36" s="709" t="str">
        <f t="array" ref="J36">INDEX(UtilityList!J$4:J$251,MATCH('Table 2.5c'!$A36&amp;'Table 2.5c'!$B36,UtilityList!$A$4:$A$251&amp;UtilityList!$C$4:$C$251,0))</f>
        <v>Lower Yukon-Kuskokwim</v>
      </c>
      <c r="K36" s="709" t="str">
        <f t="array" ref="K36">INDEX(UtilityList!K$4:K$251,MATCH('Table 2.5c'!$A36&amp;'Table 2.5c'!$B36,UtilityList!$A$4:$A$251&amp;UtilityList!$C$4:$C$251,0))</f>
        <v>Wade Hampton (CA)</v>
      </c>
      <c r="L36" s="709" t="str">
        <f t="array" ref="L36">INDEX(UtilityList!L$4:L$251,MATCH('Table 2.5c'!$A36&amp;'Table 2.5c'!$B36,UtilityList!$A$4:$A$251&amp;UtilityList!$C$4:$C$251,0))</f>
        <v>Calista</v>
      </c>
      <c r="M36" s="709" t="str">
        <f t="array" ref="M36">INDEX(UtilityList!M$4:M$251,MATCH('Table 2.5c'!$A36&amp;'Table 2.5c'!$B36,UtilityList!$A$4:$A$251&amp;UtilityList!$C$4:$C$251,0))</f>
        <v>YU</v>
      </c>
    </row>
    <row r="37" spans="1:13" s="63" customFormat="1" x14ac:dyDescent="0.25">
      <c r="A37" s="710" t="s">
        <v>524</v>
      </c>
      <c r="B37" s="710" t="s">
        <v>74</v>
      </c>
      <c r="C37" s="711">
        <v>0.52198332999999997</v>
      </c>
      <c r="D37" s="711">
        <v>0.31240833000000001</v>
      </c>
      <c r="E37" s="712">
        <v>0.20957499999999996</v>
      </c>
      <c r="F37" s="713">
        <v>0.59850250390180093</v>
      </c>
      <c r="G37" s="658" t="s">
        <v>356</v>
      </c>
      <c r="H37" s="622" t="s">
        <v>554</v>
      </c>
      <c r="I37" s="709">
        <f t="array" ref="I37">INDEX(UtilityList!Q$4:Q$251,MATCH('Table 2.5c'!$A37&amp;'Table 2.5c'!$B37,UtilityList!$A$4:$A$251&amp;UtilityList!$C$4:$C$251,0))</f>
        <v>0</v>
      </c>
      <c r="J37" s="709" t="str">
        <f t="array" ref="J37">INDEX(UtilityList!J$4:J$251,MATCH('Table 2.5c'!$A37&amp;'Table 2.5c'!$B37,UtilityList!$A$4:$A$251&amp;UtilityList!$C$4:$C$251,0))</f>
        <v>Bering Straits</v>
      </c>
      <c r="K37" s="709" t="str">
        <f t="array" ref="K37">INDEX(UtilityList!K$4:K$251,MATCH('Table 2.5c'!$A37&amp;'Table 2.5c'!$B37,UtilityList!$A$4:$A$251&amp;UtilityList!$C$4:$C$251,0))</f>
        <v>Nome (CA)</v>
      </c>
      <c r="L37" s="709" t="str">
        <f t="array" ref="L37">INDEX(UtilityList!L$4:L$251,MATCH('Table 2.5c'!$A37&amp;'Table 2.5c'!$B37,UtilityList!$A$4:$A$251&amp;UtilityList!$C$4:$C$251,0))</f>
        <v>Bering Straits</v>
      </c>
      <c r="M37" s="709" t="str">
        <f t="array" ref="M37">INDEX(UtilityList!M$4:M$251,MATCH('Table 2.5c'!$A37&amp;'Table 2.5c'!$B37,UtilityList!$A$4:$A$251&amp;UtilityList!$C$4:$C$251,0))</f>
        <v>AN</v>
      </c>
    </row>
    <row r="38" spans="1:13" s="63" customFormat="1" x14ac:dyDescent="0.25">
      <c r="A38" s="710" t="s">
        <v>524</v>
      </c>
      <c r="B38" s="710" t="s">
        <v>75</v>
      </c>
      <c r="C38" s="711">
        <v>0.58979999999999999</v>
      </c>
      <c r="D38" s="711">
        <v>0.37681667000000002</v>
      </c>
      <c r="E38" s="712">
        <v>0.21298332999999997</v>
      </c>
      <c r="F38" s="713">
        <v>0.63888889454052222</v>
      </c>
      <c r="G38" s="658" t="s">
        <v>356</v>
      </c>
      <c r="H38" s="622" t="s">
        <v>554</v>
      </c>
      <c r="I38" s="709">
        <f t="array" ref="I38">INDEX(UtilityList!Q$4:Q$251,MATCH('Table 2.5c'!$A38&amp;'Table 2.5c'!$B38,UtilityList!$A$4:$A$251&amp;UtilityList!$C$4:$C$251,0))</f>
        <v>0</v>
      </c>
      <c r="J38" s="709" t="str">
        <f t="array" ref="J38">INDEX(UtilityList!J$4:J$251,MATCH('Table 2.5c'!$A38&amp;'Table 2.5c'!$B38,UtilityList!$A$4:$A$251&amp;UtilityList!$C$4:$C$251,0))</f>
        <v>Lower Yukon-Kuskokwim</v>
      </c>
      <c r="K38" s="709" t="str">
        <f t="array" ref="K38">INDEX(UtilityList!K$4:K$251,MATCH('Table 2.5c'!$A38&amp;'Table 2.5c'!$B38,UtilityList!$A$4:$A$251&amp;UtilityList!$C$4:$C$251,0))</f>
        <v>Bethel (CA)</v>
      </c>
      <c r="L38" s="709" t="str">
        <f t="array" ref="L38">INDEX(UtilityList!L$4:L$251,MATCH('Table 2.5c'!$A38&amp;'Table 2.5c'!$B38,UtilityList!$A$4:$A$251&amp;UtilityList!$C$4:$C$251,0))</f>
        <v>Calista</v>
      </c>
      <c r="M38" s="709" t="str">
        <f t="array" ref="M38">INDEX(UtilityList!M$4:M$251,MATCH('Table 2.5c'!$A38&amp;'Table 2.5c'!$B38,UtilityList!$A$4:$A$251&amp;UtilityList!$C$4:$C$251,0))</f>
        <v>SW</v>
      </c>
    </row>
    <row r="39" spans="1:13" s="63" customFormat="1" x14ac:dyDescent="0.25">
      <c r="A39" s="710" t="s">
        <v>524</v>
      </c>
      <c r="B39" s="710" t="s">
        <v>76</v>
      </c>
      <c r="C39" s="711">
        <v>0.55513332999999998</v>
      </c>
      <c r="D39" s="711">
        <v>0.34387499999999999</v>
      </c>
      <c r="E39" s="712">
        <v>0.21125832999999999</v>
      </c>
      <c r="F39" s="713">
        <v>0.61944578251138338</v>
      </c>
      <c r="G39" s="658" t="s">
        <v>356</v>
      </c>
      <c r="H39" s="622" t="s">
        <v>554</v>
      </c>
      <c r="I39" s="709">
        <f t="array" ref="I39">INDEX(UtilityList!Q$4:Q$251,MATCH('Table 2.5c'!$A39&amp;'Table 2.5c'!$B39,UtilityList!$A$4:$A$251&amp;UtilityList!$C$4:$C$251,0))</f>
        <v>0</v>
      </c>
      <c r="J39" s="709" t="str">
        <f t="array" ref="J39">INDEX(UtilityList!J$4:J$251,MATCH('Table 2.5c'!$A39&amp;'Table 2.5c'!$B39,UtilityList!$A$4:$A$251&amp;UtilityList!$C$4:$C$251,0))</f>
        <v>Yukon-Koyukuk/Upper Tanana</v>
      </c>
      <c r="K39" s="709" t="str">
        <f t="array" ref="K39">INDEX(UtilityList!K$4:K$251,MATCH('Table 2.5c'!$A39&amp;'Table 2.5c'!$B39,UtilityList!$A$4:$A$251&amp;UtilityList!$C$4:$C$251,0))</f>
        <v>Yukon-Koyukuk (CA)</v>
      </c>
      <c r="L39" s="709" t="str">
        <f t="array" ref="L39">INDEX(UtilityList!L$4:L$251,MATCH('Table 2.5c'!$A39&amp;'Table 2.5c'!$B39,UtilityList!$A$4:$A$251&amp;UtilityList!$C$4:$C$251,0))</f>
        <v>Doyon</v>
      </c>
      <c r="M39" s="709" t="str">
        <f t="array" ref="M39">INDEX(UtilityList!M$4:M$251,MATCH('Table 2.5c'!$A39&amp;'Table 2.5c'!$B39,UtilityList!$A$4:$A$251&amp;UtilityList!$C$4:$C$251,0))</f>
        <v>YU</v>
      </c>
    </row>
    <row r="40" spans="1:13" s="63" customFormat="1" x14ac:dyDescent="0.25">
      <c r="A40" s="710" t="s">
        <v>524</v>
      </c>
      <c r="B40" s="710" t="s">
        <v>77</v>
      </c>
      <c r="C40" s="711">
        <v>0.53326667000000005</v>
      </c>
      <c r="D40" s="711">
        <v>0.323125</v>
      </c>
      <c r="E40" s="712">
        <v>0.21014167000000006</v>
      </c>
      <c r="F40" s="713">
        <v>0.60593511310204318</v>
      </c>
      <c r="G40" s="658" t="s">
        <v>356</v>
      </c>
      <c r="H40" s="622" t="s">
        <v>554</v>
      </c>
      <c r="I40" s="709">
        <f t="array" ref="I40">INDEX(UtilityList!Q$4:Q$251,MATCH('Table 2.5c'!$A40&amp;'Table 2.5c'!$B40,UtilityList!$A$4:$A$251&amp;UtilityList!$C$4:$C$251,0))</f>
        <v>0</v>
      </c>
      <c r="J40" s="709" t="str">
        <f t="array" ref="J40">INDEX(UtilityList!J$4:J$251,MATCH('Table 2.5c'!$A40&amp;'Table 2.5c'!$B40,UtilityList!$A$4:$A$251&amp;UtilityList!$C$4:$C$251,0))</f>
        <v>Yukon-Koyukuk/Upper Tanana</v>
      </c>
      <c r="K40" s="709" t="str">
        <f t="array" ref="K40">INDEX(UtilityList!K$4:K$251,MATCH('Table 2.5c'!$A40&amp;'Table 2.5c'!$B40,UtilityList!$A$4:$A$251&amp;UtilityList!$C$4:$C$251,0))</f>
        <v>Yukon-Koyukuk (CA)</v>
      </c>
      <c r="L40" s="709" t="str">
        <f t="array" ref="L40">INDEX(UtilityList!L$4:L$251,MATCH('Table 2.5c'!$A40&amp;'Table 2.5c'!$B40,UtilityList!$A$4:$A$251&amp;UtilityList!$C$4:$C$251,0))</f>
        <v>Doyon</v>
      </c>
      <c r="M40" s="709" t="str">
        <f t="array" ref="M40">INDEX(UtilityList!M$4:M$251,MATCH('Table 2.5c'!$A40&amp;'Table 2.5c'!$B40,UtilityList!$A$4:$A$251&amp;UtilityList!$C$4:$C$251,0))</f>
        <v>YU</v>
      </c>
    </row>
    <row r="41" spans="1:13" s="63" customFormat="1" x14ac:dyDescent="0.25">
      <c r="A41" s="710" t="s">
        <v>524</v>
      </c>
      <c r="B41" s="710" t="s">
        <v>78</v>
      </c>
      <c r="C41" s="711">
        <v>0.51734999999999998</v>
      </c>
      <c r="D41" s="711">
        <v>0.30801666999999999</v>
      </c>
      <c r="E41" s="712">
        <v>0.20933332999999998</v>
      </c>
      <c r="F41" s="713">
        <v>0.59537386682130089</v>
      </c>
      <c r="G41" s="658" t="s">
        <v>356</v>
      </c>
      <c r="H41" s="622" t="s">
        <v>554</v>
      </c>
      <c r="I41" s="709">
        <f t="array" ref="I41">INDEX(UtilityList!Q$4:Q$251,MATCH('Table 2.5c'!$A41&amp;'Table 2.5c'!$B41,UtilityList!$A$4:$A$251&amp;UtilityList!$C$4:$C$251,0))</f>
        <v>0</v>
      </c>
      <c r="J41" s="709" t="str">
        <f t="array" ref="J41">INDEX(UtilityList!J$4:J$251,MATCH('Table 2.5c'!$A41&amp;'Table 2.5c'!$B41,UtilityList!$A$4:$A$251&amp;UtilityList!$C$4:$C$251,0))</f>
        <v>Lower Yukon-Kuskokwim</v>
      </c>
      <c r="K41" s="709" t="str">
        <f t="array" ref="K41">INDEX(UtilityList!K$4:K$251,MATCH('Table 2.5c'!$A41&amp;'Table 2.5c'!$B41,UtilityList!$A$4:$A$251&amp;UtilityList!$C$4:$C$251,0))</f>
        <v>Wade Hampton (CA)</v>
      </c>
      <c r="L41" s="709" t="str">
        <f t="array" ref="L41">INDEX(UtilityList!L$4:L$251,MATCH('Table 2.5c'!$A41&amp;'Table 2.5c'!$B41,UtilityList!$A$4:$A$251&amp;UtilityList!$C$4:$C$251,0))</f>
        <v>Calista</v>
      </c>
      <c r="M41" s="709" t="str">
        <f t="array" ref="M41">INDEX(UtilityList!M$4:M$251,MATCH('Table 2.5c'!$A41&amp;'Table 2.5c'!$B41,UtilityList!$A$4:$A$251&amp;UtilityList!$C$4:$C$251,0))</f>
        <v>YU</v>
      </c>
    </row>
    <row r="42" spans="1:13" s="63" customFormat="1" x14ac:dyDescent="0.25">
      <c r="A42" s="710" t="s">
        <v>524</v>
      </c>
      <c r="B42" s="710" t="s">
        <v>79</v>
      </c>
      <c r="C42" s="711">
        <v>0.54396666999999999</v>
      </c>
      <c r="D42" s="711">
        <v>0.33329166999999998</v>
      </c>
      <c r="E42" s="712">
        <v>0.210675</v>
      </c>
      <c r="F42" s="713">
        <v>0.6127060505379861</v>
      </c>
      <c r="G42" s="658" t="s">
        <v>356</v>
      </c>
      <c r="H42" s="622" t="s">
        <v>554</v>
      </c>
      <c r="I42" s="709">
        <f t="array" ref="I42">INDEX(UtilityList!Q$4:Q$251,MATCH('Table 2.5c'!$A42&amp;'Table 2.5c'!$B42,UtilityList!$A$4:$A$251&amp;UtilityList!$C$4:$C$251,0))</f>
        <v>0</v>
      </c>
      <c r="J42" s="709" t="str">
        <f t="array" ref="J42">INDEX(UtilityList!J$4:J$251,MATCH('Table 2.5c'!$A42&amp;'Table 2.5c'!$B42,UtilityList!$A$4:$A$251&amp;UtilityList!$C$4:$C$251,0))</f>
        <v>Yukon-Koyukuk/Upper Tanana</v>
      </c>
      <c r="K42" s="709" t="str">
        <f t="array" ref="K42">INDEX(UtilityList!K$4:K$251,MATCH('Table 2.5c'!$A42&amp;'Table 2.5c'!$B42,UtilityList!$A$4:$A$251&amp;UtilityList!$C$4:$C$251,0))</f>
        <v>Yukon-Koyukuk (CA)</v>
      </c>
      <c r="L42" s="709" t="str">
        <f t="array" ref="L42">INDEX(UtilityList!L$4:L$251,MATCH('Table 2.5c'!$A42&amp;'Table 2.5c'!$B42,UtilityList!$A$4:$A$251&amp;UtilityList!$C$4:$C$251,0))</f>
        <v>Doyon</v>
      </c>
      <c r="M42" s="709" t="str">
        <f t="array" ref="M42">INDEX(UtilityList!M$4:M$251,MATCH('Table 2.5c'!$A42&amp;'Table 2.5c'!$B42,UtilityList!$A$4:$A$251&amp;UtilityList!$C$4:$C$251,0))</f>
        <v>YU</v>
      </c>
    </row>
    <row r="43" spans="1:13" s="63" customFormat="1" ht="60" x14ac:dyDescent="0.25">
      <c r="A43" s="710" t="s">
        <v>524</v>
      </c>
      <c r="B43" s="710" t="s">
        <v>997</v>
      </c>
      <c r="C43" s="711">
        <v>0.57994999999999997</v>
      </c>
      <c r="D43" s="711">
        <v>0.36745833</v>
      </c>
      <c r="E43" s="712">
        <v>0.21249166999999997</v>
      </c>
      <c r="F43" s="713">
        <v>0.63360346581601867</v>
      </c>
      <c r="G43" s="658" t="s">
        <v>356</v>
      </c>
      <c r="H43" s="622" t="s">
        <v>554</v>
      </c>
      <c r="I43" s="709" t="str">
        <f t="array" ref="I43">INDEX(UtilityList!Q$4:Q$251,MATCH('Table 2.5c'!$A43&amp;'Table 2.5c'!$B43,UtilityList!$A$4:$A$251&amp;UtilityList!$C$4:$C$251,0))</f>
        <v>Provides power to Lower Kalskag via intertie. Fuel use and cost data includes information for Lower Kalskag.</v>
      </c>
      <c r="J43" s="709" t="str">
        <f t="array" ref="J43">INDEX(UtilityList!J$4:J$251,MATCH('Table 2.5c'!$A43&amp;'Table 2.5c'!$B43,UtilityList!$A$4:$A$251&amp;UtilityList!$C$4:$C$251,0))</f>
        <v>Lower Yukon-Kuskokwim</v>
      </c>
      <c r="K43" s="709" t="str">
        <f t="array" ref="K43">INDEX(UtilityList!K$4:K$251,MATCH('Table 2.5c'!$A43&amp;'Table 2.5c'!$B43,UtilityList!$A$4:$A$251&amp;UtilityList!$C$4:$C$251,0))</f>
        <v>Bethel (CA)</v>
      </c>
      <c r="L43" s="709" t="str">
        <f t="array" ref="L43">INDEX(UtilityList!L$4:L$251,MATCH('Table 2.5c'!$A43&amp;'Table 2.5c'!$B43,UtilityList!$A$4:$A$251&amp;UtilityList!$C$4:$C$251,0))</f>
        <v>Calista</v>
      </c>
      <c r="M43" s="709" t="str">
        <f t="array" ref="M43">INDEX(UtilityList!M$4:M$251,MATCH('Table 2.5c'!$A43&amp;'Table 2.5c'!$B43,UtilityList!$A$4:$A$251&amp;UtilityList!$C$4:$C$251,0))</f>
        <v>SW</v>
      </c>
    </row>
    <row r="44" spans="1:13" s="63" customFormat="1" x14ac:dyDescent="0.25">
      <c r="A44" s="710" t="s">
        <v>524</v>
      </c>
      <c r="B44" s="710" t="s">
        <v>80</v>
      </c>
      <c r="C44" s="711">
        <v>0.51991666999999997</v>
      </c>
      <c r="D44" s="711">
        <v>0.31046667</v>
      </c>
      <c r="E44" s="712">
        <v>0.20944999999999997</v>
      </c>
      <c r="F44" s="713">
        <v>0.59714698126528631</v>
      </c>
      <c r="G44" s="658" t="s">
        <v>356</v>
      </c>
      <c r="H44" s="622" t="s">
        <v>554</v>
      </c>
      <c r="I44" s="709">
        <f t="array" ref="I44">INDEX(UtilityList!Q$4:Q$251,MATCH('Table 2.5c'!$A44&amp;'Table 2.5c'!$B44,UtilityList!$A$4:$A$251&amp;UtilityList!$C$4:$C$251,0))</f>
        <v>0</v>
      </c>
      <c r="J44" s="709" t="str">
        <f t="array" ref="J44">INDEX(UtilityList!J$4:J$251,MATCH('Table 2.5c'!$A44&amp;'Table 2.5c'!$B44,UtilityList!$A$4:$A$251&amp;UtilityList!$C$4:$C$251,0))</f>
        <v>Yukon-Koyukuk/Upper Tanana</v>
      </c>
      <c r="K44" s="709" t="str">
        <f t="array" ref="K44">INDEX(UtilityList!K$4:K$251,MATCH('Table 2.5c'!$A44&amp;'Table 2.5c'!$B44,UtilityList!$A$4:$A$251&amp;UtilityList!$C$4:$C$251,0))</f>
        <v>Yukon-Koyukuk (CA)</v>
      </c>
      <c r="L44" s="709" t="str">
        <f t="array" ref="L44">INDEX(UtilityList!L$4:L$251,MATCH('Table 2.5c'!$A44&amp;'Table 2.5c'!$B44,UtilityList!$A$4:$A$251&amp;UtilityList!$C$4:$C$251,0))</f>
        <v>Doyon</v>
      </c>
      <c r="M44" s="709" t="str">
        <f t="array" ref="M44">INDEX(UtilityList!M$4:M$251,MATCH('Table 2.5c'!$A44&amp;'Table 2.5c'!$B44,UtilityList!$A$4:$A$251&amp;UtilityList!$C$4:$C$251,0))</f>
        <v>YU</v>
      </c>
    </row>
    <row r="45" spans="1:13" s="63" customFormat="1" ht="60" x14ac:dyDescent="0.25">
      <c r="A45" s="710" t="s">
        <v>524</v>
      </c>
      <c r="B45" s="710" t="s">
        <v>992</v>
      </c>
      <c r="C45" s="711">
        <v>0.53120833000000001</v>
      </c>
      <c r="D45" s="711">
        <v>0.32116666999999999</v>
      </c>
      <c r="E45" s="712">
        <v>0.21004166000000002</v>
      </c>
      <c r="F45" s="713">
        <v>0.60459644900523302</v>
      </c>
      <c r="G45" s="658" t="s">
        <v>356</v>
      </c>
      <c r="H45" s="622" t="s">
        <v>554</v>
      </c>
      <c r="I45" s="709" t="str">
        <f t="array" ref="I45">INDEX(UtilityList!Q$4:Q$251,MATCH('Table 2.5c'!$A45&amp;'Table 2.5c'!$B45,UtilityList!$A$4:$A$251&amp;UtilityList!$C$4:$C$251,0))</f>
        <v>Provides power to Nunapitchuk via intertie.  Fuel use and cost includes Nunapitchuk's information.</v>
      </c>
      <c r="J45" s="709" t="str">
        <f t="array" ref="J45">INDEX(UtilityList!J$4:J$251,MATCH('Table 2.5c'!$A45&amp;'Table 2.5c'!$B45,UtilityList!$A$4:$A$251&amp;UtilityList!$C$4:$C$251,0))</f>
        <v>Lower Yukon-Kuskokwim</v>
      </c>
      <c r="K45" s="709" t="str">
        <f t="array" ref="K45">INDEX(UtilityList!K$4:K$251,MATCH('Table 2.5c'!$A45&amp;'Table 2.5c'!$B45,UtilityList!$A$4:$A$251&amp;UtilityList!$C$4:$C$251,0))</f>
        <v>Bethel (CA)</v>
      </c>
      <c r="L45" s="709" t="str">
        <f t="array" ref="L45">INDEX(UtilityList!L$4:L$251,MATCH('Table 2.5c'!$A45&amp;'Table 2.5c'!$B45,UtilityList!$A$4:$A$251&amp;UtilityList!$C$4:$C$251,0))</f>
        <v>Calista</v>
      </c>
      <c r="M45" s="709" t="str">
        <f t="array" ref="M45">INDEX(UtilityList!M$4:M$251,MATCH('Table 2.5c'!$A45&amp;'Table 2.5c'!$B45,UtilityList!$A$4:$A$251&amp;UtilityList!$C$4:$C$251,0))</f>
        <v>SW</v>
      </c>
    </row>
    <row r="46" spans="1:13" s="63" customFormat="1" x14ac:dyDescent="0.25">
      <c r="A46" s="710" t="s">
        <v>524</v>
      </c>
      <c r="B46" s="710" t="s">
        <v>82</v>
      </c>
      <c r="C46" s="711">
        <v>0.65162500000000001</v>
      </c>
      <c r="D46" s="711">
        <v>0.43556666999999999</v>
      </c>
      <c r="E46" s="712">
        <v>0.21605833000000002</v>
      </c>
      <c r="F46" s="713">
        <v>0.6684314905045079</v>
      </c>
      <c r="G46" s="658" t="s">
        <v>356</v>
      </c>
      <c r="H46" s="622" t="s">
        <v>554</v>
      </c>
      <c r="I46" s="709">
        <f t="array" ref="I46">INDEX(UtilityList!Q$4:Q$251,MATCH('Table 2.5c'!$A46&amp;'Table 2.5c'!$B46,UtilityList!$A$4:$A$251&amp;UtilityList!$C$4:$C$251,0))</f>
        <v>0</v>
      </c>
      <c r="J46" s="709" t="str">
        <f t="array" ref="J46">INDEX(UtilityList!J$4:J$251,MATCH('Table 2.5c'!$A46&amp;'Table 2.5c'!$B46,UtilityList!$A$4:$A$251&amp;UtilityList!$C$4:$C$251,0))</f>
        <v>Northwest Arctic</v>
      </c>
      <c r="K46" s="709" t="str">
        <f t="array" ref="K46">INDEX(UtilityList!K$4:K$251,MATCH('Table 2.5c'!$A46&amp;'Table 2.5c'!$B46,UtilityList!$A$4:$A$251&amp;UtilityList!$C$4:$C$251,0))</f>
        <v>Northwest Arctic</v>
      </c>
      <c r="L46" s="709" t="str">
        <f t="array" ref="L46">INDEX(UtilityList!L$4:L$251,MATCH('Table 2.5c'!$A46&amp;'Table 2.5c'!$B46,UtilityList!$A$4:$A$251&amp;UtilityList!$C$4:$C$251,0))</f>
        <v>NANA</v>
      </c>
      <c r="M46" s="709" t="str">
        <f t="array" ref="M46">INDEX(UtilityList!M$4:M$251,MATCH('Table 2.5c'!$A46&amp;'Table 2.5c'!$B46,UtilityList!$A$4:$A$251&amp;UtilityList!$C$4:$C$251,0))</f>
        <v>AN</v>
      </c>
    </row>
    <row r="47" spans="1:13" s="63" customFormat="1" x14ac:dyDescent="0.25">
      <c r="A47" s="710" t="s">
        <v>524</v>
      </c>
      <c r="B47" s="710" t="s">
        <v>83</v>
      </c>
      <c r="C47" s="711">
        <v>0.63886666999999997</v>
      </c>
      <c r="D47" s="711">
        <v>0.42344166999999999</v>
      </c>
      <c r="E47" s="712">
        <v>0.21542499999999998</v>
      </c>
      <c r="F47" s="713">
        <v>0.66280131658770058</v>
      </c>
      <c r="G47" s="658" t="s">
        <v>356</v>
      </c>
      <c r="H47" s="622" t="s">
        <v>554</v>
      </c>
      <c r="I47" s="709">
        <f t="array" ref="I47">INDEX(UtilityList!Q$4:Q$251,MATCH('Table 2.5c'!$A47&amp;'Table 2.5c'!$B47,UtilityList!$A$4:$A$251&amp;UtilityList!$C$4:$C$251,0))</f>
        <v>0</v>
      </c>
      <c r="J47" s="709" t="str">
        <f t="array" ref="J47">INDEX(UtilityList!J$4:J$251,MATCH('Table 2.5c'!$A47&amp;'Table 2.5c'!$B47,UtilityList!$A$4:$A$251&amp;UtilityList!$C$4:$C$251,0))</f>
        <v>Northwest Arctic</v>
      </c>
      <c r="K47" s="709" t="str">
        <f t="array" ref="K47">INDEX(UtilityList!K$4:K$251,MATCH('Table 2.5c'!$A47&amp;'Table 2.5c'!$B47,UtilityList!$A$4:$A$251&amp;UtilityList!$C$4:$C$251,0))</f>
        <v>Northwest Arctic</v>
      </c>
      <c r="L47" s="709" t="str">
        <f t="array" ref="L47">INDEX(UtilityList!L$4:L$251,MATCH('Table 2.5c'!$A47&amp;'Table 2.5c'!$B47,UtilityList!$A$4:$A$251&amp;UtilityList!$C$4:$C$251,0))</f>
        <v>NANA</v>
      </c>
      <c r="M47" s="709" t="str">
        <f t="array" ref="M47">INDEX(UtilityList!M$4:M$251,MATCH('Table 2.5c'!$A47&amp;'Table 2.5c'!$B47,UtilityList!$A$4:$A$251&amp;UtilityList!$C$4:$C$251,0))</f>
        <v>AN</v>
      </c>
    </row>
    <row r="48" spans="1:13" s="63" customFormat="1" x14ac:dyDescent="0.25">
      <c r="A48" s="710" t="s">
        <v>524</v>
      </c>
      <c r="B48" s="710" t="s">
        <v>84</v>
      </c>
      <c r="C48" s="711">
        <v>0.58574999999999999</v>
      </c>
      <c r="D48" s="711">
        <v>0.372975</v>
      </c>
      <c r="E48" s="712">
        <v>0.21277499999999999</v>
      </c>
      <c r="F48" s="713">
        <v>0.63674775928297056</v>
      </c>
      <c r="G48" s="658" t="s">
        <v>356</v>
      </c>
      <c r="H48" s="622" t="s">
        <v>554</v>
      </c>
      <c r="I48" s="709">
        <f t="array" ref="I48">INDEX(UtilityList!Q$4:Q$251,MATCH('Table 2.5c'!$A48&amp;'Table 2.5c'!$B48,UtilityList!$A$4:$A$251&amp;UtilityList!$C$4:$C$251,0))</f>
        <v>0</v>
      </c>
      <c r="J48" s="709" t="str">
        <f t="array" ref="J48">INDEX(UtilityList!J$4:J$251,MATCH('Table 2.5c'!$A48&amp;'Table 2.5c'!$B48,UtilityList!$A$4:$A$251&amp;UtilityList!$C$4:$C$251,0))</f>
        <v>Lower Yukon-Kuskokwim</v>
      </c>
      <c r="K48" s="709" t="str">
        <f t="array" ref="K48">INDEX(UtilityList!K$4:K$251,MATCH('Table 2.5c'!$A48&amp;'Table 2.5c'!$B48,UtilityList!$A$4:$A$251&amp;UtilityList!$C$4:$C$251,0))</f>
        <v>Wade Hampton (CA)</v>
      </c>
      <c r="L48" s="709" t="str">
        <f t="array" ref="L48">INDEX(UtilityList!L$4:L$251,MATCH('Table 2.5c'!$A48&amp;'Table 2.5c'!$B48,UtilityList!$A$4:$A$251&amp;UtilityList!$C$4:$C$251,0))</f>
        <v>Calista</v>
      </c>
      <c r="M48" s="709" t="str">
        <f t="array" ref="M48">INDEX(UtilityList!M$4:M$251,MATCH('Table 2.5c'!$A48&amp;'Table 2.5c'!$B48,UtilityList!$A$4:$A$251&amp;UtilityList!$C$4:$C$251,0))</f>
        <v>YU</v>
      </c>
    </row>
    <row r="49" spans="1:13" s="63" customFormat="1" x14ac:dyDescent="0.25">
      <c r="A49" s="710" t="s">
        <v>524</v>
      </c>
      <c r="B49" s="710" t="s">
        <v>85</v>
      </c>
      <c r="C49" s="711">
        <v>0.55073333000000002</v>
      </c>
      <c r="D49" s="711">
        <v>0.33969167</v>
      </c>
      <c r="E49" s="712">
        <v>0.21104166000000002</v>
      </c>
      <c r="F49" s="713">
        <v>0.61679882348867465</v>
      </c>
      <c r="G49" s="658" t="s">
        <v>356</v>
      </c>
      <c r="H49" s="622" t="s">
        <v>554</v>
      </c>
      <c r="I49" s="709">
        <f t="array" ref="I49">INDEX(UtilityList!Q$4:Q$251,MATCH('Table 2.5c'!$A49&amp;'Table 2.5c'!$B49,UtilityList!$A$4:$A$251&amp;UtilityList!$C$4:$C$251,0))</f>
        <v>0</v>
      </c>
      <c r="J49" s="709" t="str">
        <f t="array" ref="J49">INDEX(UtilityList!J$4:J$251,MATCH('Table 2.5c'!$A49&amp;'Table 2.5c'!$B49,UtilityList!$A$4:$A$251&amp;UtilityList!$C$4:$C$251,0))</f>
        <v>Bering Straits</v>
      </c>
      <c r="K49" s="709" t="str">
        <f t="array" ref="K49">INDEX(UtilityList!K$4:K$251,MATCH('Table 2.5c'!$A49&amp;'Table 2.5c'!$B49,UtilityList!$A$4:$A$251&amp;UtilityList!$C$4:$C$251,0))</f>
        <v>Nome (CA)</v>
      </c>
      <c r="L49" s="709" t="str">
        <f t="array" ref="L49">INDEX(UtilityList!L$4:L$251,MATCH('Table 2.5c'!$A49&amp;'Table 2.5c'!$B49,UtilityList!$A$4:$A$251&amp;UtilityList!$C$4:$C$251,0))</f>
        <v>Bering Straits</v>
      </c>
      <c r="M49" s="709" t="str">
        <f t="array" ref="M49">INDEX(UtilityList!M$4:M$251,MATCH('Table 2.5c'!$A49&amp;'Table 2.5c'!$B49,UtilityList!$A$4:$A$251&amp;UtilityList!$C$4:$C$251,0))</f>
        <v>AN</v>
      </c>
    </row>
    <row r="50" spans="1:13" s="63" customFormat="1" ht="60" x14ac:dyDescent="0.25">
      <c r="A50" s="710" t="s">
        <v>524</v>
      </c>
      <c r="B50" s="710" t="s">
        <v>86</v>
      </c>
      <c r="C50" s="711">
        <v>0.57994999999999997</v>
      </c>
      <c r="D50" s="711">
        <v>0.36745833</v>
      </c>
      <c r="E50" s="712">
        <v>0.21249166999999997</v>
      </c>
      <c r="F50" s="713">
        <v>0.63360346581601867</v>
      </c>
      <c r="G50" s="658" t="s">
        <v>356</v>
      </c>
      <c r="H50" s="622" t="s">
        <v>554</v>
      </c>
      <c r="I50" s="709" t="str">
        <f t="array" ref="I50">INDEX(UtilityList!Q$4:Q$251,MATCH('Table 2.5c'!$A50&amp;'Table 2.5c'!$B50,UtilityList!$A$4:$A$251&amp;UtilityList!$C$4:$C$251,0))</f>
        <v>Receives power from (Upper) Kalskag via intertie. For fuel use and cost, please refer to (Upper) Kalskag.</v>
      </c>
      <c r="J50" s="709" t="str">
        <f t="array" ref="J50">INDEX(UtilityList!J$4:J$251,MATCH('Table 2.5c'!$A50&amp;'Table 2.5c'!$B50,UtilityList!$A$4:$A$251&amp;UtilityList!$C$4:$C$251,0))</f>
        <v>Lower Yukon-Kuskokwim</v>
      </c>
      <c r="K50" s="709" t="str">
        <f t="array" ref="K50">INDEX(UtilityList!K$4:K$251,MATCH('Table 2.5c'!$A50&amp;'Table 2.5c'!$B50,UtilityList!$A$4:$A$251&amp;UtilityList!$C$4:$C$251,0))</f>
        <v>Bethel (CA)</v>
      </c>
      <c r="L50" s="709" t="str">
        <f t="array" ref="L50">INDEX(UtilityList!L$4:L$251,MATCH('Table 2.5c'!$A50&amp;'Table 2.5c'!$B50,UtilityList!$A$4:$A$251&amp;UtilityList!$C$4:$C$251,0))</f>
        <v>Calista</v>
      </c>
      <c r="M50" s="709" t="str">
        <f t="array" ref="M50">INDEX(UtilityList!M$4:M$251,MATCH('Table 2.5c'!$A50&amp;'Table 2.5c'!$B50,UtilityList!$A$4:$A$251&amp;UtilityList!$C$4:$C$251,0))</f>
        <v>SW</v>
      </c>
    </row>
    <row r="51" spans="1:13" s="63" customFormat="1" x14ac:dyDescent="0.25">
      <c r="A51" s="710" t="s">
        <v>524</v>
      </c>
      <c r="B51" s="710" t="s">
        <v>87</v>
      </c>
      <c r="C51" s="711">
        <v>0.50402499999999995</v>
      </c>
      <c r="D51" s="711">
        <v>0.295325</v>
      </c>
      <c r="E51" s="712">
        <v>0.20869999999999994</v>
      </c>
      <c r="F51" s="713">
        <v>0.58593323743861914</v>
      </c>
      <c r="G51" s="658" t="s">
        <v>356</v>
      </c>
      <c r="H51" s="622" t="s">
        <v>554</v>
      </c>
      <c r="I51" s="709">
        <f t="array" ref="I51">INDEX(UtilityList!Q$4:Q$251,MATCH('Table 2.5c'!$A51&amp;'Table 2.5c'!$B51,UtilityList!$A$4:$A$251&amp;UtilityList!$C$4:$C$251,0))</f>
        <v>0</v>
      </c>
      <c r="J51" s="709" t="str">
        <f t="array" ref="J51">INDEX(UtilityList!J$4:J$251,MATCH('Table 2.5c'!$A51&amp;'Table 2.5c'!$B51,UtilityList!$A$4:$A$251&amp;UtilityList!$C$4:$C$251,0))</f>
        <v>Lower Yukon-Kuskokwim</v>
      </c>
      <c r="K51" s="709" t="str">
        <f t="array" ref="K51">INDEX(UtilityList!K$4:K$251,MATCH('Table 2.5c'!$A51&amp;'Table 2.5c'!$B51,UtilityList!$A$4:$A$251&amp;UtilityList!$C$4:$C$251,0))</f>
        <v>Wade Hampton (CA)</v>
      </c>
      <c r="L51" s="709" t="str">
        <f t="array" ref="L51">INDEX(UtilityList!L$4:L$251,MATCH('Table 2.5c'!$A51&amp;'Table 2.5c'!$B51,UtilityList!$A$4:$A$251&amp;UtilityList!$C$4:$C$251,0))</f>
        <v>Calista</v>
      </c>
      <c r="M51" s="709" t="str">
        <f t="array" ref="M51">INDEX(UtilityList!M$4:M$251,MATCH('Table 2.5c'!$A51&amp;'Table 2.5c'!$B51,UtilityList!$A$4:$A$251&amp;UtilityList!$C$4:$C$251,0))</f>
        <v>YU</v>
      </c>
    </row>
    <row r="52" spans="1:13" s="63" customFormat="1" x14ac:dyDescent="0.25">
      <c r="A52" s="710" t="s">
        <v>524</v>
      </c>
      <c r="B52" s="710" t="s">
        <v>88</v>
      </c>
      <c r="C52" s="711">
        <v>0.54693333</v>
      </c>
      <c r="D52" s="711">
        <v>0.33612500000000001</v>
      </c>
      <c r="E52" s="712">
        <v>0.21080832999999999</v>
      </c>
      <c r="F52" s="713">
        <v>0.61456302178548894</v>
      </c>
      <c r="G52" s="658" t="s">
        <v>356</v>
      </c>
      <c r="H52" s="622" t="s">
        <v>554</v>
      </c>
      <c r="I52" s="709">
        <f t="array" ref="I52">INDEX(UtilityList!Q$4:Q$251,MATCH('Table 2.5c'!$A52&amp;'Table 2.5c'!$B52,UtilityList!$A$4:$A$251&amp;UtilityList!$C$4:$C$251,0))</f>
        <v>0</v>
      </c>
      <c r="J52" s="709" t="str">
        <f t="array" ref="J52">INDEX(UtilityList!J$4:J$251,MATCH('Table 2.5c'!$A52&amp;'Table 2.5c'!$B52,UtilityList!$A$4:$A$251&amp;UtilityList!$C$4:$C$251,0))</f>
        <v>Lower Yukon-Kuskokwim</v>
      </c>
      <c r="K52" s="709" t="str">
        <f t="array" ref="K52">INDEX(UtilityList!K$4:K$251,MATCH('Table 2.5c'!$A52&amp;'Table 2.5c'!$B52,UtilityList!$A$4:$A$251&amp;UtilityList!$C$4:$C$251,0))</f>
        <v>Bethel (CA)</v>
      </c>
      <c r="L52" s="709" t="str">
        <f t="array" ref="L52">INDEX(UtilityList!L$4:L$251,MATCH('Table 2.5c'!$A52&amp;'Table 2.5c'!$B52,UtilityList!$A$4:$A$251&amp;UtilityList!$C$4:$C$251,0))</f>
        <v>Calista</v>
      </c>
      <c r="M52" s="709" t="str">
        <f t="array" ref="M52">INDEX(UtilityList!M$4:M$251,MATCH('Table 2.5c'!$A52&amp;'Table 2.5c'!$B52,UtilityList!$A$4:$A$251&amp;UtilityList!$C$4:$C$251,0))</f>
        <v>SW</v>
      </c>
    </row>
    <row r="53" spans="1:13" s="126" customFormat="1" x14ac:dyDescent="0.25">
      <c r="A53" s="710" t="s">
        <v>524</v>
      </c>
      <c r="B53" s="710" t="s">
        <v>89</v>
      </c>
      <c r="C53" s="711">
        <v>0.58937499999999998</v>
      </c>
      <c r="D53" s="711">
        <v>0.37645000000000001</v>
      </c>
      <c r="E53" s="712">
        <v>0.21292499999999998</v>
      </c>
      <c r="F53" s="713">
        <v>0.63872746553552495</v>
      </c>
      <c r="G53" s="658" t="s">
        <v>356</v>
      </c>
      <c r="H53" s="622" t="s">
        <v>554</v>
      </c>
      <c r="I53" s="709">
        <f t="array" ref="I53">INDEX(UtilityList!Q$4:Q$251,MATCH('Table 2.5c'!$A53&amp;'Table 2.5c'!$B53,UtilityList!$A$4:$A$251&amp;UtilityList!$C$4:$C$251,0))</f>
        <v>0</v>
      </c>
      <c r="J53" s="709" t="str">
        <f t="array" ref="J53">INDEX(UtilityList!J$4:J$251,MATCH('Table 2.5c'!$A53&amp;'Table 2.5c'!$B53,UtilityList!$A$4:$A$251&amp;UtilityList!$C$4:$C$251,0))</f>
        <v>Yukon-Koyukuk/Upper Tanana</v>
      </c>
      <c r="K53" s="709" t="str">
        <f t="array" ref="K53">INDEX(UtilityList!K$4:K$251,MATCH('Table 2.5c'!$A53&amp;'Table 2.5c'!$B53,UtilityList!$A$4:$A$251&amp;UtilityList!$C$4:$C$251,0))</f>
        <v>Yukon-Koyukuk (CA)</v>
      </c>
      <c r="L53" s="709" t="str">
        <f t="array" ref="L53">INDEX(UtilityList!L$4:L$251,MATCH('Table 2.5c'!$A53&amp;'Table 2.5c'!$B53,UtilityList!$A$4:$A$251&amp;UtilityList!$C$4:$C$251,0))</f>
        <v>Doyon</v>
      </c>
      <c r="M53" s="709" t="str">
        <f t="array" ref="M53">INDEX(UtilityList!M$4:M$251,MATCH('Table 2.5c'!$A53&amp;'Table 2.5c'!$B53,UtilityList!$A$4:$A$251&amp;UtilityList!$C$4:$C$251,0))</f>
        <v>YU</v>
      </c>
    </row>
    <row r="54" spans="1:13" s="63" customFormat="1" x14ac:dyDescent="0.25">
      <c r="A54" s="710" t="s">
        <v>524</v>
      </c>
      <c r="B54" s="710" t="s">
        <v>90</v>
      </c>
      <c r="C54" s="711">
        <v>0.54399167000000004</v>
      </c>
      <c r="D54" s="711">
        <v>0.33329999999999999</v>
      </c>
      <c r="E54" s="712">
        <v>0.21069167000000005</v>
      </c>
      <c r="F54" s="713">
        <v>0.61269320539411931</v>
      </c>
      <c r="G54" s="658" t="s">
        <v>356</v>
      </c>
      <c r="H54" s="622" t="s">
        <v>554</v>
      </c>
      <c r="I54" s="709">
        <f t="array" ref="I54">INDEX(UtilityList!Q$4:Q$251,MATCH('Table 2.5c'!$A54&amp;'Table 2.5c'!$B54,UtilityList!$A$4:$A$251&amp;UtilityList!$C$4:$C$251,0))</f>
        <v>0</v>
      </c>
      <c r="J54" s="709" t="str">
        <f t="array" ref="J54">INDEX(UtilityList!J$4:J$251,MATCH('Table 2.5c'!$A54&amp;'Table 2.5c'!$B54,UtilityList!$A$4:$A$251&amp;UtilityList!$C$4:$C$251,0))</f>
        <v>Lower Yukon-Kuskokwim</v>
      </c>
      <c r="K54" s="709" t="str">
        <f t="array" ref="K54">INDEX(UtilityList!K$4:K$251,MATCH('Table 2.5c'!$A54&amp;'Table 2.5c'!$B54,UtilityList!$A$4:$A$251&amp;UtilityList!$C$4:$C$251,0))</f>
        <v>Wade Hampton (CA)</v>
      </c>
      <c r="L54" s="709" t="str">
        <f t="array" ref="L54">INDEX(UtilityList!L$4:L$251,MATCH('Table 2.5c'!$A54&amp;'Table 2.5c'!$B54,UtilityList!$A$4:$A$251&amp;UtilityList!$C$4:$C$251,0))</f>
        <v>Calista</v>
      </c>
      <c r="M54" s="709" t="str">
        <f t="array" ref="M54">INDEX(UtilityList!M$4:M$251,MATCH('Table 2.5c'!$A54&amp;'Table 2.5c'!$B54,UtilityList!$A$4:$A$251&amp;UtilityList!$C$4:$C$251,0))</f>
        <v>YU</v>
      </c>
    </row>
    <row r="55" spans="1:13" s="63" customFormat="1" x14ac:dyDescent="0.25">
      <c r="A55" s="710" t="s">
        <v>524</v>
      </c>
      <c r="B55" s="710" t="s">
        <v>91</v>
      </c>
      <c r="C55" s="711">
        <v>0.62085833000000001</v>
      </c>
      <c r="D55" s="711">
        <v>0.40630833</v>
      </c>
      <c r="E55" s="712">
        <v>0.21455000000000002</v>
      </c>
      <c r="F55" s="713">
        <v>0.65443002109676129</v>
      </c>
      <c r="G55" s="658" t="s">
        <v>356</v>
      </c>
      <c r="H55" s="622" t="s">
        <v>554</v>
      </c>
      <c r="I55" s="709">
        <f t="array" ref="I55">INDEX(UtilityList!Q$4:Q$251,MATCH('Table 2.5c'!$A55&amp;'Table 2.5c'!$B55,UtilityList!$A$4:$A$251&amp;UtilityList!$C$4:$C$251,0))</f>
        <v>0</v>
      </c>
      <c r="J55" s="709" t="str">
        <f t="array" ref="J55">INDEX(UtilityList!J$4:J$251,MATCH('Table 2.5c'!$A55&amp;'Table 2.5c'!$B55,UtilityList!$A$4:$A$251&amp;UtilityList!$C$4:$C$251,0))</f>
        <v>Bristol Bay</v>
      </c>
      <c r="K55" s="709" t="str">
        <f t="array" ref="K55">INDEX(UtilityList!K$4:K$251,MATCH('Table 2.5c'!$A55&amp;'Table 2.5c'!$B55,UtilityList!$A$4:$A$251&amp;UtilityList!$C$4:$C$251,0))</f>
        <v>Dillingham (CA)</v>
      </c>
      <c r="L55" s="709" t="str">
        <f t="array" ref="L55">INDEX(UtilityList!L$4:L$251,MATCH('Table 2.5c'!$A55&amp;'Table 2.5c'!$B55,UtilityList!$A$4:$A$251&amp;UtilityList!$C$4:$C$251,0))</f>
        <v>Bristol Bay</v>
      </c>
      <c r="M55" s="709" t="str">
        <f t="array" ref="M55">INDEX(UtilityList!M$4:M$251,MATCH('Table 2.5c'!$A55&amp;'Table 2.5c'!$B55,UtilityList!$A$4:$A$251&amp;UtilityList!$C$4:$C$251,0))</f>
        <v>SW</v>
      </c>
    </row>
    <row r="56" spans="1:13" s="63" customFormat="1" ht="60" x14ac:dyDescent="0.25">
      <c r="A56" s="710" t="s">
        <v>524</v>
      </c>
      <c r="B56" s="710" t="s">
        <v>92</v>
      </c>
      <c r="C56" s="711">
        <v>0.51793999999999996</v>
      </c>
      <c r="D56" s="711">
        <v>0.30769999999999997</v>
      </c>
      <c r="E56" s="712">
        <v>0.21023999999999998</v>
      </c>
      <c r="F56" s="713">
        <v>0.59408425686372934</v>
      </c>
      <c r="G56" s="658" t="s">
        <v>356</v>
      </c>
      <c r="H56" s="622" t="s">
        <v>554</v>
      </c>
      <c r="I56" s="709" t="str">
        <f t="array" ref="I56">INDEX(UtilityList!Q$4:Q$251,MATCH('Table 2.5c'!$A56&amp;'Table 2.5c'!$B56,UtilityList!$A$4:$A$251&amp;UtilityList!$C$4:$C$251,0))</f>
        <v>Receives power from Toksook Bay via intertie. For fuel use and cost, please refer to Toksook Bay.</v>
      </c>
      <c r="J56" s="709" t="str">
        <f t="array" ref="J56">INDEX(UtilityList!J$4:J$251,MATCH('Table 2.5c'!$A56&amp;'Table 2.5c'!$B56,UtilityList!$A$4:$A$251&amp;UtilityList!$C$4:$C$251,0))</f>
        <v>Lower Yukon-Kuskokwim</v>
      </c>
      <c r="K56" s="709" t="str">
        <f t="array" ref="K56">INDEX(UtilityList!K$4:K$251,MATCH('Table 2.5c'!$A56&amp;'Table 2.5c'!$B56,UtilityList!$A$4:$A$251&amp;UtilityList!$C$4:$C$251,0))</f>
        <v>Bethel (CA)</v>
      </c>
      <c r="L56" s="709" t="str">
        <f t="array" ref="L56">INDEX(UtilityList!L$4:L$251,MATCH('Table 2.5c'!$A56&amp;'Table 2.5c'!$B56,UtilityList!$A$4:$A$251&amp;UtilityList!$C$4:$C$251,0))</f>
        <v>Calista</v>
      </c>
      <c r="M56" s="709" t="str">
        <f t="array" ref="M56">INDEX(UtilityList!M$4:M$251,MATCH('Table 2.5c'!$A56&amp;'Table 2.5c'!$B56,UtilityList!$A$4:$A$251&amp;UtilityList!$C$4:$C$251,0))</f>
        <v>SW</v>
      </c>
    </row>
    <row r="57" spans="1:13" s="63" customFormat="1" x14ac:dyDescent="0.25">
      <c r="A57" s="710" t="s">
        <v>524</v>
      </c>
      <c r="B57" s="710" t="s">
        <v>93</v>
      </c>
      <c r="C57" s="711">
        <v>0.73998333000000005</v>
      </c>
      <c r="D57" s="711">
        <v>0.51951667000000001</v>
      </c>
      <c r="E57" s="712">
        <v>0.22046666000000004</v>
      </c>
      <c r="F57" s="713">
        <v>0.70206536949960752</v>
      </c>
      <c r="G57" s="658" t="s">
        <v>356</v>
      </c>
      <c r="H57" s="622" t="s">
        <v>554</v>
      </c>
      <c r="I57" s="709">
        <f t="array" ref="I57">INDEX(UtilityList!Q$4:Q$251,MATCH('Table 2.5c'!$A57&amp;'Table 2.5c'!$B57,UtilityList!$A$4:$A$251&amp;UtilityList!$C$4:$C$251,0))</f>
        <v>0</v>
      </c>
      <c r="J57" s="709" t="str">
        <f t="array" ref="J57">INDEX(UtilityList!J$4:J$251,MATCH('Table 2.5c'!$A57&amp;'Table 2.5c'!$B57,UtilityList!$A$4:$A$251&amp;UtilityList!$C$4:$C$251,0))</f>
        <v>Northwest Arctic</v>
      </c>
      <c r="K57" s="709" t="str">
        <f t="array" ref="K57">INDEX(UtilityList!K$4:K$251,MATCH('Table 2.5c'!$A57&amp;'Table 2.5c'!$B57,UtilityList!$A$4:$A$251&amp;UtilityList!$C$4:$C$251,0))</f>
        <v>Northwest Arctic</v>
      </c>
      <c r="L57" s="709" t="str">
        <f t="array" ref="L57">INDEX(UtilityList!L$4:L$251,MATCH('Table 2.5c'!$A57&amp;'Table 2.5c'!$B57,UtilityList!$A$4:$A$251&amp;UtilityList!$C$4:$C$251,0))</f>
        <v>NANA</v>
      </c>
      <c r="M57" s="709" t="str">
        <f t="array" ref="M57">INDEX(UtilityList!M$4:M$251,MATCH('Table 2.5c'!$A57&amp;'Table 2.5c'!$B57,UtilityList!$A$4:$A$251&amp;UtilityList!$C$4:$C$251,0))</f>
        <v>AN</v>
      </c>
    </row>
    <row r="58" spans="1:13" s="63" customFormat="1" x14ac:dyDescent="0.25">
      <c r="A58" s="710" t="s">
        <v>524</v>
      </c>
      <c r="B58" s="710" t="s">
        <v>94</v>
      </c>
      <c r="C58" s="711">
        <v>0.61409166999999998</v>
      </c>
      <c r="D58" s="711">
        <v>0.39989166999999998</v>
      </c>
      <c r="E58" s="712">
        <v>0.2142</v>
      </c>
      <c r="F58" s="713">
        <v>0.65119214204615405</v>
      </c>
      <c r="G58" s="658" t="s">
        <v>356</v>
      </c>
      <c r="H58" s="622" t="s">
        <v>554</v>
      </c>
      <c r="I58" s="709">
        <f t="array" ref="I58">INDEX(UtilityList!Q$4:Q$251,MATCH('Table 2.5c'!$A58&amp;'Table 2.5c'!$B58,UtilityList!$A$4:$A$251&amp;UtilityList!$C$4:$C$251,0))</f>
        <v>0</v>
      </c>
      <c r="J58" s="709" t="str">
        <f t="array" ref="J58">INDEX(UtilityList!J$4:J$251,MATCH('Table 2.5c'!$A58&amp;'Table 2.5c'!$B58,UtilityList!$A$4:$A$251&amp;UtilityList!$C$4:$C$251,0))</f>
        <v>Northwest Arctic</v>
      </c>
      <c r="K58" s="709" t="str">
        <f t="array" ref="K58">INDEX(UtilityList!K$4:K$251,MATCH('Table 2.5c'!$A58&amp;'Table 2.5c'!$B58,UtilityList!$A$4:$A$251&amp;UtilityList!$C$4:$C$251,0))</f>
        <v>Northwest Arctic</v>
      </c>
      <c r="L58" s="709" t="str">
        <f t="array" ref="L58">INDEX(UtilityList!L$4:L$251,MATCH('Table 2.5c'!$A58&amp;'Table 2.5c'!$B58,UtilityList!$A$4:$A$251&amp;UtilityList!$C$4:$C$251,0))</f>
        <v>NANA</v>
      </c>
      <c r="M58" s="709" t="str">
        <f t="array" ref="M58">INDEX(UtilityList!M$4:M$251,MATCH('Table 2.5c'!$A58&amp;'Table 2.5c'!$B58,UtilityList!$A$4:$A$251&amp;UtilityList!$C$4:$C$251,0))</f>
        <v>AN</v>
      </c>
    </row>
    <row r="59" spans="1:13" s="63" customFormat="1" x14ac:dyDescent="0.25">
      <c r="A59" s="710" t="s">
        <v>524</v>
      </c>
      <c r="B59" s="710" t="s">
        <v>95</v>
      </c>
      <c r="C59" s="711">
        <v>0.53249999999999997</v>
      </c>
      <c r="D59" s="711">
        <v>0.32240833000000002</v>
      </c>
      <c r="E59" s="712">
        <v>0.21009166999999995</v>
      </c>
      <c r="F59" s="713">
        <v>0.60546165258215967</v>
      </c>
      <c r="G59" s="658" t="s">
        <v>356</v>
      </c>
      <c r="H59" s="622" t="s">
        <v>554</v>
      </c>
      <c r="I59" s="709">
        <f t="array" ref="I59">INDEX(UtilityList!Q$4:Q$251,MATCH('Table 2.5c'!$A59&amp;'Table 2.5c'!$B59,UtilityList!$A$4:$A$251&amp;UtilityList!$C$4:$C$251,0))</f>
        <v>0</v>
      </c>
      <c r="J59" s="709" t="str">
        <f t="array" ref="J59">INDEX(UtilityList!J$4:J$251,MATCH('Table 2.5c'!$A59&amp;'Table 2.5c'!$B59,UtilityList!$A$4:$A$251&amp;UtilityList!$C$4:$C$251,0))</f>
        <v>Yukon-Koyukuk/Upper Tanana</v>
      </c>
      <c r="K59" s="709" t="str">
        <f t="array" ref="K59">INDEX(UtilityList!K$4:K$251,MATCH('Table 2.5c'!$A59&amp;'Table 2.5c'!$B59,UtilityList!$A$4:$A$251&amp;UtilityList!$C$4:$C$251,0))</f>
        <v>Yukon-Koyukuk (CA)</v>
      </c>
      <c r="L59" s="709" t="str">
        <f t="array" ref="L59">INDEX(UtilityList!L$4:L$251,MATCH('Table 2.5c'!$A59&amp;'Table 2.5c'!$B59,UtilityList!$A$4:$A$251&amp;UtilityList!$C$4:$C$251,0))</f>
        <v>Doyon</v>
      </c>
      <c r="M59" s="709" t="str">
        <f t="array" ref="M59">INDEX(UtilityList!M$4:M$251,MATCH('Table 2.5c'!$A59&amp;'Table 2.5c'!$B59,UtilityList!$A$4:$A$251&amp;UtilityList!$C$4:$C$251,0))</f>
        <v>YU</v>
      </c>
    </row>
    <row r="60" spans="1:13" s="63" customFormat="1" ht="45" x14ac:dyDescent="0.25">
      <c r="A60" s="710" t="s">
        <v>524</v>
      </c>
      <c r="B60" s="710" t="s">
        <v>96</v>
      </c>
      <c r="C60" s="711">
        <v>0.53463000000000005</v>
      </c>
      <c r="D60" s="711">
        <v>0.32116666999999999</v>
      </c>
      <c r="E60" s="712">
        <v>0.21346333000000006</v>
      </c>
      <c r="F60" s="713">
        <v>0.60072698875858066</v>
      </c>
      <c r="G60" s="658" t="s">
        <v>356</v>
      </c>
      <c r="H60" s="622" t="s">
        <v>554</v>
      </c>
      <c r="I60" s="709" t="str">
        <f t="array" ref="I60">INDEX(UtilityList!Q$4:Q$251,MATCH('Table 2.5c'!$A60&amp;'Table 2.5c'!$B60,UtilityList!$A$4:$A$251&amp;UtilityList!$C$4:$C$251,0))</f>
        <v>Receives power from Kasigluk. Please refer to Kasigluk for fuel use and cost.</v>
      </c>
      <c r="J60" s="709" t="str">
        <f t="array" ref="J60">INDEX(UtilityList!J$4:J$251,MATCH('Table 2.5c'!$A60&amp;'Table 2.5c'!$B60,UtilityList!$A$4:$A$251&amp;UtilityList!$C$4:$C$251,0))</f>
        <v>Lower Yukon-Kuskokwim</v>
      </c>
      <c r="K60" s="709" t="str">
        <f t="array" ref="K60">INDEX(UtilityList!K$4:K$251,MATCH('Table 2.5c'!$A60&amp;'Table 2.5c'!$B60,UtilityList!$A$4:$A$251&amp;UtilityList!$C$4:$C$251,0))</f>
        <v>Bethel (CA)</v>
      </c>
      <c r="L60" s="709" t="str">
        <f t="array" ref="L60">INDEX(UtilityList!L$4:L$251,MATCH('Table 2.5c'!$A60&amp;'Table 2.5c'!$B60,UtilityList!$A$4:$A$251&amp;UtilityList!$C$4:$C$251,0))</f>
        <v>Calista</v>
      </c>
      <c r="M60" s="709" t="str">
        <f t="array" ref="M60">INDEX(UtilityList!M$4:M$251,MATCH('Table 2.5c'!$A60&amp;'Table 2.5c'!$B60,UtilityList!$A$4:$A$251&amp;UtilityList!$C$4:$C$251,0))</f>
        <v>SW</v>
      </c>
    </row>
    <row r="61" spans="1:13" s="63" customFormat="1" x14ac:dyDescent="0.25">
      <c r="A61" s="710" t="s">
        <v>524</v>
      </c>
      <c r="B61" s="710" t="s">
        <v>97</v>
      </c>
      <c r="C61" s="711">
        <v>0.57622499999999999</v>
      </c>
      <c r="D61" s="711">
        <v>0.36396666999999999</v>
      </c>
      <c r="E61" s="712">
        <v>0.21225833</v>
      </c>
      <c r="F61" s="713">
        <v>0.63163984554644448</v>
      </c>
      <c r="G61" s="658" t="s">
        <v>356</v>
      </c>
      <c r="H61" s="622" t="s">
        <v>554</v>
      </c>
      <c r="I61" s="709">
        <f t="array" ref="I61">INDEX(UtilityList!Q$4:Q$251,MATCH('Table 2.5c'!$A61&amp;'Table 2.5c'!$B61,UtilityList!$A$4:$A$251&amp;UtilityList!$C$4:$C$251,0))</f>
        <v>0</v>
      </c>
      <c r="J61" s="709" t="str">
        <f t="array" ref="J61">INDEX(UtilityList!J$4:J$251,MATCH('Table 2.5c'!$A61&amp;'Table 2.5c'!$B61,UtilityList!$A$4:$A$251&amp;UtilityList!$C$4:$C$251,0))</f>
        <v>Kodiak</v>
      </c>
      <c r="K61" s="709" t="str">
        <f t="array" ref="K61">INDEX(UtilityList!K$4:K$251,MATCH('Table 2.5c'!$A61&amp;'Table 2.5c'!$B61,UtilityList!$A$4:$A$251&amp;UtilityList!$C$4:$C$251,0))</f>
        <v>Kodiak Island</v>
      </c>
      <c r="L61" s="709" t="str">
        <f t="array" ref="L61">INDEX(UtilityList!L$4:L$251,MATCH('Table 2.5c'!$A61&amp;'Table 2.5c'!$B61,UtilityList!$A$4:$A$251&amp;UtilityList!$C$4:$C$251,0))</f>
        <v>Koniag</v>
      </c>
      <c r="M61" s="709" t="str">
        <f t="array" ref="M61">INDEX(UtilityList!M$4:M$251,MATCH('Table 2.5c'!$A61&amp;'Table 2.5c'!$B61,UtilityList!$A$4:$A$251&amp;UtilityList!$C$4:$C$251,0))</f>
        <v>SC</v>
      </c>
    </row>
    <row r="62" spans="1:13" s="63" customFormat="1" x14ac:dyDescent="0.25">
      <c r="A62" s="710" t="s">
        <v>524</v>
      </c>
      <c r="B62" s="710" t="s">
        <v>98</v>
      </c>
      <c r="C62" s="711">
        <v>0.53568333000000001</v>
      </c>
      <c r="D62" s="711">
        <v>0.32542500000000002</v>
      </c>
      <c r="E62" s="712">
        <v>0.21025832999999999</v>
      </c>
      <c r="F62" s="713">
        <v>0.60749510349706048</v>
      </c>
      <c r="G62" s="658" t="s">
        <v>356</v>
      </c>
      <c r="H62" s="622" t="s">
        <v>554</v>
      </c>
      <c r="I62" s="709">
        <f t="array" ref="I62">INDEX(UtilityList!Q$4:Q$251,MATCH('Table 2.5c'!$A62&amp;'Table 2.5c'!$B62,UtilityList!$A$4:$A$251&amp;UtilityList!$C$4:$C$251,0))</f>
        <v>0</v>
      </c>
      <c r="J62" s="709" t="str">
        <f t="array" ref="J62">INDEX(UtilityList!J$4:J$251,MATCH('Table 2.5c'!$A62&amp;'Table 2.5c'!$B62,UtilityList!$A$4:$A$251&amp;UtilityList!$C$4:$C$251,0))</f>
        <v>Lower Yukon-Kuskokwim</v>
      </c>
      <c r="K62" s="709" t="str">
        <f t="array" ref="K62">INDEX(UtilityList!K$4:K$251,MATCH('Table 2.5c'!$A62&amp;'Table 2.5c'!$B62,UtilityList!$A$4:$A$251&amp;UtilityList!$C$4:$C$251,0))</f>
        <v>Wade Hampton (CA)</v>
      </c>
      <c r="L62" s="709" t="str">
        <f t="array" ref="L62">INDEX(UtilityList!L$4:L$251,MATCH('Table 2.5c'!$A62&amp;'Table 2.5c'!$B62,UtilityList!$A$4:$A$251&amp;UtilityList!$C$4:$C$251,0))</f>
        <v>Calista</v>
      </c>
      <c r="M62" s="709" t="str">
        <f t="array" ref="M62">INDEX(UtilityList!M$4:M$251,MATCH('Table 2.5c'!$A62&amp;'Table 2.5c'!$B62,UtilityList!$A$4:$A$251&amp;UtilityList!$C$4:$C$251,0))</f>
        <v>YU</v>
      </c>
    </row>
    <row r="63" spans="1:13" s="63" customFormat="1" ht="60" x14ac:dyDescent="0.25">
      <c r="A63" s="710" t="s">
        <v>524</v>
      </c>
      <c r="B63" s="710" t="s">
        <v>99</v>
      </c>
      <c r="C63" s="711">
        <v>0.49639</v>
      </c>
      <c r="D63" s="711">
        <v>0.28547499999999998</v>
      </c>
      <c r="E63" s="712">
        <v>0.21091500000000002</v>
      </c>
      <c r="F63" s="713">
        <v>0.57510223815951167</v>
      </c>
      <c r="G63" s="658" t="s">
        <v>356</v>
      </c>
      <c r="H63" s="622" t="s">
        <v>554</v>
      </c>
      <c r="I63" s="709" t="str">
        <f t="array" ref="I63">INDEX(UtilityList!Q$4:Q$251,MATCH('Table 2.5c'!$A63&amp;'Table 2.5c'!$B63,UtilityList!$A$4:$A$251&amp;UtilityList!$C$4:$C$251,0))</f>
        <v>Receives power from Saint Mary's via intertie. For fuel use and cost, please refer to Saint Mary's.</v>
      </c>
      <c r="J63" s="709" t="str">
        <f t="array" ref="J63">INDEX(UtilityList!J$4:J$251,MATCH('Table 2.5c'!$A63&amp;'Table 2.5c'!$B63,UtilityList!$A$4:$A$251&amp;UtilityList!$C$4:$C$251,0))</f>
        <v>Lower Yukon-Kuskokwim</v>
      </c>
      <c r="K63" s="709" t="str">
        <f t="array" ref="K63">INDEX(UtilityList!K$4:K$251,MATCH('Table 2.5c'!$A63&amp;'Table 2.5c'!$B63,UtilityList!$A$4:$A$251&amp;UtilityList!$C$4:$C$251,0))</f>
        <v>Wade Hampton (CA)</v>
      </c>
      <c r="L63" s="709" t="str">
        <f t="array" ref="L63">INDEX(UtilityList!L$4:L$251,MATCH('Table 2.5c'!$A63&amp;'Table 2.5c'!$B63,UtilityList!$A$4:$A$251&amp;UtilityList!$C$4:$C$251,0))</f>
        <v>Calista</v>
      </c>
      <c r="M63" s="709" t="str">
        <f t="array" ref="M63">INDEX(UtilityList!M$4:M$251,MATCH('Table 2.5c'!$A63&amp;'Table 2.5c'!$B63,UtilityList!$A$4:$A$251&amp;UtilityList!$C$4:$C$251,0))</f>
        <v>YU</v>
      </c>
    </row>
    <row r="64" spans="1:13" s="63" customFormat="1" x14ac:dyDescent="0.25">
      <c r="A64" s="710" t="s">
        <v>524</v>
      </c>
      <c r="B64" s="710" t="s">
        <v>100</v>
      </c>
      <c r="C64" s="711">
        <v>0.53666667000000001</v>
      </c>
      <c r="D64" s="711">
        <v>0.32635832999999997</v>
      </c>
      <c r="E64" s="712">
        <v>0.21030834000000004</v>
      </c>
      <c r="F64" s="713">
        <v>0.60812110802409247</v>
      </c>
      <c r="G64" s="658" t="s">
        <v>356</v>
      </c>
      <c r="H64" s="622" t="s">
        <v>554</v>
      </c>
      <c r="I64" s="709">
        <f t="array" ref="I64">INDEX(UtilityList!Q$4:Q$251,MATCH('Table 2.5c'!$A64&amp;'Table 2.5c'!$B64,UtilityList!$A$4:$A$251&amp;UtilityList!$C$4:$C$251,0))</f>
        <v>0</v>
      </c>
      <c r="J64" s="709" t="str">
        <f t="array" ref="J64">INDEX(UtilityList!J$4:J$251,MATCH('Table 2.5c'!$A64&amp;'Table 2.5c'!$B64,UtilityList!$A$4:$A$251&amp;UtilityList!$C$4:$C$251,0))</f>
        <v>Lower Yukon-Kuskokwim</v>
      </c>
      <c r="K64" s="709" t="str">
        <f t="array" ref="K64">INDEX(UtilityList!K$4:K$251,MATCH('Table 2.5c'!$A64&amp;'Table 2.5c'!$B64,UtilityList!$A$4:$A$251&amp;UtilityList!$C$4:$C$251,0))</f>
        <v>Bethel (CA)</v>
      </c>
      <c r="L64" s="709" t="str">
        <f t="array" ref="L64">INDEX(UtilityList!L$4:L$251,MATCH('Table 2.5c'!$A64&amp;'Table 2.5c'!$B64,UtilityList!$A$4:$A$251&amp;UtilityList!$C$4:$C$251,0))</f>
        <v>Calista</v>
      </c>
      <c r="M64" s="709" t="str">
        <f t="array" ref="M64">INDEX(UtilityList!M$4:M$251,MATCH('Table 2.5c'!$A64&amp;'Table 2.5c'!$B64,UtilityList!$A$4:$A$251&amp;UtilityList!$C$4:$C$251,0))</f>
        <v>SW</v>
      </c>
    </row>
    <row r="65" spans="1:13" s="126" customFormat="1" x14ac:dyDescent="0.25">
      <c r="A65" s="710" t="s">
        <v>524</v>
      </c>
      <c r="B65" s="710" t="s">
        <v>101</v>
      </c>
      <c r="C65" s="711">
        <v>0.54639167</v>
      </c>
      <c r="D65" s="711">
        <v>0.33558333000000001</v>
      </c>
      <c r="E65" s="712">
        <v>0.21080833999999998</v>
      </c>
      <c r="F65" s="713">
        <v>0.61418090433186878</v>
      </c>
      <c r="G65" s="658" t="s">
        <v>356</v>
      </c>
      <c r="H65" s="622" t="s">
        <v>554</v>
      </c>
      <c r="I65" s="709">
        <f t="array" ref="I65">INDEX(UtilityList!Q$4:Q$251,MATCH('Table 2.5c'!$A65&amp;'Table 2.5c'!$B65,UtilityList!$A$4:$A$251&amp;UtilityList!$C$4:$C$251,0))</f>
        <v>0</v>
      </c>
      <c r="J65" s="709" t="str">
        <f t="array" ref="J65">INDEX(UtilityList!J$4:J$251,MATCH('Table 2.5c'!$A65&amp;'Table 2.5c'!$B65,UtilityList!$A$4:$A$251&amp;UtilityList!$C$4:$C$251,0))</f>
        <v>Lower Yukon-Kuskokwim</v>
      </c>
      <c r="K65" s="709" t="str">
        <f t="array" ref="K65">INDEX(UtilityList!K$4:K$251,MATCH('Table 2.5c'!$A65&amp;'Table 2.5c'!$B65,UtilityList!$A$4:$A$251&amp;UtilityList!$C$4:$C$251,0))</f>
        <v>Wade Hampton (CA)</v>
      </c>
      <c r="L65" s="709" t="str">
        <f t="array" ref="L65">INDEX(UtilityList!L$4:L$251,MATCH('Table 2.5c'!$A65&amp;'Table 2.5c'!$B65,UtilityList!$A$4:$A$251&amp;UtilityList!$C$4:$C$251,0))</f>
        <v>Calista</v>
      </c>
      <c r="M65" s="709" t="str">
        <f t="array" ref="M65">INDEX(UtilityList!M$4:M$251,MATCH('Table 2.5c'!$A65&amp;'Table 2.5c'!$B65,UtilityList!$A$4:$A$251&amp;UtilityList!$C$4:$C$251,0))</f>
        <v>YU</v>
      </c>
    </row>
    <row r="66" spans="1:13" s="63" customFormat="1" ht="75" x14ac:dyDescent="0.25">
      <c r="A66" s="710" t="s">
        <v>524</v>
      </c>
      <c r="B66" s="710" t="s">
        <v>993</v>
      </c>
      <c r="C66" s="711">
        <v>0.49364166999999998</v>
      </c>
      <c r="D66" s="711">
        <v>0.28547499999999998</v>
      </c>
      <c r="E66" s="712">
        <v>0.20816667</v>
      </c>
      <c r="F66" s="713">
        <v>0.57830409657272241</v>
      </c>
      <c r="G66" s="658" t="s">
        <v>356</v>
      </c>
      <c r="H66" s="622" t="s">
        <v>554</v>
      </c>
      <c r="I66" s="709" t="str">
        <f t="array" ref="I66">INDEX(UtilityList!Q$4:Q$251,MATCH('Table 2.5c'!$A66&amp;'Table 2.5c'!$B66,UtilityList!$A$4:$A$251&amp;UtilityList!$C$4:$C$251,0))</f>
        <v>Provides power to Andreafsky and Pitkas Point via intertie. Includes Andreafsky's information. Fuel use and cost also includes Pitkas Point.</v>
      </c>
      <c r="J66" s="709" t="str">
        <f t="array" ref="J66">INDEX(UtilityList!J$4:J$251,MATCH('Table 2.5c'!$A66&amp;'Table 2.5c'!$B66,UtilityList!$A$4:$A$251&amp;UtilityList!$C$4:$C$251,0))</f>
        <v>Lower Yukon-Kuskokwim</v>
      </c>
      <c r="K66" s="709" t="str">
        <f t="array" ref="K66">INDEX(UtilityList!K$4:K$251,MATCH('Table 2.5c'!$A66&amp;'Table 2.5c'!$B66,UtilityList!$A$4:$A$251&amp;UtilityList!$C$4:$C$251,0))</f>
        <v>Wade Hampton (CA)</v>
      </c>
      <c r="L66" s="709" t="str">
        <f t="array" ref="L66">INDEX(UtilityList!L$4:L$251,MATCH('Table 2.5c'!$A66&amp;'Table 2.5c'!$B66,UtilityList!$A$4:$A$251&amp;UtilityList!$C$4:$C$251,0))</f>
        <v>Calista</v>
      </c>
      <c r="M66" s="709" t="str">
        <f t="array" ref="M66">INDEX(UtilityList!M$4:M$251,MATCH('Table 2.5c'!$A66&amp;'Table 2.5c'!$B66,UtilityList!$A$4:$A$251&amp;UtilityList!$C$4:$C$251,0))</f>
        <v>YU</v>
      </c>
    </row>
    <row r="67" spans="1:13" s="63" customFormat="1" x14ac:dyDescent="0.25">
      <c r="A67" s="710" t="s">
        <v>524</v>
      </c>
      <c r="B67" s="710" t="s">
        <v>102</v>
      </c>
      <c r="C67" s="711">
        <v>0.55336666999999995</v>
      </c>
      <c r="D67" s="711">
        <v>0.34223333</v>
      </c>
      <c r="E67" s="712">
        <v>0.21113333999999995</v>
      </c>
      <c r="F67" s="713">
        <v>0.61845670972557854</v>
      </c>
      <c r="G67" s="658" t="s">
        <v>356</v>
      </c>
      <c r="H67" s="622" t="s">
        <v>554</v>
      </c>
      <c r="I67" s="709">
        <f t="array" ref="I67">INDEX(UtilityList!Q$4:Q$251,MATCH('Table 2.5c'!$A67&amp;'Table 2.5c'!$B67,UtilityList!$A$4:$A$251&amp;UtilityList!$C$4:$C$251,0))</f>
        <v>0</v>
      </c>
      <c r="J67" s="709" t="str">
        <f t="array" ref="J67">INDEX(UtilityList!J$4:J$251,MATCH('Table 2.5c'!$A67&amp;'Table 2.5c'!$B67,UtilityList!$A$4:$A$251&amp;UtilityList!$C$4:$C$251,0))</f>
        <v>Bering Straits</v>
      </c>
      <c r="K67" s="709" t="str">
        <f t="array" ref="K67">INDEX(UtilityList!K$4:K$251,MATCH('Table 2.5c'!$A67&amp;'Table 2.5c'!$B67,UtilityList!$A$4:$A$251&amp;UtilityList!$C$4:$C$251,0))</f>
        <v>Nome (CA)</v>
      </c>
      <c r="L67" s="709" t="str">
        <f t="array" ref="L67">INDEX(UtilityList!L$4:L$251,MATCH('Table 2.5c'!$A67&amp;'Table 2.5c'!$B67,UtilityList!$A$4:$A$251&amp;UtilityList!$C$4:$C$251,0))</f>
        <v>Bering Straits</v>
      </c>
      <c r="M67" s="709" t="str">
        <f t="array" ref="M67">INDEX(UtilityList!M$4:M$251,MATCH('Table 2.5c'!$A67&amp;'Table 2.5c'!$B67,UtilityList!$A$4:$A$251&amp;UtilityList!$C$4:$C$251,0))</f>
        <v>AN</v>
      </c>
    </row>
    <row r="68" spans="1:13" s="63" customFormat="1" x14ac:dyDescent="0.25">
      <c r="A68" s="710" t="s">
        <v>524</v>
      </c>
      <c r="B68" s="710" t="s">
        <v>103</v>
      </c>
      <c r="C68" s="711">
        <v>0.49088333000000001</v>
      </c>
      <c r="D68" s="711">
        <v>0.28286666999999999</v>
      </c>
      <c r="E68" s="712">
        <v>0.20801666000000002</v>
      </c>
      <c r="F68" s="713">
        <v>0.57624012206729447</v>
      </c>
      <c r="G68" s="658" t="s">
        <v>356</v>
      </c>
      <c r="H68" s="622" t="s">
        <v>554</v>
      </c>
      <c r="I68" s="709">
        <f t="array" ref="I68">INDEX(UtilityList!Q$4:Q$251,MATCH('Table 2.5c'!$A68&amp;'Table 2.5c'!$B68,UtilityList!$A$4:$A$251&amp;UtilityList!$C$4:$C$251,0))</f>
        <v>0</v>
      </c>
      <c r="J68" s="709" t="str">
        <f t="array" ref="J68">INDEX(UtilityList!J$4:J$251,MATCH('Table 2.5c'!$A68&amp;'Table 2.5c'!$B68,UtilityList!$A$4:$A$251&amp;UtilityList!$C$4:$C$251,0))</f>
        <v>Bering Straits</v>
      </c>
      <c r="K68" s="709" t="str">
        <f t="array" ref="K68">INDEX(UtilityList!K$4:K$251,MATCH('Table 2.5c'!$A68&amp;'Table 2.5c'!$B68,UtilityList!$A$4:$A$251&amp;UtilityList!$C$4:$C$251,0))</f>
        <v>Nome (CA)</v>
      </c>
      <c r="L68" s="709" t="str">
        <f t="array" ref="L68">INDEX(UtilityList!L$4:L$251,MATCH('Table 2.5c'!$A68&amp;'Table 2.5c'!$B68,UtilityList!$A$4:$A$251&amp;UtilityList!$C$4:$C$251,0))</f>
        <v>Bering Straits</v>
      </c>
      <c r="M68" s="709" t="str">
        <f t="array" ref="M68">INDEX(UtilityList!M$4:M$251,MATCH('Table 2.5c'!$A68&amp;'Table 2.5c'!$B68,UtilityList!$A$4:$A$251&amp;UtilityList!$C$4:$C$251,0))</f>
        <v>AN</v>
      </c>
    </row>
    <row r="69" spans="1:13" s="63" customFormat="1" x14ac:dyDescent="0.25">
      <c r="A69" s="710" t="s">
        <v>524</v>
      </c>
      <c r="B69" s="710" t="s">
        <v>104</v>
      </c>
      <c r="C69" s="711">
        <v>0.56645000000000001</v>
      </c>
      <c r="D69" s="711">
        <v>0.35464167000000002</v>
      </c>
      <c r="E69" s="712">
        <v>0.21180832999999999</v>
      </c>
      <c r="F69" s="713">
        <v>0.62607762379733434</v>
      </c>
      <c r="G69" s="658" t="s">
        <v>356</v>
      </c>
      <c r="H69" s="622" t="s">
        <v>554</v>
      </c>
      <c r="I69" s="709">
        <f t="array" ref="I69">INDEX(UtilityList!Q$4:Q$251,MATCH('Table 2.5c'!$A69&amp;'Table 2.5c'!$B69,UtilityList!$A$4:$A$251&amp;UtilityList!$C$4:$C$251,0))</f>
        <v>0</v>
      </c>
      <c r="J69" s="709" t="str">
        <f t="array" ref="J69">INDEX(UtilityList!J$4:J$251,MATCH('Table 2.5c'!$A69&amp;'Table 2.5c'!$B69,UtilityList!$A$4:$A$251&amp;UtilityList!$C$4:$C$251,0))</f>
        <v>Lower Yukon-Kuskokwim</v>
      </c>
      <c r="K69" s="709" t="str">
        <f t="array" ref="K69">INDEX(UtilityList!K$4:K$251,MATCH('Table 2.5c'!$A69&amp;'Table 2.5c'!$B69,UtilityList!$A$4:$A$251&amp;UtilityList!$C$4:$C$251,0))</f>
        <v>Wade Hampton (CA)</v>
      </c>
      <c r="L69" s="709" t="str">
        <f t="array" ref="L69">INDEX(UtilityList!L$4:L$251,MATCH('Table 2.5c'!$A69&amp;'Table 2.5c'!$B69,UtilityList!$A$4:$A$251&amp;UtilityList!$C$4:$C$251,0))</f>
        <v>Calista</v>
      </c>
      <c r="M69" s="709" t="str">
        <f t="array" ref="M69">INDEX(UtilityList!M$4:M$251,MATCH('Table 2.5c'!$A69&amp;'Table 2.5c'!$B69,UtilityList!$A$4:$A$251&amp;UtilityList!$C$4:$C$251,0))</f>
        <v>YU</v>
      </c>
    </row>
    <row r="70" spans="1:13" s="63" customFormat="1" x14ac:dyDescent="0.25">
      <c r="A70" s="710" t="s">
        <v>524</v>
      </c>
      <c r="B70" s="710" t="s">
        <v>105</v>
      </c>
      <c r="C70" s="711">
        <v>0.57445833000000002</v>
      </c>
      <c r="D70" s="711">
        <v>0.36225833000000002</v>
      </c>
      <c r="E70" s="712">
        <v>0.2122</v>
      </c>
      <c r="F70" s="713">
        <v>0.63060854213742534</v>
      </c>
      <c r="G70" s="658" t="s">
        <v>356</v>
      </c>
      <c r="H70" s="622" t="s">
        <v>554</v>
      </c>
      <c r="I70" s="709">
        <f t="array" ref="I70">INDEX(UtilityList!Q$4:Q$251,MATCH('Table 2.5c'!$A70&amp;'Table 2.5c'!$B70,UtilityList!$A$4:$A$251&amp;UtilityList!$C$4:$C$251,0))</f>
        <v>0</v>
      </c>
      <c r="J70" s="709" t="str">
        <f t="array" ref="J70">INDEX(UtilityList!J$4:J$251,MATCH('Table 2.5c'!$A70&amp;'Table 2.5c'!$B70,UtilityList!$A$4:$A$251&amp;UtilityList!$C$4:$C$251,0))</f>
        <v>Northwest Arctic</v>
      </c>
      <c r="K70" s="709" t="str">
        <f t="array" ref="K70">INDEX(UtilityList!K$4:K$251,MATCH('Table 2.5c'!$A70&amp;'Table 2.5c'!$B70,UtilityList!$A$4:$A$251&amp;UtilityList!$C$4:$C$251,0))</f>
        <v>Northwest Arctic</v>
      </c>
      <c r="L70" s="709" t="str">
        <f t="array" ref="L70">INDEX(UtilityList!L$4:L$251,MATCH('Table 2.5c'!$A70&amp;'Table 2.5c'!$B70,UtilityList!$A$4:$A$251&amp;UtilityList!$C$4:$C$251,0))</f>
        <v>NANA</v>
      </c>
      <c r="M70" s="709" t="str">
        <f t="array" ref="M70">INDEX(UtilityList!M$4:M$251,MATCH('Table 2.5c'!$A70&amp;'Table 2.5c'!$B70,UtilityList!$A$4:$A$251&amp;UtilityList!$C$4:$C$251,0))</f>
        <v>AN</v>
      </c>
    </row>
    <row r="71" spans="1:13" s="63" customFormat="1" x14ac:dyDescent="0.25">
      <c r="A71" s="710" t="s">
        <v>524</v>
      </c>
      <c r="B71" s="710" t="s">
        <v>106</v>
      </c>
      <c r="C71" s="711">
        <v>0.60007500000000003</v>
      </c>
      <c r="D71" s="711">
        <v>0.38659167</v>
      </c>
      <c r="E71" s="712">
        <v>0.21348333000000003</v>
      </c>
      <c r="F71" s="713">
        <v>0.64423892013498307</v>
      </c>
      <c r="G71" s="658" t="s">
        <v>356</v>
      </c>
      <c r="H71" s="622" t="s">
        <v>554</v>
      </c>
      <c r="I71" s="709">
        <f t="array" ref="I71">INDEX(UtilityList!Q$4:Q$251,MATCH('Table 2.5c'!$A71&amp;'Table 2.5c'!$B71,UtilityList!$A$4:$A$251&amp;UtilityList!$C$4:$C$251,0))</f>
        <v>0</v>
      </c>
      <c r="J71" s="709" t="str">
        <f t="array" ref="J71">INDEX(UtilityList!J$4:J$251,MATCH('Table 2.5c'!$A71&amp;'Table 2.5c'!$B71,UtilityList!$A$4:$A$251&amp;UtilityList!$C$4:$C$251,0))</f>
        <v>Yukon-Koyukuk/Upper Tanana</v>
      </c>
      <c r="K71" s="709" t="str">
        <f t="array" ref="K71">INDEX(UtilityList!K$4:K$251,MATCH('Table 2.5c'!$A71&amp;'Table 2.5c'!$B71,UtilityList!$A$4:$A$251&amp;UtilityList!$C$4:$C$251,0))</f>
        <v>Yukon-Koyukuk (CA)</v>
      </c>
      <c r="L71" s="709" t="str">
        <f t="array" ref="L71">INDEX(UtilityList!L$4:L$251,MATCH('Table 2.5c'!$A71&amp;'Table 2.5c'!$B71,UtilityList!$A$4:$A$251&amp;UtilityList!$C$4:$C$251,0))</f>
        <v>Doyon</v>
      </c>
      <c r="M71" s="709" t="str">
        <f t="array" ref="M71">INDEX(UtilityList!M$4:M$251,MATCH('Table 2.5c'!$A71&amp;'Table 2.5c'!$B71,UtilityList!$A$4:$A$251&amp;UtilityList!$C$4:$C$251,0))</f>
        <v>YU</v>
      </c>
    </row>
    <row r="72" spans="1:13" s="126" customFormat="1" x14ac:dyDescent="0.25">
      <c r="A72" s="710" t="s">
        <v>524</v>
      </c>
      <c r="B72" s="710" t="s">
        <v>107</v>
      </c>
      <c r="C72" s="711">
        <v>0.57519167000000004</v>
      </c>
      <c r="D72" s="711">
        <v>0.36294999999999999</v>
      </c>
      <c r="E72" s="712">
        <v>0.21224167000000005</v>
      </c>
      <c r="F72" s="713">
        <v>0.63100705196234841</v>
      </c>
      <c r="G72" s="658" t="s">
        <v>356</v>
      </c>
      <c r="H72" s="622" t="s">
        <v>554</v>
      </c>
      <c r="I72" s="709">
        <f t="array" ref="I72">INDEX(UtilityList!Q$4:Q$251,MATCH('Table 2.5c'!$A72&amp;'Table 2.5c'!$B72,UtilityList!$A$4:$A$251&amp;UtilityList!$C$4:$C$251,0))</f>
        <v>0</v>
      </c>
      <c r="J72" s="709" t="str">
        <f t="array" ref="J72">INDEX(UtilityList!J$4:J$251,MATCH('Table 2.5c'!$A72&amp;'Table 2.5c'!$B72,UtilityList!$A$4:$A$251&amp;UtilityList!$C$4:$C$251,0))</f>
        <v>Bering Straits</v>
      </c>
      <c r="K72" s="709" t="str">
        <f t="array" ref="K72">INDEX(UtilityList!K$4:K$251,MATCH('Table 2.5c'!$A72&amp;'Table 2.5c'!$B72,UtilityList!$A$4:$A$251&amp;UtilityList!$C$4:$C$251,0))</f>
        <v>Nome (CA)</v>
      </c>
      <c r="L72" s="709" t="str">
        <f t="array" ref="L72">INDEX(UtilityList!L$4:L$251,MATCH('Table 2.5c'!$A72&amp;'Table 2.5c'!$B72,UtilityList!$A$4:$A$251&amp;UtilityList!$C$4:$C$251,0))</f>
        <v>Bering Straits</v>
      </c>
      <c r="M72" s="709" t="str">
        <f t="array" ref="M72">INDEX(UtilityList!M$4:M$251,MATCH('Table 2.5c'!$A72&amp;'Table 2.5c'!$B72,UtilityList!$A$4:$A$251&amp;UtilityList!$C$4:$C$251,0))</f>
        <v>AN</v>
      </c>
    </row>
    <row r="73" spans="1:13" s="63" customFormat="1" x14ac:dyDescent="0.25">
      <c r="A73" s="710" t="s">
        <v>524</v>
      </c>
      <c r="B73" s="710" t="s">
        <v>108</v>
      </c>
      <c r="C73" s="711">
        <v>0.591275</v>
      </c>
      <c r="D73" s="711">
        <v>0.37822499999999998</v>
      </c>
      <c r="E73" s="712">
        <v>0.21305000000000002</v>
      </c>
      <c r="F73" s="713">
        <v>0.63967696926134199</v>
      </c>
      <c r="G73" s="658" t="s">
        <v>356</v>
      </c>
      <c r="H73" s="622" t="s">
        <v>554</v>
      </c>
      <c r="I73" s="709">
        <f t="array" ref="I73">INDEX(UtilityList!Q$4:Q$251,MATCH('Table 2.5c'!$A73&amp;'Table 2.5c'!$B73,UtilityList!$A$4:$A$251&amp;UtilityList!$C$4:$C$251,0))</f>
        <v>0</v>
      </c>
      <c r="J73" s="709" t="str">
        <f t="array" ref="J73">INDEX(UtilityList!J$4:J$251,MATCH('Table 2.5c'!$A73&amp;'Table 2.5c'!$B73,UtilityList!$A$4:$A$251&amp;UtilityList!$C$4:$C$251,0))</f>
        <v>Bering Straits</v>
      </c>
      <c r="K73" s="709" t="str">
        <f t="array" ref="K73">INDEX(UtilityList!K$4:K$251,MATCH('Table 2.5c'!$A73&amp;'Table 2.5c'!$B73,UtilityList!$A$4:$A$251&amp;UtilityList!$C$4:$C$251,0))</f>
        <v>Nome (CA)</v>
      </c>
      <c r="L73" s="709" t="str">
        <f t="array" ref="L73">INDEX(UtilityList!L$4:L$251,MATCH('Table 2.5c'!$A73&amp;'Table 2.5c'!$B73,UtilityList!$A$4:$A$251&amp;UtilityList!$C$4:$C$251,0))</f>
        <v>Bering Straits</v>
      </c>
      <c r="M73" s="709" t="str">
        <f t="array" ref="M73">INDEX(UtilityList!M$4:M$251,MATCH('Table 2.5c'!$A73&amp;'Table 2.5c'!$B73,UtilityList!$A$4:$A$251&amp;UtilityList!$C$4:$C$251,0))</f>
        <v>AN</v>
      </c>
    </row>
    <row r="74" spans="1:13" s="63" customFormat="1" ht="45" x14ac:dyDescent="0.25">
      <c r="A74" s="710" t="s">
        <v>524</v>
      </c>
      <c r="B74" s="710" t="s">
        <v>994</v>
      </c>
      <c r="C74" s="711">
        <v>0.72724999999999995</v>
      </c>
      <c r="D74" s="711">
        <v>0.50739999999999996</v>
      </c>
      <c r="E74" s="712">
        <v>0.21984999999999999</v>
      </c>
      <c r="F74" s="713">
        <v>0.69769680302509451</v>
      </c>
      <c r="G74" s="658" t="s">
        <v>356</v>
      </c>
      <c r="H74" s="622" t="s">
        <v>554</v>
      </c>
      <c r="I74" s="709" t="str">
        <f t="array" ref="I74">INDEX(UtilityList!Q$4:Q$251,MATCH('Table 2.5c'!$A74&amp;'Table 2.5c'!$B74,UtilityList!$A$4:$A$251&amp;UtilityList!$C$4:$C$251,0))</f>
        <v>Provides power to Kobuk via intertie. Fuel use and cost includes Kobuk's information.</v>
      </c>
      <c r="J74" s="709" t="str">
        <f t="array" ref="J74">INDEX(UtilityList!J$4:J$251,MATCH('Table 2.5c'!$A74&amp;'Table 2.5c'!$B74,UtilityList!$A$4:$A$251&amp;UtilityList!$C$4:$C$251,0))</f>
        <v>Northwest Arctic</v>
      </c>
      <c r="K74" s="709" t="str">
        <f t="array" ref="K74">INDEX(UtilityList!K$4:K$251,MATCH('Table 2.5c'!$A74&amp;'Table 2.5c'!$B74,UtilityList!$A$4:$A$251&amp;UtilityList!$C$4:$C$251,0))</f>
        <v>Northwest Arctic</v>
      </c>
      <c r="L74" s="709" t="str">
        <f t="array" ref="L74">INDEX(UtilityList!L$4:L$251,MATCH('Table 2.5c'!$A74&amp;'Table 2.5c'!$B74,UtilityList!$A$4:$A$251&amp;UtilityList!$C$4:$C$251,0))</f>
        <v>NANA</v>
      </c>
      <c r="M74" s="709" t="str">
        <f t="array" ref="M74">INDEX(UtilityList!M$4:M$251,MATCH('Table 2.5c'!$A74&amp;'Table 2.5c'!$B74,UtilityList!$A$4:$A$251&amp;UtilityList!$C$4:$C$251,0))</f>
        <v>AN</v>
      </c>
    </row>
    <row r="75" spans="1:13" s="63" customFormat="1" x14ac:dyDescent="0.25">
      <c r="A75" s="710" t="s">
        <v>524</v>
      </c>
      <c r="B75" s="710" t="s">
        <v>110</v>
      </c>
      <c r="C75" s="711">
        <v>0.55827499999999997</v>
      </c>
      <c r="D75" s="711">
        <v>0.34686666999999999</v>
      </c>
      <c r="E75" s="712">
        <v>0.21140832999999998</v>
      </c>
      <c r="F75" s="713">
        <v>0.6213186512023644</v>
      </c>
      <c r="G75" s="658" t="s">
        <v>356</v>
      </c>
      <c r="H75" s="622" t="s">
        <v>554</v>
      </c>
      <c r="I75" s="709">
        <f t="array" ref="I75">INDEX(UtilityList!Q$4:Q$251,MATCH('Table 2.5c'!$A75&amp;'Table 2.5c'!$B75,UtilityList!$A$4:$A$251&amp;UtilityList!$C$4:$C$251,0))</f>
        <v>0</v>
      </c>
      <c r="J75" s="709" t="str">
        <f t="array" ref="J75">INDEX(UtilityList!J$4:J$251,MATCH('Table 2.5c'!$A75&amp;'Table 2.5c'!$B75,UtilityList!$A$4:$A$251&amp;UtilityList!$C$4:$C$251,0))</f>
        <v>Bering Straits</v>
      </c>
      <c r="K75" s="709" t="str">
        <f t="array" ref="K75">INDEX(UtilityList!K$4:K$251,MATCH('Table 2.5c'!$A75&amp;'Table 2.5c'!$B75,UtilityList!$A$4:$A$251&amp;UtilityList!$C$4:$C$251,0))</f>
        <v>Nome (CA)</v>
      </c>
      <c r="L75" s="709" t="str">
        <f t="array" ref="L75">INDEX(UtilityList!L$4:L$251,MATCH('Table 2.5c'!$A75&amp;'Table 2.5c'!$B75,UtilityList!$A$4:$A$251&amp;UtilityList!$C$4:$C$251,0))</f>
        <v>Bering Straits</v>
      </c>
      <c r="M75" s="709" t="str">
        <f t="array" ref="M75">INDEX(UtilityList!M$4:M$251,MATCH('Table 2.5c'!$A75&amp;'Table 2.5c'!$B75,UtilityList!$A$4:$A$251&amp;UtilityList!$C$4:$C$251,0))</f>
        <v>AN</v>
      </c>
    </row>
    <row r="76" spans="1:13" s="63" customFormat="1" x14ac:dyDescent="0.25">
      <c r="A76" s="710" t="s">
        <v>524</v>
      </c>
      <c r="B76" s="710" t="s">
        <v>111</v>
      </c>
      <c r="C76" s="711">
        <v>0.62324166999999997</v>
      </c>
      <c r="D76" s="711">
        <v>0.40858333000000002</v>
      </c>
      <c r="E76" s="712">
        <v>0.21465833999999995</v>
      </c>
      <c r="F76" s="713">
        <v>0.65557768305190511</v>
      </c>
      <c r="G76" s="658" t="s">
        <v>356</v>
      </c>
      <c r="H76" s="622" t="s">
        <v>554</v>
      </c>
      <c r="I76" s="709">
        <f t="array" ref="I76">INDEX(UtilityList!Q$4:Q$251,MATCH('Table 2.5c'!$A76&amp;'Table 2.5c'!$B76,UtilityList!$A$4:$A$251&amp;UtilityList!$C$4:$C$251,0))</f>
        <v>0</v>
      </c>
      <c r="J76" s="709" t="str">
        <f t="array" ref="J76">INDEX(UtilityList!J$4:J$251,MATCH('Table 2.5c'!$A76&amp;'Table 2.5c'!$B76,UtilityList!$A$4:$A$251&amp;UtilityList!$C$4:$C$251,0))</f>
        <v>Bering Straits</v>
      </c>
      <c r="K76" s="709" t="str">
        <f t="array" ref="K76">INDEX(UtilityList!K$4:K$251,MATCH('Table 2.5c'!$A76&amp;'Table 2.5c'!$B76,UtilityList!$A$4:$A$251&amp;UtilityList!$C$4:$C$251,0))</f>
        <v>Nome (CA)</v>
      </c>
      <c r="L76" s="709" t="str">
        <f t="array" ref="L76">INDEX(UtilityList!L$4:L$251,MATCH('Table 2.5c'!$A76&amp;'Table 2.5c'!$B76,UtilityList!$A$4:$A$251&amp;UtilityList!$C$4:$C$251,0))</f>
        <v>Bering Straits</v>
      </c>
      <c r="M76" s="709" t="str">
        <f t="array" ref="M76">INDEX(UtilityList!M$4:M$251,MATCH('Table 2.5c'!$A76&amp;'Table 2.5c'!$B76,UtilityList!$A$4:$A$251&amp;UtilityList!$C$4:$C$251,0))</f>
        <v>AN</v>
      </c>
    </row>
    <row r="77" spans="1:13" s="63" customFormat="1" x14ac:dyDescent="0.25">
      <c r="A77" s="710" t="s">
        <v>524</v>
      </c>
      <c r="B77" s="710" t="s">
        <v>112</v>
      </c>
      <c r="C77" s="711">
        <v>0.56834167000000002</v>
      </c>
      <c r="D77" s="711">
        <v>0.35647499999999999</v>
      </c>
      <c r="E77" s="712">
        <v>0.21186667000000003</v>
      </c>
      <c r="F77" s="713">
        <v>0.62721953855679802</v>
      </c>
      <c r="G77" s="658" t="s">
        <v>356</v>
      </c>
      <c r="H77" s="622" t="s">
        <v>554</v>
      </c>
      <c r="I77" s="709">
        <f t="array" ref="I77">INDEX(UtilityList!Q$4:Q$251,MATCH('Table 2.5c'!$A77&amp;'Table 2.5c'!$B77,UtilityList!$A$4:$A$251&amp;UtilityList!$C$4:$C$251,0))</f>
        <v>0</v>
      </c>
      <c r="J77" s="709" t="str">
        <f t="array" ref="J77">INDEX(UtilityList!J$4:J$251,MATCH('Table 2.5c'!$A77&amp;'Table 2.5c'!$B77,UtilityList!$A$4:$A$251&amp;UtilityList!$C$4:$C$251,0))</f>
        <v>Bristol Bay</v>
      </c>
      <c r="K77" s="709" t="str">
        <f t="array" ref="K77">INDEX(UtilityList!K$4:K$251,MATCH('Table 2.5c'!$A77&amp;'Table 2.5c'!$B77,UtilityList!$A$4:$A$251&amp;UtilityList!$C$4:$C$251,0))</f>
        <v>Dillingham (CA)</v>
      </c>
      <c r="L77" s="709" t="str">
        <f t="array" ref="L77">INDEX(UtilityList!L$4:L$251,MATCH('Table 2.5c'!$A77&amp;'Table 2.5c'!$B77,UtilityList!$A$4:$A$251&amp;UtilityList!$C$4:$C$251,0))</f>
        <v>Bristol Bay</v>
      </c>
      <c r="M77" s="709" t="str">
        <f t="array" ref="M77">INDEX(UtilityList!M$4:M$251,MATCH('Table 2.5c'!$A77&amp;'Table 2.5c'!$B77,UtilityList!$A$4:$A$251&amp;UtilityList!$C$4:$C$251,0))</f>
        <v>SW</v>
      </c>
    </row>
    <row r="78" spans="1:13" s="63" customFormat="1" ht="75" x14ac:dyDescent="0.25">
      <c r="A78" s="710" t="s">
        <v>524</v>
      </c>
      <c r="B78" s="710" t="s">
        <v>996</v>
      </c>
      <c r="C78" s="711">
        <v>0.51705000000000001</v>
      </c>
      <c r="D78" s="711">
        <v>0.30769999999999997</v>
      </c>
      <c r="E78" s="712">
        <v>0.20935000000000004</v>
      </c>
      <c r="F78" s="713">
        <v>0.59510685620346193</v>
      </c>
      <c r="G78" s="658" t="s">
        <v>356</v>
      </c>
      <c r="H78" s="622" t="s">
        <v>554</v>
      </c>
      <c r="I78" s="709" t="str">
        <f t="array" ref="I78">INDEX(UtilityList!Q$4:Q$251,MATCH('Table 2.5c'!$A78&amp;'Table 2.5c'!$B78,UtilityList!$A$4:$A$251&amp;UtilityList!$C$4:$C$251,0))</f>
        <v>Provides power to Nightmute and Tununak via intertie. Fuel use and cost includes Nightmute's and Tununak's information.</v>
      </c>
      <c r="J78" s="709" t="str">
        <f t="array" ref="J78">INDEX(UtilityList!J$4:J$251,MATCH('Table 2.5c'!$A78&amp;'Table 2.5c'!$B78,UtilityList!$A$4:$A$251&amp;UtilityList!$C$4:$C$251,0))</f>
        <v>Lower Yukon-Kuskokwim</v>
      </c>
      <c r="K78" s="709" t="str">
        <f t="array" ref="K78">INDEX(UtilityList!K$4:K$251,MATCH('Table 2.5c'!$A78&amp;'Table 2.5c'!$B78,UtilityList!$A$4:$A$251&amp;UtilityList!$C$4:$C$251,0))</f>
        <v>Bethel (CA)</v>
      </c>
      <c r="L78" s="709" t="str">
        <f t="array" ref="L78">INDEX(UtilityList!L$4:L$251,MATCH('Table 2.5c'!$A78&amp;'Table 2.5c'!$B78,UtilityList!$A$4:$A$251&amp;UtilityList!$C$4:$C$251,0))</f>
        <v>Calista</v>
      </c>
      <c r="M78" s="709" t="str">
        <f t="array" ref="M78">INDEX(UtilityList!M$4:M$251,MATCH('Table 2.5c'!$A78&amp;'Table 2.5c'!$B78,UtilityList!$A$4:$A$251&amp;UtilityList!$C$4:$C$251,0))</f>
        <v>SW</v>
      </c>
    </row>
    <row r="79" spans="1:13" s="126" customFormat="1" ht="60" x14ac:dyDescent="0.25">
      <c r="A79" s="710" t="s">
        <v>524</v>
      </c>
      <c r="B79" s="710" t="s">
        <v>114</v>
      </c>
      <c r="C79" s="711">
        <v>0.51793999999999996</v>
      </c>
      <c r="D79" s="711">
        <v>0.30769999999999997</v>
      </c>
      <c r="E79" s="712">
        <v>0.21023999999999998</v>
      </c>
      <c r="F79" s="713">
        <v>0.59408425686372934</v>
      </c>
      <c r="G79" s="658" t="s">
        <v>356</v>
      </c>
      <c r="H79" s="622" t="s">
        <v>554</v>
      </c>
      <c r="I79" s="709" t="str">
        <f t="array" ref="I79">INDEX(UtilityList!Q$4:Q$251,MATCH('Table 2.5c'!$A79&amp;'Table 2.5c'!$B79,UtilityList!$A$4:$A$251&amp;UtilityList!$C$4:$C$251,0))</f>
        <v>Receives power from Toksook Bay via intertie. For fuel use and cost, please refer to Toksook Bay.</v>
      </c>
      <c r="J79" s="709" t="str">
        <f t="array" ref="J79">INDEX(UtilityList!J$4:J$251,MATCH('Table 2.5c'!$A79&amp;'Table 2.5c'!$B79,UtilityList!$A$4:$A$251&amp;UtilityList!$C$4:$C$251,0))</f>
        <v>Lower Yukon-Kuskokwim</v>
      </c>
      <c r="K79" s="709" t="str">
        <f t="array" ref="K79">INDEX(UtilityList!K$4:K$251,MATCH('Table 2.5c'!$A79&amp;'Table 2.5c'!$B79,UtilityList!$A$4:$A$251&amp;UtilityList!$C$4:$C$251,0))</f>
        <v>Bethel (CA)</v>
      </c>
      <c r="L79" s="709" t="str">
        <f t="array" ref="L79">INDEX(UtilityList!L$4:L$251,MATCH('Table 2.5c'!$A79&amp;'Table 2.5c'!$B79,UtilityList!$A$4:$A$251&amp;UtilityList!$C$4:$C$251,0))</f>
        <v>Calista</v>
      </c>
      <c r="M79" s="709" t="str">
        <f t="array" ref="M79">INDEX(UtilityList!M$4:M$251,MATCH('Table 2.5c'!$A79&amp;'Table 2.5c'!$B79,UtilityList!$A$4:$A$251&amp;UtilityList!$C$4:$C$251,0))</f>
        <v>SW</v>
      </c>
    </row>
    <row r="80" spans="1:13" s="63" customFormat="1" x14ac:dyDescent="0.25">
      <c r="A80" s="710" t="s">
        <v>524</v>
      </c>
      <c r="B80" s="710" t="s">
        <v>116</v>
      </c>
      <c r="C80" s="711">
        <v>0.64396666999999996</v>
      </c>
      <c r="D80" s="711">
        <v>0.42826667000000002</v>
      </c>
      <c r="E80" s="712">
        <v>0.21569999999999995</v>
      </c>
      <c r="F80" s="713">
        <v>0.6650447763080658</v>
      </c>
      <c r="G80" s="658" t="s">
        <v>356</v>
      </c>
      <c r="H80" s="622" t="s">
        <v>554</v>
      </c>
      <c r="I80" s="709">
        <f t="array" ref="I80">INDEX(UtilityList!Q$4:Q$251,MATCH('Table 2.5c'!$A80&amp;'Table 2.5c'!$B80,UtilityList!$A$4:$A$251&amp;UtilityList!$C$4:$C$251,0))</f>
        <v>0</v>
      </c>
      <c r="J80" s="709" t="str">
        <f t="array" ref="J80">INDEX(UtilityList!J$4:J$251,MATCH('Table 2.5c'!$A80&amp;'Table 2.5c'!$B80,UtilityList!$A$4:$A$251&amp;UtilityList!$C$4:$C$251,0))</f>
        <v>Bering Straits</v>
      </c>
      <c r="K80" s="709" t="str">
        <f t="array" ref="K80">INDEX(UtilityList!K$4:K$251,MATCH('Table 2.5c'!$A80&amp;'Table 2.5c'!$B80,UtilityList!$A$4:$A$251&amp;UtilityList!$C$4:$C$251,0))</f>
        <v>Nome (CA)</v>
      </c>
      <c r="L80" s="709" t="str">
        <f t="array" ref="L80">INDEX(UtilityList!L$4:L$251,MATCH('Table 2.5c'!$A80&amp;'Table 2.5c'!$B80,UtilityList!$A$4:$A$251&amp;UtilityList!$C$4:$C$251,0))</f>
        <v>Bering Straits</v>
      </c>
      <c r="M80" s="709" t="str">
        <f t="array" ref="M80">INDEX(UtilityList!M$4:M$251,MATCH('Table 2.5c'!$A80&amp;'Table 2.5c'!$B80,UtilityList!$A$4:$A$251&amp;UtilityList!$C$4:$C$251,0))</f>
        <v>AN</v>
      </c>
    </row>
    <row r="81" spans="1:13" s="63" customFormat="1" x14ac:dyDescent="0.25">
      <c r="A81" s="710" t="s">
        <v>117</v>
      </c>
      <c r="B81" s="710" t="s">
        <v>118</v>
      </c>
      <c r="C81" s="711">
        <v>0.6</v>
      </c>
      <c r="D81" s="711">
        <v>0.34909167000000002</v>
      </c>
      <c r="E81" s="712">
        <v>0.25090832999999996</v>
      </c>
      <c r="F81" s="713">
        <v>0.58181945000000002</v>
      </c>
      <c r="G81" s="658" t="s">
        <v>356</v>
      </c>
      <c r="H81" s="622" t="s">
        <v>554</v>
      </c>
      <c r="I81" s="709">
        <f t="array" ref="I81">INDEX(UtilityList!Q$4:Q$251,MATCH('Table 2.5c'!$A81&amp;'Table 2.5c'!$B81,UtilityList!$A$4:$A$251&amp;UtilityList!$C$4:$C$251,0))</f>
        <v>0</v>
      </c>
      <c r="J81" s="709" t="str">
        <f t="array" ref="J81">INDEX(UtilityList!J$4:J$251,MATCH('Table 2.5c'!$A81&amp;'Table 2.5c'!$B81,UtilityList!$A$4:$A$251&amp;UtilityList!$C$4:$C$251,0))</f>
        <v>Kodiak</v>
      </c>
      <c r="K81" s="709" t="str">
        <f t="array" ref="K81">INDEX(UtilityList!K$4:K$251,MATCH('Table 2.5c'!$A81&amp;'Table 2.5c'!$B81,UtilityList!$A$4:$A$251&amp;UtilityList!$C$4:$C$251,0))</f>
        <v>Kodiak Island</v>
      </c>
      <c r="L81" s="709" t="str">
        <f t="array" ref="L81">INDEX(UtilityList!L$4:L$251,MATCH('Table 2.5c'!$A81&amp;'Table 2.5c'!$B81,UtilityList!$A$4:$A$251&amp;UtilityList!$C$4:$C$251,0))</f>
        <v>Koniag</v>
      </c>
      <c r="M81" s="709" t="str">
        <f t="array" ref="M81">INDEX(UtilityList!M$4:M$251,MATCH('Table 2.5c'!$A81&amp;'Table 2.5c'!$B81,UtilityList!$A$4:$A$251&amp;UtilityList!$C$4:$C$251,0))</f>
        <v>SC</v>
      </c>
    </row>
    <row r="82" spans="1:13" s="63" customFormat="1" x14ac:dyDescent="0.25">
      <c r="A82" s="352" t="s">
        <v>119</v>
      </c>
      <c r="B82" s="352" t="s">
        <v>121</v>
      </c>
      <c r="C82" s="711">
        <v>0.13022999999999998</v>
      </c>
      <c r="D82" s="711">
        <v>0</v>
      </c>
      <c r="E82" s="712">
        <v>0.13022999999999998</v>
      </c>
      <c r="F82" s="713">
        <v>0</v>
      </c>
      <c r="G82" s="685" t="s">
        <v>558</v>
      </c>
      <c r="H82" s="685" t="s">
        <v>581</v>
      </c>
      <c r="I82" s="709">
        <f t="array" ref="I82">INDEX(UtilityList!Q$4:Q$251,MATCH('Table 2.5c'!$A82&amp;'Table 2.5c'!$B82,UtilityList!$A$4:$A$251&amp;UtilityList!$C$4:$C$251,0))</f>
        <v>0</v>
      </c>
      <c r="J82" s="709" t="str">
        <f t="array" ref="J82">INDEX(UtilityList!J$4:J$251,MATCH('Table 2.5c'!$A82&amp;'Table 2.5c'!$B82,UtilityList!$A$4:$A$251&amp;UtilityList!$C$4:$C$251,0))</f>
        <v>Railbelt</v>
      </c>
      <c r="K82" s="709" t="str">
        <f t="array" ref="K82">INDEX(UtilityList!K$4:K$251,MATCH('Table 2.5c'!$A82&amp;'Table 2.5c'!$B82,UtilityList!$A$4:$A$251&amp;UtilityList!$C$4:$C$251,0))</f>
        <v>Anchorage</v>
      </c>
      <c r="L82" s="709" t="str">
        <f t="array" ref="L82">INDEX(UtilityList!L$4:L$251,MATCH('Table 2.5c'!$A82&amp;'Table 2.5c'!$B82,UtilityList!$A$4:$A$251&amp;UtilityList!$C$4:$C$251,0))</f>
        <v>Cook Inlet</v>
      </c>
      <c r="M82" s="709" t="str">
        <f t="array" ref="M82">INDEX(UtilityList!M$4:M$251,MATCH('Table 2.5c'!$A82&amp;'Table 2.5c'!$B82,UtilityList!$A$4:$A$251&amp;UtilityList!$C$4:$C$251,0))</f>
        <v>SC</v>
      </c>
    </row>
    <row r="83" spans="1:13" s="63" customFormat="1" x14ac:dyDescent="0.25">
      <c r="A83" s="710" t="s">
        <v>123</v>
      </c>
      <c r="B83" s="710" t="s">
        <v>124</v>
      </c>
      <c r="C83" s="711">
        <v>0.71872499999999995</v>
      </c>
      <c r="D83" s="711">
        <v>0.43711666999999998</v>
      </c>
      <c r="E83" s="712">
        <v>0.28160832999999996</v>
      </c>
      <c r="F83" s="713">
        <v>0.60818347768618042</v>
      </c>
      <c r="G83" s="658" t="s">
        <v>356</v>
      </c>
      <c r="H83" s="622" t="s">
        <v>554</v>
      </c>
      <c r="I83" s="709">
        <f t="array" ref="I83">INDEX(UtilityList!Q$4:Q$251,MATCH('Table 2.5c'!$A83&amp;'Table 2.5c'!$B83,UtilityList!$A$4:$A$251&amp;UtilityList!$C$4:$C$251,0))</f>
        <v>0</v>
      </c>
      <c r="J83" s="709" t="str">
        <f t="array" ref="J83">INDEX(UtilityList!J$4:J$251,MATCH('Table 2.5c'!$A83&amp;'Table 2.5c'!$B83,UtilityList!$A$4:$A$251&amp;UtilityList!$C$4:$C$251,0))</f>
        <v>Lower Yukon-Kuskokwim</v>
      </c>
      <c r="K83" s="709" t="str">
        <f t="array" ref="K83">INDEX(UtilityList!K$4:K$251,MATCH('Table 2.5c'!$A83&amp;'Table 2.5c'!$B83,UtilityList!$A$4:$A$251&amp;UtilityList!$C$4:$C$251,0))</f>
        <v>Bethel (CA)</v>
      </c>
      <c r="L83" s="709" t="str">
        <f t="array" ref="L83">INDEX(UtilityList!L$4:L$251,MATCH('Table 2.5c'!$A83&amp;'Table 2.5c'!$B83,UtilityList!$A$4:$A$251&amp;UtilityList!$C$4:$C$251,0))</f>
        <v>Calista</v>
      </c>
      <c r="M83" s="709" t="str">
        <f t="array" ref="M83">INDEX(UtilityList!M$4:M$251,MATCH('Table 2.5c'!$A83&amp;'Table 2.5c'!$B83,UtilityList!$A$4:$A$251&amp;UtilityList!$C$4:$C$251,0))</f>
        <v>SW</v>
      </c>
    </row>
    <row r="84" spans="1:13" s="63" customFormat="1" x14ac:dyDescent="0.25">
      <c r="A84" s="710" t="s">
        <v>127</v>
      </c>
      <c r="B84" s="710" t="s">
        <v>128</v>
      </c>
      <c r="C84" s="711">
        <v>0.70166667000000005</v>
      </c>
      <c r="D84" s="711">
        <v>0.49935000000000002</v>
      </c>
      <c r="E84" s="712">
        <v>0.20231667000000003</v>
      </c>
      <c r="F84" s="713">
        <v>0.71166270445765933</v>
      </c>
      <c r="G84" s="658" t="s">
        <v>356</v>
      </c>
      <c r="H84" s="622" t="s">
        <v>554</v>
      </c>
      <c r="I84" s="709">
        <f t="array" ref="I84">INDEX(UtilityList!Q$4:Q$251,MATCH('Table 2.5c'!$A84&amp;'Table 2.5c'!$B84,UtilityList!$A$4:$A$251&amp;UtilityList!$C$4:$C$251,0))</f>
        <v>0</v>
      </c>
      <c r="J84" s="709" t="str">
        <f t="array" ref="J84">INDEX(UtilityList!J$4:J$251,MATCH('Table 2.5c'!$A84&amp;'Table 2.5c'!$B84,UtilityList!$A$4:$A$251&amp;UtilityList!$C$4:$C$251,0))</f>
        <v>Aleutians</v>
      </c>
      <c r="K84" s="709" t="str">
        <f t="array" ref="K84">INDEX(UtilityList!K$4:K$251,MATCH('Table 2.5c'!$A84&amp;'Table 2.5c'!$B84,UtilityList!$A$4:$A$251&amp;UtilityList!$C$4:$C$251,0))</f>
        <v>Aleutians West (CA)</v>
      </c>
      <c r="L84" s="709" t="str">
        <f t="array" ref="L84">INDEX(UtilityList!L$4:L$251,MATCH('Table 2.5c'!$A84&amp;'Table 2.5c'!$B84,UtilityList!$A$4:$A$251&amp;UtilityList!$C$4:$C$251,0))</f>
        <v>Aleut</v>
      </c>
      <c r="M84" s="709" t="str">
        <f t="array" ref="M84">INDEX(UtilityList!M$4:M$251,MATCH('Table 2.5c'!$A84&amp;'Table 2.5c'!$B84,UtilityList!$A$4:$A$251&amp;UtilityList!$C$4:$C$251,0))</f>
        <v>SW</v>
      </c>
    </row>
    <row r="85" spans="1:13" s="63" customFormat="1" x14ac:dyDescent="0.25">
      <c r="A85" s="710" t="s">
        <v>129</v>
      </c>
      <c r="B85" s="710" t="s">
        <v>130</v>
      </c>
      <c r="C85" s="711">
        <v>0.6986</v>
      </c>
      <c r="D85" s="711">
        <v>0.36183333000000001</v>
      </c>
      <c r="E85" s="712">
        <v>0.33676666999999999</v>
      </c>
      <c r="F85" s="713">
        <v>0.51794063841969651</v>
      </c>
      <c r="G85" s="658" t="s">
        <v>356</v>
      </c>
      <c r="H85" s="622" t="s">
        <v>554</v>
      </c>
      <c r="I85" s="709">
        <f t="array" ref="I85">INDEX(UtilityList!Q$4:Q$251,MATCH('Table 2.5c'!$A85&amp;'Table 2.5c'!$B85,UtilityList!$A$4:$A$251&amp;UtilityList!$C$4:$C$251,0))</f>
        <v>0</v>
      </c>
      <c r="J85" s="709" t="str">
        <f t="array" ref="J85">INDEX(UtilityList!J$4:J$251,MATCH('Table 2.5c'!$A85&amp;'Table 2.5c'!$B85,UtilityList!$A$4:$A$251&amp;UtilityList!$C$4:$C$251,0))</f>
        <v>Lower Yukon-Kuskokwim</v>
      </c>
      <c r="K85" s="709" t="str">
        <f t="array" ref="K85">INDEX(UtilityList!K$4:K$251,MATCH('Table 2.5c'!$A85&amp;'Table 2.5c'!$B85,UtilityList!$A$4:$A$251&amp;UtilityList!$C$4:$C$251,0))</f>
        <v>Bethel (CA)</v>
      </c>
      <c r="L85" s="709" t="str">
        <f t="array" ref="L85">INDEX(UtilityList!L$4:L$251,MATCH('Table 2.5c'!$A85&amp;'Table 2.5c'!$B85,UtilityList!$A$4:$A$251&amp;UtilityList!$C$4:$C$251,0))</f>
        <v>Calista</v>
      </c>
      <c r="M85" s="709" t="str">
        <f t="array" ref="M85">INDEX(UtilityList!M$4:M$251,MATCH('Table 2.5c'!$A85&amp;'Table 2.5c'!$B85,UtilityList!$A$4:$A$251&amp;UtilityList!$C$4:$C$251,0))</f>
        <v>SW</v>
      </c>
    </row>
    <row r="86" spans="1:13" s="63" customFormat="1" ht="30" x14ac:dyDescent="0.25">
      <c r="A86" s="352" t="s">
        <v>570</v>
      </c>
      <c r="B86" s="352" t="s">
        <v>133</v>
      </c>
      <c r="C86" s="711">
        <v>0.11588</v>
      </c>
      <c r="D86" s="711">
        <v>0</v>
      </c>
      <c r="E86" s="712">
        <v>0.11588</v>
      </c>
      <c r="F86" s="713">
        <v>0</v>
      </c>
      <c r="G86" s="685" t="s">
        <v>558</v>
      </c>
      <c r="H86" s="685" t="s">
        <v>581</v>
      </c>
      <c r="I86" s="709">
        <f t="array" ref="I86">INDEX(UtilityList!Q$4:Q$251,MATCH('Table 2.5c'!$A86&amp;'Table 2.5c'!$B86,UtilityList!$A$4:$A$251&amp;UtilityList!$C$4:$C$251,0))</f>
        <v>0</v>
      </c>
      <c r="J86" s="709" t="str">
        <f t="array" ref="J86">INDEX(UtilityList!J$4:J$251,MATCH('Table 2.5c'!$A86&amp;'Table 2.5c'!$B86,UtilityList!$A$4:$A$251&amp;UtilityList!$C$4:$C$251,0))</f>
        <v>North Slope</v>
      </c>
      <c r="K86" s="709" t="str">
        <f t="array" ref="K86">INDEX(UtilityList!K$4:K$251,MATCH('Table 2.5c'!$A86&amp;'Table 2.5c'!$B86,UtilityList!$A$4:$A$251&amp;UtilityList!$C$4:$C$251,0))</f>
        <v>North Slope</v>
      </c>
      <c r="L86" s="709" t="str">
        <f t="array" ref="L86">INDEX(UtilityList!L$4:L$251,MATCH('Table 2.5c'!$A86&amp;'Table 2.5c'!$B86,UtilityList!$A$4:$A$251&amp;UtilityList!$C$4:$C$251,0))</f>
        <v>Arctic Slope</v>
      </c>
      <c r="M86" s="709" t="str">
        <f t="array" ref="M86">INDEX(UtilityList!M$4:M$251,MATCH('Table 2.5c'!$A86&amp;'Table 2.5c'!$B86,UtilityList!$A$4:$A$251&amp;UtilityList!$C$4:$C$251,0))</f>
        <v>AN</v>
      </c>
    </row>
    <row r="87" spans="1:13" s="126" customFormat="1" x14ac:dyDescent="0.25">
      <c r="A87" s="710" t="s">
        <v>134</v>
      </c>
      <c r="B87" s="710" t="s">
        <v>135</v>
      </c>
      <c r="C87" s="711">
        <v>0.65</v>
      </c>
      <c r="D87" s="711">
        <v>0.49825000000000003</v>
      </c>
      <c r="E87" s="712">
        <v>0.15175</v>
      </c>
      <c r="F87" s="713">
        <v>0.7665384615384615</v>
      </c>
      <c r="G87" s="658" t="s">
        <v>356</v>
      </c>
      <c r="H87" s="622" t="s">
        <v>554</v>
      </c>
      <c r="I87" s="709">
        <f t="array" ref="I87">INDEX(UtilityList!Q$4:Q$251,MATCH('Table 2.5c'!$A87&amp;'Table 2.5c'!$B87,UtilityList!$A$4:$A$251&amp;UtilityList!$C$4:$C$251,0))</f>
        <v>0</v>
      </c>
      <c r="J87" s="709" t="str">
        <f t="array" ref="J87">INDEX(UtilityList!J$4:J$251,MATCH('Table 2.5c'!$A87&amp;'Table 2.5c'!$B87,UtilityList!$A$4:$A$251&amp;UtilityList!$C$4:$C$251,0))</f>
        <v>Yukon-Koyukuk/Upper Tanana</v>
      </c>
      <c r="K87" s="709" t="str">
        <f t="array" ref="K87">INDEX(UtilityList!K$4:K$251,MATCH('Table 2.5c'!$A87&amp;'Table 2.5c'!$B87,UtilityList!$A$4:$A$251&amp;UtilityList!$C$4:$C$251,0))</f>
        <v>Yukon-Koyukuk (CA)</v>
      </c>
      <c r="L87" s="709" t="str">
        <f t="array" ref="L87">INDEX(UtilityList!L$4:L$251,MATCH('Table 2.5c'!$A87&amp;'Table 2.5c'!$B87,UtilityList!$A$4:$A$251&amp;UtilityList!$C$4:$C$251,0))</f>
        <v>Doyon</v>
      </c>
      <c r="M87" s="709" t="str">
        <f t="array" ref="M87">INDEX(UtilityList!M$4:M$251,MATCH('Table 2.5c'!$A87&amp;'Table 2.5c'!$B87,UtilityList!$A$4:$A$251&amp;UtilityList!$C$4:$C$251,0))</f>
        <v>YU</v>
      </c>
    </row>
    <row r="88" spans="1:13" s="63" customFormat="1" ht="75" x14ac:dyDescent="0.25">
      <c r="A88" s="710" t="s">
        <v>502</v>
      </c>
      <c r="B88" s="710" t="s">
        <v>679</v>
      </c>
      <c r="C88" s="711">
        <v>0.51338333000000003</v>
      </c>
      <c r="D88" s="711">
        <v>0.34568333000000001</v>
      </c>
      <c r="E88" s="712">
        <v>0.16770000000000002</v>
      </c>
      <c r="F88" s="713">
        <v>0.67334350338177129</v>
      </c>
      <c r="G88" s="658" t="s">
        <v>356</v>
      </c>
      <c r="H88" s="622" t="s">
        <v>554</v>
      </c>
      <c r="I88" s="709" t="str">
        <f t="array" ref="I88">INDEX(UtilityList!Q$4:Q$251,MATCH('Table 2.5c'!$A88&amp;'Table 2.5c'!$B88,UtilityList!$A$4:$A$251&amp;UtilityList!$C$4:$C$251,0))</f>
        <v>Provides power to Oscarville and sells power to Napakiak Ircinraq via intertie. Data includes Oscarville's information.</v>
      </c>
      <c r="J88" s="709" t="str">
        <f t="array" ref="J88">INDEX(UtilityList!J$4:J$251,MATCH('Table 2.5c'!$A88&amp;'Table 2.5c'!$B88,UtilityList!$A$4:$A$251&amp;UtilityList!$C$4:$C$251,0))</f>
        <v>Lower Yukon-Kuskokwim</v>
      </c>
      <c r="K88" s="709" t="str">
        <f t="array" ref="K88">INDEX(UtilityList!K$4:K$251,MATCH('Table 2.5c'!$A88&amp;'Table 2.5c'!$B88,UtilityList!$A$4:$A$251&amp;UtilityList!$C$4:$C$251,0))</f>
        <v>Bethel (CA)</v>
      </c>
      <c r="L88" s="709" t="str">
        <f t="array" ref="L88">INDEX(UtilityList!L$4:L$251,MATCH('Table 2.5c'!$A88&amp;'Table 2.5c'!$B88,UtilityList!$A$4:$A$251&amp;UtilityList!$C$4:$C$251,0))</f>
        <v>Calista</v>
      </c>
      <c r="M88" s="709" t="str">
        <f t="array" ref="M88">INDEX(UtilityList!M$4:M$251,MATCH('Table 2.5c'!$A88&amp;'Table 2.5c'!$B88,UtilityList!$A$4:$A$251&amp;UtilityList!$C$4:$C$251,0))</f>
        <v>SW</v>
      </c>
    </row>
    <row r="89" spans="1:13" s="63" customFormat="1" x14ac:dyDescent="0.25">
      <c r="A89" s="710" t="s">
        <v>139</v>
      </c>
      <c r="B89" s="710" t="s">
        <v>140</v>
      </c>
      <c r="C89" s="711">
        <v>0.47410000000000002</v>
      </c>
      <c r="D89" s="711">
        <v>0.280225</v>
      </c>
      <c r="E89" s="712">
        <v>0.19387500000000002</v>
      </c>
      <c r="F89" s="713">
        <v>0.5910672853828306</v>
      </c>
      <c r="G89" s="658" t="s">
        <v>356</v>
      </c>
      <c r="H89" s="622" t="s">
        <v>554</v>
      </c>
      <c r="I89" s="709">
        <f t="array" ref="I89">INDEX(UtilityList!Q$4:Q$251,MATCH('Table 2.5c'!$A89&amp;'Table 2.5c'!$B89,UtilityList!$A$4:$A$251&amp;UtilityList!$C$4:$C$251,0))</f>
        <v>0</v>
      </c>
      <c r="J89" s="709" t="str">
        <f t="array" ref="J89">INDEX(UtilityList!J$4:J$251,MATCH('Table 2.5c'!$A89&amp;'Table 2.5c'!$B89,UtilityList!$A$4:$A$251&amp;UtilityList!$C$4:$C$251,0))</f>
        <v>Northwest Arctic</v>
      </c>
      <c r="K89" s="709" t="str">
        <f t="array" ref="K89">INDEX(UtilityList!K$4:K$251,MATCH('Table 2.5c'!$A89&amp;'Table 2.5c'!$B89,UtilityList!$A$4:$A$251&amp;UtilityList!$C$4:$C$251,0))</f>
        <v>Northwest Arctic</v>
      </c>
      <c r="L89" s="709" t="str">
        <f t="array" ref="L89">INDEX(UtilityList!L$4:L$251,MATCH('Table 2.5c'!$A89&amp;'Table 2.5c'!$B89,UtilityList!$A$4:$A$251&amp;UtilityList!$C$4:$C$251,0))</f>
        <v>NANA</v>
      </c>
      <c r="M89" s="709" t="str">
        <f t="array" ref="M89">INDEX(UtilityList!M$4:M$251,MATCH('Table 2.5c'!$A89&amp;'Table 2.5c'!$B89,UtilityList!$A$4:$A$251&amp;UtilityList!$C$4:$C$251,0))</f>
        <v>AN</v>
      </c>
    </row>
    <row r="90" spans="1:13" s="63" customFormat="1" x14ac:dyDescent="0.25">
      <c r="A90" s="710" t="s">
        <v>141</v>
      </c>
      <c r="B90" s="710" t="s">
        <v>142</v>
      </c>
      <c r="C90" s="711">
        <v>0.95</v>
      </c>
      <c r="D90" s="711">
        <v>0.50636667000000002</v>
      </c>
      <c r="E90" s="712">
        <v>0.44363332999999994</v>
      </c>
      <c r="F90" s="713">
        <v>0.53301754736842111</v>
      </c>
      <c r="G90" s="658" t="s">
        <v>356</v>
      </c>
      <c r="H90" s="622" t="s">
        <v>554</v>
      </c>
      <c r="I90" s="709">
        <f t="array" ref="I90">INDEX(UtilityList!Q$4:Q$251,MATCH('Table 2.5c'!$A90&amp;'Table 2.5c'!$B90,UtilityList!$A$4:$A$251&amp;UtilityList!$C$4:$C$251,0))</f>
        <v>0</v>
      </c>
      <c r="J90" s="709" t="str">
        <f t="array" ref="J90">INDEX(UtilityList!J$4:J$251,MATCH('Table 2.5c'!$A90&amp;'Table 2.5c'!$B90,UtilityList!$A$4:$A$251&amp;UtilityList!$C$4:$C$251,0))</f>
        <v>Yukon-Koyukuk/Upper Tanana</v>
      </c>
      <c r="K90" s="709" t="str">
        <f t="array" ref="K90">INDEX(UtilityList!K$4:K$251,MATCH('Table 2.5c'!$A90&amp;'Table 2.5c'!$B90,UtilityList!$A$4:$A$251&amp;UtilityList!$C$4:$C$251,0))</f>
        <v>Yukon-Koyukuk (CA)</v>
      </c>
      <c r="L90" s="709" t="str">
        <f t="array" ref="L90">INDEX(UtilityList!L$4:L$251,MATCH('Table 2.5c'!$A90&amp;'Table 2.5c'!$B90,UtilityList!$A$4:$A$251&amp;UtilityList!$C$4:$C$251,0))</f>
        <v>Doyon</v>
      </c>
      <c r="M90" s="709" t="str">
        <f t="array" ref="M90">INDEX(UtilityList!M$4:M$251,MATCH('Table 2.5c'!$A90&amp;'Table 2.5c'!$B90,UtilityList!$A$4:$A$251&amp;UtilityList!$C$4:$C$251,0))</f>
        <v>YU</v>
      </c>
    </row>
    <row r="91" spans="1:13" s="63" customFormat="1" x14ac:dyDescent="0.25">
      <c r="A91" s="710" t="s">
        <v>143</v>
      </c>
      <c r="B91" s="710" t="s">
        <v>144</v>
      </c>
      <c r="C91" s="711">
        <v>0.435</v>
      </c>
      <c r="D91" s="711">
        <v>0.29594999999999999</v>
      </c>
      <c r="E91" s="712">
        <v>0.13905000000000001</v>
      </c>
      <c r="F91" s="713">
        <v>0.68034482758620685</v>
      </c>
      <c r="G91" s="658" t="s">
        <v>356</v>
      </c>
      <c r="H91" s="622" t="s">
        <v>554</v>
      </c>
      <c r="I91" s="709">
        <f t="array" ref="I91">INDEX(UtilityList!Q$4:Q$251,MATCH('Table 2.5c'!$A91&amp;'Table 2.5c'!$B91,UtilityList!$A$4:$A$251&amp;UtilityList!$C$4:$C$251,0))</f>
        <v>0</v>
      </c>
      <c r="J91" s="709" t="str">
        <f t="array" ref="J91">INDEX(UtilityList!J$4:J$251,MATCH('Table 2.5c'!$A91&amp;'Table 2.5c'!$B91,UtilityList!$A$4:$A$251&amp;UtilityList!$C$4:$C$251,0))</f>
        <v>Copper River/Chugach</v>
      </c>
      <c r="K91" s="709" t="str">
        <f t="array" ref="K91">INDEX(UtilityList!K$4:K$251,MATCH('Table 2.5c'!$A91&amp;'Table 2.5c'!$B91,UtilityList!$A$4:$A$251&amp;UtilityList!$C$4:$C$251,0))</f>
        <v>Valdez-Cordova (CA)</v>
      </c>
      <c r="L91" s="709" t="str">
        <f t="array" ref="L91">INDEX(UtilityList!L$4:L$251,MATCH('Table 2.5c'!$A91&amp;'Table 2.5c'!$B91,UtilityList!$A$4:$A$251&amp;UtilityList!$C$4:$C$251,0))</f>
        <v>Chugach</v>
      </c>
      <c r="M91" s="709" t="str">
        <f t="array" ref="M91">INDEX(UtilityList!M$4:M$251,MATCH('Table 2.5c'!$A91&amp;'Table 2.5c'!$B91,UtilityList!$A$4:$A$251&amp;UtilityList!$C$4:$C$251,0))</f>
        <v>SC</v>
      </c>
    </row>
    <row r="92" spans="1:13" s="63" customFormat="1" x14ac:dyDescent="0.25">
      <c r="A92" s="710" t="s">
        <v>145</v>
      </c>
      <c r="B92" s="710" t="s">
        <v>146</v>
      </c>
      <c r="C92" s="711">
        <v>0.69174999999999998</v>
      </c>
      <c r="D92" s="711">
        <v>0.38758333</v>
      </c>
      <c r="E92" s="712">
        <v>0.30416666999999997</v>
      </c>
      <c r="F92" s="713">
        <v>0.5602939356704012</v>
      </c>
      <c r="G92" s="658" t="s">
        <v>356</v>
      </c>
      <c r="H92" s="622" t="s">
        <v>554</v>
      </c>
      <c r="I92" s="709">
        <f t="array" ref="I92">INDEX(UtilityList!Q$4:Q$251,MATCH('Table 2.5c'!$A92&amp;'Table 2.5c'!$B92,UtilityList!$A$4:$A$251&amp;UtilityList!$C$4:$C$251,0))</f>
        <v>0</v>
      </c>
      <c r="J92" s="709" t="str">
        <f t="array" ref="J92">INDEX(UtilityList!J$4:J$251,MATCH('Table 2.5c'!$A92&amp;'Table 2.5c'!$B92,UtilityList!$A$4:$A$251&amp;UtilityList!$C$4:$C$251,0))</f>
        <v>Bristol Bay</v>
      </c>
      <c r="K92" s="709" t="str">
        <f t="array" ref="K92">INDEX(UtilityList!K$4:K$251,MATCH('Table 2.5c'!$A92&amp;'Table 2.5c'!$B92,UtilityList!$A$4:$A$251&amp;UtilityList!$C$4:$C$251,0))</f>
        <v>Lake and Peninsula</v>
      </c>
      <c r="L92" s="709" t="str">
        <f t="array" ref="L92">INDEX(UtilityList!L$4:L$251,MATCH('Table 2.5c'!$A92&amp;'Table 2.5c'!$B92,UtilityList!$A$4:$A$251&amp;UtilityList!$C$4:$C$251,0))</f>
        <v>Bristol Bay</v>
      </c>
      <c r="M92" s="709" t="str">
        <f t="array" ref="M92">INDEX(UtilityList!M$4:M$251,MATCH('Table 2.5c'!$A92&amp;'Table 2.5c'!$B92,UtilityList!$A$4:$A$251&amp;UtilityList!$C$4:$C$251,0))</f>
        <v>SW</v>
      </c>
    </row>
    <row r="93" spans="1:13" s="63" customFormat="1" x14ac:dyDescent="0.25">
      <c r="A93" s="710" t="s">
        <v>147</v>
      </c>
      <c r="B93" s="710" t="s">
        <v>148</v>
      </c>
      <c r="C93" s="711">
        <v>0.67300000000000004</v>
      </c>
      <c r="D93" s="711">
        <v>0.44423332999999998</v>
      </c>
      <c r="E93" s="712">
        <v>0.22876667000000006</v>
      </c>
      <c r="F93" s="713">
        <v>0.66007924219910841</v>
      </c>
      <c r="G93" s="658" t="s">
        <v>356</v>
      </c>
      <c r="H93" s="622" t="s">
        <v>554</v>
      </c>
      <c r="I93" s="709">
        <f t="array" ref="I93">INDEX(UtilityList!Q$4:Q$251,MATCH('Table 2.5c'!$A93&amp;'Table 2.5c'!$B93,UtilityList!$A$4:$A$251&amp;UtilityList!$C$4:$C$251,0))</f>
        <v>0</v>
      </c>
      <c r="J93" s="709" t="str">
        <f t="array" ref="J93">INDEX(UtilityList!J$4:J$251,MATCH('Table 2.5c'!$A93&amp;'Table 2.5c'!$B93,UtilityList!$A$4:$A$251&amp;UtilityList!$C$4:$C$251,0))</f>
        <v>Bristol Bay</v>
      </c>
      <c r="K93" s="709" t="str">
        <f t="array" ref="K93">INDEX(UtilityList!K$4:K$251,MATCH('Table 2.5c'!$A93&amp;'Table 2.5c'!$B93,UtilityList!$A$4:$A$251&amp;UtilityList!$C$4:$C$251,0))</f>
        <v>Lake and Peninsula</v>
      </c>
      <c r="L93" s="709" t="str">
        <f t="array" ref="L93">INDEX(UtilityList!L$4:L$251,MATCH('Table 2.5c'!$A93&amp;'Table 2.5c'!$B93,UtilityList!$A$4:$A$251&amp;UtilityList!$C$4:$C$251,0))</f>
        <v>Bristol Bay</v>
      </c>
      <c r="M93" s="709" t="str">
        <f t="array" ref="M93">INDEX(UtilityList!M$4:M$251,MATCH('Table 2.5c'!$A93&amp;'Table 2.5c'!$B93,UtilityList!$A$4:$A$251&amp;UtilityList!$C$4:$C$251,0))</f>
        <v>SW</v>
      </c>
    </row>
    <row r="94" spans="1:13" s="63" customFormat="1" x14ac:dyDescent="0.25">
      <c r="A94" s="710" t="s">
        <v>149</v>
      </c>
      <c r="B94" s="710" t="s">
        <v>150</v>
      </c>
      <c r="C94" s="711">
        <v>0.47556667000000002</v>
      </c>
      <c r="D94" s="711">
        <v>0.32815833</v>
      </c>
      <c r="E94" s="712">
        <v>0.14740834000000003</v>
      </c>
      <c r="F94" s="713">
        <v>0.6900364359007749</v>
      </c>
      <c r="G94" s="658" t="s">
        <v>356</v>
      </c>
      <c r="H94" s="622" t="s">
        <v>554</v>
      </c>
      <c r="I94" s="709">
        <f t="array" ref="I94">INDEX(UtilityList!Q$4:Q$251,MATCH('Table 2.5c'!$A94&amp;'Table 2.5c'!$B94,UtilityList!$A$4:$A$251&amp;UtilityList!$C$4:$C$251,0))</f>
        <v>0</v>
      </c>
      <c r="J94" s="709" t="str">
        <f t="array" ref="J94">INDEX(UtilityList!J$4:J$251,MATCH('Table 2.5c'!$A94&amp;'Table 2.5c'!$B94,UtilityList!$A$4:$A$251&amp;UtilityList!$C$4:$C$251,0))</f>
        <v>Bristol Bay</v>
      </c>
      <c r="K94" s="709" t="str">
        <f t="array" ref="K94">INDEX(UtilityList!K$4:K$251,MATCH('Table 2.5c'!$A94&amp;'Table 2.5c'!$B94,UtilityList!$A$4:$A$251&amp;UtilityList!$C$4:$C$251,0))</f>
        <v>Lake and Peninsula</v>
      </c>
      <c r="L94" s="709" t="str">
        <f t="array" ref="L94">INDEX(UtilityList!L$4:L$251,MATCH('Table 2.5c'!$A94&amp;'Table 2.5c'!$B94,UtilityList!$A$4:$A$251&amp;UtilityList!$C$4:$C$251,0))</f>
        <v>Bristol Bay</v>
      </c>
      <c r="M94" s="709" t="str">
        <f t="array" ref="M94">INDEX(UtilityList!M$4:M$251,MATCH('Table 2.5c'!$A94&amp;'Table 2.5c'!$B94,UtilityList!$A$4:$A$251&amp;UtilityList!$C$4:$C$251,0))</f>
        <v>SW</v>
      </c>
    </row>
    <row r="95" spans="1:13" s="63" customFormat="1" x14ac:dyDescent="0.25">
      <c r="A95" s="710" t="s">
        <v>151</v>
      </c>
      <c r="B95" s="710" t="s">
        <v>152</v>
      </c>
      <c r="C95" s="711">
        <v>0.62916667000000004</v>
      </c>
      <c r="D95" s="711">
        <v>0.36809999999999998</v>
      </c>
      <c r="E95" s="712">
        <v>0.26106667000000006</v>
      </c>
      <c r="F95" s="713">
        <v>0.58505959954935305</v>
      </c>
      <c r="G95" s="658" t="s">
        <v>356</v>
      </c>
      <c r="H95" s="622" t="s">
        <v>554</v>
      </c>
      <c r="I95" s="709">
        <f t="array" ref="I95">INDEX(UtilityList!Q$4:Q$251,MATCH('Table 2.5c'!$A95&amp;'Table 2.5c'!$B95,UtilityList!$A$4:$A$251&amp;UtilityList!$C$4:$C$251,0))</f>
        <v>0</v>
      </c>
      <c r="J95" s="709" t="str">
        <f t="array" ref="J95">INDEX(UtilityList!J$4:J$251,MATCH('Table 2.5c'!$A95&amp;'Table 2.5c'!$B95,UtilityList!$A$4:$A$251&amp;UtilityList!$C$4:$C$251,0))</f>
        <v>Copper River/Chugach</v>
      </c>
      <c r="K95" s="709" t="str">
        <f t="array" ref="K95">INDEX(UtilityList!K$4:K$251,MATCH('Table 2.5c'!$A95&amp;'Table 2.5c'!$B95,UtilityList!$A$4:$A$251&amp;UtilityList!$C$4:$C$251,0))</f>
        <v>Valdez-Cordova (CA)</v>
      </c>
      <c r="L95" s="709" t="str">
        <f t="array" ref="L95">INDEX(UtilityList!L$4:L$251,MATCH('Table 2.5c'!$A95&amp;'Table 2.5c'!$B95,UtilityList!$A$4:$A$251&amp;UtilityList!$C$4:$C$251,0))</f>
        <v>Ahtna</v>
      </c>
      <c r="M95" s="709" t="str">
        <f t="array" ref="M95">INDEX(UtilityList!M$4:M$251,MATCH('Table 2.5c'!$A95&amp;'Table 2.5c'!$B95,UtilityList!$A$4:$A$251&amp;UtilityList!$C$4:$C$251,0))</f>
        <v>SC</v>
      </c>
    </row>
    <row r="96" spans="1:13" s="63" customFormat="1" x14ac:dyDescent="0.25">
      <c r="A96" s="352" t="s">
        <v>153</v>
      </c>
      <c r="B96" s="352"/>
      <c r="C96" s="711">
        <v>0.14230999999999999</v>
      </c>
      <c r="D96" s="711">
        <v>0</v>
      </c>
      <c r="E96" s="712">
        <v>0.14230999999999999</v>
      </c>
      <c r="F96" s="713">
        <v>0</v>
      </c>
      <c r="G96" s="685" t="s">
        <v>558</v>
      </c>
      <c r="H96" s="685" t="s">
        <v>581</v>
      </c>
      <c r="I96" s="709">
        <f t="array" ref="I96">INDEX(UtilityList!Q$4:Q$251,MATCH('Table 2.5c'!$A96&amp;'Table 2.5c'!$B96,UtilityList!$A$4:$A$251&amp;UtilityList!$C$4:$C$251,0))</f>
        <v>0</v>
      </c>
      <c r="J96" s="709" t="str">
        <f t="array" ref="J96">INDEX(UtilityList!J$4:J$251,MATCH('Table 2.5c'!$A96&amp;'Table 2.5c'!$B96,UtilityList!$A$4:$A$251&amp;UtilityList!$C$4:$C$251,0))</f>
        <v>Railbelt</v>
      </c>
      <c r="K96" s="709" t="str">
        <f t="array" ref="K96">INDEX(UtilityList!K$4:K$251,MATCH('Table 2.5c'!$A96&amp;'Table 2.5c'!$B96,UtilityList!$A$4:$A$251&amp;UtilityList!$C$4:$C$251,0))</f>
        <v>Anchorage</v>
      </c>
      <c r="L96" s="709" t="str">
        <f t="array" ref="L96">INDEX(UtilityList!L$4:L$251,MATCH('Table 2.5c'!$A96&amp;'Table 2.5c'!$B96,UtilityList!$A$4:$A$251&amp;UtilityList!$C$4:$C$251,0))</f>
        <v>Cook Inlet</v>
      </c>
      <c r="M96" s="709" t="str">
        <f t="array" ref="M96">INDEX(UtilityList!M$4:M$251,MATCH('Table 2.5c'!$A96&amp;'Table 2.5c'!$B96,UtilityList!$A$4:$A$251&amp;UtilityList!$C$4:$C$251,0))</f>
        <v>SC</v>
      </c>
    </row>
    <row r="97" spans="1:13" s="63" customFormat="1" x14ac:dyDescent="0.25">
      <c r="A97" s="710" t="s">
        <v>160</v>
      </c>
      <c r="B97" s="710" t="s">
        <v>161</v>
      </c>
      <c r="C97" s="711">
        <v>0.77449166999999997</v>
      </c>
      <c r="D97" s="711">
        <v>0.51212500000000005</v>
      </c>
      <c r="E97" s="712">
        <v>0.26236666999999991</v>
      </c>
      <c r="F97" s="713">
        <v>0.66124016543651154</v>
      </c>
      <c r="G97" s="658" t="s">
        <v>356</v>
      </c>
      <c r="H97" s="622" t="s">
        <v>554</v>
      </c>
      <c r="I97" s="709">
        <f t="array" ref="I97">INDEX(UtilityList!Q$4:Q$251,MATCH('Table 2.5c'!$A97&amp;'Table 2.5c'!$B97,UtilityList!$A$4:$A$251&amp;UtilityList!$C$4:$C$251,0))</f>
        <v>0</v>
      </c>
      <c r="J97" s="709" t="str">
        <f t="array" ref="J97">INDEX(UtilityList!J$4:J$251,MATCH('Table 2.5c'!$A97&amp;'Table 2.5c'!$B97,UtilityList!$A$4:$A$251&amp;UtilityList!$C$4:$C$251,0))</f>
        <v>Yukon-Koyukuk/Upper Tanana</v>
      </c>
      <c r="K97" s="709" t="str">
        <f t="array" ref="K97">INDEX(UtilityList!K$4:K$251,MATCH('Table 2.5c'!$A97&amp;'Table 2.5c'!$B97,UtilityList!$A$4:$A$251&amp;UtilityList!$C$4:$C$251,0))</f>
        <v>Yukon-Koyukuk (CA)</v>
      </c>
      <c r="L97" s="709" t="str">
        <f t="array" ref="L97">INDEX(UtilityList!L$4:L$251,MATCH('Table 2.5c'!$A97&amp;'Table 2.5c'!$B97,UtilityList!$A$4:$A$251&amp;UtilityList!$C$4:$C$251,0))</f>
        <v>Doyon</v>
      </c>
      <c r="M97" s="709" t="str">
        <f t="array" ref="M97">INDEX(UtilityList!M$4:M$251,MATCH('Table 2.5c'!$A97&amp;'Table 2.5c'!$B97,UtilityList!$A$4:$A$251&amp;UtilityList!$C$4:$C$251,0))</f>
        <v>YU</v>
      </c>
    </row>
    <row r="98" spans="1:13" s="63" customFormat="1" x14ac:dyDescent="0.25">
      <c r="A98" s="352" t="s">
        <v>164</v>
      </c>
      <c r="B98" s="352" t="s">
        <v>167</v>
      </c>
      <c r="C98" s="711">
        <v>0.28439999999999999</v>
      </c>
      <c r="D98" s="711">
        <v>0</v>
      </c>
      <c r="E98" s="712">
        <v>0.28439999999999999</v>
      </c>
      <c r="F98" s="713">
        <v>0</v>
      </c>
      <c r="G98" s="685" t="s">
        <v>558</v>
      </c>
      <c r="H98" s="685" t="s">
        <v>581</v>
      </c>
      <c r="I98" s="709">
        <f t="array" ref="I98">INDEX(UtilityList!Q$4:Q$251,MATCH('Table 2.5c'!$A98&amp;'Table 2.5c'!$B98,UtilityList!$A$4:$A$251&amp;UtilityList!$C$4:$C$251,0))</f>
        <v>0</v>
      </c>
      <c r="J98" s="709" t="str">
        <f t="array" ref="J98">INDEX(UtilityList!J$4:J$251,MATCH('Table 2.5c'!$A98&amp;'Table 2.5c'!$B98,UtilityList!$A$4:$A$251&amp;UtilityList!$C$4:$C$251,0))</f>
        <v>Copper River/Chugach</v>
      </c>
      <c r="K98" s="709" t="str">
        <f t="array" ref="K98">INDEX(UtilityList!K$4:K$251,MATCH('Table 2.5c'!$A98&amp;'Table 2.5c'!$B98,UtilityList!$A$4:$A$251&amp;UtilityList!$C$4:$C$251,0))</f>
        <v>Valdez-Cordova (CA)</v>
      </c>
      <c r="L98" s="709" t="str">
        <f t="array" ref="L98">INDEX(UtilityList!L$4:L$251,MATCH('Table 2.5c'!$A98&amp;'Table 2.5c'!$B98,UtilityList!$A$4:$A$251&amp;UtilityList!$C$4:$C$251,0))</f>
        <v>Chugach</v>
      </c>
      <c r="M98" s="709" t="str">
        <f t="array" ref="M98">INDEX(UtilityList!M$4:M$251,MATCH('Table 2.5c'!$A98&amp;'Table 2.5c'!$B98,UtilityList!$A$4:$A$251&amp;UtilityList!$C$4:$C$251,0))</f>
        <v>SC</v>
      </c>
    </row>
    <row r="99" spans="1:13" s="63" customFormat="1" x14ac:dyDescent="0.25">
      <c r="A99" s="710" t="s">
        <v>533</v>
      </c>
      <c r="B99" s="710" t="s">
        <v>1092</v>
      </c>
      <c r="C99" s="711">
        <v>0.42116667000000002</v>
      </c>
      <c r="D99" s="711">
        <v>0.13869999999999999</v>
      </c>
      <c r="E99" s="712">
        <v>0.28246667000000003</v>
      </c>
      <c r="F99" s="713">
        <v>0.32932330566423973</v>
      </c>
      <c r="G99" s="658" t="s">
        <v>356</v>
      </c>
      <c r="H99" s="622" t="s">
        <v>554</v>
      </c>
      <c r="I99" s="709"/>
      <c r="J99" s="709" t="str">
        <f t="array" ref="J99">INDEX(UtilityList!J$4:J$251,MATCH('Table 2.5c'!$A99&amp;'Table 2.5c'!$B99,UtilityList!$A$4:$A$251&amp;UtilityList!$C$4:$C$251,0))</f>
        <v>Copper River/Chugach</v>
      </c>
      <c r="K99" s="709" t="str">
        <f t="array" ref="K99">INDEX(UtilityList!K$4:K$251,MATCH('Table 2.5c'!$A99&amp;'Table 2.5c'!$B99,UtilityList!$A$4:$A$251&amp;UtilityList!$C$4:$C$251,0))</f>
        <v>Valdez-Cordova (CA)</v>
      </c>
      <c r="L99" s="709" t="str">
        <f t="array" ref="L99">INDEX(UtilityList!L$4:L$251,MATCH('Table 2.5c'!$A99&amp;'Table 2.5c'!$B99,UtilityList!$A$4:$A$251&amp;UtilityList!$C$4:$C$251,0))</f>
        <v>Chugach</v>
      </c>
      <c r="M99" s="709" t="str">
        <f t="array" ref="M99">INDEX(UtilityList!M$4:M$251,MATCH('Table 2.5c'!$A99&amp;'Table 2.5c'!$B99,UtilityList!$A$4:$A$251&amp;UtilityList!$C$4:$C$251,0))</f>
        <v>SC</v>
      </c>
    </row>
    <row r="100" spans="1:13" s="63" customFormat="1" x14ac:dyDescent="0.25">
      <c r="A100" s="710" t="s">
        <v>640</v>
      </c>
      <c r="B100" s="710" t="s">
        <v>170</v>
      </c>
      <c r="C100" s="711">
        <v>0.6</v>
      </c>
      <c r="D100" s="711">
        <v>0.46095000000000003</v>
      </c>
      <c r="E100" s="712">
        <v>0.13904999999999995</v>
      </c>
      <c r="F100" s="713">
        <v>0.7682500000000001</v>
      </c>
      <c r="G100" s="658" t="s">
        <v>356</v>
      </c>
      <c r="H100" s="622" t="s">
        <v>554</v>
      </c>
      <c r="I100" s="709">
        <f t="array" ref="I100">INDEX(UtilityList!Q$4:Q$251,MATCH('Table 2.5c'!$A100&amp;'Table 2.5c'!$B100,UtilityList!$A$4:$A$251&amp;UtilityList!$C$4:$C$251,0))</f>
        <v>0</v>
      </c>
      <c r="J100" s="709" t="str">
        <f t="array" ref="J100">INDEX(UtilityList!J$4:J$251,MATCH('Table 2.5c'!$A100&amp;'Table 2.5c'!$B100,UtilityList!$A$4:$A$251&amp;UtilityList!$C$4:$C$251,0))</f>
        <v>Bering Straits</v>
      </c>
      <c r="K100" s="709" t="str">
        <f t="array" ref="K100">INDEX(UtilityList!K$4:K$251,MATCH('Table 2.5c'!$A100&amp;'Table 2.5c'!$B100,UtilityList!$A$4:$A$251&amp;UtilityList!$C$4:$C$251,0))</f>
        <v>Nome (CA)</v>
      </c>
      <c r="L100" s="709" t="str">
        <f t="array" ref="L100">INDEX(UtilityList!L$4:L$251,MATCH('Table 2.5c'!$A100&amp;'Table 2.5c'!$B100,UtilityList!$A$4:$A$251&amp;UtilityList!$C$4:$C$251,0))</f>
        <v>Bering Straits</v>
      </c>
      <c r="M100" s="709" t="str">
        <f t="array" ref="M100">INDEX(UtilityList!M$4:M$251,MATCH('Table 2.5c'!$A100&amp;'Table 2.5c'!$B100,UtilityList!$A$4:$A$251&amp;UtilityList!$C$4:$C$251,0))</f>
        <v>AN</v>
      </c>
    </row>
    <row r="101" spans="1:13" s="63" customFormat="1" x14ac:dyDescent="0.25">
      <c r="A101" s="710" t="s">
        <v>171</v>
      </c>
      <c r="B101" s="710" t="s">
        <v>172</v>
      </c>
      <c r="C101" s="711">
        <v>0.86</v>
      </c>
      <c r="D101" s="711">
        <v>0.53453333000000003</v>
      </c>
      <c r="E101" s="712">
        <v>0.32546666999999996</v>
      </c>
      <c r="F101" s="713">
        <v>0.6215503837209303</v>
      </c>
      <c r="G101" s="658" t="s">
        <v>356</v>
      </c>
      <c r="H101" s="622" t="s">
        <v>554</v>
      </c>
      <c r="I101" s="709">
        <f t="array" ref="I101">INDEX(UtilityList!Q$4:Q$251,MATCH('Table 2.5c'!$A101&amp;'Table 2.5c'!$B101,UtilityList!$A$4:$A$251&amp;UtilityList!$C$4:$C$251,0))</f>
        <v>0</v>
      </c>
      <c r="J101" s="709" t="str">
        <f t="array" ref="J101">INDEX(UtilityList!J$4:J$251,MATCH('Table 2.5c'!$A101&amp;'Table 2.5c'!$B101,UtilityList!$A$4:$A$251&amp;UtilityList!$C$4:$C$251,0))</f>
        <v>Bristol Bay</v>
      </c>
      <c r="K101" s="709" t="str">
        <f t="array" ref="K101">INDEX(UtilityList!K$4:K$251,MATCH('Table 2.5c'!$A101&amp;'Table 2.5c'!$B101,UtilityList!$A$4:$A$251&amp;UtilityList!$C$4:$C$251,0))</f>
        <v>Lake and Peninsula</v>
      </c>
      <c r="L101" s="709" t="str">
        <f t="array" ref="L101">INDEX(UtilityList!L$4:L$251,MATCH('Table 2.5c'!$A101&amp;'Table 2.5c'!$B101,UtilityList!$A$4:$A$251&amp;UtilityList!$C$4:$C$251,0))</f>
        <v>Bristol Bay</v>
      </c>
      <c r="M101" s="709" t="str">
        <f t="array" ref="M101">INDEX(UtilityList!M$4:M$251,MATCH('Table 2.5c'!$A101&amp;'Table 2.5c'!$B101,UtilityList!$A$4:$A$251&amp;UtilityList!$C$4:$C$251,0))</f>
        <v>SW</v>
      </c>
    </row>
    <row r="102" spans="1:13" s="63" customFormat="1" x14ac:dyDescent="0.25">
      <c r="A102" s="710" t="s">
        <v>174</v>
      </c>
      <c r="B102" s="710" t="s">
        <v>175</v>
      </c>
      <c r="C102" s="711">
        <v>0.74601667000000005</v>
      </c>
      <c r="D102" s="711">
        <v>0.36607499999999998</v>
      </c>
      <c r="E102" s="712">
        <v>0.37994167000000006</v>
      </c>
      <c r="F102" s="713">
        <v>0.49070619293265921</v>
      </c>
      <c r="G102" s="658" t="s">
        <v>356</v>
      </c>
      <c r="H102" s="622" t="s">
        <v>554</v>
      </c>
      <c r="I102" s="709">
        <f t="array" ref="I102">INDEX(UtilityList!Q$4:Q$251,MATCH('Table 2.5c'!$A102&amp;'Table 2.5c'!$B102,UtilityList!$A$4:$A$251&amp;UtilityList!$C$4:$C$251,0))</f>
        <v>0</v>
      </c>
      <c r="J102" s="709" t="str">
        <f t="array" ref="J102">INDEX(UtilityList!J$4:J$251,MATCH('Table 2.5c'!$A102&amp;'Table 2.5c'!$B102,UtilityList!$A$4:$A$251&amp;UtilityList!$C$4:$C$251,0))</f>
        <v>Southeast</v>
      </c>
      <c r="K102" s="709" t="str">
        <f t="array" ref="K102">INDEX(UtilityList!K$4:K$251,MATCH('Table 2.5c'!$A102&amp;'Table 2.5c'!$B102,UtilityList!$A$4:$A$251&amp;UtilityList!$C$4:$C$251,0))</f>
        <v>Hoonah-Angoon (CA)</v>
      </c>
      <c r="L102" s="709" t="str">
        <f t="array" ref="L102">INDEX(UtilityList!L$4:L$251,MATCH('Table 2.5c'!$A102&amp;'Table 2.5c'!$B102,UtilityList!$A$4:$A$251&amp;UtilityList!$C$4:$C$251,0))</f>
        <v>Sealaska</v>
      </c>
      <c r="M102" s="709" t="str">
        <f t="array" ref="M102">INDEX(UtilityList!M$4:M$251,MATCH('Table 2.5c'!$A102&amp;'Table 2.5c'!$B102,UtilityList!$A$4:$A$251&amp;UtilityList!$C$4:$C$251,0))</f>
        <v>SE</v>
      </c>
    </row>
    <row r="103" spans="1:13" s="63" customFormat="1" x14ac:dyDescent="0.25">
      <c r="A103" s="710" t="s">
        <v>176</v>
      </c>
      <c r="B103" s="710" t="s">
        <v>177</v>
      </c>
      <c r="C103" s="711">
        <v>0.51319166999999999</v>
      </c>
      <c r="D103" s="711">
        <v>0.24496667</v>
      </c>
      <c r="E103" s="712">
        <v>0.26822499999999999</v>
      </c>
      <c r="F103" s="713">
        <v>0.47733952891324211</v>
      </c>
      <c r="G103" s="658" t="s">
        <v>356</v>
      </c>
      <c r="H103" s="622" t="s">
        <v>554</v>
      </c>
      <c r="I103" s="709">
        <f t="array" ref="I103">INDEX(UtilityList!Q$4:Q$251,MATCH('Table 2.5c'!$A103&amp;'Table 2.5c'!$B103,UtilityList!$A$4:$A$251&amp;UtilityList!$C$4:$C$251,0))</f>
        <v>0</v>
      </c>
      <c r="J103" s="709" t="str">
        <f t="array" ref="J103">INDEX(UtilityList!J$4:J$251,MATCH('Table 2.5c'!$A103&amp;'Table 2.5c'!$B103,UtilityList!$A$4:$A$251&amp;UtilityList!$C$4:$C$251,0))</f>
        <v>Aleutians</v>
      </c>
      <c r="K103" s="709" t="str">
        <f t="array" ref="K103">INDEX(UtilityList!K$4:K$251,MATCH('Table 2.5c'!$A103&amp;'Table 2.5c'!$B103,UtilityList!$A$4:$A$251&amp;UtilityList!$C$4:$C$251,0))</f>
        <v>Aleutians East</v>
      </c>
      <c r="L103" s="709" t="str">
        <f t="array" ref="L103">INDEX(UtilityList!L$4:L$251,MATCH('Table 2.5c'!$A103&amp;'Table 2.5c'!$B103,UtilityList!$A$4:$A$251&amp;UtilityList!$C$4:$C$251,0))</f>
        <v>Aleut</v>
      </c>
      <c r="M103" s="709" t="str">
        <f t="array" ref="M103">INDEX(UtilityList!M$4:M$251,MATCH('Table 2.5c'!$A103&amp;'Table 2.5c'!$B103,UtilityList!$A$4:$A$251&amp;UtilityList!$C$4:$C$251,0))</f>
        <v>SW</v>
      </c>
    </row>
    <row r="104" spans="1:13" s="63" customFormat="1" x14ac:dyDescent="0.25">
      <c r="A104" s="710" t="s">
        <v>178</v>
      </c>
      <c r="B104" s="710" t="s">
        <v>179</v>
      </c>
      <c r="C104" s="711">
        <v>0.71516667</v>
      </c>
      <c r="D104" s="711">
        <v>0.48702499999999999</v>
      </c>
      <c r="E104" s="712">
        <v>0.22814167000000002</v>
      </c>
      <c r="F104" s="713">
        <v>0.68099510286182663</v>
      </c>
      <c r="G104" s="658" t="s">
        <v>356</v>
      </c>
      <c r="H104" s="622" t="s">
        <v>554</v>
      </c>
      <c r="I104" s="709">
        <f t="array" ref="I104">INDEX(UtilityList!Q$4:Q$251,MATCH('Table 2.5c'!$A104&amp;'Table 2.5c'!$B104,UtilityList!$A$4:$A$251&amp;UtilityList!$C$4:$C$251,0))</f>
        <v>0</v>
      </c>
      <c r="J104" s="709" t="str">
        <f t="array" ref="J104">INDEX(UtilityList!J$4:J$251,MATCH('Table 2.5c'!$A104&amp;'Table 2.5c'!$B104,UtilityList!$A$4:$A$251&amp;UtilityList!$C$4:$C$251,0))</f>
        <v>Aleutians</v>
      </c>
      <c r="K104" s="709" t="str">
        <f t="array" ref="K104">INDEX(UtilityList!K$4:K$251,MATCH('Table 2.5c'!$A104&amp;'Table 2.5c'!$B104,UtilityList!$A$4:$A$251&amp;UtilityList!$C$4:$C$251,0))</f>
        <v>Aleutians East</v>
      </c>
      <c r="L104" s="709" t="str">
        <f t="array" ref="L104">INDEX(UtilityList!L$4:L$251,MATCH('Table 2.5c'!$A104&amp;'Table 2.5c'!$B104,UtilityList!$A$4:$A$251&amp;UtilityList!$C$4:$C$251,0))</f>
        <v>Aleut</v>
      </c>
      <c r="M104" s="709" t="str">
        <f t="array" ref="M104">INDEX(UtilityList!M$4:M$251,MATCH('Table 2.5c'!$A104&amp;'Table 2.5c'!$B104,UtilityList!$A$4:$A$251&amp;UtilityList!$C$4:$C$251,0))</f>
        <v>SW</v>
      </c>
    </row>
    <row r="105" spans="1:13" s="63" customFormat="1" x14ac:dyDescent="0.25">
      <c r="A105" s="710" t="s">
        <v>182</v>
      </c>
      <c r="B105" s="710" t="s">
        <v>183</v>
      </c>
      <c r="C105" s="711">
        <v>0.77562500000000001</v>
      </c>
      <c r="D105" s="711">
        <v>0.53647500000000004</v>
      </c>
      <c r="E105" s="712">
        <v>0.23914999999999997</v>
      </c>
      <c r="F105" s="713">
        <v>0.69166800966962128</v>
      </c>
      <c r="G105" s="658" t="s">
        <v>356</v>
      </c>
      <c r="H105" s="622" t="s">
        <v>554</v>
      </c>
      <c r="I105" s="709">
        <f t="array" ref="I105">INDEX(UtilityList!Q$4:Q$251,MATCH('Table 2.5c'!$A105&amp;'Table 2.5c'!$B105,UtilityList!$A$4:$A$251&amp;UtilityList!$C$4:$C$251,0))</f>
        <v>0</v>
      </c>
      <c r="J105" s="709" t="str">
        <f t="array" ref="J105">INDEX(UtilityList!J$4:J$251,MATCH('Table 2.5c'!$A105&amp;'Table 2.5c'!$B105,UtilityList!$A$4:$A$251&amp;UtilityList!$C$4:$C$251,0))</f>
        <v>Yukon-Koyukuk/Upper Tanana</v>
      </c>
      <c r="K105" s="709" t="str">
        <f t="array" ref="K105">INDEX(UtilityList!K$4:K$251,MATCH('Table 2.5c'!$A105&amp;'Table 2.5c'!$B105,UtilityList!$A$4:$A$251&amp;UtilityList!$C$4:$C$251,0))</f>
        <v>Yukon-Koyukuk (CA)</v>
      </c>
      <c r="L105" s="709" t="str">
        <f t="array" ref="L105">INDEX(UtilityList!L$4:L$251,MATCH('Table 2.5c'!$A105&amp;'Table 2.5c'!$B105,UtilityList!$A$4:$A$251&amp;UtilityList!$C$4:$C$251,0))</f>
        <v>Doyon</v>
      </c>
      <c r="M105" s="709" t="str">
        <f t="array" ref="M105">INDEX(UtilityList!M$4:M$251,MATCH('Table 2.5c'!$A105&amp;'Table 2.5c'!$B105,UtilityList!$A$4:$A$251&amp;UtilityList!$C$4:$C$251,0))</f>
        <v>YU</v>
      </c>
    </row>
    <row r="106" spans="1:13" s="126" customFormat="1" x14ac:dyDescent="0.25">
      <c r="A106" s="352" t="s">
        <v>184</v>
      </c>
      <c r="B106" s="352"/>
      <c r="C106" s="711">
        <v>0.22416</v>
      </c>
      <c r="D106" s="711">
        <v>0</v>
      </c>
      <c r="E106" s="712">
        <v>0.22416</v>
      </c>
      <c r="F106" s="713">
        <v>0</v>
      </c>
      <c r="G106" s="685" t="s">
        <v>558</v>
      </c>
      <c r="H106" s="685" t="s">
        <v>581</v>
      </c>
      <c r="I106" s="709">
        <f t="array" ref="I106">INDEX(UtilityList!Q$4:Q$251,MATCH('Table 2.5c'!$A106&amp;'Table 2.5c'!$B106,UtilityList!$A$4:$A$251&amp;UtilityList!$C$4:$C$251,0))</f>
        <v>0</v>
      </c>
      <c r="J106" s="709" t="str">
        <f t="array" ref="J106">INDEX(UtilityList!J$4:J$251,MATCH('Table 2.5c'!$A106&amp;'Table 2.5c'!$B106,UtilityList!$A$4:$A$251&amp;UtilityList!$C$4:$C$251,0))</f>
        <v>Railbelt</v>
      </c>
      <c r="K106" s="709" t="str">
        <f t="array" ref="K106">INDEX(UtilityList!K$4:K$251,MATCH('Table 2.5c'!$A106&amp;'Table 2.5c'!$B106,UtilityList!$A$4:$A$251&amp;UtilityList!$C$4:$C$251,0))</f>
        <v>Fairbanks North Star</v>
      </c>
      <c r="L106" s="709" t="str">
        <f t="array" ref="L106">INDEX(UtilityList!L$4:L$251,MATCH('Table 2.5c'!$A106&amp;'Table 2.5c'!$B106,UtilityList!$A$4:$A$251&amp;UtilityList!$C$4:$C$251,0))</f>
        <v>Doyon</v>
      </c>
      <c r="M106" s="709" t="str">
        <f t="array" ref="M106">INDEX(UtilityList!M$4:M$251,MATCH('Table 2.5c'!$A106&amp;'Table 2.5c'!$B106,UtilityList!$A$4:$A$251&amp;UtilityList!$C$4:$C$251,0))</f>
        <v>YU</v>
      </c>
    </row>
    <row r="107" spans="1:13" s="63" customFormat="1" x14ac:dyDescent="0.25">
      <c r="A107" s="710" t="s">
        <v>188</v>
      </c>
      <c r="B107" s="710" t="s">
        <v>189</v>
      </c>
      <c r="C107" s="711">
        <v>0.57750000000000001</v>
      </c>
      <c r="D107" s="711">
        <v>0.33065</v>
      </c>
      <c r="E107" s="712">
        <v>0.24685000000000001</v>
      </c>
      <c r="F107" s="713">
        <v>0.57255411255411259</v>
      </c>
      <c r="G107" s="658" t="s">
        <v>356</v>
      </c>
      <c r="H107" s="622" t="s">
        <v>554</v>
      </c>
      <c r="I107" s="709">
        <f t="array" ref="I107">INDEX(UtilityList!Q$4:Q$251,MATCH('Table 2.5c'!$A107&amp;'Table 2.5c'!$B107,UtilityList!$A$4:$A$251&amp;UtilityList!$C$4:$C$251,0))</f>
        <v>0</v>
      </c>
      <c r="J107" s="709" t="str">
        <f t="array" ref="J107">INDEX(UtilityList!J$4:J$251,MATCH('Table 2.5c'!$A107&amp;'Table 2.5c'!$B107,UtilityList!$A$4:$A$251&amp;UtilityList!$C$4:$C$251,0))</f>
        <v>Bering Straits</v>
      </c>
      <c r="K107" s="709" t="str">
        <f t="array" ref="K107">INDEX(UtilityList!K$4:K$251,MATCH('Table 2.5c'!$A107&amp;'Table 2.5c'!$B107,UtilityList!$A$4:$A$251&amp;UtilityList!$C$4:$C$251,0))</f>
        <v>Nome (CA)</v>
      </c>
      <c r="L107" s="709" t="str">
        <f t="array" ref="L107">INDEX(UtilityList!L$4:L$251,MATCH('Table 2.5c'!$A107&amp;'Table 2.5c'!$B107,UtilityList!$A$4:$A$251&amp;UtilityList!$C$4:$C$251,0))</f>
        <v>Bering Straits</v>
      </c>
      <c r="M107" s="709" t="str">
        <f t="array" ref="M107">INDEX(UtilityList!M$4:M$251,MATCH('Table 2.5c'!$A107&amp;'Table 2.5c'!$B107,UtilityList!$A$4:$A$251&amp;UtilityList!$C$4:$C$251,0))</f>
        <v>AN</v>
      </c>
    </row>
    <row r="108" spans="1:13" s="63" customFormat="1" x14ac:dyDescent="0.25">
      <c r="A108" s="710" t="s">
        <v>190</v>
      </c>
      <c r="B108" s="710" t="s">
        <v>191</v>
      </c>
      <c r="C108" s="711">
        <v>0.44628332999999998</v>
      </c>
      <c r="D108" s="711">
        <v>0.17078333000000001</v>
      </c>
      <c r="E108" s="712">
        <v>0.27549999999999997</v>
      </c>
      <c r="F108" s="713">
        <v>0.38267916034416977</v>
      </c>
      <c r="G108" s="658" t="s">
        <v>356</v>
      </c>
      <c r="H108" s="622" t="s">
        <v>554</v>
      </c>
      <c r="I108" s="709">
        <f t="array" ref="I108">INDEX(UtilityList!Q$4:Q$251,MATCH('Table 2.5c'!$A108&amp;'Table 2.5c'!$B108,UtilityList!$A$4:$A$251&amp;UtilityList!$C$4:$C$251,0))</f>
        <v>0</v>
      </c>
      <c r="J108" s="709" t="str">
        <f t="array" ref="J108">INDEX(UtilityList!J$4:J$251,MATCH('Table 2.5c'!$A108&amp;'Table 2.5c'!$B108,UtilityList!$A$4:$A$251&amp;UtilityList!$C$4:$C$251,0))</f>
        <v>Southeast</v>
      </c>
      <c r="K108" s="709" t="str">
        <f t="array" ref="K108">INDEX(UtilityList!K$4:K$251,MATCH('Table 2.5c'!$A108&amp;'Table 2.5c'!$B108,UtilityList!$A$4:$A$251&amp;UtilityList!$C$4:$C$251,0))</f>
        <v>Hoonah-Angoon (CA)</v>
      </c>
      <c r="L108" s="709" t="str">
        <f t="array" ref="L108">INDEX(UtilityList!L$4:L$251,MATCH('Table 2.5c'!$A108&amp;'Table 2.5c'!$B108,UtilityList!$A$4:$A$251&amp;UtilityList!$C$4:$C$251,0))</f>
        <v>Sealaska</v>
      </c>
      <c r="M108" s="709" t="str">
        <f t="array" ref="M108">INDEX(UtilityList!M$4:M$251,MATCH('Table 2.5c'!$A108&amp;'Table 2.5c'!$B108,UtilityList!$A$4:$A$251&amp;UtilityList!$C$4:$C$251,0))</f>
        <v>SE</v>
      </c>
    </row>
    <row r="109" spans="1:13" s="63" customFormat="1" x14ac:dyDescent="0.25">
      <c r="A109" s="710" t="s">
        <v>535</v>
      </c>
      <c r="B109" s="710" t="s">
        <v>192</v>
      </c>
      <c r="C109" s="711">
        <v>0.59759167000000002</v>
      </c>
      <c r="D109" s="711">
        <v>0.38570832999999999</v>
      </c>
      <c r="E109" s="712">
        <v>0.21188334000000003</v>
      </c>
      <c r="F109" s="713">
        <v>0.64543792921343768</v>
      </c>
      <c r="G109" s="658" t="s">
        <v>356</v>
      </c>
      <c r="H109" s="622" t="s">
        <v>554</v>
      </c>
      <c r="I109" s="709">
        <f t="array" ref="I109">INDEX(UtilityList!Q$4:Q$251,MATCH('Table 2.5c'!$A109&amp;'Table 2.5c'!$B109,UtilityList!$A$4:$A$251&amp;UtilityList!$C$4:$C$251,0))</f>
        <v>0</v>
      </c>
      <c r="J109" s="709" t="str">
        <f t="array" ref="J109">INDEX(UtilityList!J$4:J$251,MATCH('Table 2.5c'!$A109&amp;'Table 2.5c'!$B109,UtilityList!$A$4:$A$251&amp;UtilityList!$C$4:$C$251,0))</f>
        <v>Yukon-Koyukuk/Upper Tanana</v>
      </c>
      <c r="K109" s="709" t="str">
        <f t="array" ref="K109">INDEX(UtilityList!K$4:K$251,MATCH('Table 2.5c'!$A109&amp;'Table 2.5c'!$B109,UtilityList!$A$4:$A$251&amp;UtilityList!$C$4:$C$251,0))</f>
        <v>Yukon-Koyukuk (CA)</v>
      </c>
      <c r="L109" s="709" t="str">
        <f t="array" ref="L109">INDEX(UtilityList!L$4:L$251,MATCH('Table 2.5c'!$A109&amp;'Table 2.5c'!$B109,UtilityList!$A$4:$A$251&amp;UtilityList!$C$4:$C$251,0))</f>
        <v>Doyon</v>
      </c>
      <c r="M109" s="709" t="str">
        <f t="array" ref="M109">INDEX(UtilityList!M$4:M$251,MATCH('Table 2.5c'!$A109&amp;'Table 2.5c'!$B109,UtilityList!$A$4:$A$251&amp;UtilityList!$C$4:$C$251,0))</f>
        <v>YU</v>
      </c>
    </row>
    <row r="110" spans="1:13" s="63" customFormat="1" ht="60" x14ac:dyDescent="0.25">
      <c r="A110" s="352" t="s">
        <v>193</v>
      </c>
      <c r="B110" s="352"/>
      <c r="C110" s="711">
        <v>0.19726071941155365</v>
      </c>
      <c r="D110" s="711">
        <v>0</v>
      </c>
      <c r="E110" s="712">
        <v>0.19726071941155365</v>
      </c>
      <c r="F110" s="713">
        <v>0</v>
      </c>
      <c r="G110" s="685" t="s">
        <v>558</v>
      </c>
      <c r="H110" s="685" t="s">
        <v>581</v>
      </c>
      <c r="I110" s="709" t="str">
        <f t="array" ref="I110">INDEX(UtilityList!Q$4:Q$251,MATCH('Table 2.5c'!$A110&amp;'Table 2.5c'!$B110,UtilityList!$A$4:$A$251&amp;UtilityList!$C$4:$C$251,0))</f>
        <v>Generation from Bradley Lake is shared among Chugach, AML&amp;P, HEA, MEA, Seward Electric and GVEA</v>
      </c>
      <c r="J110" s="709" t="str">
        <f t="array" ref="J110">INDEX(UtilityList!J$4:J$251,MATCH('Table 2.5c'!$A110&amp;'Table 2.5c'!$B110,UtilityList!$A$4:$A$251&amp;UtilityList!$C$4:$C$251,0))</f>
        <v>Railbelt</v>
      </c>
      <c r="K110" s="709" t="str">
        <f t="array" ref="K110">INDEX(UtilityList!K$4:K$251,MATCH('Table 2.5c'!$A110&amp;'Table 2.5c'!$B110,UtilityList!$A$4:$A$251&amp;UtilityList!$C$4:$C$251,0))</f>
        <v>Anchorage</v>
      </c>
      <c r="L110" s="709" t="str">
        <f t="array" ref="L110">INDEX(UtilityList!L$4:L$251,MATCH('Table 2.5c'!$A110&amp;'Table 2.5c'!$B110,UtilityList!$A$4:$A$251&amp;UtilityList!$C$4:$C$251,0))</f>
        <v>Cook Inlet</v>
      </c>
      <c r="M110" s="709" t="str">
        <f t="array" ref="M110">INDEX(UtilityList!M$4:M$251,MATCH('Table 2.5c'!$A110&amp;'Table 2.5c'!$B110,UtilityList!$A$4:$A$251&amp;UtilityList!$C$4:$C$251,0))</f>
        <v>SC</v>
      </c>
    </row>
    <row r="111" spans="1:13" s="63" customFormat="1" x14ac:dyDescent="0.25">
      <c r="A111" s="710" t="s">
        <v>196</v>
      </c>
      <c r="B111" s="710" t="s">
        <v>197</v>
      </c>
      <c r="C111" s="711">
        <v>0.71</v>
      </c>
      <c r="D111" s="711">
        <v>0.50509166999999999</v>
      </c>
      <c r="E111" s="712">
        <v>0.20490832999999997</v>
      </c>
      <c r="F111" s="713">
        <v>0.71139671830985918</v>
      </c>
      <c r="G111" s="658" t="s">
        <v>356</v>
      </c>
      <c r="H111" s="622" t="s">
        <v>554</v>
      </c>
      <c r="I111" s="709">
        <f t="array" ref="I111">INDEX(UtilityList!Q$4:Q$251,MATCH('Table 2.5c'!$A111&amp;'Table 2.5c'!$B111,UtilityList!$A$4:$A$251&amp;UtilityList!$C$4:$C$251,0))</f>
        <v>0</v>
      </c>
      <c r="J111" s="709" t="str">
        <f t="array" ref="J111">INDEX(UtilityList!J$4:J$251,MATCH('Table 2.5c'!$A111&amp;'Table 2.5c'!$B111,UtilityList!$A$4:$A$251&amp;UtilityList!$C$4:$C$251,0))</f>
        <v>Yukon-Koyukuk/Upper Tanana</v>
      </c>
      <c r="K111" s="709" t="str">
        <f t="array" ref="K111">INDEX(UtilityList!K$4:K$251,MATCH('Table 2.5c'!$A111&amp;'Table 2.5c'!$B111,UtilityList!$A$4:$A$251&amp;UtilityList!$C$4:$C$251,0))</f>
        <v>Yukon-Koyukuk (CA)</v>
      </c>
      <c r="L111" s="709" t="str">
        <f t="array" ref="L111">INDEX(UtilityList!L$4:L$251,MATCH('Table 2.5c'!$A111&amp;'Table 2.5c'!$B111,UtilityList!$A$4:$A$251&amp;UtilityList!$C$4:$C$251,0))</f>
        <v>Doyon</v>
      </c>
      <c r="M111" s="709" t="str">
        <f t="array" ref="M111">INDEX(UtilityList!M$4:M$251,MATCH('Table 2.5c'!$A111&amp;'Table 2.5c'!$B111,UtilityList!$A$4:$A$251&amp;UtilityList!$C$4:$C$251,0))</f>
        <v>YU</v>
      </c>
    </row>
    <row r="112" spans="1:13" s="63" customFormat="1" x14ac:dyDescent="0.25">
      <c r="A112" s="710" t="s">
        <v>198</v>
      </c>
      <c r="B112" s="710" t="s">
        <v>199</v>
      </c>
      <c r="C112" s="711">
        <v>0.80300000000000005</v>
      </c>
      <c r="D112" s="711">
        <v>0.41439999999999999</v>
      </c>
      <c r="E112" s="712">
        <v>0.38860000000000006</v>
      </c>
      <c r="F112" s="713">
        <v>0.51606475716064748</v>
      </c>
      <c r="G112" s="658" t="s">
        <v>356</v>
      </c>
      <c r="H112" s="622" t="s">
        <v>554</v>
      </c>
      <c r="I112" s="709">
        <f t="array" ref="I112">INDEX(UtilityList!Q$4:Q$251,MATCH('Table 2.5c'!$A112&amp;'Table 2.5c'!$B112,UtilityList!$A$4:$A$251&amp;UtilityList!$C$4:$C$251,0))</f>
        <v>0</v>
      </c>
      <c r="J112" s="709" t="str">
        <f t="array" ref="J112">INDEX(UtilityList!J$4:J$251,MATCH('Table 2.5c'!$A112&amp;'Table 2.5c'!$B112,UtilityList!$A$4:$A$251&amp;UtilityList!$C$4:$C$251,0))</f>
        <v>Bristol Bay</v>
      </c>
      <c r="K112" s="709" t="str">
        <f t="array" ref="K112">INDEX(UtilityList!K$4:K$251,MATCH('Table 2.5c'!$A112&amp;'Table 2.5c'!$B112,UtilityList!$A$4:$A$251&amp;UtilityList!$C$4:$C$251,0))</f>
        <v>Lake and Peninsula</v>
      </c>
      <c r="L112" s="709" t="str">
        <f t="array" ref="L112">INDEX(UtilityList!L$4:L$251,MATCH('Table 2.5c'!$A112&amp;'Table 2.5c'!$B112,UtilityList!$A$4:$A$251&amp;UtilityList!$C$4:$C$251,0))</f>
        <v>Bristol Bay</v>
      </c>
      <c r="M112" s="709" t="str">
        <f t="array" ref="M112">INDEX(UtilityList!M$4:M$251,MATCH('Table 2.5c'!$A112&amp;'Table 2.5c'!$B112,UtilityList!$A$4:$A$251&amp;UtilityList!$C$4:$C$251,0))</f>
        <v>SW</v>
      </c>
    </row>
    <row r="113" spans="1:13" s="63" customFormat="1" ht="105" x14ac:dyDescent="0.25">
      <c r="A113" s="710" t="s">
        <v>200</v>
      </c>
      <c r="B113" s="710" t="s">
        <v>658</v>
      </c>
      <c r="C113" s="711">
        <v>0.59402500000000003</v>
      </c>
      <c r="D113" s="711">
        <v>0.26124999999999998</v>
      </c>
      <c r="E113" s="712">
        <v>0.33277500000000004</v>
      </c>
      <c r="F113" s="713">
        <v>0.43979630486932364</v>
      </c>
      <c r="G113" s="658" t="s">
        <v>356</v>
      </c>
      <c r="H113" s="622" t="s">
        <v>554</v>
      </c>
      <c r="I113" s="709" t="str">
        <f t="array" ref="I113">INDEX(UtilityList!Q$4:Q$251,MATCH('Table 2.5c'!$A113&amp;'Table 2.5c'!$B113,UtilityList!$A$4:$A$251&amp;UtilityList!$C$4:$C$251,0))</f>
        <v>Power produced at the Tazimina hydroelectric project and the Newhalen plant is shared by Iliamna, Newhalen and Nondalton. Newhalen's information is included in Nondalton's data.</v>
      </c>
      <c r="J113" s="709" t="str">
        <f t="array" ref="J113">INDEX(UtilityList!J$4:J$251,MATCH('Table 2.5c'!$A113&amp;'Table 2.5c'!$B113,UtilityList!$A$4:$A$251&amp;UtilityList!$C$4:$C$251,0))</f>
        <v>Bristol Bay</v>
      </c>
      <c r="K113" s="709" t="str">
        <f t="array" ref="K113">INDEX(UtilityList!K$4:K$251,MATCH('Table 2.5c'!$A113&amp;'Table 2.5c'!$B113,UtilityList!$A$4:$A$251&amp;UtilityList!$C$4:$C$251,0))</f>
        <v>Lake and Peninsula</v>
      </c>
      <c r="L113" s="709" t="str">
        <f t="array" ref="L113">INDEX(UtilityList!L$4:L$251,MATCH('Table 2.5c'!$A113&amp;'Table 2.5c'!$B113,UtilityList!$A$4:$A$251&amp;UtilityList!$C$4:$C$251,0))</f>
        <v>Bristol Bay</v>
      </c>
      <c r="M113" s="709" t="str">
        <f t="array" ref="M113">INDEX(UtilityList!M$4:M$251,MATCH('Table 2.5c'!$A113&amp;'Table 2.5c'!$B113,UtilityList!$A$4:$A$251&amp;UtilityList!$C$4:$C$251,0))</f>
        <v>SW</v>
      </c>
    </row>
    <row r="114" spans="1:13" s="63" customFormat="1" x14ac:dyDescent="0.25">
      <c r="A114" s="710" t="s">
        <v>201</v>
      </c>
      <c r="B114" s="710" t="s">
        <v>202</v>
      </c>
      <c r="C114" s="711">
        <v>0.62529999999999997</v>
      </c>
      <c r="D114" s="711">
        <v>0.39946667000000002</v>
      </c>
      <c r="E114" s="712">
        <v>0.22583332999999994</v>
      </c>
      <c r="F114" s="713">
        <v>0.63884002878618273</v>
      </c>
      <c r="G114" s="658" t="s">
        <v>356</v>
      </c>
      <c r="H114" s="622" t="s">
        <v>554</v>
      </c>
      <c r="I114" s="709">
        <f t="array" ref="I114">INDEX(UtilityList!Q$4:Q$251,MATCH('Table 2.5c'!$A114&amp;'Table 2.5c'!$B114,UtilityList!$A$4:$A$251&amp;UtilityList!$C$4:$C$251,0))</f>
        <v>0</v>
      </c>
      <c r="J114" s="709" t="str">
        <f t="array" ref="J114">INDEX(UtilityList!J$4:J$251,MATCH('Table 2.5c'!$A114&amp;'Table 2.5c'!$B114,UtilityList!$A$4:$A$251&amp;UtilityList!$C$4:$C$251,0))</f>
        <v>Southeast</v>
      </c>
      <c r="K114" s="709" t="str">
        <f t="array" ref="K114">INDEX(UtilityList!K$4:K$251,MATCH('Table 2.5c'!$A114&amp;'Table 2.5c'!$B114,UtilityList!$A$4:$A$251&amp;UtilityList!$C$4:$C$251,0))</f>
        <v>Hoonah-Angoon (CA)</v>
      </c>
      <c r="L114" s="709" t="str">
        <f t="array" ref="L114">INDEX(UtilityList!L$4:L$251,MATCH('Table 2.5c'!$A114&amp;'Table 2.5c'!$B114,UtilityList!$A$4:$A$251&amp;UtilityList!$C$4:$C$251,0))</f>
        <v>Sealaska</v>
      </c>
      <c r="M114" s="709" t="str">
        <f t="array" ref="M114">INDEX(UtilityList!M$4:M$251,MATCH('Table 2.5c'!$A114&amp;'Table 2.5c'!$B114,UtilityList!$A$4:$A$251&amp;UtilityList!$C$4:$C$251,0))</f>
        <v>SE</v>
      </c>
    </row>
    <row r="115" spans="1:13" s="63" customFormat="1" ht="45" x14ac:dyDescent="0.25">
      <c r="A115" s="710" t="s">
        <v>201</v>
      </c>
      <c r="B115" s="710" t="s">
        <v>203</v>
      </c>
      <c r="C115" s="711">
        <v>0.62075833000000002</v>
      </c>
      <c r="D115" s="711">
        <v>0.39946667000000002</v>
      </c>
      <c r="E115" s="712">
        <v>0.22129166</v>
      </c>
      <c r="F115" s="713">
        <v>0.64351399038012103</v>
      </c>
      <c r="G115" s="658" t="s">
        <v>356</v>
      </c>
      <c r="H115" s="622" t="s">
        <v>554</v>
      </c>
      <c r="I115" s="709" t="str">
        <f t="array" ref="I115">INDEX(UtilityList!Q$4:Q$251,MATCH('Table 2.5c'!$A115&amp;'Table 2.5c'!$B115,UtilityList!$A$4:$A$251&amp;UtilityList!$C$4:$C$251,0))</f>
        <v>Provides power to Klukwan via intertie. Power is purchased from AP&amp;T.</v>
      </c>
      <c r="J115" s="709" t="str">
        <f t="array" ref="J115">INDEX(UtilityList!J$4:J$251,MATCH('Table 2.5c'!$A115&amp;'Table 2.5c'!$B115,UtilityList!$A$4:$A$251&amp;UtilityList!$C$4:$C$251,0))</f>
        <v>Southeast</v>
      </c>
      <c r="K115" s="709" t="str">
        <f t="array" ref="K115">INDEX(UtilityList!K$4:K$251,MATCH('Table 2.5c'!$A115&amp;'Table 2.5c'!$B115,UtilityList!$A$4:$A$251&amp;UtilityList!$C$4:$C$251,0))</f>
        <v>Haines</v>
      </c>
      <c r="L115" s="709" t="str">
        <f t="array" ref="L115">INDEX(UtilityList!L$4:L$251,MATCH('Table 2.5c'!$A115&amp;'Table 2.5c'!$B115,UtilityList!$A$4:$A$251&amp;UtilityList!$C$4:$C$251,0))</f>
        <v>Sealaska</v>
      </c>
      <c r="M115" s="709" t="str">
        <f t="array" ref="M115">INDEX(UtilityList!M$4:M$251,MATCH('Table 2.5c'!$A115&amp;'Table 2.5c'!$B115,UtilityList!$A$4:$A$251&amp;UtilityList!$C$4:$C$251,0))</f>
        <v>SE</v>
      </c>
    </row>
    <row r="116" spans="1:13" s="63" customFormat="1" x14ac:dyDescent="0.25">
      <c r="A116" s="710" t="s">
        <v>201</v>
      </c>
      <c r="B116" s="710" t="s">
        <v>204</v>
      </c>
      <c r="C116" s="711">
        <v>0.62158332999999999</v>
      </c>
      <c r="D116" s="711">
        <v>0.39946667000000002</v>
      </c>
      <c r="E116" s="712">
        <v>0.22211665999999997</v>
      </c>
      <c r="F116" s="713">
        <v>0.64265988278675368</v>
      </c>
      <c r="G116" s="658" t="s">
        <v>356</v>
      </c>
      <c r="H116" s="622" t="s">
        <v>554</v>
      </c>
      <c r="I116" s="709">
        <f t="array" ref="I116">INDEX(UtilityList!Q$4:Q$251,MATCH('Table 2.5c'!$A116&amp;'Table 2.5c'!$B116,UtilityList!$A$4:$A$251&amp;UtilityList!$C$4:$C$251,0))</f>
        <v>0</v>
      </c>
      <c r="J116" s="709" t="str">
        <f t="array" ref="J116">INDEX(UtilityList!J$4:J$251,MATCH('Table 2.5c'!$A116&amp;'Table 2.5c'!$B116,UtilityList!$A$4:$A$251&amp;UtilityList!$C$4:$C$251,0))</f>
        <v>Southeast</v>
      </c>
      <c r="K116" s="709" t="str">
        <f t="array" ref="K116">INDEX(UtilityList!K$4:K$251,MATCH('Table 2.5c'!$A116&amp;'Table 2.5c'!$B116,UtilityList!$A$4:$A$251&amp;UtilityList!$C$4:$C$251,0))</f>
        <v>Hoonah-Angoon (CA)</v>
      </c>
      <c r="L116" s="709" t="str">
        <f t="array" ref="L116">INDEX(UtilityList!L$4:L$251,MATCH('Table 2.5c'!$A116&amp;'Table 2.5c'!$B116,UtilityList!$A$4:$A$251&amp;UtilityList!$C$4:$C$251,0))</f>
        <v>Sealaska</v>
      </c>
      <c r="M116" s="709" t="str">
        <f t="array" ref="M116">INDEX(UtilityList!M$4:M$251,MATCH('Table 2.5c'!$A116&amp;'Table 2.5c'!$B116,UtilityList!$A$4:$A$251&amp;UtilityList!$C$4:$C$251,0))</f>
        <v>SE</v>
      </c>
    </row>
    <row r="117" spans="1:13" s="63" customFormat="1" x14ac:dyDescent="0.25">
      <c r="A117" s="710" t="s">
        <v>201</v>
      </c>
      <c r="B117" s="710" t="s">
        <v>205</v>
      </c>
      <c r="C117" s="711">
        <v>0.62041667</v>
      </c>
      <c r="D117" s="711">
        <v>0.39946667000000002</v>
      </c>
      <c r="E117" s="712">
        <v>0.22094999999999998</v>
      </c>
      <c r="F117" s="713">
        <v>0.64386836994563668</v>
      </c>
      <c r="G117" s="658" t="s">
        <v>356</v>
      </c>
      <c r="H117" s="622" t="s">
        <v>554</v>
      </c>
      <c r="I117" s="709">
        <f t="array" ref="I117">INDEX(UtilityList!Q$4:Q$251,MATCH('Table 2.5c'!$A117&amp;'Table 2.5c'!$B117,UtilityList!$A$4:$A$251&amp;UtilityList!$C$4:$C$251,0))</f>
        <v>0</v>
      </c>
      <c r="J117" s="709" t="str">
        <f t="array" ref="J117">INDEX(UtilityList!J$4:J$251,MATCH('Table 2.5c'!$A117&amp;'Table 2.5c'!$B117,UtilityList!$A$4:$A$251&amp;UtilityList!$C$4:$C$251,0))</f>
        <v>Southeast</v>
      </c>
      <c r="K117" s="709" t="str">
        <f t="array" ref="K117">INDEX(UtilityList!K$4:K$251,MATCH('Table 2.5c'!$A117&amp;'Table 2.5c'!$B117,UtilityList!$A$4:$A$251&amp;UtilityList!$C$4:$C$251,0))</f>
        <v>Petersburg (CA)</v>
      </c>
      <c r="L117" s="709" t="str">
        <f t="array" ref="L117">INDEX(UtilityList!L$4:L$251,MATCH('Table 2.5c'!$A117&amp;'Table 2.5c'!$B117,UtilityList!$A$4:$A$251&amp;UtilityList!$C$4:$C$251,0))</f>
        <v>Sealaska</v>
      </c>
      <c r="M117" s="709" t="str">
        <f t="array" ref="M117">INDEX(UtilityList!M$4:M$251,MATCH('Table 2.5c'!$A117&amp;'Table 2.5c'!$B117,UtilityList!$A$4:$A$251&amp;UtilityList!$C$4:$C$251,0))</f>
        <v>SE</v>
      </c>
    </row>
    <row r="118" spans="1:13" s="63" customFormat="1" ht="60" x14ac:dyDescent="0.25">
      <c r="A118" s="710" t="s">
        <v>201</v>
      </c>
      <c r="B118" s="710" t="s">
        <v>206</v>
      </c>
      <c r="C118" s="711">
        <v>0.62294167</v>
      </c>
      <c r="D118" s="711">
        <v>0.39946667000000002</v>
      </c>
      <c r="E118" s="712">
        <v>0.22347499999999998</v>
      </c>
      <c r="F118" s="713">
        <v>0.64125854672717597</v>
      </c>
      <c r="G118" s="658" t="s">
        <v>356</v>
      </c>
      <c r="H118" s="622" t="s">
        <v>554</v>
      </c>
      <c r="I118" s="709" t="str">
        <f t="array" ref="I118">INDEX(UtilityList!Q$4:Q$251,MATCH('Table 2.5c'!$A118&amp;'Table 2.5c'!$B118,UtilityList!$A$4:$A$251&amp;UtilityList!$C$4:$C$251,0))</f>
        <v>Receives power from Chilkat Valley via intertie. Chilkat Valley purchases power from AP&amp;T.</v>
      </c>
      <c r="J118" s="709" t="str">
        <f t="array" ref="J118">INDEX(UtilityList!J$4:J$251,MATCH('Table 2.5c'!$A118&amp;'Table 2.5c'!$B118,UtilityList!$A$4:$A$251&amp;UtilityList!$C$4:$C$251,0))</f>
        <v>Southeast</v>
      </c>
      <c r="K118" s="709" t="str">
        <f t="array" ref="K118">INDEX(UtilityList!K$4:K$251,MATCH('Table 2.5c'!$A118&amp;'Table 2.5c'!$B118,UtilityList!$A$4:$A$251&amp;UtilityList!$C$4:$C$251,0))</f>
        <v>Hoonah-Angoon (CA)</v>
      </c>
      <c r="L118" s="709" t="str">
        <f t="array" ref="L118">INDEX(UtilityList!L$4:L$251,MATCH('Table 2.5c'!$A118&amp;'Table 2.5c'!$B118,UtilityList!$A$4:$A$251&amp;UtilityList!$C$4:$C$251,0))</f>
        <v>Sealaska</v>
      </c>
      <c r="M118" s="709" t="str">
        <f t="array" ref="M118">INDEX(UtilityList!M$4:M$251,MATCH('Table 2.5c'!$A118&amp;'Table 2.5c'!$B118,UtilityList!$A$4:$A$251&amp;UtilityList!$C$4:$C$251,0))</f>
        <v>SE</v>
      </c>
    </row>
    <row r="119" spans="1:13" s="63" customFormat="1" x14ac:dyDescent="0.25">
      <c r="A119" s="352" t="s">
        <v>209</v>
      </c>
      <c r="B119" s="352" t="s">
        <v>211</v>
      </c>
      <c r="C119" s="711">
        <v>0.10201</v>
      </c>
      <c r="D119" s="711">
        <v>0</v>
      </c>
      <c r="E119" s="712">
        <v>0.10201</v>
      </c>
      <c r="F119" s="713">
        <v>0</v>
      </c>
      <c r="G119" s="685" t="s">
        <v>558</v>
      </c>
      <c r="H119" s="685" t="s">
        <v>581</v>
      </c>
      <c r="I119" s="709">
        <f t="array" ref="I119">INDEX(UtilityList!Q$4:Q$251,MATCH('Table 2.5c'!$A119&amp;'Table 2.5c'!$B119,UtilityList!$A$4:$A$251&amp;UtilityList!$C$4:$C$251,0))</f>
        <v>0</v>
      </c>
      <c r="J119" s="709" t="str">
        <f t="array" ref="J119">INDEX(UtilityList!J$4:J$251,MATCH('Table 2.5c'!$A119&amp;'Table 2.5c'!$B119,UtilityList!$A$4:$A$251&amp;UtilityList!$C$4:$C$251,0))</f>
        <v>Southeast</v>
      </c>
      <c r="K119" s="709" t="str">
        <f t="array" ref="K119">INDEX(UtilityList!K$4:K$251,MATCH('Table 2.5c'!$A119&amp;'Table 2.5c'!$B119,UtilityList!$A$4:$A$251&amp;UtilityList!$C$4:$C$251,0))</f>
        <v>Ketchikan Gateway</v>
      </c>
      <c r="L119" s="709" t="str">
        <f t="array" ref="L119">INDEX(UtilityList!L$4:L$251,MATCH('Table 2.5c'!$A119&amp;'Table 2.5c'!$B119,UtilityList!$A$4:$A$251&amp;UtilityList!$C$4:$C$251,0))</f>
        <v>Sealaska</v>
      </c>
      <c r="M119" s="709" t="str">
        <f t="array" ref="M119">INDEX(UtilityList!M$4:M$251,MATCH('Table 2.5c'!$A119&amp;'Table 2.5c'!$B119,UtilityList!$A$4:$A$251&amp;UtilityList!$C$4:$C$251,0))</f>
        <v>SE</v>
      </c>
    </row>
    <row r="120" spans="1:13" s="63" customFormat="1" x14ac:dyDescent="0.25">
      <c r="A120" s="710" t="s">
        <v>215</v>
      </c>
      <c r="B120" s="710" t="s">
        <v>216</v>
      </c>
      <c r="C120" s="711">
        <v>0.28012500000000001</v>
      </c>
      <c r="D120" s="711">
        <v>0.12025833</v>
      </c>
      <c r="E120" s="712">
        <v>0.15986667000000002</v>
      </c>
      <c r="F120" s="713">
        <v>0.4293023828647925</v>
      </c>
      <c r="G120" s="658" t="s">
        <v>356</v>
      </c>
      <c r="H120" s="622" t="s">
        <v>554</v>
      </c>
      <c r="I120" s="709">
        <f t="array" ref="I120">INDEX(UtilityList!Q$4:Q$251,MATCH('Table 2.5c'!$A120&amp;'Table 2.5c'!$B120,UtilityList!$A$4:$A$251&amp;UtilityList!$C$4:$C$251,0))</f>
        <v>0</v>
      </c>
      <c r="J120" s="709" t="str">
        <f t="array" ref="J120">INDEX(UtilityList!J$4:J$251,MATCH('Table 2.5c'!$A120&amp;'Table 2.5c'!$B120,UtilityList!$A$4:$A$251&amp;UtilityList!$C$4:$C$251,0))</f>
        <v>Aleutians</v>
      </c>
      <c r="K120" s="709" t="str">
        <f t="array" ref="K120">INDEX(UtilityList!K$4:K$251,MATCH('Table 2.5c'!$A120&amp;'Table 2.5c'!$B120,UtilityList!$A$4:$A$251&amp;UtilityList!$C$4:$C$251,0))</f>
        <v>Aleutians East</v>
      </c>
      <c r="L120" s="709" t="str">
        <f t="array" ref="L120">INDEX(UtilityList!L$4:L$251,MATCH('Table 2.5c'!$A120&amp;'Table 2.5c'!$B120,UtilityList!$A$4:$A$251&amp;UtilityList!$C$4:$C$251,0))</f>
        <v>Aleut</v>
      </c>
      <c r="M120" s="709" t="str">
        <f t="array" ref="M120">INDEX(UtilityList!M$4:M$251,MATCH('Table 2.5c'!$A120&amp;'Table 2.5c'!$B120,UtilityList!$A$4:$A$251&amp;UtilityList!$C$4:$C$251,0))</f>
        <v>SW</v>
      </c>
    </row>
    <row r="121" spans="1:13" s="63" customFormat="1" x14ac:dyDescent="0.25">
      <c r="A121" s="710" t="s">
        <v>217</v>
      </c>
      <c r="B121" s="710" t="s">
        <v>218</v>
      </c>
      <c r="C121" s="711">
        <v>0.57383333000000003</v>
      </c>
      <c r="D121" s="711">
        <v>0.31459166999999999</v>
      </c>
      <c r="E121" s="712">
        <v>0.25924166000000004</v>
      </c>
      <c r="F121" s="713">
        <v>0.54822829827608655</v>
      </c>
      <c r="G121" s="658" t="s">
        <v>356</v>
      </c>
      <c r="H121" s="622" t="s">
        <v>554</v>
      </c>
      <c r="I121" s="709">
        <f t="array" ref="I121">INDEX(UtilityList!Q$4:Q$251,MATCH('Table 2.5c'!$A121&amp;'Table 2.5c'!$B121,UtilityList!$A$4:$A$251&amp;UtilityList!$C$4:$C$251,0))</f>
        <v>0</v>
      </c>
      <c r="J121" s="709" t="str">
        <f t="array" ref="J121">INDEX(UtilityList!J$4:J$251,MATCH('Table 2.5c'!$A121&amp;'Table 2.5c'!$B121,UtilityList!$A$4:$A$251&amp;UtilityList!$C$4:$C$251,0))</f>
        <v>Lower Yukon-Kuskokwim</v>
      </c>
      <c r="K121" s="709" t="str">
        <f t="array" ref="K121">INDEX(UtilityList!K$4:K$251,MATCH('Table 2.5c'!$A121&amp;'Table 2.5c'!$B121,UtilityList!$A$4:$A$251&amp;UtilityList!$C$4:$C$251,0))</f>
        <v>Bethel (CA)</v>
      </c>
      <c r="L121" s="709" t="str">
        <f t="array" ref="L121">INDEX(UtilityList!L$4:L$251,MATCH('Table 2.5c'!$A121&amp;'Table 2.5c'!$B121,UtilityList!$A$4:$A$251&amp;UtilityList!$C$4:$C$251,0))</f>
        <v>Calista</v>
      </c>
      <c r="M121" s="709" t="str">
        <f t="array" ref="M121">INDEX(UtilityList!M$4:M$251,MATCH('Table 2.5c'!$A121&amp;'Table 2.5c'!$B121,UtilityList!$A$4:$A$251&amp;UtilityList!$C$4:$C$251,0))</f>
        <v>SW</v>
      </c>
    </row>
    <row r="122" spans="1:13" s="63" customFormat="1" ht="75" x14ac:dyDescent="0.25">
      <c r="A122" s="710" t="s">
        <v>219</v>
      </c>
      <c r="B122" s="710" t="s">
        <v>220</v>
      </c>
      <c r="C122" s="711">
        <v>0.87</v>
      </c>
      <c r="D122" s="711">
        <v>0.48177500000000001</v>
      </c>
      <c r="E122" s="712">
        <v>0.38822499999999999</v>
      </c>
      <c r="F122" s="713">
        <v>0.55376436781609195</v>
      </c>
      <c r="G122" s="658" t="s">
        <v>356</v>
      </c>
      <c r="H122" s="622" t="s">
        <v>554</v>
      </c>
      <c r="I122" s="709" t="str">
        <f t="array" ref="I122">INDEX(UtilityList!Q$4:Q$251,MATCH('Table 2.5c'!$A122&amp;'Table 2.5c'!$B122,UtilityList!$A$4:$A$251&amp;UtilityList!$C$4:$C$251,0))</f>
        <v>Receives power from Shungnak via intertie. For fuel use and cost, please refer to Shungnak. On July 1, 2012, AVEC took over operations in Kobuk.</v>
      </c>
      <c r="J122" s="709" t="str">
        <f t="array" ref="J122">INDEX(UtilityList!J$4:J$251,MATCH('Table 2.5c'!$A122&amp;'Table 2.5c'!$B122,UtilityList!$A$4:$A$251&amp;UtilityList!$C$4:$C$251,0))</f>
        <v>Northwest Arctic</v>
      </c>
      <c r="K122" s="709" t="str">
        <f t="array" ref="K122">INDEX(UtilityList!K$4:K$251,MATCH('Table 2.5c'!$A122&amp;'Table 2.5c'!$B122,UtilityList!$A$4:$A$251&amp;UtilityList!$C$4:$C$251,0))</f>
        <v>Northwest Arctic</v>
      </c>
      <c r="L122" s="709" t="str">
        <f t="array" ref="L122">INDEX(UtilityList!L$4:L$251,MATCH('Table 2.5c'!$A122&amp;'Table 2.5c'!$B122,UtilityList!$A$4:$A$251&amp;UtilityList!$C$4:$C$251,0))</f>
        <v>NANA</v>
      </c>
      <c r="M122" s="709" t="str">
        <f t="array" ref="M122">INDEX(UtilityList!M$4:M$251,MATCH('Table 2.5c'!$A122&amp;'Table 2.5c'!$B122,UtilityList!$A$4:$A$251&amp;UtilityList!$C$4:$C$251,0))</f>
        <v>AN</v>
      </c>
    </row>
    <row r="123" spans="1:13" s="63" customFormat="1" x14ac:dyDescent="0.25">
      <c r="A123" s="352" t="s">
        <v>221</v>
      </c>
      <c r="B123" s="352" t="s">
        <v>222</v>
      </c>
      <c r="C123" s="711">
        <v>0.19027000000000002</v>
      </c>
      <c r="D123" s="711">
        <v>0</v>
      </c>
      <c r="E123" s="712">
        <v>0.19027000000000002</v>
      </c>
      <c r="F123" s="713">
        <v>0</v>
      </c>
      <c r="G123" s="685" t="s">
        <v>558</v>
      </c>
      <c r="H123" s="685" t="s">
        <v>581</v>
      </c>
      <c r="I123" s="709">
        <f t="array" ref="I123">INDEX(UtilityList!Q$4:Q$251,MATCH('Table 2.5c'!$A123&amp;'Table 2.5c'!$B123,UtilityList!$A$4:$A$251&amp;UtilityList!$C$4:$C$251,0))</f>
        <v>0</v>
      </c>
      <c r="J123" s="709" t="str">
        <f t="array" ref="J123">INDEX(UtilityList!J$4:J$251,MATCH('Table 2.5c'!$A123&amp;'Table 2.5c'!$B123,UtilityList!$A$4:$A$251&amp;UtilityList!$C$4:$C$251,0))</f>
        <v>Kodiak</v>
      </c>
      <c r="K123" s="709" t="str">
        <f t="array" ref="K123">INDEX(UtilityList!K$4:K$251,MATCH('Table 2.5c'!$A123&amp;'Table 2.5c'!$B123,UtilityList!$A$4:$A$251&amp;UtilityList!$C$4:$C$251,0))</f>
        <v>Kodiak Island</v>
      </c>
      <c r="L123" s="709" t="str">
        <f t="array" ref="L123">INDEX(UtilityList!L$4:L$251,MATCH('Table 2.5c'!$A123&amp;'Table 2.5c'!$B123,UtilityList!$A$4:$A$251&amp;UtilityList!$C$4:$C$251,0))</f>
        <v>Koniag</v>
      </c>
      <c r="M123" s="709" t="str">
        <f t="array" ref="M123">INDEX(UtilityList!M$4:M$251,MATCH('Table 2.5c'!$A123&amp;'Table 2.5c'!$B123,UtilityList!$A$4:$A$251&amp;UtilityList!$C$4:$C$251,0))</f>
        <v>SC</v>
      </c>
    </row>
    <row r="124" spans="1:13" s="63" customFormat="1" x14ac:dyDescent="0.25">
      <c r="A124" s="710" t="s">
        <v>227</v>
      </c>
      <c r="B124" s="710" t="s">
        <v>228</v>
      </c>
      <c r="C124" s="711">
        <v>0.9</v>
      </c>
      <c r="D124" s="711">
        <v>0.52652500000000002</v>
      </c>
      <c r="E124" s="712">
        <v>0.373475</v>
      </c>
      <c r="F124" s="713">
        <v>0.58502777777777781</v>
      </c>
      <c r="G124" s="658" t="s">
        <v>356</v>
      </c>
      <c r="H124" s="622" t="s">
        <v>554</v>
      </c>
      <c r="I124" s="709">
        <f t="array" ref="I124">INDEX(UtilityList!Q$4:Q$251,MATCH('Table 2.5c'!$A124&amp;'Table 2.5c'!$B124,UtilityList!$A$4:$A$251&amp;UtilityList!$C$4:$C$251,0))</f>
        <v>0</v>
      </c>
      <c r="J124" s="709" t="str">
        <f t="array" ref="J124">INDEX(UtilityList!J$4:J$251,MATCH('Table 2.5c'!$A124&amp;'Table 2.5c'!$B124,UtilityList!$A$4:$A$251&amp;UtilityList!$C$4:$C$251,0))</f>
        <v>Bristol Bay</v>
      </c>
      <c r="K124" s="709" t="str">
        <f t="array" ref="K124">INDEX(UtilityList!K$4:K$251,MATCH('Table 2.5c'!$A124&amp;'Table 2.5c'!$B124,UtilityList!$A$4:$A$251&amp;UtilityList!$C$4:$C$251,0))</f>
        <v>Lake and Peninsula</v>
      </c>
      <c r="L124" s="709" t="str">
        <f t="array" ref="L124">INDEX(UtilityList!L$4:L$251,MATCH('Table 2.5c'!$A124&amp;'Table 2.5c'!$B124,UtilityList!$A$4:$A$251&amp;UtilityList!$C$4:$C$251,0))</f>
        <v>Bristol Bay</v>
      </c>
      <c r="M124" s="709" t="str">
        <f t="array" ref="M124">INDEX(UtilityList!M$4:M$251,MATCH('Table 2.5c'!$A124&amp;'Table 2.5c'!$B124,UtilityList!$A$4:$A$251&amp;UtilityList!$C$4:$C$251,0))</f>
        <v>SW</v>
      </c>
    </row>
    <row r="125" spans="1:13" s="63" customFormat="1" x14ac:dyDescent="0.25">
      <c r="A125" s="710" t="s">
        <v>229</v>
      </c>
      <c r="B125" s="710" t="s">
        <v>230</v>
      </c>
      <c r="C125" s="711">
        <v>0.41756666999999997</v>
      </c>
      <c r="D125" s="711">
        <v>0.26684999999999998</v>
      </c>
      <c r="E125" s="712">
        <v>0.15071667</v>
      </c>
      <c r="F125" s="713">
        <v>0.63905962609515743</v>
      </c>
      <c r="G125" s="658" t="s">
        <v>356</v>
      </c>
      <c r="H125" s="622" t="s">
        <v>554</v>
      </c>
      <c r="I125" s="709">
        <f t="array" ref="I125">INDEX(UtilityList!Q$4:Q$251,MATCH('Table 2.5c'!$A125&amp;'Table 2.5c'!$B125,UtilityList!$A$4:$A$251&amp;UtilityList!$C$4:$C$251,0))</f>
        <v>0</v>
      </c>
      <c r="J125" s="709" t="str">
        <f t="array" ref="J125">INDEX(UtilityList!J$4:J$251,MATCH('Table 2.5c'!$A125&amp;'Table 2.5c'!$B125,UtilityList!$A$4:$A$251&amp;UtilityList!$C$4:$C$251,0))</f>
        <v>Northwest Arctic</v>
      </c>
      <c r="K125" s="709" t="str">
        <f t="array" ref="K125">INDEX(UtilityList!K$4:K$251,MATCH('Table 2.5c'!$A125&amp;'Table 2.5c'!$B125,UtilityList!$A$4:$A$251&amp;UtilityList!$C$4:$C$251,0))</f>
        <v>Northwest Arctic</v>
      </c>
      <c r="L125" s="709" t="str">
        <f t="array" ref="L125">INDEX(UtilityList!L$4:L$251,MATCH('Table 2.5c'!$A125&amp;'Table 2.5c'!$B125,UtilityList!$A$4:$A$251&amp;UtilityList!$C$4:$C$251,0))</f>
        <v>NANA</v>
      </c>
      <c r="M125" s="709" t="str">
        <f t="array" ref="M125">INDEX(UtilityList!M$4:M$251,MATCH('Table 2.5c'!$A125&amp;'Table 2.5c'!$B125,UtilityList!$A$4:$A$251&amp;UtilityList!$C$4:$C$251,0))</f>
        <v>AN</v>
      </c>
    </row>
    <row r="126" spans="1:13" s="63" customFormat="1" x14ac:dyDescent="0.25">
      <c r="A126" s="710" t="s">
        <v>231</v>
      </c>
      <c r="B126" s="710" t="s">
        <v>232</v>
      </c>
      <c r="C126" s="711">
        <v>0.49166666999999997</v>
      </c>
      <c r="D126" s="711">
        <v>0.25533333000000002</v>
      </c>
      <c r="E126" s="712">
        <v>0.23633333999999995</v>
      </c>
      <c r="F126" s="713">
        <v>0.51932202359781687</v>
      </c>
      <c r="G126" s="658" t="s">
        <v>356</v>
      </c>
      <c r="H126" s="622" t="s">
        <v>554</v>
      </c>
      <c r="I126" s="709">
        <f t="array" ref="I126">INDEX(UtilityList!Q$4:Q$251,MATCH('Table 2.5c'!$A126&amp;'Table 2.5c'!$B126,UtilityList!$A$4:$A$251&amp;UtilityList!$C$4:$C$251,0))</f>
        <v>0</v>
      </c>
      <c r="J126" s="709" t="str">
        <f t="array" ref="J126">INDEX(UtilityList!J$4:J$251,MATCH('Table 2.5c'!$A126&amp;'Table 2.5c'!$B126,UtilityList!$A$4:$A$251&amp;UtilityList!$C$4:$C$251,0))</f>
        <v>Yukon-Koyukuk/Upper Tanana</v>
      </c>
      <c r="K126" s="709" t="str">
        <f t="array" ref="K126">INDEX(UtilityList!K$4:K$251,MATCH('Table 2.5c'!$A126&amp;'Table 2.5c'!$B126,UtilityList!$A$4:$A$251&amp;UtilityList!$C$4:$C$251,0))</f>
        <v>Yukon-Koyukuk (CA)</v>
      </c>
      <c r="L126" s="709" t="str">
        <f t="array" ref="L126">INDEX(UtilityList!L$4:L$251,MATCH('Table 2.5c'!$A126&amp;'Table 2.5c'!$B126,UtilityList!$A$4:$A$251&amp;UtilityList!$C$4:$C$251,0))</f>
        <v>Doyon</v>
      </c>
      <c r="M126" s="709" t="str">
        <f t="array" ref="M126">INDEX(UtilityList!M$4:M$251,MATCH('Table 2.5c'!$A126&amp;'Table 2.5c'!$B126,UtilityList!$A$4:$A$251&amp;UtilityList!$C$4:$C$251,0))</f>
        <v>YU</v>
      </c>
    </row>
    <row r="127" spans="1:13" s="63" customFormat="1" x14ac:dyDescent="0.25">
      <c r="A127" s="710" t="s">
        <v>233</v>
      </c>
      <c r="B127" s="710" t="s">
        <v>234</v>
      </c>
      <c r="C127" s="711">
        <v>0.52</v>
      </c>
      <c r="D127" s="711">
        <v>0.2742</v>
      </c>
      <c r="E127" s="712">
        <v>0.24580000000000002</v>
      </c>
      <c r="F127" s="713">
        <v>0.52730769230769226</v>
      </c>
      <c r="G127" s="658" t="s">
        <v>356</v>
      </c>
      <c r="H127" s="622" t="s">
        <v>554</v>
      </c>
      <c r="I127" s="709">
        <f t="array" ref="I127">INDEX(UtilityList!Q$4:Q$251,MATCH('Table 2.5c'!$A127&amp;'Table 2.5c'!$B127,UtilityList!$A$4:$A$251&amp;UtilityList!$C$4:$C$251,0))</f>
        <v>0</v>
      </c>
      <c r="J127" s="709" t="str">
        <f t="array" ref="J127">INDEX(UtilityList!J$4:J$251,MATCH('Table 2.5c'!$A127&amp;'Table 2.5c'!$B127,UtilityList!$A$4:$A$251&amp;UtilityList!$C$4:$C$251,0))</f>
        <v>Lower Yukon-Kuskokwim</v>
      </c>
      <c r="K127" s="709" t="str">
        <f t="array" ref="K127">INDEX(UtilityList!K$4:K$251,MATCH('Table 2.5c'!$A127&amp;'Table 2.5c'!$B127,UtilityList!$A$4:$A$251&amp;UtilityList!$C$4:$C$251,0))</f>
        <v>Bethel (CA)</v>
      </c>
      <c r="L127" s="709" t="str">
        <f t="array" ref="L127">INDEX(UtilityList!L$4:L$251,MATCH('Table 2.5c'!$A127&amp;'Table 2.5c'!$B127,UtilityList!$A$4:$A$251&amp;UtilityList!$C$4:$C$251,0))</f>
        <v>Calista</v>
      </c>
      <c r="M127" s="709" t="str">
        <f t="array" ref="M127">INDEX(UtilityList!M$4:M$251,MATCH('Table 2.5c'!$A127&amp;'Table 2.5c'!$B127,UtilityList!$A$4:$A$251&amp;UtilityList!$C$4:$C$251,0))</f>
        <v>SW</v>
      </c>
    </row>
    <row r="128" spans="1:13" s="63" customFormat="1" x14ac:dyDescent="0.25">
      <c r="A128" s="710" t="s">
        <v>641</v>
      </c>
      <c r="B128" s="710" t="s">
        <v>235</v>
      </c>
      <c r="C128" s="711">
        <v>0.59750000000000003</v>
      </c>
      <c r="D128" s="711">
        <v>0.39340000000000003</v>
      </c>
      <c r="E128" s="712">
        <v>0.2041</v>
      </c>
      <c r="F128" s="713">
        <v>0.65841004184100416</v>
      </c>
      <c r="G128" s="658" t="s">
        <v>356</v>
      </c>
      <c r="H128" s="622" t="s">
        <v>554</v>
      </c>
      <c r="I128" s="709">
        <f t="array" ref="I128">INDEX(UtilityList!Q$4:Q$251,MATCH('Table 2.5c'!$A128&amp;'Table 2.5c'!$B128,UtilityList!$A$4:$A$251&amp;UtilityList!$C$4:$C$251,0))</f>
        <v>0</v>
      </c>
      <c r="J128" s="709" t="str">
        <f t="array" ref="J128">INDEX(UtilityList!J$4:J$251,MATCH('Table 2.5c'!$A128&amp;'Table 2.5c'!$B128,UtilityList!$A$4:$A$251&amp;UtilityList!$C$4:$C$251,0))</f>
        <v>Lower Yukon-Kuskokwim</v>
      </c>
      <c r="K128" s="709" t="str">
        <f t="array" ref="K128">INDEX(UtilityList!K$4:K$251,MATCH('Table 2.5c'!$A128&amp;'Table 2.5c'!$B128,UtilityList!$A$4:$A$251&amp;UtilityList!$C$4:$C$251,0))</f>
        <v>Bethel (CA)</v>
      </c>
      <c r="L128" s="709" t="str">
        <f t="array" ref="L128">INDEX(UtilityList!L$4:L$251,MATCH('Table 2.5c'!$A128&amp;'Table 2.5c'!$B128,UtilityList!$A$4:$A$251&amp;UtilityList!$C$4:$C$251,0))</f>
        <v>Calista</v>
      </c>
      <c r="M128" s="709" t="str">
        <f t="array" ref="M128">INDEX(UtilityList!M$4:M$251,MATCH('Table 2.5c'!$A128&amp;'Table 2.5c'!$B128,UtilityList!$A$4:$A$251&amp;UtilityList!$C$4:$C$251,0))</f>
        <v>SW</v>
      </c>
    </row>
    <row r="129" spans="1:13" s="63" customFormat="1" x14ac:dyDescent="0.25">
      <c r="A129" s="710" t="s">
        <v>236</v>
      </c>
      <c r="B129" s="710" t="s">
        <v>237</v>
      </c>
      <c r="C129" s="711">
        <v>0.41499999999999998</v>
      </c>
      <c r="D129" s="711">
        <v>0.1041</v>
      </c>
      <c r="E129" s="712">
        <v>0.31089999999999995</v>
      </c>
      <c r="F129" s="713">
        <v>0.2508433734939759</v>
      </c>
      <c r="G129" s="658" t="s">
        <v>356</v>
      </c>
      <c r="H129" s="622" t="s">
        <v>554</v>
      </c>
      <c r="I129" s="709">
        <f t="array" ref="I129">INDEX(UtilityList!Q$4:Q$251,MATCH('Table 2.5c'!$A129&amp;'Table 2.5c'!$B129,UtilityList!$A$4:$A$251&amp;UtilityList!$C$4:$C$251,0))</f>
        <v>0</v>
      </c>
      <c r="J129" s="709" t="str">
        <f t="array" ref="J129">INDEX(UtilityList!J$4:J$251,MATCH('Table 2.5c'!$A129&amp;'Table 2.5c'!$B129,UtilityList!$A$4:$A$251&amp;UtilityList!$C$4:$C$251,0))</f>
        <v>Kodiak</v>
      </c>
      <c r="K129" s="709" t="str">
        <f t="array" ref="K129">INDEX(UtilityList!K$4:K$251,MATCH('Table 2.5c'!$A129&amp;'Table 2.5c'!$B129,UtilityList!$A$4:$A$251&amp;UtilityList!$C$4:$C$251,0))</f>
        <v>Kodiak Island</v>
      </c>
      <c r="L129" s="709" t="str">
        <f t="array" ref="L129">INDEX(UtilityList!L$4:L$251,MATCH('Table 2.5c'!$A129&amp;'Table 2.5c'!$B129,UtilityList!$A$4:$A$251&amp;UtilityList!$C$4:$C$251,0))</f>
        <v>Koniag</v>
      </c>
      <c r="M129" s="709" t="str">
        <f t="array" ref="M129">INDEX(UtilityList!M$4:M$251,MATCH('Table 2.5c'!$A129&amp;'Table 2.5c'!$B129,UtilityList!$A$4:$A$251&amp;UtilityList!$C$4:$C$251,0))</f>
        <v>SC</v>
      </c>
    </row>
    <row r="130" spans="1:13" s="126" customFormat="1" x14ac:dyDescent="0.25">
      <c r="A130" s="710" t="s">
        <v>238</v>
      </c>
      <c r="B130" s="710" t="s">
        <v>239</v>
      </c>
      <c r="C130" s="711">
        <v>0.7</v>
      </c>
      <c r="D130" s="711">
        <v>0.39930832999999999</v>
      </c>
      <c r="E130" s="712">
        <v>0.30069166999999997</v>
      </c>
      <c r="F130" s="713">
        <v>0.57044047142857146</v>
      </c>
      <c r="G130" s="658" t="s">
        <v>356</v>
      </c>
      <c r="H130" s="622" t="s">
        <v>554</v>
      </c>
      <c r="I130" s="709">
        <f t="array" ref="I130">INDEX(UtilityList!Q$4:Q$251,MATCH('Table 2.5c'!$A130&amp;'Table 2.5c'!$B130,UtilityList!$A$4:$A$251&amp;UtilityList!$C$4:$C$251,0))</f>
        <v>0</v>
      </c>
      <c r="J130" s="709" t="str">
        <f t="array" ref="J130">INDEX(UtilityList!J$4:J$251,MATCH('Table 2.5c'!$A130&amp;'Table 2.5c'!$B130,UtilityList!$A$4:$A$251&amp;UtilityList!$C$4:$C$251,0))</f>
        <v>Bristol Bay</v>
      </c>
      <c r="K130" s="709" t="str">
        <f t="array" ref="K130">INDEX(UtilityList!K$4:K$251,MATCH('Table 2.5c'!$A130&amp;'Table 2.5c'!$B130,UtilityList!$A$4:$A$251&amp;UtilityList!$C$4:$C$251,0))</f>
        <v>Lake and Peninsula</v>
      </c>
      <c r="L130" s="709" t="str">
        <f t="array" ref="L130">INDEX(UtilityList!L$4:L$251,MATCH('Table 2.5c'!$A130&amp;'Table 2.5c'!$B130,UtilityList!$A$4:$A$251&amp;UtilityList!$C$4:$C$251,0))</f>
        <v>Bristol Bay</v>
      </c>
      <c r="M130" s="709" t="str">
        <f t="array" ref="M130">INDEX(UtilityList!M$4:M$251,MATCH('Table 2.5c'!$A130&amp;'Table 2.5c'!$B130,UtilityList!$A$4:$A$251&amp;UtilityList!$C$4:$C$251,0))</f>
        <v>SW</v>
      </c>
    </row>
    <row r="131" spans="1:13" s="63" customFormat="1" x14ac:dyDescent="0.25">
      <c r="A131" s="710" t="s">
        <v>242</v>
      </c>
      <c r="B131" s="710" t="s">
        <v>243</v>
      </c>
      <c r="C131" s="711">
        <v>0.55000000000000004</v>
      </c>
      <c r="D131" s="711">
        <v>0.28505833000000003</v>
      </c>
      <c r="E131" s="712">
        <v>0.26494167000000002</v>
      </c>
      <c r="F131" s="713">
        <v>0.51828787272727272</v>
      </c>
      <c r="G131" s="658" t="s">
        <v>356</v>
      </c>
      <c r="H131" s="622" t="s">
        <v>554</v>
      </c>
      <c r="I131" s="709">
        <f t="array" ref="I131">INDEX(UtilityList!Q$4:Q$251,MATCH('Table 2.5c'!$A131&amp;'Table 2.5c'!$B131,UtilityList!$A$4:$A$251&amp;UtilityList!$C$4:$C$251,0))</f>
        <v>0</v>
      </c>
      <c r="J131" s="709" t="str">
        <f t="array" ref="J131">INDEX(UtilityList!J$4:J$251,MATCH('Table 2.5c'!$A131&amp;'Table 2.5c'!$B131,UtilityList!$A$4:$A$251&amp;UtilityList!$C$4:$C$251,0))</f>
        <v>Bristol Bay</v>
      </c>
      <c r="K131" s="709" t="str">
        <f t="array" ref="K131">INDEX(UtilityList!K$4:K$251,MATCH('Table 2.5c'!$A131&amp;'Table 2.5c'!$B131,UtilityList!$A$4:$A$251&amp;UtilityList!$C$4:$C$251,0))</f>
        <v>Dillingham (CA)</v>
      </c>
      <c r="L131" s="709" t="str">
        <f t="array" ref="L131">INDEX(UtilityList!L$4:L$251,MATCH('Table 2.5c'!$A131&amp;'Table 2.5c'!$B131,UtilityList!$A$4:$A$251&amp;UtilityList!$C$4:$C$251,0))</f>
        <v>Bristol Bay</v>
      </c>
      <c r="M131" s="709" t="str">
        <f t="array" ref="M131">INDEX(UtilityList!M$4:M$251,MATCH('Table 2.5c'!$A131&amp;'Table 2.5c'!$B131,UtilityList!$A$4:$A$251&amp;UtilityList!$C$4:$C$251,0))</f>
        <v>SW</v>
      </c>
    </row>
    <row r="132" spans="1:13" s="63" customFormat="1" x14ac:dyDescent="0.25">
      <c r="A132" s="352" t="s">
        <v>487</v>
      </c>
      <c r="B132" s="352"/>
      <c r="C132" s="711">
        <v>0.15109999999999998</v>
      </c>
      <c r="D132" s="711">
        <v>0</v>
      </c>
      <c r="E132" s="712">
        <v>0.15109999999999998</v>
      </c>
      <c r="F132" s="713">
        <v>0</v>
      </c>
      <c r="G132" s="685" t="s">
        <v>558</v>
      </c>
      <c r="H132" s="685" t="s">
        <v>581</v>
      </c>
      <c r="I132" s="709">
        <f t="array" ref="I132">INDEX(UtilityList!Q$4:Q$251,MATCH('Table 2.5c'!$A132&amp;'Table 2.5c'!$B132,UtilityList!$A$4:$A$251&amp;UtilityList!$C$4:$C$251,0))</f>
        <v>0</v>
      </c>
      <c r="J132" s="709" t="str">
        <f t="array" ref="J132">INDEX(UtilityList!J$4:J$251,MATCH('Table 2.5c'!$A132&amp;'Table 2.5c'!$B132,UtilityList!$A$4:$A$251&amp;UtilityList!$C$4:$C$251,0))</f>
        <v>Railbelt</v>
      </c>
      <c r="K132" s="709" t="str">
        <f t="array" ref="K132">INDEX(UtilityList!K$4:K$251,MATCH('Table 2.5c'!$A132&amp;'Table 2.5c'!$B132,UtilityList!$A$4:$A$251&amp;UtilityList!$C$4:$C$251,0))</f>
        <v>Matanuska Susitna</v>
      </c>
      <c r="L132" s="709" t="str">
        <f t="array" ref="L132">INDEX(UtilityList!L$4:L$251,MATCH('Table 2.5c'!$A132&amp;'Table 2.5c'!$B132,UtilityList!$A$4:$A$251&amp;UtilityList!$C$4:$C$251,0))</f>
        <v>Cook Inlet</v>
      </c>
      <c r="M132" s="709" t="str">
        <f t="array" ref="M132">INDEX(UtilityList!M$4:M$251,MATCH('Table 2.5c'!$A132&amp;'Table 2.5c'!$B132,UtilityList!$A$4:$A$251&amp;UtilityList!$C$4:$C$251,0))</f>
        <v>SC</v>
      </c>
    </row>
    <row r="133" spans="1:13" s="63" customFormat="1" x14ac:dyDescent="0.25">
      <c r="A133" s="710" t="s">
        <v>509</v>
      </c>
      <c r="B133" s="710" t="s">
        <v>244</v>
      </c>
      <c r="C133" s="711">
        <v>0.50934999999999997</v>
      </c>
      <c r="D133" s="711">
        <v>0.33663333000000001</v>
      </c>
      <c r="E133" s="712">
        <v>0.17271666999999996</v>
      </c>
      <c r="F133" s="713">
        <v>0.66090768626681073</v>
      </c>
      <c r="G133" s="658" t="s">
        <v>356</v>
      </c>
      <c r="H133" s="622" t="s">
        <v>554</v>
      </c>
      <c r="I133" s="709">
        <f t="array" ref="I133">INDEX(UtilityList!Q$4:Q$251,MATCH('Table 2.5c'!$A133&amp;'Table 2.5c'!$B133,UtilityList!$A$4:$A$251&amp;UtilityList!$C$4:$C$251,0))</f>
        <v>0</v>
      </c>
      <c r="J133" s="709" t="str">
        <f t="array" ref="J133">INDEX(UtilityList!J$4:J$251,MATCH('Table 2.5c'!$A133&amp;'Table 2.5c'!$B133,UtilityList!$A$4:$A$251&amp;UtilityList!$C$4:$C$251,0))</f>
        <v>Yukon-Koyukuk/Upper Tanana</v>
      </c>
      <c r="K133" s="709" t="str">
        <f t="array" ref="K133">INDEX(UtilityList!K$4:K$251,MATCH('Table 2.5c'!$A133&amp;'Table 2.5c'!$B133,UtilityList!$A$4:$A$251&amp;UtilityList!$C$4:$C$251,0))</f>
        <v>Yukon-Koyukuk (CA)</v>
      </c>
      <c r="L133" s="709" t="str">
        <f t="array" ref="L133">INDEX(UtilityList!L$4:L$251,MATCH('Table 2.5c'!$A133&amp;'Table 2.5c'!$B133,UtilityList!$A$4:$A$251&amp;UtilityList!$C$4:$C$251,0))</f>
        <v>Doyon</v>
      </c>
      <c r="M133" s="709" t="str">
        <f t="array" ref="M133">INDEX(UtilityList!M$4:M$251,MATCH('Table 2.5c'!$A133&amp;'Table 2.5c'!$B133,UtilityList!$A$4:$A$251&amp;UtilityList!$C$4:$C$251,0))</f>
        <v>SW</v>
      </c>
    </row>
    <row r="134" spans="1:13" s="126" customFormat="1" ht="30" x14ac:dyDescent="0.25">
      <c r="A134" s="352" t="s">
        <v>245</v>
      </c>
      <c r="B134" s="352" t="s">
        <v>247</v>
      </c>
      <c r="C134" s="711">
        <v>9.1306918982850385E-2</v>
      </c>
      <c r="D134" s="711">
        <v>0</v>
      </c>
      <c r="E134" s="712">
        <v>9.1306918982850385E-2</v>
      </c>
      <c r="F134" s="713">
        <v>0</v>
      </c>
      <c r="G134" s="685" t="s">
        <v>558</v>
      </c>
      <c r="H134" s="685" t="s">
        <v>581</v>
      </c>
      <c r="I134" s="709">
        <f t="array" ref="I134">INDEX(UtilityList!Q$4:Q$251,MATCH('Table 2.5c'!$A134&amp;'Table 2.5c'!$B134,UtilityList!$A$4:$A$251&amp;UtilityList!$C$4:$C$251,0))</f>
        <v>0</v>
      </c>
      <c r="J134" s="709" t="str">
        <f t="array" ref="J134">INDEX(UtilityList!J$4:J$251,MATCH('Table 2.5c'!$A134&amp;'Table 2.5c'!$B134,UtilityList!$A$4:$A$251&amp;UtilityList!$C$4:$C$251,0))</f>
        <v>Southeast</v>
      </c>
      <c r="K134" s="709" t="str">
        <f t="array" ref="K134">INDEX(UtilityList!K$4:K$251,MATCH('Table 2.5c'!$A134&amp;'Table 2.5c'!$B134,UtilityList!$A$4:$A$251&amp;UtilityList!$C$4:$C$251,0))</f>
        <v>Prince of Wales-Hyder (CA)</v>
      </c>
      <c r="L134" s="709" t="str">
        <f t="array" ref="L134">INDEX(UtilityList!L$4:L$251,MATCH('Table 2.5c'!$A134&amp;'Table 2.5c'!$B134,UtilityList!$A$4:$A$251&amp;UtilityList!$C$4:$C$251,0))</f>
        <v>Sealaska</v>
      </c>
      <c r="M134" s="709" t="str">
        <f t="array" ref="M134">INDEX(UtilityList!M$4:M$251,MATCH('Table 2.5c'!$A134&amp;'Table 2.5c'!$B134,UtilityList!$A$4:$A$251&amp;UtilityList!$C$4:$C$251,0))</f>
        <v>SE</v>
      </c>
    </row>
    <row r="135" spans="1:13" s="63" customFormat="1" x14ac:dyDescent="0.25">
      <c r="A135" s="710" t="s">
        <v>250</v>
      </c>
      <c r="B135" s="710" t="s">
        <v>251</v>
      </c>
      <c r="C135" s="711">
        <v>0.84947499999999998</v>
      </c>
      <c r="D135" s="711">
        <v>0.66042500000000004</v>
      </c>
      <c r="E135" s="712">
        <v>0.18904999999999994</v>
      </c>
      <c r="F135" s="713">
        <v>0.77745077842196653</v>
      </c>
      <c r="G135" s="658" t="s">
        <v>356</v>
      </c>
      <c r="H135" s="622" t="s">
        <v>554</v>
      </c>
      <c r="I135" s="709">
        <f t="array" ref="I135">INDEX(UtilityList!Q$4:Q$251,MATCH('Table 2.5c'!$A135&amp;'Table 2.5c'!$B135,UtilityList!$A$4:$A$251&amp;UtilityList!$C$4:$C$251,0))</f>
        <v>0</v>
      </c>
      <c r="J135" s="709" t="str">
        <f t="array" ref="J135">INDEX(UtilityList!J$4:J$251,MATCH('Table 2.5c'!$A135&amp;'Table 2.5c'!$B135,UtilityList!$A$4:$A$251&amp;UtilityList!$C$4:$C$251,0))</f>
        <v>Lower Yukon-Kuskokwim</v>
      </c>
      <c r="K135" s="709" t="str">
        <f t="array" ref="K135">INDEX(UtilityList!K$4:K$251,MATCH('Table 2.5c'!$A135&amp;'Table 2.5c'!$B135,UtilityList!$A$4:$A$251&amp;UtilityList!$C$4:$C$251,0))</f>
        <v>Bethel (CA)</v>
      </c>
      <c r="L135" s="709" t="str">
        <f t="array" ref="L135">INDEX(UtilityList!L$4:L$251,MATCH('Table 2.5c'!$A135&amp;'Table 2.5c'!$B135,UtilityList!$A$4:$A$251&amp;UtilityList!$C$4:$C$251,0))</f>
        <v>Calista</v>
      </c>
      <c r="M135" s="709" t="str">
        <f t="array" ref="M135">INDEX(UtilityList!M$4:M$251,MATCH('Table 2.5c'!$A135&amp;'Table 2.5c'!$B135,UtilityList!$A$4:$A$251&amp;UtilityList!$C$4:$C$251,0))</f>
        <v>SW</v>
      </c>
    </row>
    <row r="136" spans="1:13" s="63" customFormat="1" x14ac:dyDescent="0.25">
      <c r="A136" s="710" t="s">
        <v>250</v>
      </c>
      <c r="B136" s="710" t="s">
        <v>252</v>
      </c>
      <c r="C136" s="711">
        <v>0.84946666999999998</v>
      </c>
      <c r="D136" s="711">
        <v>0.66042500000000004</v>
      </c>
      <c r="E136" s="712">
        <v>0.18904166999999994</v>
      </c>
      <c r="F136" s="713">
        <v>0.77745840222312668</v>
      </c>
      <c r="G136" s="658" t="s">
        <v>356</v>
      </c>
      <c r="H136" s="622" t="s">
        <v>554</v>
      </c>
      <c r="I136" s="709">
        <f t="array" ref="I136">INDEX(UtilityList!Q$4:Q$251,MATCH('Table 2.5c'!$A136&amp;'Table 2.5c'!$B136,UtilityList!$A$4:$A$251&amp;UtilityList!$C$4:$C$251,0))</f>
        <v>0</v>
      </c>
      <c r="J136" s="709" t="str">
        <f t="array" ref="J136">INDEX(UtilityList!J$4:J$251,MATCH('Table 2.5c'!$A136&amp;'Table 2.5c'!$B136,UtilityList!$A$4:$A$251&amp;UtilityList!$C$4:$C$251,0))</f>
        <v>Lower Yukon-Kuskokwim</v>
      </c>
      <c r="K136" s="709" t="str">
        <f t="array" ref="K136">INDEX(UtilityList!K$4:K$251,MATCH('Table 2.5c'!$A136&amp;'Table 2.5c'!$B136,UtilityList!$A$4:$A$251&amp;UtilityList!$C$4:$C$251,0))</f>
        <v>Bethel (CA)</v>
      </c>
      <c r="L136" s="709" t="str">
        <f t="array" ref="L136">INDEX(UtilityList!L$4:L$251,MATCH('Table 2.5c'!$A136&amp;'Table 2.5c'!$B136,UtilityList!$A$4:$A$251&amp;UtilityList!$C$4:$C$251,0))</f>
        <v>Calista</v>
      </c>
      <c r="M136" s="709" t="str">
        <f t="array" ref="M136">INDEX(UtilityList!M$4:M$251,MATCH('Table 2.5c'!$A136&amp;'Table 2.5c'!$B136,UtilityList!$A$4:$A$251&amp;UtilityList!$C$4:$C$251,0))</f>
        <v>SW</v>
      </c>
    </row>
    <row r="137" spans="1:13" s="63" customFormat="1" x14ac:dyDescent="0.25">
      <c r="A137" s="710" t="s">
        <v>250</v>
      </c>
      <c r="B137" s="710" t="s">
        <v>253</v>
      </c>
      <c r="C137" s="711">
        <v>0.84931667</v>
      </c>
      <c r="D137" s="711">
        <v>0.66042500000000004</v>
      </c>
      <c r="E137" s="712">
        <v>0.18889166999999996</v>
      </c>
      <c r="F137" s="713">
        <v>0.77759571114976467</v>
      </c>
      <c r="G137" s="658" t="s">
        <v>356</v>
      </c>
      <c r="H137" s="622" t="s">
        <v>554</v>
      </c>
      <c r="I137" s="709">
        <f t="array" ref="I137">INDEX(UtilityList!Q$4:Q$251,MATCH('Table 2.5c'!$A137&amp;'Table 2.5c'!$B137,UtilityList!$A$4:$A$251&amp;UtilityList!$C$4:$C$251,0))</f>
        <v>0</v>
      </c>
      <c r="J137" s="709" t="str">
        <f t="array" ref="J137">INDEX(UtilityList!J$4:J$251,MATCH('Table 2.5c'!$A137&amp;'Table 2.5c'!$B137,UtilityList!$A$4:$A$251&amp;UtilityList!$C$4:$C$251,0))</f>
        <v>Lower Yukon-Kuskokwim</v>
      </c>
      <c r="K137" s="709" t="str">
        <f t="array" ref="K137">INDEX(UtilityList!K$4:K$251,MATCH('Table 2.5c'!$A137&amp;'Table 2.5c'!$B137,UtilityList!$A$4:$A$251&amp;UtilityList!$C$4:$C$251,0))</f>
        <v>Bethel (CA)</v>
      </c>
      <c r="L137" s="709" t="str">
        <f t="array" ref="L137">INDEX(UtilityList!L$4:L$251,MATCH('Table 2.5c'!$A137&amp;'Table 2.5c'!$B137,UtilityList!$A$4:$A$251&amp;UtilityList!$C$4:$C$251,0))</f>
        <v>Calista</v>
      </c>
      <c r="M137" s="709" t="str">
        <f t="array" ref="M137">INDEX(UtilityList!M$4:M$251,MATCH('Table 2.5c'!$A137&amp;'Table 2.5c'!$B137,UtilityList!$A$4:$A$251&amp;UtilityList!$C$4:$C$251,0))</f>
        <v>SW</v>
      </c>
    </row>
    <row r="138" spans="1:13" s="63" customFormat="1" x14ac:dyDescent="0.25">
      <c r="A138" s="710" t="s">
        <v>250</v>
      </c>
      <c r="B138" s="710" t="s">
        <v>254</v>
      </c>
      <c r="C138" s="711">
        <v>0.84948332999999998</v>
      </c>
      <c r="D138" s="711">
        <v>0.66042500000000004</v>
      </c>
      <c r="E138" s="712">
        <v>0.18905832999999994</v>
      </c>
      <c r="F138" s="713">
        <v>0.77744315477032377</v>
      </c>
      <c r="G138" s="658" t="s">
        <v>356</v>
      </c>
      <c r="H138" s="622" t="s">
        <v>554</v>
      </c>
      <c r="I138" s="709">
        <f t="array" ref="I138">INDEX(UtilityList!Q$4:Q$251,MATCH('Table 2.5c'!$A138&amp;'Table 2.5c'!$B138,UtilityList!$A$4:$A$251&amp;UtilityList!$C$4:$C$251,0))</f>
        <v>0</v>
      </c>
      <c r="J138" s="709" t="str">
        <f t="array" ref="J138">INDEX(UtilityList!J$4:J$251,MATCH('Table 2.5c'!$A138&amp;'Table 2.5c'!$B138,UtilityList!$A$4:$A$251&amp;UtilityList!$C$4:$C$251,0))</f>
        <v>Lower Yukon-Kuskokwim</v>
      </c>
      <c r="K138" s="709" t="str">
        <f t="array" ref="K138">INDEX(UtilityList!K$4:K$251,MATCH('Table 2.5c'!$A138&amp;'Table 2.5c'!$B138,UtilityList!$A$4:$A$251&amp;UtilityList!$C$4:$C$251,0))</f>
        <v>Bethel (CA)</v>
      </c>
      <c r="L138" s="709" t="str">
        <f t="array" ref="L138">INDEX(UtilityList!L$4:L$251,MATCH('Table 2.5c'!$A138&amp;'Table 2.5c'!$B138,UtilityList!$A$4:$A$251&amp;UtilityList!$C$4:$C$251,0))</f>
        <v>Calista</v>
      </c>
      <c r="M138" s="709" t="str">
        <f t="array" ref="M138">INDEX(UtilityList!M$4:M$251,MATCH('Table 2.5c'!$A138&amp;'Table 2.5c'!$B138,UtilityList!$A$4:$A$251&amp;UtilityList!$C$4:$C$251,0))</f>
        <v>SW</v>
      </c>
    </row>
    <row r="139" spans="1:13" s="63" customFormat="1" x14ac:dyDescent="0.25">
      <c r="A139" s="710" t="s">
        <v>250</v>
      </c>
      <c r="B139" s="710" t="s">
        <v>255</v>
      </c>
      <c r="C139" s="711">
        <v>0.84950000000000003</v>
      </c>
      <c r="D139" s="711">
        <v>0.66042500000000004</v>
      </c>
      <c r="E139" s="712">
        <v>0.18907499999999999</v>
      </c>
      <c r="F139" s="713">
        <v>0.77742789876397878</v>
      </c>
      <c r="G139" s="658" t="s">
        <v>356</v>
      </c>
      <c r="H139" s="622" t="s">
        <v>554</v>
      </c>
      <c r="I139" s="709">
        <f t="array" ref="I139">INDEX(UtilityList!Q$4:Q$251,MATCH('Table 2.5c'!$A139&amp;'Table 2.5c'!$B139,UtilityList!$A$4:$A$251&amp;UtilityList!$C$4:$C$251,0))</f>
        <v>0</v>
      </c>
      <c r="J139" s="709" t="str">
        <f t="array" ref="J139">INDEX(UtilityList!J$4:J$251,MATCH('Table 2.5c'!$A139&amp;'Table 2.5c'!$B139,UtilityList!$A$4:$A$251&amp;UtilityList!$C$4:$C$251,0))</f>
        <v>Lower Yukon-Kuskokwim</v>
      </c>
      <c r="K139" s="709" t="str">
        <f t="array" ref="K139">INDEX(UtilityList!K$4:K$251,MATCH('Table 2.5c'!$A139&amp;'Table 2.5c'!$B139,UtilityList!$A$4:$A$251&amp;UtilityList!$C$4:$C$251,0))</f>
        <v>Bethel (CA)</v>
      </c>
      <c r="L139" s="709" t="str">
        <f t="array" ref="L139">INDEX(UtilityList!L$4:L$251,MATCH('Table 2.5c'!$A139&amp;'Table 2.5c'!$B139,UtilityList!$A$4:$A$251&amp;UtilityList!$C$4:$C$251,0))</f>
        <v>Calista</v>
      </c>
      <c r="M139" s="709" t="str">
        <f t="array" ref="M139">INDEX(UtilityList!M$4:M$251,MATCH('Table 2.5c'!$A139&amp;'Table 2.5c'!$B139,UtilityList!$A$4:$A$251&amp;UtilityList!$C$4:$C$251,0))</f>
        <v>SW</v>
      </c>
    </row>
    <row r="140" spans="1:13" s="63" customFormat="1" ht="75" x14ac:dyDescent="0.25">
      <c r="A140" s="710" t="s">
        <v>258</v>
      </c>
      <c r="B140" s="710" t="s">
        <v>682</v>
      </c>
      <c r="C140" s="711">
        <v>0.50455833000000005</v>
      </c>
      <c r="D140" s="711">
        <v>0.26014999999999999</v>
      </c>
      <c r="E140" s="712">
        <v>0.24440833000000006</v>
      </c>
      <c r="F140" s="713">
        <v>0.51559945507192395</v>
      </c>
      <c r="G140" s="658" t="s">
        <v>356</v>
      </c>
      <c r="H140" s="622" t="s">
        <v>554</v>
      </c>
      <c r="I140" s="709" t="str">
        <f t="array" ref="I140">INDEX(UtilityList!Q$4:Q$251,MATCH('Table 2.5c'!$A140&amp;'Table 2.5c'!$B140,UtilityList!$A$4:$A$251&amp;UtilityList!$C$4:$C$251,0))</f>
        <v>Provides power to South Naknek and King Salmon via intertie. Data includes South Naknek's and King Salmon's information.</v>
      </c>
      <c r="J140" s="709" t="str">
        <f t="array" ref="J140">INDEX(UtilityList!J$4:J$251,MATCH('Table 2.5c'!$A140&amp;'Table 2.5c'!$B140,UtilityList!$A$4:$A$251&amp;UtilityList!$C$4:$C$251,0))</f>
        <v>Bristol Bay</v>
      </c>
      <c r="K140" s="709" t="str">
        <f t="array" ref="K140">INDEX(UtilityList!K$4:K$251,MATCH('Table 2.5c'!$A140&amp;'Table 2.5c'!$B140,UtilityList!$A$4:$A$251&amp;UtilityList!$C$4:$C$251,0))</f>
        <v>Bristol Bay</v>
      </c>
      <c r="L140" s="709" t="str">
        <f t="array" ref="L140">INDEX(UtilityList!L$4:L$251,MATCH('Table 2.5c'!$A140&amp;'Table 2.5c'!$B140,UtilityList!$A$4:$A$251&amp;UtilityList!$C$4:$C$251,0))</f>
        <v>Bristol Bay</v>
      </c>
      <c r="M140" s="709" t="str">
        <f t="array" ref="M140">INDEX(UtilityList!M$4:M$251,MATCH('Table 2.5c'!$A140&amp;'Table 2.5c'!$B140,UtilityList!$A$4:$A$251&amp;UtilityList!$C$4:$C$251,0))</f>
        <v>SW</v>
      </c>
    </row>
    <row r="141" spans="1:13" s="63" customFormat="1" ht="30" x14ac:dyDescent="0.25">
      <c r="A141" s="710" t="s">
        <v>260</v>
      </c>
      <c r="B141" s="710" t="s">
        <v>261</v>
      </c>
      <c r="C141" s="711">
        <v>0.82538332999999997</v>
      </c>
      <c r="D141" s="711">
        <v>0.57527499999999998</v>
      </c>
      <c r="E141" s="712">
        <v>0.25010832999999999</v>
      </c>
      <c r="F141" s="713">
        <v>0.69697918420523464</v>
      </c>
      <c r="G141" s="658" t="s">
        <v>356</v>
      </c>
      <c r="H141" s="622" t="s">
        <v>554</v>
      </c>
      <c r="I141" s="709" t="str">
        <f t="array" ref="I141">INDEX(UtilityList!Q$4:Q$251,MATCH('Table 2.5c'!$A141&amp;'Table 2.5c'!$B141,UtilityList!$A$4:$A$251&amp;UtilityList!$C$4:$C$251,0))</f>
        <v>Purchases power from Bethel Utilities Corporation</v>
      </c>
      <c r="J141" s="709" t="str">
        <f t="array" ref="J141">INDEX(UtilityList!J$4:J$251,MATCH('Table 2.5c'!$A141&amp;'Table 2.5c'!$B141,UtilityList!$A$4:$A$251&amp;UtilityList!$C$4:$C$251,0))</f>
        <v>Lower Yukon-Kuskokwim</v>
      </c>
      <c r="K141" s="709" t="str">
        <f t="array" ref="K141">INDEX(UtilityList!K$4:K$251,MATCH('Table 2.5c'!$A141&amp;'Table 2.5c'!$B141,UtilityList!$A$4:$A$251&amp;UtilityList!$C$4:$C$251,0))</f>
        <v>Bethel (CA)</v>
      </c>
      <c r="L141" s="709" t="str">
        <f t="array" ref="L141">INDEX(UtilityList!L$4:L$251,MATCH('Table 2.5c'!$A141&amp;'Table 2.5c'!$B141,UtilityList!$A$4:$A$251&amp;UtilityList!$C$4:$C$251,0))</f>
        <v>Calista</v>
      </c>
      <c r="M141" s="709" t="str">
        <f t="array" ref="M141">INDEX(UtilityList!M$4:M$251,MATCH('Table 2.5c'!$A141&amp;'Table 2.5c'!$B141,UtilityList!$A$4:$A$251&amp;UtilityList!$C$4:$C$251,0))</f>
        <v>SW</v>
      </c>
    </row>
    <row r="142" spans="1:13" s="63" customFormat="1" x14ac:dyDescent="0.25">
      <c r="A142" s="710" t="s">
        <v>262</v>
      </c>
      <c r="B142" s="710" t="s">
        <v>263</v>
      </c>
      <c r="C142" s="711">
        <v>0.63749999999999996</v>
      </c>
      <c r="D142" s="711">
        <v>0.41102499999999997</v>
      </c>
      <c r="E142" s="712">
        <v>0.22647499999999998</v>
      </c>
      <c r="F142" s="713">
        <v>0.64474509803921565</v>
      </c>
      <c r="G142" s="658" t="s">
        <v>356</v>
      </c>
      <c r="H142" s="622" t="s">
        <v>554</v>
      </c>
      <c r="I142" s="709">
        <f t="array" ref="I142">INDEX(UtilityList!Q$4:Q$251,MATCH('Table 2.5c'!$A142&amp;'Table 2.5c'!$B142,UtilityList!$A$4:$A$251&amp;UtilityList!$C$4:$C$251,0))</f>
        <v>0</v>
      </c>
      <c r="J142" s="709" t="str">
        <f t="array" ref="J142">INDEX(UtilityList!J$4:J$251,MATCH('Table 2.5c'!$A142&amp;'Table 2.5c'!$B142,UtilityList!$A$4:$A$251&amp;UtilityList!$C$4:$C$251,0))</f>
        <v>Lower Yukon-Kuskokwim</v>
      </c>
      <c r="K142" s="709" t="str">
        <f t="array" ref="K142">INDEX(UtilityList!K$4:K$251,MATCH('Table 2.5c'!$A142&amp;'Table 2.5c'!$B142,UtilityList!$A$4:$A$251&amp;UtilityList!$C$4:$C$251,0))</f>
        <v>Bethel (CA)</v>
      </c>
      <c r="L142" s="709" t="str">
        <f t="array" ref="L142">INDEX(UtilityList!L$4:L$251,MATCH('Table 2.5c'!$A142&amp;'Table 2.5c'!$B142,UtilityList!$A$4:$A$251&amp;UtilityList!$C$4:$C$251,0))</f>
        <v>Calista</v>
      </c>
      <c r="M142" s="709" t="str">
        <f t="array" ref="M142">INDEX(UtilityList!M$4:M$251,MATCH('Table 2.5c'!$A142&amp;'Table 2.5c'!$B142,UtilityList!$A$4:$A$251&amp;UtilityList!$C$4:$C$251,0))</f>
        <v>SW</v>
      </c>
    </row>
    <row r="143" spans="1:13" s="63" customFormat="1" x14ac:dyDescent="0.25">
      <c r="A143" s="710" t="s">
        <v>264</v>
      </c>
      <c r="B143" s="710" t="s">
        <v>265</v>
      </c>
      <c r="C143" s="711">
        <v>0.57833332999999998</v>
      </c>
      <c r="D143" s="711">
        <v>0.27195000000000003</v>
      </c>
      <c r="E143" s="712">
        <v>0.30638332999999995</v>
      </c>
      <c r="F143" s="713">
        <v>0.47023055026069488</v>
      </c>
      <c r="G143" s="658" t="s">
        <v>356</v>
      </c>
      <c r="H143" s="622" t="s">
        <v>554</v>
      </c>
      <c r="I143" s="709">
        <f t="array" ref="I143">INDEX(UtilityList!Q$4:Q$251,MATCH('Table 2.5c'!$A143&amp;'Table 2.5c'!$B143,UtilityList!$A$4:$A$251&amp;UtilityList!$C$4:$C$251,0))</f>
        <v>0</v>
      </c>
      <c r="J143" s="709" t="str">
        <f t="array" ref="J143">INDEX(UtilityList!J$4:J$251,MATCH('Table 2.5c'!$A143&amp;'Table 2.5c'!$B143,UtilityList!$A$4:$A$251&amp;UtilityList!$C$4:$C$251,0))</f>
        <v>Lower Yukon-Kuskokwim</v>
      </c>
      <c r="K143" s="709" t="str">
        <f t="array" ref="K143">INDEX(UtilityList!K$4:K$251,MATCH('Table 2.5c'!$A143&amp;'Table 2.5c'!$B143,UtilityList!$A$4:$A$251&amp;UtilityList!$C$4:$C$251,0))</f>
        <v>Bethel (CA)</v>
      </c>
      <c r="L143" s="709" t="str">
        <f t="array" ref="L143">INDEX(UtilityList!L$4:L$251,MATCH('Table 2.5c'!$A143&amp;'Table 2.5c'!$B143,UtilityList!$A$4:$A$251&amp;UtilityList!$C$4:$C$251,0))</f>
        <v>Calista</v>
      </c>
      <c r="M143" s="709" t="str">
        <f t="array" ref="M143">INDEX(UtilityList!M$4:M$251,MATCH('Table 2.5c'!$A143&amp;'Table 2.5c'!$B143,UtilityList!$A$4:$A$251&amp;UtilityList!$C$4:$C$251,0))</f>
        <v>SW</v>
      </c>
    </row>
    <row r="144" spans="1:13" s="63" customFormat="1" x14ac:dyDescent="0.25">
      <c r="A144" s="710" t="s">
        <v>266</v>
      </c>
      <c r="B144" s="710" t="s">
        <v>267</v>
      </c>
      <c r="C144" s="711">
        <v>0.95</v>
      </c>
      <c r="D144" s="711">
        <v>0.24371667</v>
      </c>
      <c r="E144" s="712">
        <v>0.70628332999999999</v>
      </c>
      <c r="F144" s="713">
        <v>0.25654386315789474</v>
      </c>
      <c r="G144" s="658" t="s">
        <v>356</v>
      </c>
      <c r="H144" s="622" t="s">
        <v>554</v>
      </c>
      <c r="I144" s="709">
        <f t="array" ref="I144">INDEX(UtilityList!Q$4:Q$251,MATCH('Table 2.5c'!$A144&amp;'Table 2.5c'!$B144,UtilityList!$A$4:$A$251&amp;UtilityList!$C$4:$C$251,0))</f>
        <v>0</v>
      </c>
      <c r="J144" s="709" t="str">
        <f t="array" ref="J144">INDEX(UtilityList!J$4:J$251,MATCH('Table 2.5c'!$A144&amp;'Table 2.5c'!$B144,UtilityList!$A$4:$A$251&amp;UtilityList!$C$4:$C$251,0))</f>
        <v>Bristol Bay</v>
      </c>
      <c r="K144" s="709" t="str">
        <f t="array" ref="K144">INDEX(UtilityList!K$4:K$251,MATCH('Table 2.5c'!$A144&amp;'Table 2.5c'!$B144,UtilityList!$A$4:$A$251&amp;UtilityList!$C$4:$C$251,0))</f>
        <v>Lake and Peninsula</v>
      </c>
      <c r="L144" s="709" t="str">
        <f t="array" ref="L144">INDEX(UtilityList!L$4:L$251,MATCH('Table 2.5c'!$A144&amp;'Table 2.5c'!$B144,UtilityList!$A$4:$A$251&amp;UtilityList!$C$4:$C$251,0))</f>
        <v>Bristol Bay</v>
      </c>
      <c r="M144" s="709" t="str">
        <f t="array" ref="M144">INDEX(UtilityList!M$4:M$251,MATCH('Table 2.5c'!$A144&amp;'Table 2.5c'!$B144,UtilityList!$A$4:$A$251&amp;UtilityList!$C$4:$C$251,0))</f>
        <v>SW</v>
      </c>
    </row>
    <row r="145" spans="1:13" s="63" customFormat="1" x14ac:dyDescent="0.25">
      <c r="A145" s="710" t="s">
        <v>268</v>
      </c>
      <c r="B145" s="710" t="s">
        <v>269</v>
      </c>
      <c r="C145" s="711">
        <v>0.76500000000000001</v>
      </c>
      <c r="D145" s="711">
        <v>0.43794167000000001</v>
      </c>
      <c r="E145" s="712">
        <v>0.32705833000000001</v>
      </c>
      <c r="F145" s="713">
        <v>0.57247277124183005</v>
      </c>
      <c r="G145" s="658" t="s">
        <v>356</v>
      </c>
      <c r="H145" s="622" t="s">
        <v>554</v>
      </c>
      <c r="I145" s="709">
        <f t="array" ref="I145">INDEX(UtilityList!Q$4:Q$251,MATCH('Table 2.5c'!$A145&amp;'Table 2.5c'!$B145,UtilityList!$A$4:$A$251&amp;UtilityList!$C$4:$C$251,0))</f>
        <v>0</v>
      </c>
      <c r="J145" s="709" t="str">
        <f t="array" ref="J145">INDEX(UtilityList!J$4:J$251,MATCH('Table 2.5c'!$A145&amp;'Table 2.5c'!$B145,UtilityList!$A$4:$A$251&amp;UtilityList!$C$4:$C$251,0))</f>
        <v>Aleutians</v>
      </c>
      <c r="K145" s="709" t="str">
        <f t="array" ref="K145">INDEX(UtilityList!K$4:K$251,MATCH('Table 2.5c'!$A145&amp;'Table 2.5c'!$B145,UtilityList!$A$4:$A$251&amp;UtilityList!$C$4:$C$251,0))</f>
        <v>Aleutians East</v>
      </c>
      <c r="L145" s="709" t="str">
        <f t="array" ref="L145">INDEX(UtilityList!L$4:L$251,MATCH('Table 2.5c'!$A145&amp;'Table 2.5c'!$B145,UtilityList!$A$4:$A$251&amp;UtilityList!$C$4:$C$251,0))</f>
        <v>Aleut</v>
      </c>
      <c r="M145" s="709" t="str">
        <f t="array" ref="M145">INDEX(UtilityList!M$4:M$251,MATCH('Table 2.5c'!$A145&amp;'Table 2.5c'!$B145,UtilityList!$A$4:$A$251&amp;UtilityList!$C$4:$C$251,0))</f>
        <v>SW</v>
      </c>
    </row>
    <row r="146" spans="1:13" s="63" customFormat="1" x14ac:dyDescent="0.25">
      <c r="A146" s="710" t="s">
        <v>270</v>
      </c>
      <c r="B146" s="710" t="s">
        <v>271</v>
      </c>
      <c r="C146" s="711">
        <v>0.505</v>
      </c>
      <c r="D146" s="711">
        <v>0.36094999999999999</v>
      </c>
      <c r="E146" s="712">
        <v>0.14405000000000001</v>
      </c>
      <c r="F146" s="713">
        <v>0.71475247524752472</v>
      </c>
      <c r="G146" s="658" t="s">
        <v>356</v>
      </c>
      <c r="H146" s="622" t="s">
        <v>554</v>
      </c>
      <c r="I146" s="709">
        <f t="array" ref="I146">INDEX(UtilityList!Q$4:Q$251,MATCH('Table 2.5c'!$A146&amp;'Table 2.5c'!$B146,UtilityList!$A$4:$A$251&amp;UtilityList!$C$4:$C$251,0))</f>
        <v>0</v>
      </c>
      <c r="J146" s="709" t="str">
        <f t="array" ref="J146">INDEX(UtilityList!J$4:J$251,MATCH('Table 2.5c'!$A146&amp;'Table 2.5c'!$B146,UtilityList!$A$4:$A$251&amp;UtilityList!$C$4:$C$251,0))</f>
        <v>Bristol Bay</v>
      </c>
      <c r="K146" s="709" t="str">
        <f t="array" ref="K146">INDEX(UtilityList!K$4:K$251,MATCH('Table 2.5c'!$A146&amp;'Table 2.5c'!$B146,UtilityList!$A$4:$A$251&amp;UtilityList!$C$4:$C$251,0))</f>
        <v>Dillingham (CA)</v>
      </c>
      <c r="L146" s="709" t="str">
        <f t="array" ref="L146">INDEX(UtilityList!L$4:L$251,MATCH('Table 2.5c'!$A146&amp;'Table 2.5c'!$B146,UtilityList!$A$4:$A$251&amp;UtilityList!$C$4:$C$251,0))</f>
        <v>Bristol Bay</v>
      </c>
      <c r="M146" s="709" t="str">
        <f t="array" ref="M146">INDEX(UtilityList!M$4:M$251,MATCH('Table 2.5c'!$A146&amp;'Table 2.5c'!$B146,UtilityList!$A$4:$A$251&amp;UtilityList!$C$4:$C$251,0))</f>
        <v>SW</v>
      </c>
    </row>
    <row r="147" spans="1:13" s="63" customFormat="1" x14ac:dyDescent="0.25">
      <c r="A147" s="710" t="s">
        <v>272</v>
      </c>
      <c r="B147" s="710" t="s">
        <v>273</v>
      </c>
      <c r="C147" s="711">
        <v>0.80417499999999997</v>
      </c>
      <c r="D147" s="711">
        <v>0.57782500000000003</v>
      </c>
      <c r="E147" s="712">
        <v>0.22634999999999994</v>
      </c>
      <c r="F147" s="713">
        <v>0.71853141418223654</v>
      </c>
      <c r="G147" s="658" t="s">
        <v>356</v>
      </c>
      <c r="H147" s="622" t="s">
        <v>554</v>
      </c>
      <c r="I147" s="709">
        <f t="array" ref="I147">INDEX(UtilityList!Q$4:Q$251,MATCH('Table 2.5c'!$A147&amp;'Table 2.5c'!$B147,UtilityList!$A$4:$A$251&amp;UtilityList!$C$4:$C$251,0))</f>
        <v>0</v>
      </c>
      <c r="J147" s="709" t="str">
        <f t="array" ref="J147">INDEX(UtilityList!J$4:J$251,MATCH('Table 2.5c'!$A147&amp;'Table 2.5c'!$B147,UtilityList!$A$4:$A$251&amp;UtilityList!$C$4:$C$251,0))</f>
        <v>Yukon-Koyukuk/Upper Tanana</v>
      </c>
      <c r="K147" s="709" t="str">
        <f t="array" ref="K147">INDEX(UtilityList!K$4:K$251,MATCH('Table 2.5c'!$A147&amp;'Table 2.5c'!$B147,UtilityList!$A$4:$A$251&amp;UtilityList!$C$4:$C$251,0))</f>
        <v>Yukon-Koyukuk (CA)</v>
      </c>
      <c r="L147" s="709" t="str">
        <f t="array" ref="L147">INDEX(UtilityList!L$4:L$251,MATCH('Table 2.5c'!$A147&amp;'Table 2.5c'!$B147,UtilityList!$A$4:$A$251&amp;UtilityList!$C$4:$C$251,0))</f>
        <v>Doyon</v>
      </c>
      <c r="M147" s="709" t="str">
        <f t="array" ref="M147">INDEX(UtilityList!M$4:M$251,MATCH('Table 2.5c'!$A147&amp;'Table 2.5c'!$B147,UtilityList!$A$4:$A$251&amp;UtilityList!$C$4:$C$251,0))</f>
        <v>SW</v>
      </c>
    </row>
    <row r="148" spans="1:13" s="63" customFormat="1" x14ac:dyDescent="0.25">
      <c r="A148" s="710" t="s">
        <v>274</v>
      </c>
      <c r="B148" s="710" t="s">
        <v>276</v>
      </c>
      <c r="C148" s="711">
        <v>0.36220000000000002</v>
      </c>
      <c r="D148" s="711">
        <v>0.16927500000000001</v>
      </c>
      <c r="E148" s="712">
        <v>0.19292500000000001</v>
      </c>
      <c r="F148" s="713">
        <v>0.46735229155162894</v>
      </c>
      <c r="G148" s="658" t="s">
        <v>356</v>
      </c>
      <c r="H148" s="622" t="s">
        <v>554</v>
      </c>
      <c r="I148" s="709">
        <f t="array" ref="I148">INDEX(UtilityList!Q$4:Q$251,MATCH('Table 2.5c'!$A148&amp;'Table 2.5c'!$B148,UtilityList!$A$4:$A$251&amp;UtilityList!$C$4:$C$251,0))</f>
        <v>0</v>
      </c>
      <c r="J148" s="709" t="str">
        <f t="array" ref="J148">INDEX(UtilityList!J$4:J$251,MATCH('Table 2.5c'!$A148&amp;'Table 2.5c'!$B148,UtilityList!$A$4:$A$251&amp;UtilityList!$C$4:$C$251,0))</f>
        <v>Bering Straits</v>
      </c>
      <c r="K148" s="709" t="str">
        <f t="array" ref="K148">INDEX(UtilityList!K$4:K$251,MATCH('Table 2.5c'!$A148&amp;'Table 2.5c'!$B148,UtilityList!$A$4:$A$251&amp;UtilityList!$C$4:$C$251,0))</f>
        <v>Nome (CA)</v>
      </c>
      <c r="L148" s="709" t="str">
        <f t="array" ref="L148">INDEX(UtilityList!L$4:L$251,MATCH('Table 2.5c'!$A148&amp;'Table 2.5c'!$B148,UtilityList!$A$4:$A$251&amp;UtilityList!$C$4:$C$251,0))</f>
        <v>Bering Straits</v>
      </c>
      <c r="M148" s="709" t="str">
        <f t="array" ref="M148">INDEX(UtilityList!M$4:M$251,MATCH('Table 2.5c'!$A148&amp;'Table 2.5c'!$B148,UtilityList!$A$4:$A$251&amp;UtilityList!$C$4:$C$251,0))</f>
        <v>AN</v>
      </c>
    </row>
    <row r="149" spans="1:13" s="63" customFormat="1" x14ac:dyDescent="0.25">
      <c r="A149" s="710" t="s">
        <v>277</v>
      </c>
      <c r="B149" s="710" t="s">
        <v>278</v>
      </c>
      <c r="C149" s="711">
        <v>0.15</v>
      </c>
      <c r="D149" s="711">
        <v>1.095E-2</v>
      </c>
      <c r="E149" s="712">
        <v>0.13905000000000001</v>
      </c>
      <c r="F149" s="713">
        <v>7.2999999999999995E-2</v>
      </c>
      <c r="G149" s="658" t="s">
        <v>356</v>
      </c>
      <c r="H149" s="622" t="s">
        <v>554</v>
      </c>
      <c r="I149" s="709">
        <f t="array" ref="I149">INDEX(UtilityList!Q$4:Q$251,MATCH('Table 2.5c'!$A149&amp;'Table 2.5c'!$B149,UtilityList!$A$4:$A$251&amp;UtilityList!$C$4:$C$251,0))</f>
        <v>0</v>
      </c>
      <c r="J149" s="709" t="str">
        <f t="array" ref="J149">INDEX(UtilityList!J$4:J$251,MATCH('Table 2.5c'!$A149&amp;'Table 2.5c'!$B149,UtilityList!$A$4:$A$251&amp;UtilityList!$C$4:$C$251,0))</f>
        <v>North Slope</v>
      </c>
      <c r="K149" s="709" t="str">
        <f t="array" ref="K149">INDEX(UtilityList!K$4:K$251,MATCH('Table 2.5c'!$A149&amp;'Table 2.5c'!$B149,UtilityList!$A$4:$A$251&amp;UtilityList!$C$4:$C$251,0))</f>
        <v>North Slope</v>
      </c>
      <c r="L149" s="709" t="str">
        <f t="array" ref="L149">INDEX(UtilityList!L$4:L$251,MATCH('Table 2.5c'!$A149&amp;'Table 2.5c'!$B149,UtilityList!$A$4:$A$251&amp;UtilityList!$C$4:$C$251,0))</f>
        <v>Arctic Slope</v>
      </c>
      <c r="M149" s="709" t="str">
        <f t="array" ref="M149">INDEX(UtilityList!M$4:M$251,MATCH('Table 2.5c'!$A149&amp;'Table 2.5c'!$B149,UtilityList!$A$4:$A$251&amp;UtilityList!$C$4:$C$251,0))</f>
        <v>AN</v>
      </c>
    </row>
    <row r="150" spans="1:13" s="63" customFormat="1" x14ac:dyDescent="0.25">
      <c r="A150" s="710" t="s">
        <v>277</v>
      </c>
      <c r="B150" s="710" t="s">
        <v>279</v>
      </c>
      <c r="C150" s="711">
        <v>0.15</v>
      </c>
      <c r="D150" s="711">
        <v>1.095E-2</v>
      </c>
      <c r="E150" s="712">
        <v>0.13905000000000001</v>
      </c>
      <c r="F150" s="713">
        <v>7.2999999999999995E-2</v>
      </c>
      <c r="G150" s="658" t="s">
        <v>356</v>
      </c>
      <c r="H150" s="622" t="s">
        <v>554</v>
      </c>
      <c r="I150" s="709">
        <f t="array" ref="I150">INDEX(UtilityList!Q$4:Q$251,MATCH('Table 2.5c'!$A150&amp;'Table 2.5c'!$B150,UtilityList!$A$4:$A$251&amp;UtilityList!$C$4:$C$251,0))</f>
        <v>0</v>
      </c>
      <c r="J150" s="709" t="str">
        <f t="array" ref="J150">INDEX(UtilityList!J$4:J$251,MATCH('Table 2.5c'!$A150&amp;'Table 2.5c'!$B150,UtilityList!$A$4:$A$251&amp;UtilityList!$C$4:$C$251,0))</f>
        <v>North Slope</v>
      </c>
      <c r="K150" s="709" t="str">
        <f t="array" ref="K150">INDEX(UtilityList!K$4:K$251,MATCH('Table 2.5c'!$A150&amp;'Table 2.5c'!$B150,UtilityList!$A$4:$A$251&amp;UtilityList!$C$4:$C$251,0))</f>
        <v>North Slope</v>
      </c>
      <c r="L150" s="709" t="str">
        <f t="array" ref="L150">INDEX(UtilityList!L$4:L$251,MATCH('Table 2.5c'!$A150&amp;'Table 2.5c'!$B150,UtilityList!$A$4:$A$251&amp;UtilityList!$C$4:$C$251,0))</f>
        <v>Arctic Slope</v>
      </c>
      <c r="M150" s="709" t="str">
        <f t="array" ref="M150">INDEX(UtilityList!M$4:M$251,MATCH('Table 2.5c'!$A150&amp;'Table 2.5c'!$B150,UtilityList!$A$4:$A$251&amp;UtilityList!$C$4:$C$251,0))</f>
        <v>AN</v>
      </c>
    </row>
    <row r="151" spans="1:13" s="63" customFormat="1" x14ac:dyDescent="0.25">
      <c r="A151" s="710" t="s">
        <v>277</v>
      </c>
      <c r="B151" s="710" t="s">
        <v>280</v>
      </c>
      <c r="C151" s="711">
        <v>0.15</v>
      </c>
      <c r="D151" s="711">
        <v>1.095E-2</v>
      </c>
      <c r="E151" s="712">
        <v>0.13905000000000001</v>
      </c>
      <c r="F151" s="713">
        <v>7.2999999999999995E-2</v>
      </c>
      <c r="G151" s="658" t="s">
        <v>356</v>
      </c>
      <c r="H151" s="622" t="s">
        <v>554</v>
      </c>
      <c r="I151" s="709">
        <f t="array" ref="I151">INDEX(UtilityList!Q$4:Q$251,MATCH('Table 2.5c'!$A151&amp;'Table 2.5c'!$B151,UtilityList!$A$4:$A$251&amp;UtilityList!$C$4:$C$251,0))</f>
        <v>0</v>
      </c>
      <c r="J151" s="709" t="str">
        <f t="array" ref="J151">INDEX(UtilityList!J$4:J$251,MATCH('Table 2.5c'!$A151&amp;'Table 2.5c'!$B151,UtilityList!$A$4:$A$251&amp;UtilityList!$C$4:$C$251,0))</f>
        <v>North Slope</v>
      </c>
      <c r="K151" s="709" t="str">
        <f t="array" ref="K151">INDEX(UtilityList!K$4:K$251,MATCH('Table 2.5c'!$A151&amp;'Table 2.5c'!$B151,UtilityList!$A$4:$A$251&amp;UtilityList!$C$4:$C$251,0))</f>
        <v>North Slope</v>
      </c>
      <c r="L151" s="709" t="str">
        <f t="array" ref="L151">INDEX(UtilityList!L$4:L$251,MATCH('Table 2.5c'!$A151&amp;'Table 2.5c'!$B151,UtilityList!$A$4:$A$251&amp;UtilityList!$C$4:$C$251,0))</f>
        <v>Arctic Slope</v>
      </c>
      <c r="M151" s="709" t="str">
        <f t="array" ref="M151">INDEX(UtilityList!M$4:M$251,MATCH('Table 2.5c'!$A151&amp;'Table 2.5c'!$B151,UtilityList!$A$4:$A$251&amp;UtilityList!$C$4:$C$251,0))</f>
        <v>AN</v>
      </c>
    </row>
    <row r="152" spans="1:13" s="63" customFormat="1" x14ac:dyDescent="0.25">
      <c r="A152" s="710" t="s">
        <v>277</v>
      </c>
      <c r="B152" s="710" t="s">
        <v>281</v>
      </c>
      <c r="C152" s="711">
        <v>0.08</v>
      </c>
      <c r="D152" s="711">
        <v>0</v>
      </c>
      <c r="E152" s="712">
        <v>0.08</v>
      </c>
      <c r="F152" s="713">
        <v>0</v>
      </c>
      <c r="G152" s="658" t="s">
        <v>356</v>
      </c>
      <c r="H152" s="622" t="s">
        <v>554</v>
      </c>
      <c r="I152" s="709">
        <f t="array" ref="I152">INDEX(UtilityList!Q$4:Q$251,MATCH('Table 2.5c'!$A152&amp;'Table 2.5c'!$B152,UtilityList!$A$4:$A$251&amp;UtilityList!$C$4:$C$251,0))</f>
        <v>0</v>
      </c>
      <c r="J152" s="709" t="str">
        <f t="array" ref="J152">INDEX(UtilityList!J$4:J$251,MATCH('Table 2.5c'!$A152&amp;'Table 2.5c'!$B152,UtilityList!$A$4:$A$251&amp;UtilityList!$C$4:$C$251,0))</f>
        <v>North Slope</v>
      </c>
      <c r="K152" s="709" t="str">
        <f t="array" ref="K152">INDEX(UtilityList!K$4:K$251,MATCH('Table 2.5c'!$A152&amp;'Table 2.5c'!$B152,UtilityList!$A$4:$A$251&amp;UtilityList!$C$4:$C$251,0))</f>
        <v>North Slope</v>
      </c>
      <c r="L152" s="709" t="str">
        <f t="array" ref="L152">INDEX(UtilityList!L$4:L$251,MATCH('Table 2.5c'!$A152&amp;'Table 2.5c'!$B152,UtilityList!$A$4:$A$251&amp;UtilityList!$C$4:$C$251,0))</f>
        <v>Arctic Slope</v>
      </c>
      <c r="M152" s="709" t="str">
        <f t="array" ref="M152">INDEX(UtilityList!M$4:M$251,MATCH('Table 2.5c'!$A152&amp;'Table 2.5c'!$B152,UtilityList!$A$4:$A$251&amp;UtilityList!$C$4:$C$251,0))</f>
        <v>AN</v>
      </c>
    </row>
    <row r="153" spans="1:13" s="63" customFormat="1" x14ac:dyDescent="0.25">
      <c r="A153" s="710" t="s">
        <v>277</v>
      </c>
      <c r="B153" s="710" t="s">
        <v>282</v>
      </c>
      <c r="C153" s="711">
        <v>0.15</v>
      </c>
      <c r="D153" s="711">
        <v>1.095E-2</v>
      </c>
      <c r="E153" s="712">
        <v>0.13905000000000001</v>
      </c>
      <c r="F153" s="713">
        <v>7.2999999999999995E-2</v>
      </c>
      <c r="G153" s="658" t="s">
        <v>356</v>
      </c>
      <c r="H153" s="622" t="s">
        <v>554</v>
      </c>
      <c r="I153" s="709">
        <f t="array" ref="I153">INDEX(UtilityList!Q$4:Q$251,MATCH('Table 2.5c'!$A153&amp;'Table 2.5c'!$B153,UtilityList!$A$4:$A$251&amp;UtilityList!$C$4:$C$251,0))</f>
        <v>0</v>
      </c>
      <c r="J153" s="709" t="str">
        <f t="array" ref="J153">INDEX(UtilityList!J$4:J$251,MATCH('Table 2.5c'!$A153&amp;'Table 2.5c'!$B153,UtilityList!$A$4:$A$251&amp;UtilityList!$C$4:$C$251,0))</f>
        <v>North Slope</v>
      </c>
      <c r="K153" s="709" t="str">
        <f t="array" ref="K153">INDEX(UtilityList!K$4:K$251,MATCH('Table 2.5c'!$A153&amp;'Table 2.5c'!$B153,UtilityList!$A$4:$A$251&amp;UtilityList!$C$4:$C$251,0))</f>
        <v>North Slope</v>
      </c>
      <c r="L153" s="709" t="str">
        <f t="array" ref="L153">INDEX(UtilityList!L$4:L$251,MATCH('Table 2.5c'!$A153&amp;'Table 2.5c'!$B153,UtilityList!$A$4:$A$251&amp;UtilityList!$C$4:$C$251,0))</f>
        <v>Arctic Slope</v>
      </c>
      <c r="M153" s="709" t="str">
        <f t="array" ref="M153">INDEX(UtilityList!M$4:M$251,MATCH('Table 2.5c'!$A153&amp;'Table 2.5c'!$B153,UtilityList!$A$4:$A$251&amp;UtilityList!$C$4:$C$251,0))</f>
        <v>AN</v>
      </c>
    </row>
    <row r="154" spans="1:13" s="126" customFormat="1" x14ac:dyDescent="0.25">
      <c r="A154" s="710" t="s">
        <v>277</v>
      </c>
      <c r="B154" s="710" t="s">
        <v>283</v>
      </c>
      <c r="C154" s="711">
        <v>0.15</v>
      </c>
      <c r="D154" s="711">
        <v>1.095E-2</v>
      </c>
      <c r="E154" s="712">
        <v>0.13905000000000001</v>
      </c>
      <c r="F154" s="713">
        <v>7.2999999999999995E-2</v>
      </c>
      <c r="G154" s="658" t="s">
        <v>356</v>
      </c>
      <c r="H154" s="622" t="s">
        <v>554</v>
      </c>
      <c r="I154" s="709">
        <f t="array" ref="I154">INDEX(UtilityList!Q$4:Q$251,MATCH('Table 2.5c'!$A154&amp;'Table 2.5c'!$B154,UtilityList!$A$4:$A$251&amp;UtilityList!$C$4:$C$251,0))</f>
        <v>0</v>
      </c>
      <c r="J154" s="709" t="str">
        <f t="array" ref="J154">INDEX(UtilityList!J$4:J$251,MATCH('Table 2.5c'!$A154&amp;'Table 2.5c'!$B154,UtilityList!$A$4:$A$251&amp;UtilityList!$C$4:$C$251,0))</f>
        <v>North Slope</v>
      </c>
      <c r="K154" s="709" t="str">
        <f t="array" ref="K154">INDEX(UtilityList!K$4:K$251,MATCH('Table 2.5c'!$A154&amp;'Table 2.5c'!$B154,UtilityList!$A$4:$A$251&amp;UtilityList!$C$4:$C$251,0))</f>
        <v>North Slope</v>
      </c>
      <c r="L154" s="709" t="str">
        <f t="array" ref="L154">INDEX(UtilityList!L$4:L$251,MATCH('Table 2.5c'!$A154&amp;'Table 2.5c'!$B154,UtilityList!$A$4:$A$251&amp;UtilityList!$C$4:$C$251,0))</f>
        <v>Arctic Slope</v>
      </c>
      <c r="M154" s="709" t="str">
        <f t="array" ref="M154">INDEX(UtilityList!M$4:M$251,MATCH('Table 2.5c'!$A154&amp;'Table 2.5c'!$B154,UtilityList!$A$4:$A$251&amp;UtilityList!$C$4:$C$251,0))</f>
        <v>AN</v>
      </c>
    </row>
    <row r="155" spans="1:13" s="63" customFormat="1" x14ac:dyDescent="0.25">
      <c r="A155" s="710" t="s">
        <v>277</v>
      </c>
      <c r="B155" s="710" t="s">
        <v>284</v>
      </c>
      <c r="C155" s="711">
        <v>0.15</v>
      </c>
      <c r="D155" s="711">
        <v>1.095E-2</v>
      </c>
      <c r="E155" s="712">
        <v>0.13905000000000001</v>
      </c>
      <c r="F155" s="713">
        <v>7.2999999999999995E-2</v>
      </c>
      <c r="G155" s="658" t="s">
        <v>356</v>
      </c>
      <c r="H155" s="622" t="s">
        <v>554</v>
      </c>
      <c r="I155" s="709">
        <f t="array" ref="I155">INDEX(UtilityList!Q$4:Q$251,MATCH('Table 2.5c'!$A155&amp;'Table 2.5c'!$B155,UtilityList!$A$4:$A$251&amp;UtilityList!$C$4:$C$251,0))</f>
        <v>0</v>
      </c>
      <c r="J155" s="709" t="str">
        <f t="array" ref="J155">INDEX(UtilityList!J$4:J$251,MATCH('Table 2.5c'!$A155&amp;'Table 2.5c'!$B155,UtilityList!$A$4:$A$251&amp;UtilityList!$C$4:$C$251,0))</f>
        <v>North Slope</v>
      </c>
      <c r="K155" s="709" t="str">
        <f t="array" ref="K155">INDEX(UtilityList!K$4:K$251,MATCH('Table 2.5c'!$A155&amp;'Table 2.5c'!$B155,UtilityList!$A$4:$A$251&amp;UtilityList!$C$4:$C$251,0))</f>
        <v>North Slope</v>
      </c>
      <c r="L155" s="709" t="str">
        <f t="array" ref="L155">INDEX(UtilityList!L$4:L$251,MATCH('Table 2.5c'!$A155&amp;'Table 2.5c'!$B155,UtilityList!$A$4:$A$251&amp;UtilityList!$C$4:$C$251,0))</f>
        <v>Arctic Slope</v>
      </c>
      <c r="M155" s="709" t="str">
        <f t="array" ref="M155">INDEX(UtilityList!M$4:M$251,MATCH('Table 2.5c'!$A155&amp;'Table 2.5c'!$B155,UtilityList!$A$4:$A$251&amp;UtilityList!$C$4:$C$251,0))</f>
        <v>AN</v>
      </c>
    </row>
    <row r="156" spans="1:13" s="63" customFormat="1" x14ac:dyDescent="0.25">
      <c r="A156" s="710" t="s">
        <v>285</v>
      </c>
      <c r="B156" s="710" t="s">
        <v>286</v>
      </c>
      <c r="C156" s="711">
        <v>0.53</v>
      </c>
      <c r="D156" s="711">
        <v>0.27150000000000002</v>
      </c>
      <c r="E156" s="712">
        <v>0.25850000000000001</v>
      </c>
      <c r="F156" s="713">
        <v>0.51226415094339628</v>
      </c>
      <c r="G156" s="658" t="s">
        <v>356</v>
      </c>
      <c r="H156" s="622" t="s">
        <v>554</v>
      </c>
      <c r="I156" s="709">
        <f t="array" ref="I156">INDEX(UtilityList!Q$4:Q$251,MATCH('Table 2.5c'!$A156&amp;'Table 2.5c'!$B156,UtilityList!$A$4:$A$251&amp;UtilityList!$C$4:$C$251,0))</f>
        <v>0</v>
      </c>
      <c r="J156" s="709" t="str">
        <f t="array" ref="J156">INDEX(UtilityList!J$4:J$251,MATCH('Table 2.5c'!$A156&amp;'Table 2.5c'!$B156,UtilityList!$A$4:$A$251&amp;UtilityList!$C$4:$C$251,0))</f>
        <v>Lower Yukon-Kuskokwim</v>
      </c>
      <c r="K156" s="709" t="str">
        <f t="array" ref="K156">INDEX(UtilityList!K$4:K$251,MATCH('Table 2.5c'!$A156&amp;'Table 2.5c'!$B156,UtilityList!$A$4:$A$251&amp;UtilityList!$C$4:$C$251,0))</f>
        <v>Wade Hampton (CA)</v>
      </c>
      <c r="L156" s="709" t="str">
        <f t="array" ref="L156">INDEX(UtilityList!L$4:L$251,MATCH('Table 2.5c'!$A156&amp;'Table 2.5c'!$B156,UtilityList!$A$4:$A$251&amp;UtilityList!$C$4:$C$251,0))</f>
        <v>Calista</v>
      </c>
      <c r="M156" s="709" t="str">
        <f t="array" ref="M156">INDEX(UtilityList!M$4:M$251,MATCH('Table 2.5c'!$A156&amp;'Table 2.5c'!$B156,UtilityList!$A$4:$A$251&amp;UtilityList!$C$4:$C$251,0))</f>
        <v>YU</v>
      </c>
    </row>
    <row r="157" spans="1:13" s="63" customFormat="1" ht="45" x14ac:dyDescent="0.25">
      <c r="A157" s="710" t="s">
        <v>536</v>
      </c>
      <c r="B157" s="710" t="s">
        <v>687</v>
      </c>
      <c r="C157" s="711">
        <v>0.40021667</v>
      </c>
      <c r="D157" s="711">
        <v>0.20178333000000001</v>
      </c>
      <c r="E157" s="712">
        <v>0.19843333999999999</v>
      </c>
      <c r="F157" s="713">
        <v>0.50418522047070158</v>
      </c>
      <c r="G157" s="658" t="s">
        <v>356</v>
      </c>
      <c r="H157" s="622" t="s">
        <v>554</v>
      </c>
      <c r="I157" s="709" t="str">
        <f t="array" ref="I157">INDEX(UtilityList!Q$4:Q$251,MATCH('Table 2.5c'!$A157&amp;'Table 2.5c'!$B157,UtilityList!$A$4:$A$251&amp;UtilityList!$C$4:$C$251,0))</f>
        <v>Provides power to Aleknagik via intertie. Data includes Aleknagik's information.</v>
      </c>
      <c r="J157" s="709" t="str">
        <f t="array" ref="J157">INDEX(UtilityList!J$4:J$251,MATCH('Table 2.5c'!$A157&amp;'Table 2.5c'!$B157,UtilityList!$A$4:$A$251&amp;UtilityList!$C$4:$C$251,0))</f>
        <v>Bristol Bay</v>
      </c>
      <c r="K157" s="709" t="str">
        <f t="array" ref="K157">INDEX(UtilityList!K$4:K$251,MATCH('Table 2.5c'!$A157&amp;'Table 2.5c'!$B157,UtilityList!$A$4:$A$251&amp;UtilityList!$C$4:$C$251,0))</f>
        <v>Dillingham (CA)</v>
      </c>
      <c r="L157" s="709" t="str">
        <f t="array" ref="L157">INDEX(UtilityList!L$4:L$251,MATCH('Table 2.5c'!$A157&amp;'Table 2.5c'!$B157,UtilityList!$A$4:$A$251&amp;UtilityList!$C$4:$C$251,0))</f>
        <v>Bristol Bay</v>
      </c>
      <c r="M157" s="709" t="str">
        <f t="array" ref="M157">INDEX(UtilityList!M$4:M$251,MATCH('Table 2.5c'!$A157&amp;'Table 2.5c'!$B157,UtilityList!$A$4:$A$251&amp;UtilityList!$C$4:$C$251,0))</f>
        <v>SW</v>
      </c>
    </row>
    <row r="158" spans="1:13" s="63" customFormat="1" x14ac:dyDescent="0.25">
      <c r="A158" s="710" t="s">
        <v>288</v>
      </c>
      <c r="B158" s="710" t="s">
        <v>289</v>
      </c>
      <c r="C158" s="711">
        <v>0.41422500000000001</v>
      </c>
      <c r="D158" s="711">
        <v>0.21595</v>
      </c>
      <c r="E158" s="712">
        <v>0.19827500000000001</v>
      </c>
      <c r="F158" s="713">
        <v>0.52133502323616387</v>
      </c>
      <c r="G158" s="658" t="s">
        <v>356</v>
      </c>
      <c r="H158" s="622" t="s">
        <v>554</v>
      </c>
      <c r="I158" s="709">
        <f t="array" ref="I158">INDEX(UtilityList!Q$4:Q$251,MATCH('Table 2.5c'!$A158&amp;'Table 2.5c'!$B158,UtilityList!$A$4:$A$251&amp;UtilityList!$C$4:$C$251,0))</f>
        <v>0</v>
      </c>
      <c r="J158" s="709" t="str">
        <f t="array" ref="J158">INDEX(UtilityList!J$4:J$251,MATCH('Table 2.5c'!$A158&amp;'Table 2.5c'!$B158,UtilityList!$A$4:$A$251&amp;UtilityList!$C$4:$C$251,0))</f>
        <v>Kodiak</v>
      </c>
      <c r="K158" s="709" t="str">
        <f t="array" ref="K158">INDEX(UtilityList!K$4:K$251,MATCH('Table 2.5c'!$A158&amp;'Table 2.5c'!$B158,UtilityList!$A$4:$A$251&amp;UtilityList!$C$4:$C$251,0))</f>
        <v>Kodiak Island</v>
      </c>
      <c r="L158" s="709" t="str">
        <f t="array" ref="L158">INDEX(UtilityList!L$4:L$251,MATCH('Table 2.5c'!$A158&amp;'Table 2.5c'!$B158,UtilityList!$A$4:$A$251&amp;UtilityList!$C$4:$C$251,0))</f>
        <v>Koniag</v>
      </c>
      <c r="M158" s="709" t="str">
        <f t="array" ref="M158">INDEX(UtilityList!M$4:M$251,MATCH('Table 2.5c'!$A158&amp;'Table 2.5c'!$B158,UtilityList!$A$4:$A$251&amp;UtilityList!$C$4:$C$251,0))</f>
        <v>SC</v>
      </c>
    </row>
    <row r="159" spans="1:13" s="126" customFormat="1" x14ac:dyDescent="0.25">
      <c r="A159" s="710" t="s">
        <v>290</v>
      </c>
      <c r="B159" s="710" t="s">
        <v>291</v>
      </c>
      <c r="C159" s="711">
        <v>0.91</v>
      </c>
      <c r="D159" s="711">
        <v>0.459675</v>
      </c>
      <c r="E159" s="712">
        <v>0.45032500000000003</v>
      </c>
      <c r="F159" s="713">
        <v>0.50513736263736264</v>
      </c>
      <c r="G159" s="658" t="s">
        <v>356</v>
      </c>
      <c r="H159" s="622" t="s">
        <v>554</v>
      </c>
      <c r="I159" s="709">
        <f t="array" ref="I159">INDEX(UtilityList!Q$4:Q$251,MATCH('Table 2.5c'!$A159&amp;'Table 2.5c'!$B159,UtilityList!$A$4:$A$251&amp;UtilityList!$C$4:$C$251,0))</f>
        <v>0</v>
      </c>
      <c r="J159" s="709" t="str">
        <f t="array" ref="J159">INDEX(UtilityList!J$4:J$251,MATCH('Table 2.5c'!$A159&amp;'Table 2.5c'!$B159,UtilityList!$A$4:$A$251&amp;UtilityList!$C$4:$C$251,0))</f>
        <v>Bristol Bay</v>
      </c>
      <c r="K159" s="709" t="str">
        <f t="array" ref="K159">INDEX(UtilityList!K$4:K$251,MATCH('Table 2.5c'!$A159&amp;'Table 2.5c'!$B159,UtilityList!$A$4:$A$251&amp;UtilityList!$C$4:$C$251,0))</f>
        <v>Lake and Peninsula</v>
      </c>
      <c r="L159" s="709" t="str">
        <f t="array" ref="L159">INDEX(UtilityList!L$4:L$251,MATCH('Table 2.5c'!$A159&amp;'Table 2.5c'!$B159,UtilityList!$A$4:$A$251&amp;UtilityList!$C$4:$C$251,0))</f>
        <v>Bristol Bay</v>
      </c>
      <c r="M159" s="709" t="str">
        <f t="array" ref="M159">INDEX(UtilityList!M$4:M$251,MATCH('Table 2.5c'!$A159&amp;'Table 2.5c'!$B159,UtilityList!$A$4:$A$251&amp;UtilityList!$C$4:$C$251,0))</f>
        <v>SW</v>
      </c>
    </row>
    <row r="160" spans="1:13" s="63" customFormat="1" x14ac:dyDescent="0.25">
      <c r="A160" s="710" t="s">
        <v>292</v>
      </c>
      <c r="B160" s="710" t="s">
        <v>293</v>
      </c>
      <c r="C160" s="711">
        <v>0.68623332999999997</v>
      </c>
      <c r="D160" s="711">
        <v>0.37854167</v>
      </c>
      <c r="E160" s="712">
        <v>0.30769165999999998</v>
      </c>
      <c r="F160" s="713">
        <v>0.55162239059417295</v>
      </c>
      <c r="G160" s="658" t="s">
        <v>356</v>
      </c>
      <c r="H160" s="622" t="s">
        <v>554</v>
      </c>
      <c r="I160" s="709">
        <f t="array" ref="I160">INDEX(UtilityList!Q$4:Q$251,MATCH('Table 2.5c'!$A160&amp;'Table 2.5c'!$B160,UtilityList!$A$4:$A$251&amp;UtilityList!$C$4:$C$251,0))</f>
        <v>0</v>
      </c>
      <c r="J160" s="709" t="str">
        <f t="array" ref="J160">INDEX(UtilityList!J$4:J$251,MATCH('Table 2.5c'!$A160&amp;'Table 2.5c'!$B160,UtilityList!$A$4:$A$251&amp;UtilityList!$C$4:$C$251,0))</f>
        <v>Southeast</v>
      </c>
      <c r="K160" s="709" t="str">
        <f t="array" ref="K160">INDEX(UtilityList!K$4:K$251,MATCH('Table 2.5c'!$A160&amp;'Table 2.5c'!$B160,UtilityList!$A$4:$A$251&amp;UtilityList!$C$4:$C$251,0))</f>
        <v>Hoonah-Angoon (CA)</v>
      </c>
      <c r="L160" s="709" t="str">
        <f t="array" ref="L160">INDEX(UtilityList!L$4:L$251,MATCH('Table 2.5c'!$A160&amp;'Table 2.5c'!$B160,UtilityList!$A$4:$A$251&amp;UtilityList!$C$4:$C$251,0))</f>
        <v>Sealaska</v>
      </c>
      <c r="M160" s="709" t="str">
        <f t="array" ref="M160">INDEX(UtilityList!M$4:M$251,MATCH('Table 2.5c'!$A160&amp;'Table 2.5c'!$B160,UtilityList!$A$4:$A$251&amp;UtilityList!$C$4:$C$251,0))</f>
        <v>SE</v>
      </c>
    </row>
    <row r="161" spans="1:13" s="63" customFormat="1" x14ac:dyDescent="0.25">
      <c r="A161" s="352" t="s">
        <v>294</v>
      </c>
      <c r="B161" s="352" t="s">
        <v>295</v>
      </c>
      <c r="C161" s="711">
        <v>9.8425621658737555E-2</v>
      </c>
      <c r="D161" s="711">
        <v>0</v>
      </c>
      <c r="E161" s="712">
        <v>9.8425621658737555E-2</v>
      </c>
      <c r="F161" s="713">
        <v>0</v>
      </c>
      <c r="G161" s="685" t="s">
        <v>558</v>
      </c>
      <c r="H161" s="685" t="s">
        <v>581</v>
      </c>
      <c r="I161" s="709">
        <f t="array" ref="I161">INDEX(UtilityList!Q$4:Q$251,MATCH('Table 2.5c'!$A161&amp;'Table 2.5c'!$B161,UtilityList!$A$4:$A$251&amp;UtilityList!$C$4:$C$251,0))</f>
        <v>0</v>
      </c>
      <c r="J161" s="709" t="str">
        <f t="array" ref="J161">INDEX(UtilityList!J$4:J$251,MATCH('Table 2.5c'!$A161&amp;'Table 2.5c'!$B161,UtilityList!$A$4:$A$251&amp;UtilityList!$C$4:$C$251,0))</f>
        <v>Southeast</v>
      </c>
      <c r="K161" s="709" t="str">
        <f t="array" ref="K161">INDEX(UtilityList!K$4:K$251,MATCH('Table 2.5c'!$A161&amp;'Table 2.5c'!$B161,UtilityList!$A$4:$A$251&amp;UtilityList!$C$4:$C$251,0))</f>
        <v>Petersburg (CA)</v>
      </c>
      <c r="L161" s="709" t="str">
        <f t="array" ref="L161">INDEX(UtilityList!L$4:L$251,MATCH('Table 2.5c'!$A161&amp;'Table 2.5c'!$B161,UtilityList!$A$4:$A$251&amp;UtilityList!$C$4:$C$251,0))</f>
        <v>Sealaska</v>
      </c>
      <c r="M161" s="709" t="str">
        <f t="array" ref="M161">INDEX(UtilityList!M$4:M$251,MATCH('Table 2.5c'!$A161&amp;'Table 2.5c'!$B161,UtilityList!$A$4:$A$251&amp;UtilityList!$C$4:$C$251,0))</f>
        <v>SE</v>
      </c>
    </row>
    <row r="162" spans="1:13" s="63" customFormat="1" x14ac:dyDescent="0.25">
      <c r="A162" s="710" t="s">
        <v>296</v>
      </c>
      <c r="B162" s="710" t="s">
        <v>297</v>
      </c>
      <c r="C162" s="711">
        <v>0.5</v>
      </c>
      <c r="D162" s="711">
        <v>0.36175833000000002</v>
      </c>
      <c r="E162" s="712">
        <v>0.13824166999999998</v>
      </c>
      <c r="F162" s="713">
        <v>0.72351666000000003</v>
      </c>
      <c r="G162" s="658" t="s">
        <v>356</v>
      </c>
      <c r="H162" s="622" t="s">
        <v>554</v>
      </c>
      <c r="I162" s="709">
        <f t="array" ref="I162">INDEX(UtilityList!Q$4:Q$251,MATCH('Table 2.5c'!$A162&amp;'Table 2.5c'!$B162,UtilityList!$A$4:$A$251&amp;UtilityList!$C$4:$C$251,0))</f>
        <v>0</v>
      </c>
      <c r="J162" s="709" t="str">
        <f t="array" ref="J162">INDEX(UtilityList!J$4:J$251,MATCH('Table 2.5c'!$A162&amp;'Table 2.5c'!$B162,UtilityList!$A$4:$A$251&amp;UtilityList!$C$4:$C$251,0))</f>
        <v>Bristol Bay</v>
      </c>
      <c r="K162" s="709" t="str">
        <f t="array" ref="K162">INDEX(UtilityList!K$4:K$251,MATCH('Table 2.5c'!$A162&amp;'Table 2.5c'!$B162,UtilityList!$A$4:$A$251&amp;UtilityList!$C$4:$C$251,0))</f>
        <v>Lake and Peninsula</v>
      </c>
      <c r="L162" s="709" t="str">
        <f t="array" ref="L162">INDEX(UtilityList!L$4:L$251,MATCH('Table 2.5c'!$A162&amp;'Table 2.5c'!$B162,UtilityList!$A$4:$A$251&amp;UtilityList!$C$4:$C$251,0))</f>
        <v>Bristol Bay</v>
      </c>
      <c r="M162" s="709" t="str">
        <f t="array" ref="M162">INDEX(UtilityList!M$4:M$251,MATCH('Table 2.5c'!$A162&amp;'Table 2.5c'!$B162,UtilityList!$A$4:$A$251&amp;UtilityList!$C$4:$C$251,0))</f>
        <v>SW</v>
      </c>
    </row>
    <row r="163" spans="1:13" s="63" customFormat="1" x14ac:dyDescent="0.25">
      <c r="A163" s="710" t="s">
        <v>300</v>
      </c>
      <c r="B163" s="710" t="s">
        <v>301</v>
      </c>
      <c r="C163" s="711">
        <v>0.75</v>
      </c>
      <c r="D163" s="711">
        <v>0.2107</v>
      </c>
      <c r="E163" s="712">
        <v>0.5393</v>
      </c>
      <c r="F163" s="713">
        <v>0.28093333333333331</v>
      </c>
      <c r="G163" s="658" t="s">
        <v>356</v>
      </c>
      <c r="H163" s="622" t="s">
        <v>554</v>
      </c>
      <c r="I163" s="709">
        <f t="array" ref="I163">INDEX(UtilityList!Q$4:Q$251,MATCH('Table 2.5c'!$A163&amp;'Table 2.5c'!$B163,UtilityList!$A$4:$A$251&amp;UtilityList!$C$4:$C$251,0))</f>
        <v>0</v>
      </c>
      <c r="J163" s="709" t="str">
        <f t="array" ref="J163">INDEX(UtilityList!J$4:J$251,MATCH('Table 2.5c'!$A163&amp;'Table 2.5c'!$B163,UtilityList!$A$4:$A$251&amp;UtilityList!$C$4:$C$251,0))</f>
        <v>Bristol Bay</v>
      </c>
      <c r="K163" s="709" t="str">
        <f t="array" ref="K163">INDEX(UtilityList!K$4:K$251,MATCH('Table 2.5c'!$A163&amp;'Table 2.5c'!$B163,UtilityList!$A$4:$A$251&amp;UtilityList!$C$4:$C$251,0))</f>
        <v>Lake and Peninsula</v>
      </c>
      <c r="L163" s="709" t="str">
        <f t="array" ref="L163">INDEX(UtilityList!L$4:L$251,MATCH('Table 2.5c'!$A163&amp;'Table 2.5c'!$B163,UtilityList!$A$4:$A$251&amp;UtilityList!$C$4:$C$251,0))</f>
        <v>Bristol Bay</v>
      </c>
      <c r="M163" s="709" t="str">
        <f t="array" ref="M163">INDEX(UtilityList!M$4:M$251,MATCH('Table 2.5c'!$A163&amp;'Table 2.5c'!$B163,UtilityList!$A$4:$A$251&amp;UtilityList!$C$4:$C$251,0))</f>
        <v>SW</v>
      </c>
    </row>
    <row r="164" spans="1:13" s="63" customFormat="1" x14ac:dyDescent="0.25">
      <c r="A164" s="710" t="s">
        <v>302</v>
      </c>
      <c r="B164" s="710" t="s">
        <v>303</v>
      </c>
      <c r="C164" s="711">
        <v>0.55844167</v>
      </c>
      <c r="D164" s="711">
        <v>0.35175000000000001</v>
      </c>
      <c r="E164" s="712">
        <v>0.20669166999999999</v>
      </c>
      <c r="F164" s="713">
        <v>0.62987778114767112</v>
      </c>
      <c r="G164" s="658" t="s">
        <v>356</v>
      </c>
      <c r="H164" s="622" t="s">
        <v>554</v>
      </c>
      <c r="I164" s="709">
        <f t="array" ref="I164">INDEX(UtilityList!Q$4:Q$251,MATCH('Table 2.5c'!$A164&amp;'Table 2.5c'!$B164,UtilityList!$A$4:$A$251&amp;UtilityList!$C$4:$C$251,0))</f>
        <v>0</v>
      </c>
      <c r="J164" s="709" t="str">
        <f t="array" ref="J164">INDEX(UtilityList!J$4:J$251,MATCH('Table 2.5c'!$A164&amp;'Table 2.5c'!$B164,UtilityList!$A$4:$A$251&amp;UtilityList!$C$4:$C$251,0))</f>
        <v>Lower Yukon-Kuskokwim</v>
      </c>
      <c r="K164" s="709" t="str">
        <f t="array" ref="K164">INDEX(UtilityList!K$4:K$251,MATCH('Table 2.5c'!$A164&amp;'Table 2.5c'!$B164,UtilityList!$A$4:$A$251&amp;UtilityList!$C$4:$C$251,0))</f>
        <v>Bethel (CA)</v>
      </c>
      <c r="L164" s="709" t="str">
        <f t="array" ref="L164">INDEX(UtilityList!L$4:L$251,MATCH('Table 2.5c'!$A164&amp;'Table 2.5c'!$B164,UtilityList!$A$4:$A$251&amp;UtilityList!$C$4:$C$251,0))</f>
        <v>Calista</v>
      </c>
      <c r="M164" s="709" t="str">
        <f t="array" ref="M164">INDEX(UtilityList!M$4:M$251,MATCH('Table 2.5c'!$A164&amp;'Table 2.5c'!$B164,UtilityList!$A$4:$A$251&amp;UtilityList!$C$4:$C$251,0))</f>
        <v>SW</v>
      </c>
    </row>
    <row r="165" spans="1:13" s="63" customFormat="1" x14ac:dyDescent="0.25">
      <c r="A165" s="710" t="s">
        <v>306</v>
      </c>
      <c r="B165" s="710" t="s">
        <v>307</v>
      </c>
      <c r="C165" s="711">
        <v>0.84</v>
      </c>
      <c r="D165" s="711">
        <v>0.45610833000000001</v>
      </c>
      <c r="E165" s="712">
        <v>0.38389166999999996</v>
      </c>
      <c r="F165" s="713">
        <v>0.54298610714285722</v>
      </c>
      <c r="G165" s="658" t="s">
        <v>356</v>
      </c>
      <c r="H165" s="622" t="s">
        <v>554</v>
      </c>
      <c r="I165" s="709">
        <f t="array" ref="I165">INDEX(UtilityList!Q$4:Q$251,MATCH('Table 2.5c'!$A165&amp;'Table 2.5c'!$B165,UtilityList!$A$4:$A$251&amp;UtilityList!$C$4:$C$251,0))</f>
        <v>0</v>
      </c>
      <c r="J165" s="709" t="str">
        <f t="array" ref="J165">INDEX(UtilityList!J$4:J$251,MATCH('Table 2.5c'!$A165&amp;'Table 2.5c'!$B165,UtilityList!$A$4:$A$251&amp;UtilityList!$C$4:$C$251,0))</f>
        <v>Yukon-Koyukuk/Upper Tanana</v>
      </c>
      <c r="K165" s="709" t="str">
        <f t="array" ref="K165">INDEX(UtilityList!K$4:K$251,MATCH('Table 2.5c'!$A165&amp;'Table 2.5c'!$B165,UtilityList!$A$4:$A$251&amp;UtilityList!$C$4:$C$251,0))</f>
        <v>Yukon-Koyukuk (CA)</v>
      </c>
      <c r="L165" s="709" t="str">
        <f t="array" ref="L165">INDEX(UtilityList!L$4:L$251,MATCH('Table 2.5c'!$A165&amp;'Table 2.5c'!$B165,UtilityList!$A$4:$A$251&amp;UtilityList!$C$4:$C$251,0))</f>
        <v>Doyon</v>
      </c>
      <c r="M165" s="709" t="str">
        <f t="array" ref="M165">INDEX(UtilityList!M$4:M$251,MATCH('Table 2.5c'!$A165&amp;'Table 2.5c'!$B165,UtilityList!$A$4:$A$251&amp;UtilityList!$C$4:$C$251,0))</f>
        <v>YU</v>
      </c>
    </row>
    <row r="166" spans="1:13" s="63" customFormat="1" x14ac:dyDescent="0.25">
      <c r="A166" s="710" t="s">
        <v>308</v>
      </c>
      <c r="B166" s="710" t="s">
        <v>309</v>
      </c>
      <c r="C166" s="711">
        <v>0.83250000000000002</v>
      </c>
      <c r="D166" s="711">
        <v>0.52456250000000004</v>
      </c>
      <c r="E166" s="712">
        <v>0.30793749999999998</v>
      </c>
      <c r="F166" s="713">
        <v>0.63010510510510509</v>
      </c>
      <c r="G166" s="658" t="s">
        <v>356</v>
      </c>
      <c r="H166" s="622" t="s">
        <v>554</v>
      </c>
      <c r="I166" s="709">
        <f t="array" ref="I166">INDEX(UtilityList!Q$4:Q$251,MATCH('Table 2.5c'!$A166&amp;'Table 2.5c'!$B166,UtilityList!$A$4:$A$251&amp;UtilityList!$C$4:$C$251,0))</f>
        <v>0</v>
      </c>
      <c r="J166" s="709" t="str">
        <f t="array" ref="J166">INDEX(UtilityList!J$4:J$251,MATCH('Table 2.5c'!$A166&amp;'Table 2.5c'!$B166,UtilityList!$A$4:$A$251&amp;UtilityList!$C$4:$C$251,0))</f>
        <v>Aleutians</v>
      </c>
      <c r="K166" s="709" t="str">
        <f t="array" ref="K166">INDEX(UtilityList!K$4:K$251,MATCH('Table 2.5c'!$A166&amp;'Table 2.5c'!$B166,UtilityList!$A$4:$A$251&amp;UtilityList!$C$4:$C$251,0))</f>
        <v>Aleutians West (CA)</v>
      </c>
      <c r="L166" s="709" t="str">
        <f t="array" ref="L166">INDEX(UtilityList!L$4:L$251,MATCH('Table 2.5c'!$A166&amp;'Table 2.5c'!$B166,UtilityList!$A$4:$A$251&amp;UtilityList!$C$4:$C$251,0))</f>
        <v>Aleut</v>
      </c>
      <c r="M166" s="709" t="str">
        <f t="array" ref="M166">INDEX(UtilityList!M$4:M$251,MATCH('Table 2.5c'!$A166&amp;'Table 2.5c'!$B166,UtilityList!$A$4:$A$251&amp;UtilityList!$C$4:$C$251,0))</f>
        <v>SW</v>
      </c>
    </row>
    <row r="167" spans="1:13" s="63" customFormat="1" x14ac:dyDescent="0.25">
      <c r="A167" s="710" t="s">
        <v>633</v>
      </c>
      <c r="B167" s="710" t="s">
        <v>320</v>
      </c>
      <c r="C167" s="711">
        <v>0.51916667000000005</v>
      </c>
      <c r="D167" s="711">
        <v>0.31095</v>
      </c>
      <c r="E167" s="712">
        <v>0.20821667000000005</v>
      </c>
      <c r="F167" s="713">
        <v>0.59894060610632027</v>
      </c>
      <c r="G167" s="658" t="s">
        <v>356</v>
      </c>
      <c r="H167" s="622" t="s">
        <v>554</v>
      </c>
      <c r="I167" s="709">
        <f t="array" ref="I167">INDEX(UtilityList!Q$4:Q$251,MATCH('Table 2.5c'!$A167&amp;'Table 2.5c'!$B167,UtilityList!$A$4:$A$251&amp;UtilityList!$C$4:$C$251,0))</f>
        <v>0</v>
      </c>
      <c r="J167" s="709" t="str">
        <f t="array" ref="J167">INDEX(UtilityList!J$4:J$251,MATCH('Table 2.5c'!$A167&amp;'Table 2.5c'!$B167,UtilityList!$A$4:$A$251&amp;UtilityList!$C$4:$C$251,0))</f>
        <v>Aleutians</v>
      </c>
      <c r="K167" s="709" t="str">
        <f t="array" ref="K167">INDEX(UtilityList!K$4:K$251,MATCH('Table 2.5c'!$A167&amp;'Table 2.5c'!$B167,UtilityList!$A$4:$A$251&amp;UtilityList!$C$4:$C$251,0))</f>
        <v>Aleutians West (CA)</v>
      </c>
      <c r="L167" s="709" t="str">
        <f t="array" ref="L167">INDEX(UtilityList!L$4:L$251,MATCH('Table 2.5c'!$A167&amp;'Table 2.5c'!$B167,UtilityList!$A$4:$A$251&amp;UtilityList!$C$4:$C$251,0))</f>
        <v>Aleut</v>
      </c>
      <c r="M167" s="709" t="str">
        <f t="array" ref="M167">INDEX(UtilityList!M$4:M$251,MATCH('Table 2.5c'!$A167&amp;'Table 2.5c'!$B167,UtilityList!$A$4:$A$251&amp;UtilityList!$C$4:$C$251,0))</f>
        <v>SW</v>
      </c>
    </row>
    <row r="168" spans="1:13" s="63" customFormat="1" x14ac:dyDescent="0.25">
      <c r="A168" s="352" t="s">
        <v>310</v>
      </c>
      <c r="B168" s="352" t="s">
        <v>311</v>
      </c>
      <c r="C168" s="711">
        <v>0.19222999999999998</v>
      </c>
      <c r="D168" s="711">
        <v>0</v>
      </c>
      <c r="E168" s="712">
        <v>0.19222999999999998</v>
      </c>
      <c r="F168" s="713">
        <v>0</v>
      </c>
      <c r="G168" s="685" t="s">
        <v>558</v>
      </c>
      <c r="H168" s="685" t="s">
        <v>581</v>
      </c>
      <c r="I168" s="709">
        <f t="array" ref="I168">INDEX(UtilityList!Q$4:Q$251,MATCH('Table 2.5c'!$A168&amp;'Table 2.5c'!$B168,UtilityList!$A$4:$A$251&amp;UtilityList!$C$4:$C$251,0))</f>
        <v>0</v>
      </c>
      <c r="J168" s="709" t="str">
        <f t="array" ref="J168">INDEX(UtilityList!J$4:J$251,MATCH('Table 2.5c'!$A168&amp;'Table 2.5c'!$B168,UtilityList!$A$4:$A$251&amp;UtilityList!$C$4:$C$251,0))</f>
        <v>Railbelt</v>
      </c>
      <c r="K168" s="709" t="str">
        <f t="array" ref="K168">INDEX(UtilityList!K$4:K$251,MATCH('Table 2.5c'!$A168&amp;'Table 2.5c'!$B168,UtilityList!$A$4:$A$251&amp;UtilityList!$C$4:$C$251,0))</f>
        <v>Kenai Peninsula</v>
      </c>
      <c r="L168" s="709" t="str">
        <f t="array" ref="L168">INDEX(UtilityList!L$4:L$251,MATCH('Table 2.5c'!$A168&amp;'Table 2.5c'!$B168,UtilityList!$A$4:$A$251&amp;UtilityList!$C$4:$C$251,0))</f>
        <v>Chugach</v>
      </c>
      <c r="M168" s="709" t="str">
        <f t="array" ref="M168">INDEX(UtilityList!M$4:M$251,MATCH('Table 2.5c'!$A168&amp;'Table 2.5c'!$B168,UtilityList!$A$4:$A$251&amp;UtilityList!$C$4:$C$251,0))</f>
        <v>SC</v>
      </c>
    </row>
    <row r="169" spans="1:13" s="63" customFormat="1" x14ac:dyDescent="0.25">
      <c r="A169" s="352" t="s">
        <v>638</v>
      </c>
      <c r="B169" s="352" t="s">
        <v>314</v>
      </c>
      <c r="C169" s="711">
        <v>9.468E-2</v>
      </c>
      <c r="D169" s="711">
        <v>0</v>
      </c>
      <c r="E169" s="712">
        <v>9.468E-2</v>
      </c>
      <c r="F169" s="713">
        <v>0</v>
      </c>
      <c r="G169" s="685" t="s">
        <v>558</v>
      </c>
      <c r="H169" s="685" t="s">
        <v>581</v>
      </c>
      <c r="I169" s="709">
        <f t="array" ref="I169">INDEX(UtilityList!Q$4:Q$251,MATCH('Table 2.5c'!$A169&amp;'Table 2.5c'!$B169,UtilityList!$A$4:$A$251&amp;UtilityList!$C$4:$C$251,0))</f>
        <v>0</v>
      </c>
      <c r="J169" s="709" t="str">
        <f t="array" ref="J169">INDEX(UtilityList!J$4:J$251,MATCH('Table 2.5c'!$A169&amp;'Table 2.5c'!$B169,UtilityList!$A$4:$A$251&amp;UtilityList!$C$4:$C$251,0))</f>
        <v>Southeast</v>
      </c>
      <c r="K169" s="709" t="str">
        <f t="array" ref="K169">INDEX(UtilityList!K$4:K$251,MATCH('Table 2.5c'!$A169&amp;'Table 2.5c'!$B169,UtilityList!$A$4:$A$251&amp;UtilityList!$C$4:$C$251,0))</f>
        <v>Sitka</v>
      </c>
      <c r="L169" s="709" t="str">
        <f t="array" ref="L169">INDEX(UtilityList!L$4:L$251,MATCH('Table 2.5c'!$A169&amp;'Table 2.5c'!$B169,UtilityList!$A$4:$A$251&amp;UtilityList!$C$4:$C$251,0))</f>
        <v>Sealaska</v>
      </c>
      <c r="M169" s="709" t="str">
        <f t="array" ref="M169">INDEX(UtilityList!M$4:M$251,MATCH('Table 2.5c'!$A169&amp;'Table 2.5c'!$B169,UtilityList!$A$4:$A$251&amp;UtilityList!$C$4:$C$251,0))</f>
        <v>SE</v>
      </c>
    </row>
    <row r="170" spans="1:13" s="63" customFormat="1" x14ac:dyDescent="0.25">
      <c r="A170" s="710" t="s">
        <v>323</v>
      </c>
      <c r="B170" s="710" t="s">
        <v>324</v>
      </c>
      <c r="C170" s="711">
        <v>1.022</v>
      </c>
      <c r="D170" s="711">
        <v>0.57379999999999998</v>
      </c>
      <c r="E170" s="712">
        <v>0.44820000000000004</v>
      </c>
      <c r="F170" s="713">
        <v>0.56144814090019568</v>
      </c>
      <c r="G170" s="658" t="s">
        <v>356</v>
      </c>
      <c r="H170" s="622" t="s">
        <v>554</v>
      </c>
      <c r="I170" s="709">
        <f t="array" ref="I170">INDEX(UtilityList!Q$4:Q$251,MATCH('Table 2.5c'!$A170&amp;'Table 2.5c'!$B170,UtilityList!$A$4:$A$251&amp;UtilityList!$C$4:$C$251,0))</f>
        <v>0</v>
      </c>
      <c r="J170" s="709" t="str">
        <f t="array" ref="J170">INDEX(UtilityList!J$4:J$251,MATCH('Table 2.5c'!$A170&amp;'Table 2.5c'!$B170,UtilityList!$A$4:$A$251&amp;UtilityList!$C$4:$C$251,0))</f>
        <v>Yukon-Koyukuk/Upper Tanana</v>
      </c>
      <c r="K170" s="709" t="str">
        <f t="array" ref="K170">INDEX(UtilityList!K$4:K$251,MATCH('Table 2.5c'!$A170&amp;'Table 2.5c'!$B170,UtilityList!$A$4:$A$251&amp;UtilityList!$C$4:$C$251,0))</f>
        <v>Yukon-Koyukuk (CA)</v>
      </c>
      <c r="L170" s="709" t="str">
        <f t="array" ref="L170">INDEX(UtilityList!L$4:L$251,MATCH('Table 2.5c'!$A170&amp;'Table 2.5c'!$B170,UtilityList!$A$4:$A$251&amp;UtilityList!$C$4:$C$251,0))</f>
        <v>Doyon</v>
      </c>
      <c r="M170" s="709" t="str">
        <f t="array" ref="M170">INDEX(UtilityList!M$4:M$251,MATCH('Table 2.5c'!$A170&amp;'Table 2.5c'!$B170,UtilityList!$A$4:$A$251&amp;UtilityList!$C$4:$C$251,0))</f>
        <v>SW</v>
      </c>
    </row>
    <row r="171" spans="1:13" s="63" customFormat="1" x14ac:dyDescent="0.25">
      <c r="A171" s="710" t="s">
        <v>325</v>
      </c>
      <c r="B171" s="710" t="s">
        <v>326</v>
      </c>
      <c r="C171" s="711">
        <v>0.68272500000000003</v>
      </c>
      <c r="D171" s="711">
        <v>0.49322500000000002</v>
      </c>
      <c r="E171" s="712">
        <v>0.1895</v>
      </c>
      <c r="F171" s="713">
        <v>0.72243582701673437</v>
      </c>
      <c r="G171" s="658" t="s">
        <v>356</v>
      </c>
      <c r="H171" s="622" t="s">
        <v>554</v>
      </c>
      <c r="I171" s="709">
        <f t="array" ref="I171">INDEX(UtilityList!Q$4:Q$251,MATCH('Table 2.5c'!$A171&amp;'Table 2.5c'!$B171,UtilityList!$A$4:$A$251&amp;UtilityList!$C$4:$C$251,0))</f>
        <v>0</v>
      </c>
      <c r="J171" s="709" t="str">
        <f t="array" ref="J171">INDEX(UtilityList!J$4:J$251,MATCH('Table 2.5c'!$A171&amp;'Table 2.5c'!$B171,UtilityList!$A$4:$A$251&amp;UtilityList!$C$4:$C$251,0))</f>
        <v>Bristol Bay</v>
      </c>
      <c r="K171" s="709" t="str">
        <f t="array" ref="K171">INDEX(UtilityList!K$4:K$251,MATCH('Table 2.5c'!$A171&amp;'Table 2.5c'!$B171,UtilityList!$A$4:$A$251&amp;UtilityList!$C$4:$C$251,0))</f>
        <v>Lake and Peninsula</v>
      </c>
      <c r="L171" s="709" t="str">
        <f t="array" ref="L171">INDEX(UtilityList!L$4:L$251,MATCH('Table 2.5c'!$A171&amp;'Table 2.5c'!$B171,UtilityList!$A$4:$A$251&amp;UtilityList!$C$4:$C$251,0))</f>
        <v>Cook Inlet</v>
      </c>
      <c r="M171" s="709" t="str">
        <f t="array" ref="M171">INDEX(UtilityList!M$4:M$251,MATCH('Table 2.5c'!$A171&amp;'Table 2.5c'!$B171,UtilityList!$A$4:$A$251&amp;UtilityList!$C$4:$C$251,0))</f>
        <v>SW</v>
      </c>
    </row>
    <row r="172" spans="1:13" s="63" customFormat="1" x14ac:dyDescent="0.25">
      <c r="A172" s="710" t="s">
        <v>510</v>
      </c>
      <c r="B172" s="710" t="s">
        <v>327</v>
      </c>
      <c r="C172" s="711">
        <v>0.71367499999999995</v>
      </c>
      <c r="D172" s="711">
        <v>0.41390832999999999</v>
      </c>
      <c r="E172" s="712">
        <v>0.29976666999999996</v>
      </c>
      <c r="F172" s="713">
        <v>0.57996753424177672</v>
      </c>
      <c r="G172" s="658" t="s">
        <v>356</v>
      </c>
      <c r="H172" s="622" t="s">
        <v>554</v>
      </c>
      <c r="I172" s="709">
        <f t="array" ref="I172">INDEX(UtilityList!Q$4:Q$251,MATCH('Table 2.5c'!$A172&amp;'Table 2.5c'!$B172,UtilityList!$A$4:$A$251&amp;UtilityList!$C$4:$C$251,0))</f>
        <v>0</v>
      </c>
      <c r="J172" s="709" t="str">
        <f t="array" ref="J172">INDEX(UtilityList!J$4:J$251,MATCH('Table 2.5c'!$A172&amp;'Table 2.5c'!$B172,UtilityList!$A$4:$A$251&amp;UtilityList!$C$4:$C$251,0))</f>
        <v>Yukon-Koyukuk/Upper Tanana</v>
      </c>
      <c r="K172" s="709" t="str">
        <f t="array" ref="K172">INDEX(UtilityList!K$4:K$251,MATCH('Table 2.5c'!$A172&amp;'Table 2.5c'!$B172,UtilityList!$A$4:$A$251&amp;UtilityList!$C$4:$C$251,0))</f>
        <v>Yukon-Koyukuk (CA)</v>
      </c>
      <c r="L172" s="709" t="str">
        <f t="array" ref="L172">INDEX(UtilityList!L$4:L$251,MATCH('Table 2.5c'!$A172&amp;'Table 2.5c'!$B172,UtilityList!$A$4:$A$251&amp;UtilityList!$C$4:$C$251,0))</f>
        <v>Doyon</v>
      </c>
      <c r="M172" s="709" t="str">
        <f t="array" ref="M172">INDEX(UtilityList!M$4:M$251,MATCH('Table 2.5c'!$A172&amp;'Table 2.5c'!$B172,UtilityList!$A$4:$A$251&amp;UtilityList!$C$4:$C$251,0))</f>
        <v>YU</v>
      </c>
    </row>
    <row r="173" spans="1:13" s="63" customFormat="1" x14ac:dyDescent="0.25">
      <c r="A173" s="710" t="s">
        <v>328</v>
      </c>
      <c r="B173" s="710" t="s">
        <v>329</v>
      </c>
      <c r="C173" s="711">
        <v>0.62490000000000001</v>
      </c>
      <c r="D173" s="711">
        <v>0.41562500000000002</v>
      </c>
      <c r="E173" s="712">
        <v>0.20927499999999999</v>
      </c>
      <c r="F173" s="713">
        <v>0.66510641702672435</v>
      </c>
      <c r="G173" s="658" t="s">
        <v>356</v>
      </c>
      <c r="H173" s="622" t="s">
        <v>554</v>
      </c>
      <c r="I173" s="709">
        <f t="array" ref="I173">INDEX(UtilityList!Q$4:Q$251,MATCH('Table 2.5c'!$A173&amp;'Table 2.5c'!$B173,UtilityList!$A$4:$A$251&amp;UtilityList!$C$4:$C$251,0))</f>
        <v>0</v>
      </c>
      <c r="J173" s="709" t="str">
        <f t="array" ref="J173">INDEX(UtilityList!J$4:J$251,MATCH('Table 2.5c'!$A173&amp;'Table 2.5c'!$B173,UtilityList!$A$4:$A$251&amp;UtilityList!$C$4:$C$251,0))</f>
        <v>Copper River/Chugach</v>
      </c>
      <c r="K173" s="709" t="str">
        <f t="array" ref="K173">INDEX(UtilityList!K$4:K$251,MATCH('Table 2.5c'!$A173&amp;'Table 2.5c'!$B173,UtilityList!$A$4:$A$251&amp;UtilityList!$C$4:$C$251,0))</f>
        <v>Valdez-Cordova (CA)</v>
      </c>
      <c r="L173" s="709" t="str">
        <f t="array" ref="L173">INDEX(UtilityList!L$4:L$251,MATCH('Table 2.5c'!$A173&amp;'Table 2.5c'!$B173,UtilityList!$A$4:$A$251&amp;UtilityList!$C$4:$C$251,0))</f>
        <v>Chugach</v>
      </c>
      <c r="M173" s="709" t="str">
        <f t="array" ref="M173">INDEX(UtilityList!M$4:M$251,MATCH('Table 2.5c'!$A173&amp;'Table 2.5c'!$B173,UtilityList!$A$4:$A$251&amp;UtilityList!$C$4:$C$251,0))</f>
        <v>SC</v>
      </c>
    </row>
    <row r="174" spans="1:13" s="63" customFormat="1" x14ac:dyDescent="0.25">
      <c r="A174" s="710" t="s">
        <v>1080</v>
      </c>
      <c r="B174" s="710" t="s">
        <v>330</v>
      </c>
      <c r="C174" s="711">
        <v>0.81163333000000004</v>
      </c>
      <c r="D174" s="711">
        <v>0.52908332999999996</v>
      </c>
      <c r="E174" s="712">
        <v>0.28255000000000008</v>
      </c>
      <c r="F174" s="713">
        <v>0.65187481889143206</v>
      </c>
      <c r="G174" s="658" t="s">
        <v>356</v>
      </c>
      <c r="H174" s="622" t="s">
        <v>554</v>
      </c>
      <c r="I174" s="709">
        <f t="array" ref="I174">INDEX(UtilityList!Q$4:Q$251,MATCH('Table 2.5c'!$A174&amp;'Table 2.5c'!$B174,UtilityList!$A$4:$A$251&amp;UtilityList!$C$4:$C$251,0))</f>
        <v>0</v>
      </c>
      <c r="J174" s="709" t="str">
        <f t="array" ref="J174">INDEX(UtilityList!J$4:J$251,MATCH('Table 2.5c'!$A174&amp;'Table 2.5c'!$B174,UtilityList!$A$4:$A$251&amp;UtilityList!$C$4:$C$251,0))</f>
        <v>Aleutians</v>
      </c>
      <c r="K174" s="709" t="str">
        <f t="array" ref="K174">INDEX(UtilityList!K$4:K$251,MATCH('Table 2.5c'!$A174&amp;'Table 2.5c'!$B174,UtilityList!$A$4:$A$251&amp;UtilityList!$C$4:$C$251,0))</f>
        <v>Aleutians West (CA)</v>
      </c>
      <c r="L174" s="709" t="str">
        <f t="array" ref="L174">INDEX(UtilityList!L$4:L$251,MATCH('Table 2.5c'!$A174&amp;'Table 2.5c'!$B174,UtilityList!$A$4:$A$251&amp;UtilityList!$C$4:$C$251,0))</f>
        <v>Aleut</v>
      </c>
      <c r="M174" s="709" t="str">
        <f t="array" ref="M174">INDEX(UtilityList!M$4:M$251,MATCH('Table 2.5c'!$A174&amp;'Table 2.5c'!$B174,UtilityList!$A$4:$A$251&amp;UtilityList!$C$4:$C$251,0))</f>
        <v>SW</v>
      </c>
    </row>
    <row r="175" spans="1:13" s="63" customFormat="1" x14ac:dyDescent="0.25">
      <c r="A175" s="710" t="s">
        <v>331</v>
      </c>
      <c r="B175" s="710" t="s">
        <v>332</v>
      </c>
      <c r="C175" s="711">
        <v>0.58409166999999995</v>
      </c>
      <c r="D175" s="711">
        <v>0.39076666999999998</v>
      </c>
      <c r="E175" s="712">
        <v>0.19332499999999997</v>
      </c>
      <c r="F175" s="713">
        <v>0.66901599538305356</v>
      </c>
      <c r="G175" s="658" t="s">
        <v>356</v>
      </c>
      <c r="H175" s="622" t="s">
        <v>554</v>
      </c>
      <c r="I175" s="709">
        <f t="array" ref="I175">INDEX(UtilityList!Q$4:Q$251,MATCH('Table 2.5c'!$A175&amp;'Table 2.5c'!$B175,UtilityList!$A$4:$A$251&amp;UtilityList!$C$4:$C$251,0))</f>
        <v>0</v>
      </c>
      <c r="J175" s="709" t="str">
        <f t="array" ref="J175">INDEX(UtilityList!J$4:J$251,MATCH('Table 2.5c'!$A175&amp;'Table 2.5c'!$B175,UtilityList!$A$4:$A$251&amp;UtilityList!$C$4:$C$251,0))</f>
        <v>Aleutians</v>
      </c>
      <c r="K175" s="709" t="str">
        <f t="array" ref="K175">INDEX(UtilityList!K$4:K$251,MATCH('Table 2.5c'!$A175&amp;'Table 2.5c'!$B175,UtilityList!$A$4:$A$251&amp;UtilityList!$C$4:$C$251,0))</f>
        <v>Aleutians East</v>
      </c>
      <c r="L175" s="709" t="str">
        <f t="array" ref="L175">INDEX(UtilityList!L$4:L$251,MATCH('Table 2.5c'!$A175&amp;'Table 2.5c'!$B175,UtilityList!$A$4:$A$251&amp;UtilityList!$C$4:$C$251,0))</f>
        <v>Aleut</v>
      </c>
      <c r="M175" s="709" t="str">
        <f t="array" ref="M175">INDEX(UtilityList!M$4:M$251,MATCH('Table 2.5c'!$A175&amp;'Table 2.5c'!$B175,UtilityList!$A$4:$A$251&amp;UtilityList!$C$4:$C$251,0))</f>
        <v>SW</v>
      </c>
    </row>
    <row r="176" spans="1:13" s="63" customFormat="1" x14ac:dyDescent="0.25">
      <c r="A176" s="710" t="s">
        <v>333</v>
      </c>
      <c r="B176" s="710" t="s">
        <v>334</v>
      </c>
      <c r="C176" s="711">
        <v>0.67374166999999996</v>
      </c>
      <c r="D176" s="711">
        <v>0.21681666999999999</v>
      </c>
      <c r="E176" s="712">
        <v>0.45692499999999997</v>
      </c>
      <c r="F176" s="713">
        <v>0.32180979692112555</v>
      </c>
      <c r="G176" s="658" t="s">
        <v>356</v>
      </c>
      <c r="H176" s="622" t="s">
        <v>554</v>
      </c>
      <c r="I176" s="709">
        <f t="array" ref="I176">INDEX(UtilityList!Q$4:Q$251,MATCH('Table 2.5c'!$A176&amp;'Table 2.5c'!$B176,UtilityList!$A$4:$A$251&amp;UtilityList!$C$4:$C$251,0))</f>
        <v>0</v>
      </c>
      <c r="J176" s="709" t="str">
        <f t="array" ref="J176">INDEX(UtilityList!J$4:J$251,MATCH('Table 2.5c'!$A176&amp;'Table 2.5c'!$B176,UtilityList!$A$4:$A$251&amp;UtilityList!$C$4:$C$251,0))</f>
        <v>Yukon-Koyukuk/Upper Tanana</v>
      </c>
      <c r="K176" s="709" t="str">
        <f t="array" ref="K176">INDEX(UtilityList!K$4:K$251,MATCH('Table 2.5c'!$A176&amp;'Table 2.5c'!$B176,UtilityList!$A$4:$A$251&amp;UtilityList!$C$4:$C$251,0))</f>
        <v>Yukon-Koyukuk (CA)</v>
      </c>
      <c r="L176" s="709" t="str">
        <f t="array" ref="L176">INDEX(UtilityList!L$4:L$251,MATCH('Table 2.5c'!$A176&amp;'Table 2.5c'!$B176,UtilityList!$A$4:$A$251&amp;UtilityList!$C$4:$C$251,0))</f>
        <v>Doyon</v>
      </c>
      <c r="M176" s="709" t="str">
        <f t="array" ref="M176">INDEX(UtilityList!M$4:M$251,MATCH('Table 2.5c'!$A176&amp;'Table 2.5c'!$B176,UtilityList!$A$4:$A$251&amp;UtilityList!$C$4:$C$251,0))</f>
        <v>YU</v>
      </c>
    </row>
    <row r="177" spans="1:13" s="63" customFormat="1" x14ac:dyDescent="0.25">
      <c r="A177" s="710" t="s">
        <v>335</v>
      </c>
      <c r="B177" s="710" t="s">
        <v>336</v>
      </c>
      <c r="C177" s="711">
        <v>0.68833332999999997</v>
      </c>
      <c r="D177" s="711">
        <v>0.37343333000000001</v>
      </c>
      <c r="E177" s="712">
        <v>0.31489999999999996</v>
      </c>
      <c r="F177" s="713">
        <v>0.54251815759088695</v>
      </c>
      <c r="G177" s="658" t="s">
        <v>356</v>
      </c>
      <c r="H177" s="622" t="s">
        <v>554</v>
      </c>
      <c r="I177" s="709">
        <f t="array" ref="I177">INDEX(UtilityList!Q$4:Q$251,MATCH('Table 2.5c'!$A177&amp;'Table 2.5c'!$B177,UtilityList!$A$4:$A$251&amp;UtilityList!$C$4:$C$251,0))</f>
        <v>0</v>
      </c>
      <c r="J177" s="709" t="str">
        <f t="array" ref="J177">INDEX(UtilityList!J$4:J$251,MATCH('Table 2.5c'!$A177&amp;'Table 2.5c'!$B177,UtilityList!$A$4:$A$251&amp;UtilityList!$C$4:$C$251,0))</f>
        <v>Southeast</v>
      </c>
      <c r="K177" s="709" t="str">
        <f t="array" ref="K177">INDEX(UtilityList!K$4:K$251,MATCH('Table 2.5c'!$A177&amp;'Table 2.5c'!$B177,UtilityList!$A$4:$A$251&amp;UtilityList!$C$4:$C$251,0))</f>
        <v>Hoonah-Angoon (CA)</v>
      </c>
      <c r="L177" s="709" t="str">
        <f t="array" ref="L177">INDEX(UtilityList!L$4:L$251,MATCH('Table 2.5c'!$A177&amp;'Table 2.5c'!$B177,UtilityList!$A$4:$A$251&amp;UtilityList!$C$4:$C$251,0))</f>
        <v>Sealaska</v>
      </c>
      <c r="M177" s="709" t="str">
        <f t="array" ref="M177">INDEX(UtilityList!M$4:M$251,MATCH('Table 2.5c'!$A177&amp;'Table 2.5c'!$B177,UtilityList!$A$4:$A$251&amp;UtilityList!$C$4:$C$251,0))</f>
        <v>SE</v>
      </c>
    </row>
    <row r="178" spans="1:13" s="63" customFormat="1" x14ac:dyDescent="0.25">
      <c r="A178" s="710" t="s">
        <v>337</v>
      </c>
      <c r="B178" s="710" t="s">
        <v>338</v>
      </c>
      <c r="C178" s="711">
        <v>0.6</v>
      </c>
      <c r="D178" s="711">
        <v>0.33045000000000002</v>
      </c>
      <c r="E178" s="712">
        <v>0.26954999999999996</v>
      </c>
      <c r="F178" s="713">
        <v>0.55075000000000007</v>
      </c>
      <c r="G178" s="658" t="s">
        <v>356</v>
      </c>
      <c r="H178" s="622" t="s">
        <v>554</v>
      </c>
      <c r="I178" s="709">
        <f t="array" ref="I178">INDEX(UtilityList!Q$4:Q$251,MATCH('Table 2.5c'!$A178&amp;'Table 2.5c'!$B178,UtilityList!$A$4:$A$251&amp;UtilityList!$C$4:$C$251,0))</f>
        <v>0</v>
      </c>
      <c r="J178" s="709" t="str">
        <f t="array" ref="J178">INDEX(UtilityList!J$4:J$251,MATCH('Table 2.5c'!$A178&amp;'Table 2.5c'!$B178,UtilityList!$A$4:$A$251&amp;UtilityList!$C$4:$C$251,0))</f>
        <v>Lower Yukon-Kuskokwim</v>
      </c>
      <c r="K178" s="709" t="str">
        <f t="array" ref="K178">INDEX(UtilityList!K$4:K$251,MATCH('Table 2.5c'!$A178&amp;'Table 2.5c'!$B178,UtilityList!$A$4:$A$251&amp;UtilityList!$C$4:$C$251,0))</f>
        <v>Bethel (CA)</v>
      </c>
      <c r="L178" s="709" t="str">
        <f t="array" ref="L178">INDEX(UtilityList!L$4:L$251,MATCH('Table 2.5c'!$A178&amp;'Table 2.5c'!$B178,UtilityList!$A$4:$A$251&amp;UtilityList!$C$4:$C$251,0))</f>
        <v>Calista</v>
      </c>
      <c r="M178" s="709" t="str">
        <f t="array" ref="M178">INDEX(UtilityList!M$4:M$251,MATCH('Table 2.5c'!$A178&amp;'Table 2.5c'!$B178,UtilityList!$A$4:$A$251&amp;UtilityList!$C$4:$C$251,0))</f>
        <v>SW</v>
      </c>
    </row>
    <row r="179" spans="1:13" s="63" customFormat="1" x14ac:dyDescent="0.25">
      <c r="A179" s="710" t="s">
        <v>339</v>
      </c>
      <c r="B179" s="710" t="s">
        <v>340</v>
      </c>
      <c r="C179" s="711">
        <v>0.65</v>
      </c>
      <c r="D179" s="711">
        <v>0.25725832999999998</v>
      </c>
      <c r="E179" s="712">
        <v>0.39274167000000004</v>
      </c>
      <c r="F179" s="713">
        <v>0.3957820461538461</v>
      </c>
      <c r="G179" s="658" t="s">
        <v>356</v>
      </c>
      <c r="H179" s="622" t="s">
        <v>554</v>
      </c>
      <c r="I179" s="709">
        <f t="array" ref="I179">INDEX(UtilityList!Q$4:Q$251,MATCH('Table 2.5c'!$A179&amp;'Table 2.5c'!$B179,UtilityList!$A$4:$A$251&amp;UtilityList!$C$4:$C$251,0))</f>
        <v>0</v>
      </c>
      <c r="J179" s="709" t="str">
        <f t="array" ref="J179">INDEX(UtilityList!J$4:J$251,MATCH('Table 2.5c'!$A179&amp;'Table 2.5c'!$B179,UtilityList!$A$4:$A$251&amp;UtilityList!$C$4:$C$251,0))</f>
        <v>Lower Yukon-Kuskokwim</v>
      </c>
      <c r="K179" s="709" t="str">
        <f t="array" ref="K179">INDEX(UtilityList!K$4:K$251,MATCH('Table 2.5c'!$A179&amp;'Table 2.5c'!$B179,UtilityList!$A$4:$A$251&amp;UtilityList!$C$4:$C$251,0))</f>
        <v>Bethel (CA)</v>
      </c>
      <c r="L179" s="709" t="str">
        <f t="array" ref="L179">INDEX(UtilityList!L$4:L$251,MATCH('Table 2.5c'!$A179&amp;'Table 2.5c'!$B179,UtilityList!$A$4:$A$251&amp;UtilityList!$C$4:$C$251,0))</f>
        <v>Calista</v>
      </c>
      <c r="M179" s="709" t="str">
        <f t="array" ref="M179">INDEX(UtilityList!M$4:M$251,MATCH('Table 2.5c'!$A179&amp;'Table 2.5c'!$B179,UtilityList!$A$4:$A$251&amp;UtilityList!$C$4:$C$251,0))</f>
        <v>SW</v>
      </c>
    </row>
    <row r="180" spans="1:13" s="63" customFormat="1" x14ac:dyDescent="0.25">
      <c r="A180" s="710" t="s">
        <v>341</v>
      </c>
      <c r="B180" s="710" t="s">
        <v>342</v>
      </c>
      <c r="C180" s="711">
        <v>0.55467500000000003</v>
      </c>
      <c r="D180" s="711">
        <v>0.36836667000000001</v>
      </c>
      <c r="E180" s="712">
        <v>0.18630833000000002</v>
      </c>
      <c r="F180" s="713">
        <v>0.66411262450984809</v>
      </c>
      <c r="G180" s="658" t="s">
        <v>356</v>
      </c>
      <c r="H180" s="622" t="s">
        <v>554</v>
      </c>
      <c r="I180" s="709">
        <f t="array" ref="I180">INDEX(UtilityList!Q$4:Q$251,MATCH('Table 2.5c'!$A180&amp;'Table 2.5c'!$B180,UtilityList!$A$4:$A$251&amp;UtilityList!$C$4:$C$251,0))</f>
        <v>0</v>
      </c>
      <c r="J180" s="709" t="str">
        <f t="array" ref="J180">INDEX(UtilityList!J$4:J$251,MATCH('Table 2.5c'!$A180&amp;'Table 2.5c'!$B180,UtilityList!$A$4:$A$251&amp;UtilityList!$C$4:$C$251,0))</f>
        <v>Bristol Bay</v>
      </c>
      <c r="K180" s="709" t="str">
        <f t="array" ref="K180">INDEX(UtilityList!K$4:K$251,MATCH('Table 2.5c'!$A180&amp;'Table 2.5c'!$B180,UtilityList!$A$4:$A$251&amp;UtilityList!$C$4:$C$251,0))</f>
        <v>Dillingham (CA)</v>
      </c>
      <c r="L180" s="709" t="str">
        <f t="array" ref="L180">INDEX(UtilityList!L$4:L$251,MATCH('Table 2.5c'!$A180&amp;'Table 2.5c'!$B180,UtilityList!$A$4:$A$251&amp;UtilityList!$C$4:$C$251,0))</f>
        <v>Bristol Bay</v>
      </c>
      <c r="M180" s="709" t="str">
        <f t="array" ref="M180">INDEX(UtilityList!M$4:M$251,MATCH('Table 2.5c'!$A180&amp;'Table 2.5c'!$B180,UtilityList!$A$4:$A$251&amp;UtilityList!$C$4:$C$251,0))</f>
        <v>SW</v>
      </c>
    </row>
    <row r="181" spans="1:13" s="126" customFormat="1" x14ac:dyDescent="0.25">
      <c r="A181" s="710" t="s">
        <v>343</v>
      </c>
      <c r="B181" s="710" t="s">
        <v>344</v>
      </c>
      <c r="C181" s="711">
        <v>0.6</v>
      </c>
      <c r="D181" s="711">
        <v>0.4002</v>
      </c>
      <c r="E181" s="712">
        <v>0.19979999999999998</v>
      </c>
      <c r="F181" s="713">
        <v>0.66700000000000004</v>
      </c>
      <c r="G181" s="658" t="s">
        <v>356</v>
      </c>
      <c r="H181" s="622" t="s">
        <v>554</v>
      </c>
      <c r="I181" s="709">
        <f t="array" ref="I181">INDEX(UtilityList!Q$4:Q$251,MATCH('Table 2.5c'!$A181&amp;'Table 2.5c'!$B181,UtilityList!$A$4:$A$251&amp;UtilityList!$C$4:$C$251,0))</f>
        <v>0</v>
      </c>
      <c r="J181" s="709" t="str">
        <f t="array" ref="J181">INDEX(UtilityList!J$4:J$251,MATCH('Table 2.5c'!$A181&amp;'Table 2.5c'!$B181,UtilityList!$A$4:$A$251&amp;UtilityList!$C$4:$C$251,0))</f>
        <v>Aleutians</v>
      </c>
      <c r="K181" s="709" t="str">
        <f t="array" ref="K181">INDEX(UtilityList!K$4:K$251,MATCH('Table 2.5c'!$A181&amp;'Table 2.5c'!$B181,UtilityList!$A$4:$A$251&amp;UtilityList!$C$4:$C$251,0))</f>
        <v>Aleutians West (CA)</v>
      </c>
      <c r="L181" s="709" t="str">
        <f t="array" ref="L181">INDEX(UtilityList!L$4:L$251,MATCH('Table 2.5c'!$A181&amp;'Table 2.5c'!$B181,UtilityList!$A$4:$A$251&amp;UtilityList!$C$4:$C$251,0))</f>
        <v>Aleut</v>
      </c>
      <c r="M181" s="709" t="str">
        <f t="array" ref="M181">INDEX(UtilityList!M$4:M$251,MATCH('Table 2.5c'!$A181&amp;'Table 2.5c'!$B181,UtilityList!$A$4:$A$251&amp;UtilityList!$C$4:$C$251,0))</f>
        <v>SW</v>
      </c>
    </row>
    <row r="182" spans="1:13" s="63" customFormat="1" x14ac:dyDescent="0.25">
      <c r="A182" s="710" t="s">
        <v>537</v>
      </c>
      <c r="B182" s="710" t="s">
        <v>345</v>
      </c>
      <c r="C182" s="711">
        <v>0.39138332999999997</v>
      </c>
      <c r="D182" s="711">
        <v>0.197325</v>
      </c>
      <c r="E182" s="712">
        <v>0.19405832999999997</v>
      </c>
      <c r="F182" s="713">
        <v>0.50417323599346964</v>
      </c>
      <c r="G182" s="658" t="s">
        <v>356</v>
      </c>
      <c r="H182" s="622" t="s">
        <v>554</v>
      </c>
      <c r="I182" s="709">
        <f t="array" ref="I182">INDEX(UtilityList!Q$4:Q$251,MATCH('Table 2.5c'!$A182&amp;'Table 2.5c'!$B182,UtilityList!$A$4:$A$251&amp;UtilityList!$C$4:$C$251,0))</f>
        <v>0</v>
      </c>
      <c r="J182" s="709" t="str">
        <f t="array" ref="J182">INDEX(UtilityList!J$4:J$251,MATCH('Table 2.5c'!$A182&amp;'Table 2.5c'!$B182,UtilityList!$A$4:$A$251&amp;UtilityList!$C$4:$C$251,0))</f>
        <v>Bering Straits</v>
      </c>
      <c r="K182" s="709" t="str">
        <f t="array" ref="K182">INDEX(UtilityList!K$4:K$251,MATCH('Table 2.5c'!$A182&amp;'Table 2.5c'!$B182,UtilityList!$A$4:$A$251&amp;UtilityList!$C$4:$C$251,0))</f>
        <v>Nome (CA)</v>
      </c>
      <c r="L182" s="709" t="str">
        <f t="array" ref="L182">INDEX(UtilityList!L$4:L$251,MATCH('Table 2.5c'!$A182&amp;'Table 2.5c'!$B182,UtilityList!$A$4:$A$251&amp;UtilityList!$C$4:$C$251,0))</f>
        <v>Bering Straits</v>
      </c>
      <c r="M182" s="709" t="str">
        <f t="array" ref="M182">INDEX(UtilityList!M$4:M$251,MATCH('Table 2.5c'!$A182&amp;'Table 2.5c'!$B182,UtilityList!$A$4:$A$251&amp;UtilityList!$C$4:$C$251,0))</f>
        <v>AN</v>
      </c>
    </row>
    <row r="183" spans="1:13" s="63" customFormat="1" x14ac:dyDescent="0.25">
      <c r="A183" s="710" t="s">
        <v>637</v>
      </c>
      <c r="B183" s="710" t="s">
        <v>492</v>
      </c>
      <c r="C183" s="711">
        <v>0.44580832999999997</v>
      </c>
      <c r="D183" s="711">
        <v>0.20428333000000001</v>
      </c>
      <c r="E183" s="712">
        <v>0.24152499999999996</v>
      </c>
      <c r="F183" s="713">
        <v>0.45823129863903628</v>
      </c>
      <c r="G183" s="658" t="s">
        <v>356</v>
      </c>
      <c r="H183" s="622" t="s">
        <v>554</v>
      </c>
      <c r="I183" s="709">
        <f t="array" ref="I183">INDEX(UtilityList!Q$4:Q$251,MATCH('Table 2.5c'!$A183&amp;'Table 2.5c'!$B183,UtilityList!$A$4:$A$251&amp;UtilityList!$C$4:$C$251,0))</f>
        <v>0</v>
      </c>
      <c r="J183" s="709" t="str">
        <f t="array" ref="J183">INDEX(UtilityList!J$4:J$251,MATCH('Table 2.5c'!$A183&amp;'Table 2.5c'!$B183,UtilityList!$A$4:$A$251&amp;UtilityList!$C$4:$C$251,0))</f>
        <v>Aleutians</v>
      </c>
      <c r="K183" s="709" t="str">
        <f t="array" ref="K183">INDEX(UtilityList!K$4:K$251,MATCH('Table 2.5c'!$A183&amp;'Table 2.5c'!$B183,UtilityList!$A$4:$A$251&amp;UtilityList!$C$4:$C$251,0))</f>
        <v>Aleutians West (CA)</v>
      </c>
      <c r="L183" s="709" t="str">
        <f t="array" ref="L183">INDEX(UtilityList!L$4:L$251,MATCH('Table 2.5c'!$A183&amp;'Table 2.5c'!$B183,UtilityList!$A$4:$A$251&amp;UtilityList!$C$4:$C$251,0))</f>
        <v>Aleut</v>
      </c>
      <c r="M183" s="709" t="str">
        <f t="array" ref="M183">INDEX(UtilityList!M$4:M$251,MATCH('Table 2.5c'!$A183&amp;'Table 2.5c'!$B183,UtilityList!$A$4:$A$251&amp;UtilityList!$C$4:$C$251,0))</f>
        <v>SW</v>
      </c>
    </row>
    <row r="184" spans="1:13" s="63" customFormat="1" x14ac:dyDescent="0.25">
      <c r="A184" s="361" t="s">
        <v>346</v>
      </c>
      <c r="B184" s="710" t="s">
        <v>347</v>
      </c>
      <c r="C184" s="711">
        <v>0.8</v>
      </c>
      <c r="D184" s="711">
        <v>0.48654999999999998</v>
      </c>
      <c r="E184" s="712">
        <v>0.31345000000000006</v>
      </c>
      <c r="F184" s="713">
        <v>0.60818749999999999</v>
      </c>
      <c r="G184" s="658" t="s">
        <v>356</v>
      </c>
      <c r="H184" s="622" t="s">
        <v>554</v>
      </c>
      <c r="I184" s="709">
        <f t="array" ref="I184">INDEX(UtilityList!Q$4:Q$251,MATCH('Table 2.5c'!$A184&amp;'Table 2.5c'!$B184,UtilityList!$A$4:$A$251&amp;UtilityList!$C$4:$C$251,0))</f>
        <v>0</v>
      </c>
      <c r="J184" s="709" t="str">
        <f t="array" ref="J184">INDEX(UtilityList!J$4:J$251,MATCH('Table 2.5c'!$A184&amp;'Table 2.5c'!$B184,UtilityList!$A$4:$A$251&amp;UtilityList!$C$4:$C$251,0))</f>
        <v>Lower Yukon-Kuskokwim</v>
      </c>
      <c r="K184" s="709" t="str">
        <f t="array" ref="K184">INDEX(UtilityList!K$4:K$251,MATCH('Table 2.5c'!$A184&amp;'Table 2.5c'!$B184,UtilityList!$A$4:$A$251&amp;UtilityList!$C$4:$C$251,0))</f>
        <v>Bethel (CA)</v>
      </c>
      <c r="L184" s="709" t="str">
        <f t="array" ref="L184">INDEX(UtilityList!L$4:L$251,MATCH('Table 2.5c'!$A184&amp;'Table 2.5c'!$B184,UtilityList!$A$4:$A$251&amp;UtilityList!$C$4:$C$251,0))</f>
        <v>Calista</v>
      </c>
      <c r="M184" s="709" t="str">
        <f t="array" ref="M184">INDEX(UtilityList!M$4:M$251,MATCH('Table 2.5c'!$A184&amp;'Table 2.5c'!$B184,UtilityList!$A$4:$A$251&amp;UtilityList!$C$4:$C$251,0))</f>
        <v>SW</v>
      </c>
    </row>
    <row r="185" spans="1:13" s="63" customFormat="1" x14ac:dyDescent="0.25">
      <c r="A185" s="710" t="s">
        <v>350</v>
      </c>
      <c r="B185" s="710" t="s">
        <v>351</v>
      </c>
      <c r="C185" s="711">
        <v>0.68666667000000003</v>
      </c>
      <c r="D185" s="711">
        <v>0.32996667000000002</v>
      </c>
      <c r="E185" s="712">
        <v>0.35670000000000002</v>
      </c>
      <c r="F185" s="713">
        <v>0.48053398310420398</v>
      </c>
      <c r="G185" s="658" t="s">
        <v>356</v>
      </c>
      <c r="H185" s="622" t="s">
        <v>554</v>
      </c>
      <c r="I185" s="709">
        <f t="array" ref="I185">INDEX(UtilityList!Q$4:Q$251,MATCH('Table 2.5c'!$A185&amp;'Table 2.5c'!$B185,UtilityList!$A$4:$A$251&amp;UtilityList!$C$4:$C$251,0))</f>
        <v>0</v>
      </c>
      <c r="J185" s="709" t="str">
        <f t="array" ref="J185">INDEX(UtilityList!J$4:J$251,MATCH('Table 2.5c'!$A185&amp;'Table 2.5c'!$B185,UtilityList!$A$4:$A$251&amp;UtilityList!$C$4:$C$251,0))</f>
        <v>Bering Straits</v>
      </c>
      <c r="K185" s="709" t="str">
        <f t="array" ref="K185">INDEX(UtilityList!K$4:K$251,MATCH('Table 2.5c'!$A185&amp;'Table 2.5c'!$B185,UtilityList!$A$4:$A$251&amp;UtilityList!$C$4:$C$251,0))</f>
        <v>Nome (CA)</v>
      </c>
      <c r="L185" s="709" t="str">
        <f t="array" ref="L185">INDEX(UtilityList!L$4:L$251,MATCH('Table 2.5c'!$A185&amp;'Table 2.5c'!$B185,UtilityList!$A$4:$A$251&amp;UtilityList!$C$4:$C$251,0))</f>
        <v>Bering Straits</v>
      </c>
      <c r="M185" s="709" t="str">
        <f t="array" ref="M185">INDEX(UtilityList!M$4:M$251,MATCH('Table 2.5c'!$A185&amp;'Table 2.5c'!$B185,UtilityList!$A$4:$A$251&amp;UtilityList!$C$4:$C$251,0))</f>
        <v>AN</v>
      </c>
    </row>
    <row r="186" spans="1:13" s="126" customFormat="1" x14ac:dyDescent="0.25">
      <c r="A186" s="352" t="s">
        <v>352</v>
      </c>
      <c r="B186" s="352" t="s">
        <v>353</v>
      </c>
      <c r="C186" s="711">
        <v>0.10618</v>
      </c>
      <c r="D186" s="711">
        <v>0</v>
      </c>
      <c r="E186" s="712">
        <v>0.10618</v>
      </c>
      <c r="F186" s="713">
        <v>0</v>
      </c>
      <c r="G186" s="685" t="s">
        <v>558</v>
      </c>
      <c r="H186" s="685" t="s">
        <v>581</v>
      </c>
      <c r="I186" s="709">
        <f t="array" ref="I186">INDEX(UtilityList!Q$4:Q$251,MATCH('Table 2.5c'!$A186&amp;'Table 2.5c'!$B186,UtilityList!$A$4:$A$251&amp;UtilityList!$C$4:$C$251,0))</f>
        <v>0</v>
      </c>
      <c r="J186" s="709" t="str">
        <f t="array" ref="J186">INDEX(UtilityList!J$4:J$251,MATCH('Table 2.5c'!$A186&amp;'Table 2.5c'!$B186,UtilityList!$A$4:$A$251&amp;UtilityList!$C$4:$C$251,0))</f>
        <v>Southeast</v>
      </c>
      <c r="K186" s="709" t="str">
        <f t="array" ref="K186">INDEX(UtilityList!K$4:K$251,MATCH('Table 2.5c'!$A186&amp;'Table 2.5c'!$B186,UtilityList!$A$4:$A$251&amp;UtilityList!$C$4:$C$251,0))</f>
        <v>Wrangell</v>
      </c>
      <c r="L186" s="709" t="str">
        <f t="array" ref="L186">INDEX(UtilityList!L$4:L$251,MATCH('Table 2.5c'!$A186&amp;'Table 2.5c'!$B186,UtilityList!$A$4:$A$251&amp;UtilityList!$C$4:$C$251,0))</f>
        <v>Sealaska</v>
      </c>
      <c r="M186" s="709" t="str">
        <f t="array" ref="M186">INDEX(UtilityList!M$4:M$251,MATCH('Table 2.5c'!$A186&amp;'Table 2.5c'!$B186,UtilityList!$A$4:$A$251&amp;UtilityList!$C$4:$C$251,0))</f>
        <v>SE</v>
      </c>
    </row>
    <row r="187" spans="1:13" s="63" customFormat="1" x14ac:dyDescent="0.25">
      <c r="A187" s="710" t="s">
        <v>354</v>
      </c>
      <c r="B187" s="710" t="s">
        <v>355</v>
      </c>
      <c r="C187" s="711">
        <v>0.50305833</v>
      </c>
      <c r="D187" s="711">
        <v>0.33380832999999999</v>
      </c>
      <c r="E187" s="712">
        <v>0.16925000000000001</v>
      </c>
      <c r="F187" s="713">
        <v>0.66355790192361985</v>
      </c>
      <c r="G187" s="658" t="s">
        <v>356</v>
      </c>
      <c r="H187" s="622" t="s">
        <v>554</v>
      </c>
      <c r="I187" s="709">
        <f t="array" ref="I187">INDEX(UtilityList!Q$4:Q$251,MATCH('Table 2.5c'!$A187&amp;'Table 2.5c'!$B187,UtilityList!$A$4:$A$251&amp;UtilityList!$C$4:$C$251,0))</f>
        <v>0</v>
      </c>
      <c r="J187" s="709" t="str">
        <f t="array" ref="J187">INDEX(UtilityList!J$4:J$251,MATCH('Table 2.5c'!$A187&amp;'Table 2.5c'!$B187,UtilityList!$A$4:$A$251&amp;UtilityList!$C$4:$C$251,0))</f>
        <v>Southeast</v>
      </c>
      <c r="K187" s="709" t="str">
        <f t="array" ref="K187">INDEX(UtilityList!K$4:K$251,MATCH('Table 2.5c'!$A187&amp;'Table 2.5c'!$B187,UtilityList!$A$4:$A$251&amp;UtilityList!$C$4:$C$251,0))</f>
        <v>Yakutat</v>
      </c>
      <c r="L187" s="709" t="str">
        <f t="array" ref="L187">INDEX(UtilityList!L$4:L$251,MATCH('Table 2.5c'!$A187&amp;'Table 2.5c'!$B187,UtilityList!$A$4:$A$251&amp;UtilityList!$C$4:$C$251,0))</f>
        <v>Sealaska</v>
      </c>
      <c r="M187" s="709" t="str">
        <f t="array" ref="M187">INDEX(UtilityList!M$4:M$251,MATCH('Table 2.5c'!$A187&amp;'Table 2.5c'!$B187,UtilityList!$A$4:$A$251&amp;UtilityList!$C$4:$C$251,0))</f>
        <v>SE</v>
      </c>
    </row>
    <row r="188" spans="1:13" x14ac:dyDescent="0.25">
      <c r="A188" s="110"/>
      <c r="B188" s="165"/>
      <c r="C188" s="58"/>
      <c r="D188" s="58"/>
      <c r="E188" s="58"/>
      <c r="F188" s="60"/>
      <c r="G188" s="50"/>
      <c r="H188" s="49"/>
      <c r="I188" s="49"/>
      <c r="J188" s="56"/>
      <c r="K188" s="56"/>
      <c r="L188" s="49"/>
      <c r="M188" s="49"/>
    </row>
    <row r="189" spans="1:13" x14ac:dyDescent="0.25">
      <c r="A189" s="110"/>
      <c r="B189" s="165"/>
      <c r="C189" s="58"/>
      <c r="D189" s="58"/>
      <c r="E189" s="58"/>
      <c r="F189" s="60"/>
      <c r="G189" s="50"/>
      <c r="H189" s="49"/>
      <c r="I189" s="49"/>
      <c r="J189" s="56"/>
      <c r="K189" s="56"/>
      <c r="L189" s="49"/>
      <c r="M189" s="49"/>
    </row>
    <row r="190" spans="1:13" x14ac:dyDescent="0.25">
      <c r="A190" s="110"/>
      <c r="B190" s="167"/>
      <c r="C190" s="58"/>
      <c r="D190" s="58"/>
      <c r="E190" s="58"/>
      <c r="F190" s="60"/>
      <c r="G190" s="50"/>
      <c r="H190" s="49"/>
      <c r="I190" s="49"/>
      <c r="J190" s="56"/>
      <c r="K190" s="56"/>
      <c r="L190" s="49"/>
      <c r="M190" s="49"/>
    </row>
    <row r="191" spans="1:13" x14ac:dyDescent="0.25">
      <c r="A191" s="110"/>
      <c r="B191" s="167"/>
      <c r="C191" s="58"/>
      <c r="D191" s="58"/>
      <c r="E191" s="58"/>
      <c r="F191" s="60"/>
      <c r="G191" s="50"/>
      <c r="H191" s="49"/>
      <c r="I191" s="49"/>
      <c r="J191" s="56"/>
      <c r="K191" s="56"/>
      <c r="L191" s="49"/>
      <c r="M191" s="49"/>
    </row>
    <row r="192" spans="1:13" x14ac:dyDescent="0.25">
      <c r="A192" s="110"/>
      <c r="B192" s="167"/>
      <c r="C192" s="58"/>
      <c r="D192" s="58"/>
      <c r="E192" s="58"/>
      <c r="F192" s="60"/>
      <c r="G192" s="50"/>
      <c r="H192" s="49"/>
      <c r="I192" s="49"/>
      <c r="J192" s="56"/>
      <c r="K192" s="56"/>
      <c r="L192" s="49"/>
      <c r="M192" s="49"/>
    </row>
    <row r="193" spans="1:13" x14ac:dyDescent="0.25">
      <c r="A193" s="110"/>
      <c r="B193" s="165"/>
      <c r="C193" s="58"/>
      <c r="D193" s="58"/>
      <c r="E193" s="58"/>
      <c r="F193" s="60"/>
      <c r="G193" s="50"/>
      <c r="H193" s="49"/>
      <c r="I193" s="49"/>
      <c r="J193" s="56"/>
      <c r="K193" s="56"/>
      <c r="L193" s="49"/>
      <c r="M193" s="49"/>
    </row>
    <row r="194" spans="1:13" x14ac:dyDescent="0.25">
      <c r="A194" s="110"/>
      <c r="B194" s="167"/>
      <c r="C194" s="58"/>
      <c r="D194" s="58"/>
      <c r="E194" s="58"/>
      <c r="F194" s="60"/>
      <c r="G194" s="50"/>
      <c r="H194" s="49"/>
      <c r="I194" s="49"/>
      <c r="J194" s="56"/>
      <c r="K194" s="56"/>
      <c r="L194" s="49"/>
      <c r="M194" s="49"/>
    </row>
    <row r="195" spans="1:13" x14ac:dyDescent="0.25">
      <c r="A195" s="110"/>
      <c r="B195" s="167"/>
      <c r="C195" s="58"/>
      <c r="D195" s="58"/>
      <c r="E195" s="58"/>
      <c r="F195" s="60"/>
      <c r="G195" s="50"/>
      <c r="H195" s="49"/>
      <c r="I195" s="49"/>
      <c r="J195" s="56"/>
      <c r="K195" s="56"/>
      <c r="L195" s="49"/>
      <c r="M195" s="49"/>
    </row>
    <row r="196" spans="1:13" x14ac:dyDescent="0.25">
      <c r="A196" s="110"/>
      <c r="B196" s="165"/>
      <c r="C196" s="58"/>
      <c r="D196" s="58"/>
      <c r="E196" s="59"/>
      <c r="F196" s="61"/>
      <c r="G196" s="50"/>
      <c r="H196" s="49"/>
      <c r="I196" s="49"/>
      <c r="J196" s="56"/>
      <c r="K196" s="56"/>
      <c r="L196" s="49"/>
      <c r="M196" s="49"/>
    </row>
    <row r="197" spans="1:13" x14ac:dyDescent="0.25">
      <c r="A197" s="110"/>
      <c r="B197" s="167"/>
      <c r="C197" s="58"/>
      <c r="D197" s="58"/>
      <c r="E197" s="59"/>
      <c r="F197" s="61"/>
      <c r="G197" s="50"/>
      <c r="H197" s="49"/>
      <c r="I197" s="52"/>
      <c r="J197" s="56"/>
      <c r="K197" s="56"/>
      <c r="L197" s="49"/>
      <c r="M197" s="49"/>
    </row>
    <row r="198" spans="1:13" x14ac:dyDescent="0.25">
      <c r="A198" s="110"/>
      <c r="B198" s="165"/>
      <c r="C198" s="58"/>
      <c r="D198" s="58"/>
      <c r="E198" s="59"/>
      <c r="F198" s="61"/>
      <c r="G198" s="50"/>
      <c r="H198" s="49"/>
      <c r="I198" s="49"/>
      <c r="J198" s="56"/>
      <c r="K198" s="56"/>
      <c r="L198" s="49"/>
      <c r="M198" s="49"/>
    </row>
    <row r="199" spans="1:13" x14ac:dyDescent="0.25">
      <c r="A199" s="110"/>
      <c r="B199" s="167"/>
      <c r="C199" s="58"/>
      <c r="D199" s="58"/>
      <c r="E199" s="59"/>
      <c r="F199" s="61"/>
      <c r="G199" s="50"/>
      <c r="H199" s="49"/>
      <c r="I199" s="49"/>
      <c r="J199" s="56"/>
      <c r="K199" s="56"/>
      <c r="L199" s="49"/>
      <c r="M199" s="49"/>
    </row>
    <row r="200" spans="1:13" x14ac:dyDescent="0.25">
      <c r="A200" s="110"/>
      <c r="B200" s="167"/>
      <c r="C200" s="58"/>
      <c r="D200" s="58"/>
      <c r="E200" s="59"/>
      <c r="F200" s="61"/>
      <c r="G200" s="50"/>
      <c r="H200" s="49"/>
      <c r="I200" s="55"/>
      <c r="J200" s="56"/>
      <c r="K200" s="56"/>
      <c r="L200" s="49"/>
      <c r="M200" s="49"/>
    </row>
    <row r="201" spans="1:13" x14ac:dyDescent="0.25">
      <c r="A201" s="110"/>
      <c r="B201" s="167"/>
      <c r="C201" s="58"/>
      <c r="D201" s="58"/>
      <c r="E201" s="59"/>
      <c r="F201" s="61"/>
      <c r="G201" s="50"/>
      <c r="H201" s="49"/>
      <c r="I201" s="52"/>
      <c r="J201" s="56"/>
      <c r="K201" s="56"/>
      <c r="L201" s="49"/>
      <c r="M201" s="49"/>
    </row>
    <row r="202" spans="1:13" x14ac:dyDescent="0.25">
      <c r="A202" s="110"/>
      <c r="B202" s="163"/>
      <c r="C202" s="48"/>
      <c r="D202" s="48"/>
      <c r="E202" s="48"/>
      <c r="F202" s="48"/>
      <c r="G202" s="53"/>
      <c r="H202" s="49"/>
      <c r="I202" s="49"/>
      <c r="J202" s="56"/>
      <c r="K202" s="56"/>
      <c r="L202" s="49"/>
      <c r="M202" s="49"/>
    </row>
    <row r="203" spans="1:13" x14ac:dyDescent="0.25">
      <c r="A203" s="110"/>
      <c r="B203" s="167"/>
      <c r="C203" s="58"/>
      <c r="D203" s="58"/>
      <c r="E203" s="59"/>
      <c r="F203" s="61"/>
      <c r="G203" s="50"/>
      <c r="H203" s="49"/>
      <c r="I203" s="49"/>
      <c r="J203" s="56"/>
      <c r="K203" s="56"/>
      <c r="L203" s="49"/>
      <c r="M203" s="49"/>
    </row>
    <row r="204" spans="1:13" x14ac:dyDescent="0.25">
      <c r="A204" s="110"/>
      <c r="B204" s="165"/>
      <c r="C204" s="58"/>
      <c r="D204" s="48"/>
      <c r="E204" s="48"/>
      <c r="F204" s="48"/>
      <c r="G204" s="50"/>
      <c r="H204" s="49"/>
      <c r="I204" s="49"/>
      <c r="J204" s="56"/>
      <c r="K204" s="56"/>
      <c r="L204" s="49"/>
      <c r="M204" s="49"/>
    </row>
    <row r="205" spans="1:13" x14ac:dyDescent="0.25">
      <c r="A205" s="110"/>
      <c r="B205" s="165"/>
      <c r="C205" s="58"/>
      <c r="D205" s="58"/>
      <c r="E205" s="59"/>
      <c r="F205" s="61"/>
      <c r="G205" s="50"/>
      <c r="H205" s="49"/>
      <c r="I205" s="52"/>
      <c r="J205" s="56"/>
      <c r="K205" s="56"/>
      <c r="L205" s="49"/>
      <c r="M205" s="49"/>
    </row>
    <row r="206" spans="1:13" x14ac:dyDescent="0.25">
      <c r="A206" s="110"/>
      <c r="B206" s="168"/>
      <c r="C206" s="48"/>
      <c r="D206" s="48"/>
      <c r="E206" s="58"/>
      <c r="F206" s="60"/>
      <c r="G206" s="53"/>
      <c r="H206" s="49"/>
      <c r="I206" s="49"/>
      <c r="J206" s="56"/>
      <c r="K206" s="56"/>
      <c r="L206" s="49"/>
      <c r="M206" s="49"/>
    </row>
    <row r="207" spans="1:13" x14ac:dyDescent="0.25">
      <c r="A207" s="110"/>
      <c r="B207" s="54"/>
      <c r="C207" s="48"/>
      <c r="D207" s="48"/>
      <c r="E207" s="58"/>
      <c r="F207" s="60"/>
      <c r="G207" s="53"/>
      <c r="H207" s="49"/>
      <c r="I207" s="52"/>
      <c r="J207" s="56"/>
      <c r="K207" s="56"/>
      <c r="L207" s="49"/>
      <c r="M207" s="49"/>
    </row>
    <row r="208" spans="1:13" x14ac:dyDescent="0.25">
      <c r="A208" s="110"/>
      <c r="B208" s="168"/>
      <c r="C208" s="48"/>
      <c r="D208" s="48"/>
      <c r="E208" s="58"/>
      <c r="F208" s="60"/>
      <c r="G208" s="53"/>
      <c r="H208" s="49"/>
      <c r="I208" s="52"/>
      <c r="J208" s="56"/>
      <c r="K208" s="56"/>
      <c r="L208" s="49"/>
      <c r="M208" s="49"/>
    </row>
    <row r="209" spans="9:13" x14ac:dyDescent="0.25">
      <c r="I209" s="52"/>
      <c r="J209" s="56"/>
      <c r="K209" s="56"/>
      <c r="L209" s="49"/>
      <c r="M209" s="49"/>
    </row>
  </sheetData>
  <autoFilter ref="A3:M187"/>
  <sortState ref="A2:M208">
    <sortCondition ref="A2:A208"/>
    <sortCondition ref="B2:B208"/>
  </sortState>
  <mergeCells count="2">
    <mergeCell ref="A2:M2"/>
    <mergeCell ref="A1:M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41"/>
  <sheetViews>
    <sheetView showGridLines="0" workbookViewId="0">
      <selection activeCell="H27" sqref="H27"/>
    </sheetView>
  </sheetViews>
  <sheetFormatPr defaultRowHeight="15" x14ac:dyDescent="0.25"/>
  <cols>
    <col min="1" max="1" width="41.140625" customWidth="1"/>
    <col min="2" max="2" width="10.42578125" style="605" customWidth="1"/>
    <col min="3" max="3" width="7.28515625" customWidth="1"/>
    <col min="4" max="4" width="12.85546875" style="605" customWidth="1"/>
    <col min="5" max="5" width="10.5703125" customWidth="1"/>
    <col min="6" max="6" width="11.85546875" customWidth="1"/>
    <col min="7" max="7" width="6.5703125" style="605" customWidth="1"/>
    <col min="8" max="8" width="11.140625" customWidth="1"/>
    <col min="9" max="9" width="12.85546875" customWidth="1"/>
    <col min="10" max="10" width="10.140625" bestFit="1" customWidth="1"/>
    <col min="11" max="11" width="20.85546875" customWidth="1"/>
  </cols>
  <sheetData>
    <row r="1" spans="1:11" s="605" customFormat="1" ht="139.5" customHeight="1" x14ac:dyDescent="0.25">
      <c r="A1" s="904" t="s">
        <v>1078</v>
      </c>
      <c r="B1" s="904"/>
      <c r="C1" s="904"/>
      <c r="D1" s="904"/>
      <c r="E1" s="904"/>
      <c r="F1" s="904"/>
      <c r="G1" s="904"/>
      <c r="H1" s="904"/>
      <c r="I1" s="904"/>
    </row>
    <row r="2" spans="1:11" x14ac:dyDescent="0.25">
      <c r="A2" s="910" t="s">
        <v>1147</v>
      </c>
      <c r="B2" s="910"/>
      <c r="C2" s="910"/>
      <c r="D2" s="910"/>
      <c r="E2" s="910"/>
      <c r="F2" s="910"/>
      <c r="G2" s="910"/>
      <c r="H2" s="910"/>
      <c r="I2" s="910"/>
      <c r="J2" s="768"/>
      <c r="K2" s="768"/>
    </row>
    <row r="3" spans="1:11" ht="38.25" x14ac:dyDescent="0.25">
      <c r="A3" s="746" t="s">
        <v>1060</v>
      </c>
      <c r="B3" s="746" t="s">
        <v>1177</v>
      </c>
      <c r="C3" s="747" t="s">
        <v>760</v>
      </c>
      <c r="D3" s="747" t="s">
        <v>1069</v>
      </c>
      <c r="E3" s="748" t="s">
        <v>1062</v>
      </c>
      <c r="F3" s="748" t="s">
        <v>1178</v>
      </c>
      <c r="G3" s="746" t="s">
        <v>1061</v>
      </c>
      <c r="H3" s="748" t="s">
        <v>1063</v>
      </c>
      <c r="I3" s="748" t="s">
        <v>4</v>
      </c>
      <c r="J3" s="767" t="s">
        <v>1071</v>
      </c>
      <c r="K3" s="768"/>
    </row>
    <row r="4" spans="1:11" x14ac:dyDescent="0.25">
      <c r="A4" s="917" t="s">
        <v>1053</v>
      </c>
      <c r="B4" s="917" t="s">
        <v>1058</v>
      </c>
      <c r="C4" s="915" t="s">
        <v>560</v>
      </c>
      <c r="D4" s="911">
        <v>8000</v>
      </c>
      <c r="E4" s="753">
        <v>1722</v>
      </c>
      <c r="F4" s="752" t="s">
        <v>1066</v>
      </c>
      <c r="G4" s="752" t="s">
        <v>545</v>
      </c>
      <c r="H4" s="753">
        <v>17.167000000000002</v>
      </c>
      <c r="I4" s="754" t="s">
        <v>558</v>
      </c>
      <c r="J4" s="759">
        <v>228</v>
      </c>
      <c r="K4" s="768"/>
    </row>
    <row r="5" spans="1:11" x14ac:dyDescent="0.25">
      <c r="A5" s="917"/>
      <c r="B5" s="917"/>
      <c r="C5" s="915"/>
      <c r="D5" s="912"/>
      <c r="E5" s="409">
        <v>833555</v>
      </c>
      <c r="F5" s="304" t="s">
        <v>1064</v>
      </c>
      <c r="G5" s="304" t="s">
        <v>564</v>
      </c>
      <c r="H5" s="409">
        <v>57110.769</v>
      </c>
      <c r="I5" s="755" t="s">
        <v>558</v>
      </c>
      <c r="J5" s="611">
        <v>750199</v>
      </c>
      <c r="K5" s="768"/>
    </row>
    <row r="6" spans="1:11" x14ac:dyDescent="0.25">
      <c r="A6" s="909"/>
      <c r="B6" s="909"/>
      <c r="C6" s="916"/>
      <c r="D6" s="913"/>
      <c r="E6" s="757">
        <v>10900</v>
      </c>
      <c r="F6" s="756" t="s">
        <v>1064</v>
      </c>
      <c r="G6" s="756" t="s">
        <v>1056</v>
      </c>
      <c r="H6" s="757">
        <v>2738.3040000000001</v>
      </c>
      <c r="I6" s="758" t="s">
        <v>558</v>
      </c>
      <c r="J6" s="769">
        <v>35970</v>
      </c>
      <c r="K6" s="768"/>
    </row>
    <row r="7" spans="1:11" x14ac:dyDescent="0.25">
      <c r="A7" s="908" t="s">
        <v>1055</v>
      </c>
      <c r="B7" s="908" t="s">
        <v>1058</v>
      </c>
      <c r="C7" s="918" t="s">
        <v>546</v>
      </c>
      <c r="D7" s="914">
        <v>15500</v>
      </c>
      <c r="E7" s="406">
        <v>2425080</v>
      </c>
      <c r="F7" s="760" t="s">
        <v>1066</v>
      </c>
      <c r="G7" s="760" t="s">
        <v>545</v>
      </c>
      <c r="H7" s="406">
        <v>28063.662</v>
      </c>
      <c r="I7" s="761" t="s">
        <v>558</v>
      </c>
      <c r="J7" s="610">
        <v>357988</v>
      </c>
      <c r="K7" s="768"/>
    </row>
    <row r="8" spans="1:11" x14ac:dyDescent="0.25">
      <c r="A8" s="909"/>
      <c r="B8" s="909"/>
      <c r="C8" s="916"/>
      <c r="D8" s="913"/>
      <c r="E8" s="757">
        <v>440202</v>
      </c>
      <c r="F8" s="756" t="s">
        <v>1066</v>
      </c>
      <c r="G8" s="756" t="s">
        <v>1057</v>
      </c>
      <c r="H8" s="757">
        <v>3286.538</v>
      </c>
      <c r="I8" s="758" t="s">
        <v>558</v>
      </c>
      <c r="J8" s="769">
        <v>41924</v>
      </c>
      <c r="K8" s="768"/>
    </row>
    <row r="9" spans="1:11" x14ac:dyDescent="0.25">
      <c r="A9" s="908" t="s">
        <v>1052</v>
      </c>
      <c r="B9" s="908" t="s">
        <v>1058</v>
      </c>
      <c r="C9" s="761" t="s">
        <v>546</v>
      </c>
      <c r="D9" s="610">
        <v>9600</v>
      </c>
      <c r="E9" s="406">
        <v>2982</v>
      </c>
      <c r="F9" s="762" t="s">
        <v>1066</v>
      </c>
      <c r="G9" s="760" t="s">
        <v>545</v>
      </c>
      <c r="H9" s="406">
        <v>29.400000000000002</v>
      </c>
      <c r="I9" s="761" t="s">
        <v>558</v>
      </c>
      <c r="J9" s="610">
        <v>393</v>
      </c>
      <c r="K9" s="768"/>
    </row>
    <row r="10" spans="1:11" x14ac:dyDescent="0.25">
      <c r="A10" s="917"/>
      <c r="B10" s="917"/>
      <c r="C10" s="919" t="s">
        <v>562</v>
      </c>
      <c r="D10" s="912">
        <v>13000</v>
      </c>
      <c r="E10" s="409">
        <v>481866</v>
      </c>
      <c r="F10" s="304" t="s">
        <v>1066</v>
      </c>
      <c r="G10" s="304" t="s">
        <v>545</v>
      </c>
      <c r="H10" s="409">
        <v>2766.895</v>
      </c>
      <c r="I10" s="755" t="s">
        <v>558</v>
      </c>
      <c r="J10" s="611">
        <v>63103</v>
      </c>
      <c r="K10" s="768"/>
    </row>
    <row r="11" spans="1:11" x14ac:dyDescent="0.25">
      <c r="A11" s="917"/>
      <c r="B11" s="917"/>
      <c r="C11" s="915"/>
      <c r="D11" s="912"/>
      <c r="E11" s="409">
        <v>63912</v>
      </c>
      <c r="F11" s="304" t="s">
        <v>1064</v>
      </c>
      <c r="G11" s="304" t="s">
        <v>564</v>
      </c>
      <c r="H11" s="409">
        <v>2837.8230000000003</v>
      </c>
      <c r="I11" s="755" t="s">
        <v>558</v>
      </c>
      <c r="J11" s="611">
        <v>63912</v>
      </c>
      <c r="K11" s="768"/>
    </row>
    <row r="12" spans="1:11" x14ac:dyDescent="0.25">
      <c r="A12" s="909"/>
      <c r="B12" s="909"/>
      <c r="C12" s="916"/>
      <c r="D12" s="913"/>
      <c r="E12" s="757">
        <v>74745</v>
      </c>
      <c r="F12" s="756" t="s">
        <v>1065</v>
      </c>
      <c r="G12" s="756" t="s">
        <v>561</v>
      </c>
      <c r="H12" s="757">
        <v>51303.623</v>
      </c>
      <c r="I12" s="758" t="s">
        <v>558</v>
      </c>
      <c r="J12" s="769">
        <v>1121175</v>
      </c>
      <c r="K12" s="768"/>
    </row>
    <row r="13" spans="1:11" x14ac:dyDescent="0.25">
      <c r="A13" s="777" t="s">
        <v>1054</v>
      </c>
      <c r="B13" s="778" t="s">
        <v>1058</v>
      </c>
      <c r="C13" s="763" t="s">
        <v>546</v>
      </c>
      <c r="D13" s="606">
        <v>6600</v>
      </c>
      <c r="E13" s="606">
        <v>1650852</v>
      </c>
      <c r="F13" s="401" t="s">
        <v>1066</v>
      </c>
      <c r="G13" s="401" t="s">
        <v>545</v>
      </c>
      <c r="H13" s="606">
        <v>21484</v>
      </c>
      <c r="I13" s="763" t="s">
        <v>558</v>
      </c>
      <c r="J13" s="770">
        <v>231119</v>
      </c>
      <c r="K13" s="768"/>
    </row>
    <row r="14" spans="1:11" x14ac:dyDescent="0.25">
      <c r="A14" s="777" t="s">
        <v>1070</v>
      </c>
      <c r="B14" s="778" t="s">
        <v>1059</v>
      </c>
      <c r="C14" s="763" t="s">
        <v>562</v>
      </c>
      <c r="D14" s="606">
        <v>22500</v>
      </c>
      <c r="E14" s="606">
        <v>301623</v>
      </c>
      <c r="F14" s="401" t="s">
        <v>1065</v>
      </c>
      <c r="G14" s="401" t="s">
        <v>561</v>
      </c>
      <c r="H14" s="606">
        <v>143877.90900000001</v>
      </c>
      <c r="I14" s="763" t="s">
        <v>558</v>
      </c>
      <c r="J14" s="770">
        <v>4765644</v>
      </c>
      <c r="K14" s="768"/>
    </row>
    <row r="15" spans="1:11" x14ac:dyDescent="0.25">
      <c r="A15" s="906" t="s">
        <v>1067</v>
      </c>
      <c r="B15" s="908" t="s">
        <v>1059</v>
      </c>
      <c r="C15" s="754" t="s">
        <v>546</v>
      </c>
      <c r="D15" s="753">
        <v>8500</v>
      </c>
      <c r="E15" s="753">
        <v>21966</v>
      </c>
      <c r="F15" s="752" t="s">
        <v>1066</v>
      </c>
      <c r="G15" s="752" t="s">
        <v>545</v>
      </c>
      <c r="H15" s="753">
        <v>249</v>
      </c>
      <c r="I15" s="754" t="s">
        <v>558</v>
      </c>
      <c r="J15" s="759">
        <v>3033</v>
      </c>
      <c r="K15" s="768"/>
    </row>
    <row r="16" spans="1:11" x14ac:dyDescent="0.25">
      <c r="A16" s="907"/>
      <c r="B16" s="909"/>
      <c r="C16" s="758" t="s">
        <v>562</v>
      </c>
      <c r="D16" s="757">
        <v>25000</v>
      </c>
      <c r="E16" s="757">
        <v>173199</v>
      </c>
      <c r="F16" s="756" t="s">
        <v>1065</v>
      </c>
      <c r="G16" s="756" t="s">
        <v>561</v>
      </c>
      <c r="H16" s="757">
        <v>74114</v>
      </c>
      <c r="I16" s="758" t="s">
        <v>558</v>
      </c>
      <c r="J16" s="769">
        <v>2624412</v>
      </c>
      <c r="K16" s="768"/>
    </row>
    <row r="17" spans="1:11" x14ac:dyDescent="0.25">
      <c r="A17" s="841" t="s">
        <v>1068</v>
      </c>
      <c r="B17" s="778" t="s">
        <v>1059</v>
      </c>
      <c r="C17" s="763" t="s">
        <v>546</v>
      </c>
      <c r="D17" s="606">
        <v>7400</v>
      </c>
      <c r="E17" s="606">
        <v>9534</v>
      </c>
      <c r="F17" s="401" t="s">
        <v>1066</v>
      </c>
      <c r="G17" s="401" t="s">
        <v>545</v>
      </c>
      <c r="H17" s="606">
        <v>159.74</v>
      </c>
      <c r="I17" s="763" t="s">
        <v>558</v>
      </c>
      <c r="J17" s="770">
        <v>1314</v>
      </c>
      <c r="K17" s="768"/>
    </row>
    <row r="18" spans="1:11" s="788" customFormat="1" ht="30" x14ac:dyDescent="0.25">
      <c r="A18" s="835" t="s">
        <v>1179</v>
      </c>
      <c r="B18" s="806" t="s">
        <v>1058</v>
      </c>
      <c r="C18" s="836" t="s">
        <v>1183</v>
      </c>
      <c r="D18" s="837">
        <v>80</v>
      </c>
      <c r="E18" s="837"/>
      <c r="F18" s="838"/>
      <c r="G18" s="838"/>
      <c r="H18" s="837"/>
      <c r="I18" s="836"/>
      <c r="J18" s="839"/>
      <c r="K18" s="768"/>
    </row>
    <row r="19" spans="1:11" s="788" customFormat="1" x14ac:dyDescent="0.25">
      <c r="A19" s="840" t="s">
        <v>1180</v>
      </c>
      <c r="B19" s="778" t="s">
        <v>1058</v>
      </c>
      <c r="C19" s="763" t="s">
        <v>1183</v>
      </c>
      <c r="D19" s="606">
        <v>75</v>
      </c>
      <c r="E19" s="606"/>
      <c r="F19" s="401"/>
      <c r="G19" s="401"/>
      <c r="H19" s="606"/>
      <c r="I19" s="763"/>
      <c r="J19" s="770"/>
      <c r="K19" s="768"/>
    </row>
    <row r="20" spans="1:11" s="788" customFormat="1" x14ac:dyDescent="0.25">
      <c r="A20" s="840" t="s">
        <v>1181</v>
      </c>
      <c r="B20" s="778" t="s">
        <v>1058</v>
      </c>
      <c r="C20" s="763" t="s">
        <v>1183</v>
      </c>
      <c r="D20" s="606">
        <v>249</v>
      </c>
      <c r="E20" s="606"/>
      <c r="F20" s="401"/>
      <c r="G20" s="401"/>
      <c r="H20" s="606"/>
      <c r="I20" s="763"/>
      <c r="J20" s="770"/>
      <c r="K20" s="768"/>
    </row>
    <row r="21" spans="1:11" s="788" customFormat="1" ht="30" x14ac:dyDescent="0.25">
      <c r="A21" s="834" t="s">
        <v>1182</v>
      </c>
      <c r="B21" s="807" t="s">
        <v>1058</v>
      </c>
      <c r="C21" s="765" t="s">
        <v>1183</v>
      </c>
      <c r="D21" s="764">
        <v>100</v>
      </c>
      <c r="E21" s="764"/>
      <c r="F21" s="463"/>
      <c r="G21" s="463"/>
      <c r="H21" s="764"/>
      <c r="I21" s="765"/>
      <c r="J21" s="771"/>
      <c r="K21" s="768"/>
    </row>
    <row r="22" spans="1:11" x14ac:dyDescent="0.25">
      <c r="A22" s="399" t="s">
        <v>14</v>
      </c>
      <c r="B22" s="749"/>
      <c r="C22" s="749"/>
      <c r="D22" s="750">
        <f>SUM(D4:D21)</f>
        <v>116604</v>
      </c>
      <c r="E22" s="775">
        <f>SUMIF($G$4:$G$17,"DFO",E4:E17)</f>
        <v>4594002</v>
      </c>
      <c r="F22" s="399"/>
      <c r="G22" s="749" t="s">
        <v>545</v>
      </c>
      <c r="H22" s="750">
        <f>SUM(H4:H17)</f>
        <v>388038.83</v>
      </c>
      <c r="I22" s="751"/>
      <c r="J22" s="772">
        <f>SUMIF($G$4:$G$17,"DFO",J4:J17)</f>
        <v>657178</v>
      </c>
      <c r="K22" s="773" t="s">
        <v>1072</v>
      </c>
    </row>
    <row r="23" spans="1:11" s="285" customFormat="1" x14ac:dyDescent="0.25">
      <c r="E23" s="750">
        <f>SUMIF($G$4:$G$17,"OBL",E4:E17)</f>
        <v>440202</v>
      </c>
      <c r="F23" s="766"/>
      <c r="G23" s="749" t="s">
        <v>1057</v>
      </c>
      <c r="H23" s="750">
        <f>SUM(H4:H13)</f>
        <v>169638.18100000001</v>
      </c>
      <c r="I23" s="399" t="s">
        <v>1058</v>
      </c>
      <c r="J23" s="774">
        <f>SUMIF($G$4:$G$17,"OBL",J4:J17)</f>
        <v>41924</v>
      </c>
      <c r="K23" s="773" t="s">
        <v>1073</v>
      </c>
    </row>
    <row r="24" spans="1:11" s="285" customFormat="1" x14ac:dyDescent="0.25">
      <c r="E24" s="750">
        <f>SUMIF($G$4:$G$17,"NG",E4:E17)</f>
        <v>897467</v>
      </c>
      <c r="F24" s="766"/>
      <c r="G24" s="749" t="s">
        <v>564</v>
      </c>
      <c r="H24" s="750">
        <f>SUM(H14:H17)</f>
        <v>218400.649</v>
      </c>
      <c r="I24" s="399" t="s">
        <v>1059</v>
      </c>
      <c r="J24" s="774">
        <f>SUMIF($G$4:$G$17,"NG",J4:J17)</f>
        <v>814111</v>
      </c>
      <c r="K24" s="773" t="s">
        <v>1074</v>
      </c>
    </row>
    <row r="25" spans="1:11" x14ac:dyDescent="0.25">
      <c r="E25" s="750">
        <f>SUMIF($G$4:$G$17,"OG",E4:E17)</f>
        <v>10900</v>
      </c>
      <c r="F25" s="749"/>
      <c r="G25" s="749" t="s">
        <v>1056</v>
      </c>
      <c r="J25" s="774">
        <f>SUMIF($G$4:$G$17,"OG",J4:J17)</f>
        <v>35970</v>
      </c>
      <c r="K25" s="773" t="s">
        <v>1075</v>
      </c>
    </row>
    <row r="26" spans="1:11" x14ac:dyDescent="0.25">
      <c r="E26" s="750">
        <f>SUMIF($G$4:$G$17,"SUB",E4:E17)</f>
        <v>549567</v>
      </c>
      <c r="F26" s="749"/>
      <c r="G26" s="749" t="s">
        <v>561</v>
      </c>
      <c r="J26" s="774">
        <f>SUMIF($G$4:$G$17,"SUB",J4:J17)</f>
        <v>8511231</v>
      </c>
      <c r="K26" s="773" t="s">
        <v>1076</v>
      </c>
    </row>
    <row r="27" spans="1:11" x14ac:dyDescent="0.25">
      <c r="C27" s="605"/>
      <c r="E27" s="605"/>
      <c r="F27" s="394"/>
      <c r="J27" s="774">
        <f>SUM(J22:J26)</f>
        <v>10060414</v>
      </c>
      <c r="K27" s="773" t="s">
        <v>14</v>
      </c>
    </row>
    <row r="28" spans="1:11" x14ac:dyDescent="0.25">
      <c r="C28" s="605"/>
      <c r="F28" s="394"/>
    </row>
    <row r="29" spans="1:11" x14ac:dyDescent="0.25">
      <c r="C29" s="605"/>
      <c r="E29" s="605"/>
      <c r="F29" s="394"/>
    </row>
    <row r="30" spans="1:11" x14ac:dyDescent="0.25">
      <c r="C30" s="605"/>
      <c r="E30" s="605"/>
      <c r="F30" s="394"/>
    </row>
    <row r="31" spans="1:11" x14ac:dyDescent="0.25">
      <c r="C31" s="605"/>
      <c r="E31" s="605"/>
      <c r="F31" s="394"/>
    </row>
    <row r="32" spans="1:11" x14ac:dyDescent="0.25">
      <c r="C32" s="605"/>
      <c r="E32" s="605"/>
      <c r="F32" s="394"/>
    </row>
    <row r="33" spans="3:6" x14ac:dyDescent="0.25">
      <c r="C33" s="605"/>
      <c r="E33" s="605"/>
      <c r="F33" s="394"/>
    </row>
    <row r="34" spans="3:6" x14ac:dyDescent="0.25">
      <c r="C34" s="605"/>
      <c r="E34" s="605"/>
      <c r="F34" s="394"/>
    </row>
    <row r="35" spans="3:6" x14ac:dyDescent="0.25">
      <c r="C35" s="605"/>
      <c r="E35" s="605"/>
      <c r="F35" s="394"/>
    </row>
    <row r="36" spans="3:6" x14ac:dyDescent="0.25">
      <c r="C36" s="605"/>
      <c r="E36" s="605"/>
      <c r="F36" s="394"/>
    </row>
    <row r="37" spans="3:6" x14ac:dyDescent="0.25">
      <c r="C37" s="605"/>
      <c r="E37" s="605"/>
      <c r="F37" s="394"/>
    </row>
    <row r="38" spans="3:6" x14ac:dyDescent="0.25">
      <c r="C38" s="605"/>
      <c r="E38" s="605"/>
      <c r="F38" s="394"/>
    </row>
    <row r="39" spans="3:6" x14ac:dyDescent="0.25">
      <c r="C39" s="605"/>
      <c r="E39" s="605"/>
      <c r="F39" s="394"/>
    </row>
    <row r="40" spans="3:6" x14ac:dyDescent="0.25">
      <c r="C40" s="605"/>
      <c r="E40" s="605"/>
      <c r="F40" s="394"/>
    </row>
    <row r="41" spans="3:6" x14ac:dyDescent="0.25">
      <c r="C41" s="605"/>
      <c r="E41" s="605"/>
      <c r="F41" s="394"/>
    </row>
  </sheetData>
  <sortState ref="A4:I17">
    <sortCondition ref="B3:B16"/>
    <sortCondition ref="A3:A16"/>
  </sortState>
  <mergeCells count="16">
    <mergeCell ref="A15:A16"/>
    <mergeCell ref="B15:B16"/>
    <mergeCell ref="A2:I2"/>
    <mergeCell ref="A1:I1"/>
    <mergeCell ref="D4:D6"/>
    <mergeCell ref="D7:D8"/>
    <mergeCell ref="D10:D12"/>
    <mergeCell ref="C4:C6"/>
    <mergeCell ref="B4:B6"/>
    <mergeCell ref="B7:B8"/>
    <mergeCell ref="C7:C8"/>
    <mergeCell ref="B9:B12"/>
    <mergeCell ref="C10:C12"/>
    <mergeCell ref="A4:A6"/>
    <mergeCell ref="A7:A8"/>
    <mergeCell ref="A9:A12"/>
  </mergeCells>
  <pageMargins left="0.7" right="0.7" top="0.75" bottom="0.75" header="0.3" footer="0.3"/>
  <pageSetup orientation="portrait"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249977111117893"/>
  </sheetPr>
  <dimension ref="A1:S82"/>
  <sheetViews>
    <sheetView showGridLines="0" topLeftCell="A43" zoomScaleNormal="100" workbookViewId="0">
      <selection activeCell="A8" sqref="A8:J8"/>
    </sheetView>
  </sheetViews>
  <sheetFormatPr defaultRowHeight="15" x14ac:dyDescent="0.25"/>
  <cols>
    <col min="1" max="1" width="11.28515625" style="605" customWidth="1"/>
    <col min="2" max="2" width="12.28515625" style="605" customWidth="1"/>
    <col min="3" max="3" width="9.28515625" style="605" bestFit="1" customWidth="1"/>
    <col min="4" max="8" width="8.85546875" style="605" customWidth="1"/>
    <col min="9" max="12" width="9.140625" style="605"/>
    <col min="13" max="13" width="28.28515625" style="605" customWidth="1"/>
    <col min="14" max="14" width="18.42578125" style="605" customWidth="1"/>
    <col min="15" max="15" width="20.7109375" style="605" customWidth="1"/>
    <col min="16" max="16" width="39.140625" style="605" customWidth="1"/>
    <col min="17" max="17" width="22.28515625" style="605" customWidth="1"/>
    <col min="18" max="18" width="19.7109375" style="605" customWidth="1"/>
    <col min="19" max="19" width="20" style="605" customWidth="1"/>
    <col min="20" max="16384" width="9.140625" style="605"/>
  </cols>
  <sheetData>
    <row r="1" spans="1:19" x14ac:dyDescent="0.25">
      <c r="A1" s="472" t="s">
        <v>919</v>
      </c>
      <c r="B1" s="485"/>
      <c r="C1" s="511"/>
      <c r="D1" s="511"/>
      <c r="E1" s="498"/>
      <c r="F1" s="511"/>
      <c r="G1" s="498"/>
      <c r="H1" s="511"/>
      <c r="I1" s="472"/>
      <c r="J1" s="472"/>
    </row>
    <row r="2" spans="1:19" x14ac:dyDescent="0.25">
      <c r="A2" s="472" t="s">
        <v>977</v>
      </c>
      <c r="B2" s="485"/>
      <c r="C2" s="511"/>
      <c r="D2" s="511"/>
      <c r="E2" s="498"/>
      <c r="F2" s="511"/>
      <c r="G2" s="498"/>
      <c r="H2" s="511"/>
      <c r="I2" s="472"/>
      <c r="J2" s="472"/>
    </row>
    <row r="3" spans="1:19" x14ac:dyDescent="0.25">
      <c r="A3" s="486" t="s">
        <v>978</v>
      </c>
      <c r="B3" s="485"/>
      <c r="C3" s="511"/>
      <c r="D3" s="511"/>
      <c r="E3" s="498"/>
      <c r="F3" s="511"/>
      <c r="G3" s="498"/>
      <c r="H3" s="511"/>
      <c r="I3" s="472"/>
      <c r="J3" s="472"/>
    </row>
    <row r="4" spans="1:19" x14ac:dyDescent="0.25">
      <c r="A4" s="516" t="s">
        <v>976</v>
      </c>
      <c r="B4" s="485"/>
      <c r="C4" s="511"/>
      <c r="D4" s="511"/>
      <c r="E4" s="498"/>
      <c r="F4" s="511"/>
      <c r="G4" s="498"/>
      <c r="H4" s="511"/>
      <c r="I4" s="472"/>
      <c r="J4" s="472"/>
    </row>
    <row r="5" spans="1:19" ht="15" customHeight="1" x14ac:dyDescent="0.25">
      <c r="A5" s="922" t="s">
        <v>921</v>
      </c>
      <c r="B5" s="922"/>
      <c r="C5" s="922"/>
      <c r="D5" s="922"/>
      <c r="E5" s="922"/>
      <c r="F5" s="922"/>
      <c r="G5" s="922"/>
      <c r="H5" s="922"/>
      <c r="I5" s="922"/>
      <c r="J5" s="922"/>
      <c r="K5" s="922"/>
      <c r="L5" s="922"/>
      <c r="M5" s="922"/>
    </row>
    <row r="6" spans="1:19" x14ac:dyDescent="0.25">
      <c r="A6" s="905" t="s">
        <v>979</v>
      </c>
      <c r="B6" s="905"/>
      <c r="C6" s="905"/>
      <c r="D6" s="905"/>
      <c r="E6" s="905"/>
      <c r="F6" s="905"/>
      <c r="G6" s="905"/>
      <c r="H6" s="905"/>
      <c r="I6" s="905"/>
      <c r="J6" s="905"/>
      <c r="K6" s="905"/>
      <c r="L6" s="905"/>
      <c r="M6" s="905"/>
    </row>
    <row r="7" spans="1:19" ht="146.25" customHeight="1" x14ac:dyDescent="0.25">
      <c r="A7" s="904" t="s">
        <v>980</v>
      </c>
      <c r="B7" s="904"/>
      <c r="C7" s="904"/>
      <c r="D7" s="904"/>
      <c r="E7" s="904"/>
      <c r="F7" s="904"/>
      <c r="G7" s="904"/>
      <c r="H7" s="904"/>
      <c r="I7" s="904"/>
      <c r="J7" s="904"/>
      <c r="K7" s="904"/>
      <c r="L7" s="904"/>
      <c r="M7" s="904"/>
    </row>
    <row r="8" spans="1:19" ht="15.75" thickBot="1" x14ac:dyDescent="0.3">
      <c r="A8" s="921" t="s">
        <v>1148</v>
      </c>
      <c r="B8" s="921"/>
      <c r="C8" s="921"/>
      <c r="D8" s="921"/>
      <c r="E8" s="921"/>
      <c r="F8" s="921"/>
      <c r="G8" s="921"/>
      <c r="H8" s="921"/>
      <c r="I8" s="921"/>
      <c r="J8" s="921"/>
    </row>
    <row r="9" spans="1:19" ht="65.25" thickBot="1" x14ac:dyDescent="0.3">
      <c r="A9" s="920" t="s">
        <v>922</v>
      </c>
      <c r="B9" s="920" t="s">
        <v>923</v>
      </c>
      <c r="C9" s="481" t="s">
        <v>1004</v>
      </c>
      <c r="D9" s="481"/>
      <c r="E9" s="551" t="s">
        <v>924</v>
      </c>
      <c r="F9" s="552"/>
      <c r="G9" s="551" t="s">
        <v>24</v>
      </c>
      <c r="H9" s="552"/>
      <c r="I9" s="551" t="s">
        <v>3</v>
      </c>
      <c r="J9" s="552"/>
    </row>
    <row r="10" spans="1:19" ht="39.75" thickBot="1" x14ac:dyDescent="0.3">
      <c r="A10" s="920"/>
      <c r="B10" s="920"/>
      <c r="C10" s="517" t="s">
        <v>925</v>
      </c>
      <c r="D10" s="518" t="s">
        <v>926</v>
      </c>
      <c r="E10" s="517" t="s">
        <v>925</v>
      </c>
      <c r="F10" s="518" t="s">
        <v>926</v>
      </c>
      <c r="G10" s="517" t="s">
        <v>925</v>
      </c>
      <c r="H10" s="518" t="s">
        <v>926</v>
      </c>
      <c r="I10" s="517" t="s">
        <v>925</v>
      </c>
      <c r="J10" s="518" t="s">
        <v>926</v>
      </c>
      <c r="K10" s="512"/>
      <c r="M10" s="292"/>
      <c r="N10" s="394"/>
      <c r="O10" s="394"/>
      <c r="P10" s="394"/>
      <c r="Q10" s="394"/>
      <c r="R10" s="394"/>
      <c r="S10" s="394"/>
    </row>
    <row r="11" spans="1:19" x14ac:dyDescent="0.25">
      <c r="A11" s="467">
        <v>1962</v>
      </c>
      <c r="B11" s="553">
        <f>SUM(C11,E11,G11,I11)</f>
        <v>169968</v>
      </c>
      <c r="C11" s="553">
        <v>45675</v>
      </c>
      <c r="D11" s="554">
        <f>C11/B11</f>
        <v>0.26872705450437728</v>
      </c>
      <c r="E11" s="553">
        <v>41993</v>
      </c>
      <c r="F11" s="554">
        <f>E11/B11</f>
        <v>0.24706415325237691</v>
      </c>
      <c r="G11" s="553">
        <v>82300</v>
      </c>
      <c r="H11" s="554">
        <f>G11/B11</f>
        <v>0.48420879224324581</v>
      </c>
      <c r="I11" s="471"/>
      <c r="J11" s="507">
        <f>IFERROR((I11/B11),"")</f>
        <v>0</v>
      </c>
      <c r="M11" s="292"/>
      <c r="N11" s="394"/>
      <c r="O11" s="394"/>
      <c r="P11" s="394"/>
      <c r="Q11" s="394"/>
      <c r="R11" s="394"/>
      <c r="S11" s="394"/>
    </row>
    <row r="12" spans="1:19" x14ac:dyDescent="0.25">
      <c r="A12" s="503">
        <v>1963</v>
      </c>
      <c r="B12" s="555">
        <f t="shared" ref="B12:B60" si="0">SUM(C12,E12,G12,I12)</f>
        <v>202243</v>
      </c>
      <c r="C12" s="555">
        <v>72575</v>
      </c>
      <c r="D12" s="556">
        <f t="shared" ref="D12:D60" si="1">C12/B12</f>
        <v>0.35885049173518985</v>
      </c>
      <c r="E12" s="555">
        <v>47368</v>
      </c>
      <c r="F12" s="556">
        <f t="shared" ref="F12:F60" si="2">E12/B12</f>
        <v>0.23421329786445019</v>
      </c>
      <c r="G12" s="555">
        <v>82300</v>
      </c>
      <c r="H12" s="556">
        <f t="shared" ref="H12:H60" si="3">G12/B12</f>
        <v>0.40693621040035999</v>
      </c>
      <c r="I12" s="474"/>
      <c r="J12" s="509">
        <f t="shared" ref="J12:J60" si="4">IFERROR((I12/B12),"")</f>
        <v>0</v>
      </c>
      <c r="M12" s="292"/>
      <c r="N12" s="394"/>
      <c r="O12" s="394"/>
      <c r="P12" s="394"/>
      <c r="Q12" s="394"/>
      <c r="R12" s="394"/>
      <c r="S12" s="394"/>
    </row>
    <row r="13" spans="1:19" x14ac:dyDescent="0.25">
      <c r="A13" s="503">
        <v>1964</v>
      </c>
      <c r="B13" s="555">
        <f t="shared" si="0"/>
        <v>218582</v>
      </c>
      <c r="C13" s="555">
        <v>86800</v>
      </c>
      <c r="D13" s="556">
        <f t="shared" si="1"/>
        <v>0.39710497662204575</v>
      </c>
      <c r="E13" s="555">
        <v>49482</v>
      </c>
      <c r="F13" s="556">
        <f t="shared" si="2"/>
        <v>0.22637728632732795</v>
      </c>
      <c r="G13" s="555">
        <v>82300</v>
      </c>
      <c r="H13" s="556">
        <f t="shared" si="3"/>
        <v>0.3765177370506263</v>
      </c>
      <c r="I13" s="474"/>
      <c r="J13" s="509">
        <f t="shared" si="4"/>
        <v>0</v>
      </c>
      <c r="M13" s="292"/>
      <c r="N13" s="394"/>
      <c r="O13" s="394"/>
      <c r="P13" s="394"/>
      <c r="Q13" s="394"/>
      <c r="R13" s="394"/>
      <c r="S13" s="394"/>
    </row>
    <row r="14" spans="1:19" x14ac:dyDescent="0.25">
      <c r="A14" s="503">
        <v>1965</v>
      </c>
      <c r="B14" s="555">
        <f t="shared" si="0"/>
        <v>242812</v>
      </c>
      <c r="C14" s="555">
        <v>101150</v>
      </c>
      <c r="D14" s="556">
        <f t="shared" si="1"/>
        <v>0.41657743439368727</v>
      </c>
      <c r="E14" s="555">
        <v>59437</v>
      </c>
      <c r="F14" s="556">
        <f t="shared" si="2"/>
        <v>0.24478608964960547</v>
      </c>
      <c r="G14" s="555">
        <v>82225</v>
      </c>
      <c r="H14" s="556">
        <f t="shared" si="3"/>
        <v>0.33863647595670726</v>
      </c>
      <c r="I14" s="474"/>
      <c r="J14" s="509">
        <f t="shared" si="4"/>
        <v>0</v>
      </c>
      <c r="M14" s="292"/>
      <c r="N14" s="394"/>
      <c r="O14" s="394"/>
      <c r="P14" s="394"/>
      <c r="Q14" s="394"/>
      <c r="R14" s="394"/>
      <c r="S14" s="394"/>
    </row>
    <row r="15" spans="1:19" x14ac:dyDescent="0.25">
      <c r="A15" s="503">
        <v>1966</v>
      </c>
      <c r="B15" s="555">
        <f t="shared" si="0"/>
        <v>254148</v>
      </c>
      <c r="C15" s="555">
        <v>102650</v>
      </c>
      <c r="D15" s="556">
        <f t="shared" si="1"/>
        <v>0.40389851582542458</v>
      </c>
      <c r="E15" s="555">
        <v>69273</v>
      </c>
      <c r="F15" s="556">
        <f t="shared" si="2"/>
        <v>0.2725695264176779</v>
      </c>
      <c r="G15" s="555">
        <v>82225</v>
      </c>
      <c r="H15" s="556">
        <f t="shared" si="3"/>
        <v>0.32353195775689758</v>
      </c>
      <c r="I15" s="474"/>
      <c r="J15" s="509">
        <f t="shared" si="4"/>
        <v>0</v>
      </c>
      <c r="M15" s="292"/>
      <c r="N15" s="394"/>
      <c r="O15" s="394"/>
      <c r="P15" s="394"/>
      <c r="Q15" s="394"/>
      <c r="R15" s="394"/>
      <c r="S15" s="394"/>
    </row>
    <row r="16" spans="1:19" x14ac:dyDescent="0.25">
      <c r="A16" s="503">
        <v>1967</v>
      </c>
      <c r="B16" s="555">
        <f t="shared" si="0"/>
        <v>260273</v>
      </c>
      <c r="C16" s="555">
        <v>102650</v>
      </c>
      <c r="D16" s="556">
        <f t="shared" si="1"/>
        <v>0.39439357904969014</v>
      </c>
      <c r="E16" s="555">
        <v>81023</v>
      </c>
      <c r="F16" s="556">
        <f t="shared" si="2"/>
        <v>0.3113000580160063</v>
      </c>
      <c r="G16" s="555">
        <v>76600</v>
      </c>
      <c r="H16" s="556">
        <f t="shared" si="3"/>
        <v>0.29430636293430362</v>
      </c>
      <c r="I16" s="474"/>
      <c r="J16" s="509">
        <f t="shared" si="4"/>
        <v>0</v>
      </c>
      <c r="M16" s="292"/>
      <c r="N16" s="394"/>
      <c r="O16" s="394"/>
      <c r="P16" s="394"/>
      <c r="Q16" s="394"/>
      <c r="R16" s="394"/>
      <c r="S16" s="394"/>
    </row>
    <row r="17" spans="1:19" x14ac:dyDescent="0.25">
      <c r="A17" s="503">
        <v>1968</v>
      </c>
      <c r="B17" s="555">
        <f t="shared" si="0"/>
        <v>339688</v>
      </c>
      <c r="C17" s="555">
        <v>171450</v>
      </c>
      <c r="D17" s="556">
        <f t="shared" si="1"/>
        <v>0.50472786792586133</v>
      </c>
      <c r="E17" s="555">
        <v>89538</v>
      </c>
      <c r="F17" s="556">
        <f t="shared" si="2"/>
        <v>0.26358894043946207</v>
      </c>
      <c r="G17" s="555">
        <v>78700</v>
      </c>
      <c r="H17" s="556">
        <f t="shared" si="3"/>
        <v>0.23168319163467652</v>
      </c>
      <c r="I17" s="474"/>
      <c r="J17" s="509">
        <f t="shared" si="4"/>
        <v>0</v>
      </c>
      <c r="M17" s="292"/>
      <c r="N17" s="394"/>
      <c r="O17" s="394"/>
      <c r="P17" s="394"/>
      <c r="Q17" s="394"/>
      <c r="R17" s="394"/>
      <c r="S17" s="394"/>
    </row>
    <row r="18" spans="1:19" x14ac:dyDescent="0.25">
      <c r="A18" s="503">
        <v>1969</v>
      </c>
      <c r="B18" s="555">
        <f t="shared" si="0"/>
        <v>347013</v>
      </c>
      <c r="C18" s="555">
        <v>171450</v>
      </c>
      <c r="D18" s="556">
        <f t="shared" si="1"/>
        <v>0.49407370905412767</v>
      </c>
      <c r="E18" s="555">
        <v>98963</v>
      </c>
      <c r="F18" s="556">
        <f t="shared" si="2"/>
        <v>0.2851852812430658</v>
      </c>
      <c r="G18" s="555">
        <v>76600</v>
      </c>
      <c r="H18" s="556">
        <f t="shared" si="3"/>
        <v>0.22074100970280652</v>
      </c>
      <c r="I18" s="474"/>
      <c r="J18" s="509">
        <f t="shared" si="4"/>
        <v>0</v>
      </c>
      <c r="M18" s="292"/>
      <c r="N18" s="394"/>
      <c r="O18" s="394"/>
      <c r="P18" s="394"/>
      <c r="Q18" s="394"/>
      <c r="R18" s="394"/>
      <c r="S18" s="394"/>
    </row>
    <row r="19" spans="1:19" x14ac:dyDescent="0.25">
      <c r="A19" s="503">
        <v>1970</v>
      </c>
      <c r="B19" s="555">
        <f t="shared" si="0"/>
        <v>406596</v>
      </c>
      <c r="C19" s="555">
        <v>206740</v>
      </c>
      <c r="D19" s="556">
        <f t="shared" si="1"/>
        <v>0.50846540546390029</v>
      </c>
      <c r="E19" s="555">
        <v>123256</v>
      </c>
      <c r="F19" s="556">
        <f t="shared" si="2"/>
        <v>0.30314120158584934</v>
      </c>
      <c r="G19" s="555">
        <v>76600</v>
      </c>
      <c r="H19" s="556">
        <f t="shared" si="3"/>
        <v>0.18839339295025037</v>
      </c>
      <c r="I19" s="474"/>
      <c r="J19" s="509">
        <f t="shared" si="4"/>
        <v>0</v>
      </c>
      <c r="M19" s="292"/>
      <c r="N19" s="394"/>
      <c r="O19" s="394"/>
      <c r="P19" s="394"/>
      <c r="Q19" s="394"/>
      <c r="R19" s="394"/>
      <c r="S19" s="394"/>
    </row>
    <row r="20" spans="1:19" x14ac:dyDescent="0.25">
      <c r="A20" s="503">
        <v>1971</v>
      </c>
      <c r="B20" s="555">
        <f t="shared" si="0"/>
        <v>472955</v>
      </c>
      <c r="C20" s="555">
        <v>257053</v>
      </c>
      <c r="D20" s="556">
        <f t="shared" si="1"/>
        <v>0.54350413887156279</v>
      </c>
      <c r="E20" s="555">
        <v>140627</v>
      </c>
      <c r="F20" s="556">
        <f t="shared" si="2"/>
        <v>0.29733695594718312</v>
      </c>
      <c r="G20" s="555">
        <v>75275</v>
      </c>
      <c r="H20" s="556">
        <f t="shared" si="3"/>
        <v>0.15915890518125403</v>
      </c>
      <c r="I20" s="474"/>
      <c r="J20" s="509">
        <f t="shared" si="4"/>
        <v>0</v>
      </c>
      <c r="M20" s="292"/>
      <c r="N20" s="394"/>
      <c r="O20" s="394"/>
      <c r="P20" s="394"/>
      <c r="Q20" s="394"/>
      <c r="R20" s="394"/>
      <c r="S20" s="394"/>
    </row>
    <row r="21" spans="1:19" x14ac:dyDescent="0.25">
      <c r="A21" s="503">
        <v>1972</v>
      </c>
      <c r="B21" s="555">
        <f t="shared" si="0"/>
        <v>533639</v>
      </c>
      <c r="C21" s="555">
        <v>314389</v>
      </c>
      <c r="D21" s="556">
        <f t="shared" si="1"/>
        <v>0.58914172314991975</v>
      </c>
      <c r="E21" s="555">
        <v>144975</v>
      </c>
      <c r="F21" s="556">
        <f t="shared" si="2"/>
        <v>0.27167242274271558</v>
      </c>
      <c r="G21" s="555">
        <v>74275</v>
      </c>
      <c r="H21" s="556">
        <f t="shared" si="3"/>
        <v>0.13918585410736473</v>
      </c>
      <c r="I21" s="474"/>
      <c r="J21" s="509">
        <f t="shared" si="4"/>
        <v>0</v>
      </c>
      <c r="M21" s="292"/>
      <c r="N21" s="394"/>
      <c r="O21" s="394"/>
      <c r="P21" s="394"/>
      <c r="Q21" s="394"/>
      <c r="R21" s="394"/>
      <c r="S21" s="394"/>
    </row>
    <row r="22" spans="1:19" x14ac:dyDescent="0.25">
      <c r="A22" s="503">
        <v>1973</v>
      </c>
      <c r="B22" s="555">
        <f t="shared" si="0"/>
        <v>650050</v>
      </c>
      <c r="C22" s="555">
        <v>381350</v>
      </c>
      <c r="D22" s="556">
        <f t="shared" si="1"/>
        <v>0.58664718098607804</v>
      </c>
      <c r="E22" s="555">
        <v>147700</v>
      </c>
      <c r="F22" s="556">
        <f t="shared" si="2"/>
        <v>0.22721329128528575</v>
      </c>
      <c r="G22" s="555">
        <v>121000</v>
      </c>
      <c r="H22" s="556">
        <f t="shared" si="3"/>
        <v>0.18613952772863626</v>
      </c>
      <c r="I22" s="474"/>
      <c r="J22" s="509">
        <f t="shared" si="4"/>
        <v>0</v>
      </c>
    </row>
    <row r="23" spans="1:19" x14ac:dyDescent="0.25">
      <c r="A23" s="503">
        <v>1974</v>
      </c>
      <c r="B23" s="555">
        <f t="shared" si="0"/>
        <v>723638</v>
      </c>
      <c r="C23" s="555">
        <v>453324</v>
      </c>
      <c r="D23" s="556">
        <f t="shared" si="1"/>
        <v>0.62645134722057161</v>
      </c>
      <c r="E23" s="555">
        <v>148054</v>
      </c>
      <c r="F23" s="556">
        <f t="shared" si="2"/>
        <v>0.20459677352488398</v>
      </c>
      <c r="G23" s="555">
        <v>122260</v>
      </c>
      <c r="H23" s="556">
        <f t="shared" si="3"/>
        <v>0.16895187925454441</v>
      </c>
      <c r="I23" s="474"/>
      <c r="J23" s="509">
        <f t="shared" si="4"/>
        <v>0</v>
      </c>
    </row>
    <row r="24" spans="1:19" x14ac:dyDescent="0.25">
      <c r="A24" s="503">
        <v>1975</v>
      </c>
      <c r="B24" s="555">
        <f t="shared" si="0"/>
        <v>763498</v>
      </c>
      <c r="C24" s="555">
        <v>464257</v>
      </c>
      <c r="D24" s="556">
        <f t="shared" si="1"/>
        <v>0.6080657709646915</v>
      </c>
      <c r="E24" s="555">
        <v>176706</v>
      </c>
      <c r="F24" s="556">
        <f t="shared" si="2"/>
        <v>0.23144264948958609</v>
      </c>
      <c r="G24" s="555">
        <v>122535</v>
      </c>
      <c r="H24" s="556">
        <f t="shared" si="3"/>
        <v>0.16049157954572246</v>
      </c>
      <c r="I24" s="474"/>
      <c r="J24" s="509">
        <f t="shared" si="4"/>
        <v>0</v>
      </c>
    </row>
    <row r="25" spans="1:19" x14ac:dyDescent="0.25">
      <c r="A25" s="503">
        <v>1976</v>
      </c>
      <c r="B25" s="555">
        <f t="shared" si="0"/>
        <v>971799</v>
      </c>
      <c r="C25" s="555">
        <v>643454</v>
      </c>
      <c r="D25" s="556">
        <f t="shared" si="1"/>
        <v>0.66212663318237619</v>
      </c>
      <c r="E25" s="555">
        <v>205110</v>
      </c>
      <c r="F25" s="556">
        <f t="shared" si="2"/>
        <v>0.21106216408948764</v>
      </c>
      <c r="G25" s="555">
        <v>123235</v>
      </c>
      <c r="H25" s="556">
        <f t="shared" si="3"/>
        <v>0.12681120272813617</v>
      </c>
      <c r="I25" s="474"/>
      <c r="J25" s="509">
        <f t="shared" si="4"/>
        <v>0</v>
      </c>
    </row>
    <row r="26" spans="1:19" x14ac:dyDescent="0.25">
      <c r="A26" s="503">
        <v>1977</v>
      </c>
      <c r="B26" s="555">
        <f t="shared" si="0"/>
        <v>1038270</v>
      </c>
      <c r="C26" s="555">
        <v>692074</v>
      </c>
      <c r="D26" s="556">
        <f t="shared" si="1"/>
        <v>0.66656457376212352</v>
      </c>
      <c r="E26" s="555">
        <v>223736</v>
      </c>
      <c r="F26" s="556">
        <f t="shared" si="2"/>
        <v>0.21548922727228947</v>
      </c>
      <c r="G26" s="555">
        <v>122460</v>
      </c>
      <c r="H26" s="556">
        <f t="shared" si="3"/>
        <v>0.11794619896558699</v>
      </c>
      <c r="I26" s="474"/>
      <c r="J26" s="509">
        <f t="shared" si="4"/>
        <v>0</v>
      </c>
    </row>
    <row r="27" spans="1:19" x14ac:dyDescent="0.25">
      <c r="A27" s="503">
        <v>1978</v>
      </c>
      <c r="B27" s="555">
        <f t="shared" si="0"/>
        <v>1132590</v>
      </c>
      <c r="C27" s="555">
        <v>788614</v>
      </c>
      <c r="D27" s="556">
        <f t="shared" si="1"/>
        <v>0.69629256836101328</v>
      </c>
      <c r="E27" s="555">
        <v>221516</v>
      </c>
      <c r="F27" s="556">
        <f t="shared" si="2"/>
        <v>0.19558357393231443</v>
      </c>
      <c r="G27" s="555">
        <v>122460</v>
      </c>
      <c r="H27" s="556">
        <f t="shared" si="3"/>
        <v>0.10812385770667232</v>
      </c>
      <c r="I27" s="474"/>
      <c r="J27" s="509">
        <f t="shared" si="4"/>
        <v>0</v>
      </c>
    </row>
    <row r="28" spans="1:19" x14ac:dyDescent="0.25">
      <c r="A28" s="503">
        <v>1979</v>
      </c>
      <c r="B28" s="555">
        <f t="shared" si="0"/>
        <v>1257835</v>
      </c>
      <c r="C28" s="555">
        <v>900914</v>
      </c>
      <c r="D28" s="556">
        <f t="shared" si="1"/>
        <v>0.71624179642003916</v>
      </c>
      <c r="E28" s="555">
        <v>233611</v>
      </c>
      <c r="F28" s="556">
        <f t="shared" si="2"/>
        <v>0.18572467772005072</v>
      </c>
      <c r="G28" s="555">
        <v>123310</v>
      </c>
      <c r="H28" s="556">
        <f t="shared" si="3"/>
        <v>9.8033525859910084E-2</v>
      </c>
      <c r="I28" s="474"/>
      <c r="J28" s="509">
        <f t="shared" si="4"/>
        <v>0</v>
      </c>
    </row>
    <row r="29" spans="1:19" x14ac:dyDescent="0.25">
      <c r="A29" s="503">
        <v>1980</v>
      </c>
      <c r="B29" s="555">
        <f t="shared" si="0"/>
        <v>1285237</v>
      </c>
      <c r="C29" s="555">
        <v>924174</v>
      </c>
      <c r="D29" s="556">
        <f t="shared" si="1"/>
        <v>0.71906893436774699</v>
      </c>
      <c r="E29" s="555">
        <v>237703</v>
      </c>
      <c r="F29" s="556">
        <f t="shared" si="2"/>
        <v>0.18494876820384101</v>
      </c>
      <c r="G29" s="555">
        <v>123360</v>
      </c>
      <c r="H29" s="556">
        <f t="shared" si="3"/>
        <v>9.5982297428412036E-2</v>
      </c>
      <c r="I29" s="474"/>
      <c r="J29" s="509">
        <f t="shared" si="4"/>
        <v>0</v>
      </c>
    </row>
    <row r="30" spans="1:19" x14ac:dyDescent="0.25">
      <c r="A30" s="503">
        <v>1981</v>
      </c>
      <c r="B30" s="555">
        <f t="shared" si="0"/>
        <v>1383809</v>
      </c>
      <c r="C30" s="555">
        <v>1008374</v>
      </c>
      <c r="D30" s="556">
        <f t="shared" si="1"/>
        <v>0.72869449468821201</v>
      </c>
      <c r="E30" s="555">
        <v>251745</v>
      </c>
      <c r="F30" s="556">
        <f t="shared" si="2"/>
        <v>0.18192178255814206</v>
      </c>
      <c r="G30" s="555">
        <v>123690</v>
      </c>
      <c r="H30" s="556">
        <f t="shared" si="3"/>
        <v>8.9383722753645908E-2</v>
      </c>
      <c r="I30" s="474"/>
      <c r="J30" s="509">
        <f t="shared" si="4"/>
        <v>0</v>
      </c>
    </row>
    <row r="31" spans="1:19" x14ac:dyDescent="0.25">
      <c r="A31" s="503">
        <v>1982</v>
      </c>
      <c r="B31" s="555">
        <f t="shared" si="0"/>
        <v>1418344</v>
      </c>
      <c r="C31" s="555">
        <v>1008274</v>
      </c>
      <c r="D31" s="556">
        <f t="shared" si="1"/>
        <v>0.71088114025934468</v>
      </c>
      <c r="E31" s="555">
        <v>255790</v>
      </c>
      <c r="F31" s="556">
        <f t="shared" si="2"/>
        <v>0.18034411962119204</v>
      </c>
      <c r="G31" s="555">
        <v>154280</v>
      </c>
      <c r="H31" s="556">
        <f t="shared" si="3"/>
        <v>0.10877474011946327</v>
      </c>
      <c r="I31" s="474"/>
      <c r="J31" s="509">
        <f t="shared" si="4"/>
        <v>0</v>
      </c>
    </row>
    <row r="32" spans="1:19" x14ac:dyDescent="0.25">
      <c r="A32" s="503">
        <v>1983</v>
      </c>
      <c r="B32" s="555">
        <f t="shared" si="0"/>
        <v>1452037</v>
      </c>
      <c r="C32" s="555">
        <v>1028574</v>
      </c>
      <c r="D32" s="556">
        <f t="shared" si="1"/>
        <v>0.70836624686561023</v>
      </c>
      <c r="E32" s="555">
        <v>269683</v>
      </c>
      <c r="F32" s="556">
        <f t="shared" si="2"/>
        <v>0.18572736094190437</v>
      </c>
      <c r="G32" s="555">
        <v>153780</v>
      </c>
      <c r="H32" s="556">
        <f t="shared" si="3"/>
        <v>0.10590639219248546</v>
      </c>
      <c r="I32" s="474"/>
      <c r="J32" s="509">
        <f t="shared" si="4"/>
        <v>0</v>
      </c>
    </row>
    <row r="33" spans="1:11" x14ac:dyDescent="0.25">
      <c r="A33" s="503">
        <v>1984</v>
      </c>
      <c r="B33" s="555">
        <f t="shared" si="0"/>
        <v>1605485</v>
      </c>
      <c r="C33" s="555">
        <v>1105654</v>
      </c>
      <c r="D33" s="556">
        <f t="shared" si="1"/>
        <v>0.68867289323786895</v>
      </c>
      <c r="E33" s="555">
        <v>276841</v>
      </c>
      <c r="F33" s="556">
        <f t="shared" si="2"/>
        <v>0.17243449798658972</v>
      </c>
      <c r="G33" s="555">
        <v>222990</v>
      </c>
      <c r="H33" s="556">
        <f t="shared" si="3"/>
        <v>0.13889260877554135</v>
      </c>
      <c r="I33" s="474"/>
      <c r="J33" s="509">
        <f t="shared" si="4"/>
        <v>0</v>
      </c>
    </row>
    <row r="34" spans="1:11" x14ac:dyDescent="0.25">
      <c r="A34" s="503">
        <v>1985</v>
      </c>
      <c r="B34" s="555">
        <f t="shared" si="0"/>
        <v>1601714</v>
      </c>
      <c r="C34" s="555">
        <v>1078100</v>
      </c>
      <c r="D34" s="556">
        <f t="shared" si="1"/>
        <v>0.67309145078334831</v>
      </c>
      <c r="E34" s="555">
        <v>299614</v>
      </c>
      <c r="F34" s="556">
        <f t="shared" si="2"/>
        <v>0.18705836372785653</v>
      </c>
      <c r="G34" s="555">
        <v>224000</v>
      </c>
      <c r="H34" s="556">
        <f t="shared" si="3"/>
        <v>0.13985018548879513</v>
      </c>
      <c r="I34" s="474"/>
      <c r="J34" s="509">
        <f t="shared" si="4"/>
        <v>0</v>
      </c>
    </row>
    <row r="35" spans="1:11" x14ac:dyDescent="0.25">
      <c r="A35" s="503">
        <v>1986</v>
      </c>
      <c r="B35" s="555">
        <f t="shared" si="0"/>
        <v>1669200</v>
      </c>
      <c r="C35" s="555">
        <v>1126100</v>
      </c>
      <c r="D35" s="556">
        <f t="shared" si="1"/>
        <v>0.67463455547567697</v>
      </c>
      <c r="E35" s="555">
        <v>317500</v>
      </c>
      <c r="F35" s="556">
        <f t="shared" si="2"/>
        <v>0.19021087946321591</v>
      </c>
      <c r="G35" s="555">
        <v>225600</v>
      </c>
      <c r="H35" s="556">
        <f t="shared" si="3"/>
        <v>0.13515456506110712</v>
      </c>
      <c r="I35" s="474"/>
      <c r="J35" s="509">
        <f t="shared" si="4"/>
        <v>0</v>
      </c>
    </row>
    <row r="36" spans="1:11" x14ac:dyDescent="0.25">
      <c r="A36" s="503">
        <v>1987</v>
      </c>
      <c r="B36" s="555">
        <f t="shared" si="0"/>
        <v>1655373</v>
      </c>
      <c r="C36" s="555">
        <v>1111600</v>
      </c>
      <c r="D36" s="556">
        <f t="shared" si="1"/>
        <v>0.67151028801363799</v>
      </c>
      <c r="E36" s="555">
        <v>316148</v>
      </c>
      <c r="F36" s="556">
        <f t="shared" si="2"/>
        <v>0.19098293858846313</v>
      </c>
      <c r="G36" s="555">
        <v>227625</v>
      </c>
      <c r="H36" s="556">
        <f t="shared" si="3"/>
        <v>0.13750677339789885</v>
      </c>
      <c r="I36" s="474"/>
      <c r="J36" s="509">
        <f t="shared" si="4"/>
        <v>0</v>
      </c>
    </row>
    <row r="37" spans="1:11" x14ac:dyDescent="0.25">
      <c r="A37" s="503">
        <v>1988</v>
      </c>
      <c r="B37" s="555">
        <f t="shared" si="0"/>
        <v>1603684</v>
      </c>
      <c r="C37" s="555">
        <v>1049400</v>
      </c>
      <c r="D37" s="556">
        <f t="shared" si="1"/>
        <v>0.65436831695022213</v>
      </c>
      <c r="E37" s="555">
        <v>325924</v>
      </c>
      <c r="F37" s="556">
        <f t="shared" si="2"/>
        <v>0.20323455244299998</v>
      </c>
      <c r="G37" s="555">
        <v>228360</v>
      </c>
      <c r="H37" s="556">
        <f t="shared" si="3"/>
        <v>0.14239713060677789</v>
      </c>
      <c r="I37" s="474"/>
      <c r="J37" s="509">
        <f t="shared" si="4"/>
        <v>0</v>
      </c>
      <c r="K37" s="581"/>
    </row>
    <row r="38" spans="1:11" x14ac:dyDescent="0.25">
      <c r="A38" s="503">
        <v>1989</v>
      </c>
      <c r="B38" s="555">
        <f t="shared" si="0"/>
        <v>1610966</v>
      </c>
      <c r="C38" s="555">
        <v>1038700</v>
      </c>
      <c r="D38" s="556">
        <f t="shared" si="1"/>
        <v>0.64476841845203436</v>
      </c>
      <c r="E38" s="555">
        <v>311301</v>
      </c>
      <c r="F38" s="556">
        <f t="shared" si="2"/>
        <v>0.19323871515599958</v>
      </c>
      <c r="G38" s="555">
        <v>260965</v>
      </c>
      <c r="H38" s="556">
        <f t="shared" si="3"/>
        <v>0.16199286639196606</v>
      </c>
      <c r="I38" s="474"/>
      <c r="J38" s="509">
        <f t="shared" si="4"/>
        <v>0</v>
      </c>
      <c r="K38" s="581"/>
    </row>
    <row r="39" spans="1:11" x14ac:dyDescent="0.25">
      <c r="A39" s="503">
        <v>1990</v>
      </c>
      <c r="B39" s="555">
        <f t="shared" si="0"/>
        <v>1604767</v>
      </c>
      <c r="C39" s="555">
        <v>1036100</v>
      </c>
      <c r="D39" s="556">
        <f t="shared" si="1"/>
        <v>0.64563889960349385</v>
      </c>
      <c r="E39" s="555">
        <v>312760</v>
      </c>
      <c r="F39" s="556">
        <f t="shared" si="2"/>
        <v>0.19489433668563724</v>
      </c>
      <c r="G39" s="555">
        <v>255907</v>
      </c>
      <c r="H39" s="556">
        <f t="shared" si="3"/>
        <v>0.15946676371086893</v>
      </c>
      <c r="I39" s="474"/>
      <c r="J39" s="509">
        <f t="shared" si="4"/>
        <v>0</v>
      </c>
      <c r="K39" s="581"/>
    </row>
    <row r="40" spans="1:11" x14ac:dyDescent="0.25">
      <c r="A40" s="503">
        <v>1991</v>
      </c>
      <c r="B40" s="555">
        <f t="shared" si="0"/>
        <v>1733158</v>
      </c>
      <c r="C40" s="555">
        <v>1042700</v>
      </c>
      <c r="D40" s="556">
        <f t="shared" si="1"/>
        <v>0.60161854833777417</v>
      </c>
      <c r="E40" s="555">
        <v>324851</v>
      </c>
      <c r="F40" s="556">
        <f t="shared" si="2"/>
        <v>0.18743299803018537</v>
      </c>
      <c r="G40" s="555">
        <v>365607</v>
      </c>
      <c r="H40" s="556">
        <f t="shared" si="3"/>
        <v>0.21094845363204048</v>
      </c>
      <c r="I40" s="474"/>
      <c r="J40" s="509">
        <f t="shared" si="4"/>
        <v>0</v>
      </c>
      <c r="K40" s="581"/>
    </row>
    <row r="41" spans="1:11" x14ac:dyDescent="0.25">
      <c r="A41" s="503">
        <v>1992</v>
      </c>
      <c r="B41" s="555">
        <f t="shared" si="0"/>
        <v>1739890</v>
      </c>
      <c r="C41" s="555">
        <v>1045500</v>
      </c>
      <c r="D41" s="556">
        <f t="shared" si="1"/>
        <v>0.6009000569001488</v>
      </c>
      <c r="E41" s="555">
        <v>328758</v>
      </c>
      <c r="F41" s="556">
        <f t="shared" si="2"/>
        <v>0.18895332463546546</v>
      </c>
      <c r="G41" s="555">
        <v>365632</v>
      </c>
      <c r="H41" s="556">
        <f t="shared" si="3"/>
        <v>0.21014661846438568</v>
      </c>
      <c r="I41" s="474"/>
      <c r="J41" s="509">
        <f t="shared" si="4"/>
        <v>0</v>
      </c>
      <c r="K41" s="581"/>
    </row>
    <row r="42" spans="1:11" x14ac:dyDescent="0.25">
      <c r="A42" s="503">
        <v>1993</v>
      </c>
      <c r="B42" s="555">
        <f t="shared" si="0"/>
        <v>1741487</v>
      </c>
      <c r="C42" s="555">
        <v>1040700</v>
      </c>
      <c r="D42" s="556">
        <f t="shared" si="1"/>
        <v>0.5975927468881479</v>
      </c>
      <c r="E42" s="555">
        <v>336430</v>
      </c>
      <c r="F42" s="556">
        <f t="shared" si="2"/>
        <v>0.19318547884652598</v>
      </c>
      <c r="G42" s="555">
        <v>364357</v>
      </c>
      <c r="H42" s="556">
        <f t="shared" si="3"/>
        <v>0.20922177426532612</v>
      </c>
      <c r="I42" s="555"/>
      <c r="J42" s="509">
        <f t="shared" si="4"/>
        <v>0</v>
      </c>
      <c r="K42" s="581"/>
    </row>
    <row r="43" spans="1:11" x14ac:dyDescent="0.25">
      <c r="A43" s="503">
        <v>1994</v>
      </c>
      <c r="B43" s="555">
        <f t="shared" si="0"/>
        <v>1771065</v>
      </c>
      <c r="C43" s="555">
        <v>1060200</v>
      </c>
      <c r="D43" s="556">
        <f t="shared" si="1"/>
        <v>0.59862286251492747</v>
      </c>
      <c r="E43" s="555">
        <v>345383</v>
      </c>
      <c r="F43" s="556">
        <f t="shared" si="2"/>
        <v>0.19501429930578493</v>
      </c>
      <c r="G43" s="555">
        <v>365482</v>
      </c>
      <c r="H43" s="556">
        <f t="shared" si="3"/>
        <v>0.20636283817928761</v>
      </c>
      <c r="I43" s="555"/>
      <c r="J43" s="509">
        <f t="shared" si="4"/>
        <v>0</v>
      </c>
      <c r="K43" s="581"/>
    </row>
    <row r="44" spans="1:11" x14ac:dyDescent="0.25">
      <c r="A44" s="503">
        <v>1995</v>
      </c>
      <c r="B44" s="555">
        <f t="shared" si="0"/>
        <v>1777575</v>
      </c>
      <c r="C44" s="555">
        <v>1060200</v>
      </c>
      <c r="D44" s="556">
        <f t="shared" si="1"/>
        <v>0.59643053035736893</v>
      </c>
      <c r="E44" s="555">
        <v>347393</v>
      </c>
      <c r="F44" s="556">
        <f t="shared" si="2"/>
        <v>0.19543085383176517</v>
      </c>
      <c r="G44" s="555">
        <v>369982</v>
      </c>
      <c r="H44" s="556">
        <f t="shared" si="3"/>
        <v>0.20813861581086593</v>
      </c>
      <c r="I44" s="555"/>
      <c r="J44" s="509">
        <f t="shared" si="4"/>
        <v>0</v>
      </c>
      <c r="K44" s="581"/>
    </row>
    <row r="45" spans="1:11" x14ac:dyDescent="0.25">
      <c r="A45" s="503">
        <v>1996</v>
      </c>
      <c r="B45" s="555">
        <f t="shared" si="0"/>
        <v>2078835</v>
      </c>
      <c r="C45" s="555">
        <v>1295925</v>
      </c>
      <c r="D45" s="556">
        <f t="shared" si="1"/>
        <v>0.62339002373925778</v>
      </c>
      <c r="E45" s="555">
        <v>418449</v>
      </c>
      <c r="F45" s="556">
        <f t="shared" si="2"/>
        <v>0.20129014568255779</v>
      </c>
      <c r="G45" s="555">
        <v>364461</v>
      </c>
      <c r="H45" s="556">
        <f t="shared" si="3"/>
        <v>0.17531983057818443</v>
      </c>
      <c r="I45" s="555"/>
      <c r="J45" s="509">
        <f t="shared" si="4"/>
        <v>0</v>
      </c>
      <c r="K45" s="581"/>
    </row>
    <row r="46" spans="1:11" x14ac:dyDescent="0.25">
      <c r="A46" s="503">
        <v>1997</v>
      </c>
      <c r="B46" s="555">
        <f t="shared" si="0"/>
        <v>1960531</v>
      </c>
      <c r="C46" s="555">
        <v>1247850</v>
      </c>
      <c r="D46" s="556">
        <f t="shared" si="1"/>
        <v>0.63648572759114752</v>
      </c>
      <c r="E46" s="555">
        <v>335392</v>
      </c>
      <c r="F46" s="556">
        <f t="shared" si="2"/>
        <v>0.17107202079436643</v>
      </c>
      <c r="G46" s="555">
        <v>377094</v>
      </c>
      <c r="H46" s="556">
        <f t="shared" si="3"/>
        <v>0.19234278876488053</v>
      </c>
      <c r="I46" s="555">
        <v>195</v>
      </c>
      <c r="J46" s="509">
        <f t="shared" si="4"/>
        <v>9.9462849605540534E-5</v>
      </c>
    </row>
    <row r="47" spans="1:11" x14ac:dyDescent="0.25">
      <c r="A47" s="503">
        <v>1998</v>
      </c>
      <c r="B47" s="555">
        <f t="shared" si="0"/>
        <v>2125108</v>
      </c>
      <c r="C47" s="555">
        <v>1292925</v>
      </c>
      <c r="D47" s="556">
        <f t="shared" si="1"/>
        <v>0.60840437286010873</v>
      </c>
      <c r="E47" s="555">
        <v>458173</v>
      </c>
      <c r="F47" s="556">
        <f t="shared" si="2"/>
        <v>0.21559986598328179</v>
      </c>
      <c r="G47" s="555">
        <v>373685</v>
      </c>
      <c r="H47" s="556">
        <f t="shared" si="3"/>
        <v>0.1758428277527542</v>
      </c>
      <c r="I47" s="555">
        <v>325</v>
      </c>
      <c r="J47" s="509">
        <f t="shared" si="4"/>
        <v>1.5293340385523935E-4</v>
      </c>
    </row>
    <row r="48" spans="1:11" x14ac:dyDescent="0.25">
      <c r="A48" s="503">
        <v>1999</v>
      </c>
      <c r="B48" s="555">
        <f t="shared" si="0"/>
        <v>2157493</v>
      </c>
      <c r="C48" s="555">
        <v>1295725</v>
      </c>
      <c r="D48" s="556">
        <f t="shared" si="1"/>
        <v>0.60056973533633717</v>
      </c>
      <c r="E48" s="555">
        <v>472903</v>
      </c>
      <c r="F48" s="556">
        <f t="shared" si="2"/>
        <v>0.21919097767640497</v>
      </c>
      <c r="G48" s="555">
        <v>388085</v>
      </c>
      <c r="H48" s="556">
        <f t="shared" si="3"/>
        <v>0.17987775626618488</v>
      </c>
      <c r="I48" s="555">
        <v>780</v>
      </c>
      <c r="J48" s="509">
        <f t="shared" si="4"/>
        <v>3.6153072107302317E-4</v>
      </c>
    </row>
    <row r="49" spans="1:14" x14ac:dyDescent="0.25">
      <c r="A49" s="503">
        <v>2000</v>
      </c>
      <c r="B49" s="555">
        <f t="shared" si="0"/>
        <v>2195227</v>
      </c>
      <c r="C49" s="555">
        <v>1300925</v>
      </c>
      <c r="D49" s="556">
        <f t="shared" si="1"/>
        <v>0.59261525117903524</v>
      </c>
      <c r="E49" s="555">
        <v>493437</v>
      </c>
      <c r="F49" s="556">
        <f t="shared" si="2"/>
        <v>0.22477720982841409</v>
      </c>
      <c r="G49" s="555">
        <v>400085</v>
      </c>
      <c r="H49" s="556">
        <f t="shared" si="3"/>
        <v>0.18225222266307767</v>
      </c>
      <c r="I49" s="555">
        <v>780</v>
      </c>
      <c r="J49" s="509">
        <f t="shared" si="4"/>
        <v>3.5531632947298844E-4</v>
      </c>
    </row>
    <row r="50" spans="1:14" x14ac:dyDescent="0.25">
      <c r="A50" s="503">
        <v>2001</v>
      </c>
      <c r="B50" s="555">
        <f t="shared" si="0"/>
        <v>2259108</v>
      </c>
      <c r="C50" s="555">
        <v>1339150</v>
      </c>
      <c r="D50" s="556">
        <f t="shared" si="1"/>
        <v>0.59277821157731281</v>
      </c>
      <c r="E50" s="555">
        <v>475736</v>
      </c>
      <c r="F50" s="556">
        <f t="shared" si="2"/>
        <v>0.21058577102112869</v>
      </c>
      <c r="G50" s="555">
        <v>443442</v>
      </c>
      <c r="H50" s="556">
        <f t="shared" si="3"/>
        <v>0.19629074838387542</v>
      </c>
      <c r="I50" s="555">
        <v>780</v>
      </c>
      <c r="J50" s="509">
        <f t="shared" si="4"/>
        <v>3.4526901768308556E-4</v>
      </c>
    </row>
    <row r="51" spans="1:14" x14ac:dyDescent="0.25">
      <c r="A51" s="503">
        <v>2002</v>
      </c>
      <c r="B51" s="555">
        <f t="shared" si="0"/>
        <v>2078380</v>
      </c>
      <c r="C51" s="555">
        <v>1360100</v>
      </c>
      <c r="D51" s="556">
        <f t="shared" si="1"/>
        <v>0.65440391073817106</v>
      </c>
      <c r="E51" s="557">
        <v>317300</v>
      </c>
      <c r="F51" s="556">
        <f t="shared" si="2"/>
        <v>0.15266698101405904</v>
      </c>
      <c r="G51" s="557">
        <v>400100</v>
      </c>
      <c r="H51" s="556">
        <f t="shared" si="3"/>
        <v>0.19250570155601959</v>
      </c>
      <c r="I51" s="557">
        <v>880</v>
      </c>
      <c r="J51" s="509">
        <f t="shared" si="4"/>
        <v>4.2340669175030551E-4</v>
      </c>
      <c r="K51" s="520"/>
    </row>
    <row r="52" spans="1:14" x14ac:dyDescent="0.25">
      <c r="A52" s="503">
        <v>2003</v>
      </c>
      <c r="B52" s="555">
        <f t="shared" si="0"/>
        <v>1971740</v>
      </c>
      <c r="C52" s="555">
        <v>1246900</v>
      </c>
      <c r="D52" s="556">
        <f t="shared" si="1"/>
        <v>0.63238560865022775</v>
      </c>
      <c r="E52" s="557">
        <v>323600.00000000006</v>
      </c>
      <c r="F52" s="556">
        <f t="shared" si="2"/>
        <v>0.16411900149106884</v>
      </c>
      <c r="G52" s="557">
        <v>400100</v>
      </c>
      <c r="H52" s="556">
        <f t="shared" si="3"/>
        <v>0.20291722032316634</v>
      </c>
      <c r="I52" s="557">
        <v>1140</v>
      </c>
      <c r="J52" s="509">
        <f t="shared" si="4"/>
        <v>5.7816953553713982E-4</v>
      </c>
      <c r="K52" s="520"/>
      <c r="N52" s="788"/>
    </row>
    <row r="53" spans="1:14" x14ac:dyDescent="0.25">
      <c r="A53" s="503">
        <v>2004</v>
      </c>
      <c r="B53" s="555">
        <f t="shared" si="0"/>
        <v>1971740</v>
      </c>
      <c r="C53" s="555">
        <v>1246900</v>
      </c>
      <c r="D53" s="556">
        <f t="shared" si="1"/>
        <v>0.63238560865022775</v>
      </c>
      <c r="E53" s="557">
        <v>323600.00000000006</v>
      </c>
      <c r="F53" s="556">
        <f t="shared" si="2"/>
        <v>0.16411900149106884</v>
      </c>
      <c r="G53" s="557">
        <v>400100</v>
      </c>
      <c r="H53" s="556">
        <f t="shared" si="3"/>
        <v>0.20291722032316634</v>
      </c>
      <c r="I53" s="557">
        <v>1140</v>
      </c>
      <c r="J53" s="509">
        <f t="shared" si="4"/>
        <v>5.7816953553713982E-4</v>
      </c>
      <c r="K53" s="520"/>
      <c r="N53" s="788"/>
    </row>
    <row r="54" spans="1:14" x14ac:dyDescent="0.25">
      <c r="A54" s="503">
        <v>2005</v>
      </c>
      <c r="B54" s="555">
        <f t="shared" si="0"/>
        <v>1890470</v>
      </c>
      <c r="C54" s="555">
        <v>1176200</v>
      </c>
      <c r="D54" s="556">
        <f t="shared" si="1"/>
        <v>0.62217332197813247</v>
      </c>
      <c r="E54" s="557">
        <v>317900</v>
      </c>
      <c r="F54" s="556">
        <f t="shared" si="2"/>
        <v>0.1681592408237105</v>
      </c>
      <c r="G54" s="557">
        <v>395100</v>
      </c>
      <c r="H54" s="556">
        <f t="shared" si="3"/>
        <v>0.2089956465852407</v>
      </c>
      <c r="I54" s="557">
        <v>1270</v>
      </c>
      <c r="J54" s="509">
        <f t="shared" si="4"/>
        <v>6.7179061291636471E-4</v>
      </c>
      <c r="K54" s="520"/>
      <c r="N54" s="788"/>
    </row>
    <row r="55" spans="1:14" x14ac:dyDescent="0.25">
      <c r="A55" s="503">
        <v>2006</v>
      </c>
      <c r="B55" s="555">
        <f t="shared" si="0"/>
        <v>1910455</v>
      </c>
      <c r="C55" s="555">
        <v>1186300</v>
      </c>
      <c r="D55" s="556">
        <f t="shared" si="1"/>
        <v>0.62095155342575459</v>
      </c>
      <c r="E55" s="557">
        <v>325500</v>
      </c>
      <c r="F55" s="556">
        <f t="shared" si="2"/>
        <v>0.17037826067612166</v>
      </c>
      <c r="G55" s="557">
        <v>396300</v>
      </c>
      <c r="H55" s="556">
        <f t="shared" si="3"/>
        <v>0.20743749525636562</v>
      </c>
      <c r="I55" s="826">
        <v>2355</v>
      </c>
      <c r="J55" s="509">
        <f t="shared" si="4"/>
        <v>1.2326906417581152E-3</v>
      </c>
      <c r="K55" s="520"/>
      <c r="L55" s="200"/>
      <c r="N55" s="788"/>
    </row>
    <row r="56" spans="1:14" x14ac:dyDescent="0.25">
      <c r="A56" s="503">
        <v>2007</v>
      </c>
      <c r="B56" s="555">
        <f t="shared" si="0"/>
        <v>2028954.9999999998</v>
      </c>
      <c r="C56" s="555">
        <v>1294799.9999999998</v>
      </c>
      <c r="D56" s="556">
        <f t="shared" si="1"/>
        <v>0.63816102377825035</v>
      </c>
      <c r="E56" s="557">
        <v>335500.00000000006</v>
      </c>
      <c r="F56" s="556">
        <f t="shared" si="2"/>
        <v>0.16535605767501008</v>
      </c>
      <c r="G56" s="557">
        <v>396300</v>
      </c>
      <c r="H56" s="556">
        <f t="shared" si="3"/>
        <v>0.19532222252341724</v>
      </c>
      <c r="I56" s="826">
        <v>2355</v>
      </c>
      <c r="J56" s="509">
        <f t="shared" si="4"/>
        <v>1.1606960233223509E-3</v>
      </c>
      <c r="K56" s="520"/>
      <c r="L56" s="200"/>
      <c r="N56" s="788"/>
    </row>
    <row r="57" spans="1:14" x14ac:dyDescent="0.25">
      <c r="A57" s="503">
        <v>2008</v>
      </c>
      <c r="B57" s="555">
        <f t="shared" si="0"/>
        <v>2056729.9999999998</v>
      </c>
      <c r="C57" s="555">
        <v>1294799.9999999998</v>
      </c>
      <c r="D57" s="556">
        <f t="shared" si="1"/>
        <v>0.62954301245180455</v>
      </c>
      <c r="E57" s="557">
        <v>359300.00000000006</v>
      </c>
      <c r="F57" s="556">
        <f t="shared" si="2"/>
        <v>0.17469478249454234</v>
      </c>
      <c r="G57" s="557">
        <v>399300</v>
      </c>
      <c r="H57" s="556">
        <f t="shared" si="3"/>
        <v>0.19414313011430767</v>
      </c>
      <c r="I57" s="826">
        <v>3330</v>
      </c>
      <c r="J57" s="509">
        <f t="shared" si="4"/>
        <v>1.6190749393454661E-3</v>
      </c>
      <c r="K57" s="520"/>
      <c r="L57" s="823">
        <f t="shared" ref="L57:L62" si="5">(I57-I56)/I56</f>
        <v>0.4140127388535032</v>
      </c>
      <c r="N57" s="788"/>
    </row>
    <row r="58" spans="1:14" x14ac:dyDescent="0.25">
      <c r="A58" s="503">
        <v>2009</v>
      </c>
      <c r="B58" s="555">
        <f t="shared" si="0"/>
        <v>2178327</v>
      </c>
      <c r="C58" s="555">
        <v>1294800</v>
      </c>
      <c r="D58" s="556">
        <f t="shared" si="1"/>
        <v>0.59440111608587687</v>
      </c>
      <c r="E58" s="557">
        <v>434464</v>
      </c>
      <c r="F58" s="556">
        <f t="shared" si="2"/>
        <v>0.19944847582571396</v>
      </c>
      <c r="G58" s="557">
        <v>441179</v>
      </c>
      <c r="H58" s="556">
        <f t="shared" si="3"/>
        <v>0.20253111676988808</v>
      </c>
      <c r="I58" s="826">
        <v>7884</v>
      </c>
      <c r="J58" s="509">
        <f t="shared" si="4"/>
        <v>3.6192913185210487E-3</v>
      </c>
      <c r="K58" s="200"/>
      <c r="L58" s="823">
        <f t="shared" si="5"/>
        <v>1.3675675675675676</v>
      </c>
      <c r="N58" s="788"/>
    </row>
    <row r="59" spans="1:14" x14ac:dyDescent="0.25">
      <c r="A59" s="503">
        <v>2010</v>
      </c>
      <c r="B59" s="555">
        <f t="shared" si="0"/>
        <v>2202399.6</v>
      </c>
      <c r="C59" s="555">
        <v>1295200</v>
      </c>
      <c r="D59" s="556">
        <f t="shared" si="1"/>
        <v>0.58808583147218152</v>
      </c>
      <c r="E59" s="557">
        <v>453564</v>
      </c>
      <c r="F59" s="556">
        <f t="shared" si="2"/>
        <v>0.20594082926640558</v>
      </c>
      <c r="G59" s="557">
        <v>441929</v>
      </c>
      <c r="H59" s="556">
        <f t="shared" si="3"/>
        <v>0.20065795507772521</v>
      </c>
      <c r="I59" s="826">
        <v>11706.6</v>
      </c>
      <c r="J59" s="509">
        <f t="shared" si="4"/>
        <v>5.3153841836876469E-3</v>
      </c>
      <c r="K59" s="200"/>
      <c r="L59" s="823">
        <f t="shared" si="5"/>
        <v>0.48485540334855409</v>
      </c>
      <c r="N59" s="788"/>
    </row>
    <row r="60" spans="1:14" s="565" customFormat="1" ht="15.75" thickBot="1" x14ac:dyDescent="0.3">
      <c r="A60" s="558">
        <v>2011</v>
      </c>
      <c r="B60" s="477">
        <f t="shared" si="0"/>
        <v>2197043.5</v>
      </c>
      <c r="C60" s="477">
        <f>GETPIVOTDATA("Sum of Fossil Fuel Turbines",'Summary PivotTables'!$A$21)</f>
        <v>1295200</v>
      </c>
      <c r="D60" s="501">
        <f t="shared" si="1"/>
        <v>0.58951950655505914</v>
      </c>
      <c r="E60" s="617">
        <f>GETPIVOTDATA("Sum of Internal Combustion",'Summary PivotTables'!$A$21)</f>
        <v>449838.5</v>
      </c>
      <c r="F60" s="501">
        <f t="shared" si="2"/>
        <v>0.2047471977682736</v>
      </c>
      <c r="G60" s="617">
        <f>GETPIVOTDATA("Sum of Hydroelectric",'Summary PivotTables'!$A$21)</f>
        <v>438159</v>
      </c>
      <c r="H60" s="501">
        <f t="shared" si="3"/>
        <v>0.19943119014257113</v>
      </c>
      <c r="I60" s="825">
        <f>GETPIVOTDATA("Sum of Wind Turbine",'Summary PivotTables'!$A$21)</f>
        <v>13846</v>
      </c>
      <c r="J60" s="559">
        <f t="shared" si="4"/>
        <v>6.3021055340961611E-3</v>
      </c>
      <c r="K60" s="824"/>
      <c r="L60" s="823">
        <f t="shared" si="5"/>
        <v>0.18275161020279154</v>
      </c>
      <c r="N60" s="788"/>
    </row>
    <row r="61" spans="1:14" x14ac:dyDescent="0.25">
      <c r="A61" s="801">
        <v>2012</v>
      </c>
      <c r="B61" s="802"/>
      <c r="C61" s="802"/>
      <c r="D61" s="802"/>
      <c r="E61" s="802"/>
      <c r="F61" s="802"/>
      <c r="G61" s="802"/>
      <c r="H61" s="802"/>
      <c r="I61" s="803">
        <f>I60+K61</f>
        <v>63851</v>
      </c>
      <c r="J61" s="804"/>
      <c r="K61" s="804">
        <v>50005</v>
      </c>
      <c r="L61" s="823">
        <f t="shared" si="5"/>
        <v>3.6115123501372239</v>
      </c>
      <c r="N61" s="788"/>
    </row>
    <row r="62" spans="1:14" x14ac:dyDescent="0.25">
      <c r="A62" s="801">
        <v>2013</v>
      </c>
      <c r="B62" s="804"/>
      <c r="C62" s="801"/>
      <c r="D62" s="801"/>
      <c r="E62" s="805"/>
      <c r="F62" s="801"/>
      <c r="G62" s="805"/>
      <c r="H62" s="801"/>
      <c r="I62" s="803">
        <f>I61+K62</f>
        <v>64751</v>
      </c>
      <c r="J62" s="804"/>
      <c r="K62" s="804">
        <v>900</v>
      </c>
      <c r="L62" s="823">
        <f t="shared" si="5"/>
        <v>1.4095315656763403E-2</v>
      </c>
      <c r="N62" s="788"/>
    </row>
    <row r="63" spans="1:14" x14ac:dyDescent="0.25">
      <c r="I63" s="200"/>
      <c r="J63" s="200"/>
      <c r="K63" s="200"/>
      <c r="L63" s="200"/>
    </row>
    <row r="65" spans="1:10" ht="15.75" x14ac:dyDescent="0.25">
      <c r="B65" s="742"/>
      <c r="J65" s="742"/>
    </row>
    <row r="71" spans="1:10" x14ac:dyDescent="0.25">
      <c r="A71" s="292"/>
      <c r="B71" s="393"/>
      <c r="C71" s="393"/>
      <c r="D71" s="393"/>
      <c r="E71" s="393"/>
      <c r="G71" s="393"/>
      <c r="H71" s="393"/>
    </row>
    <row r="72" spans="1:10" x14ac:dyDescent="0.25">
      <c r="A72" s="292"/>
      <c r="B72" s="393"/>
      <c r="C72" s="393"/>
      <c r="D72" s="393"/>
      <c r="E72" s="393"/>
      <c r="G72" s="393"/>
      <c r="H72" s="393"/>
    </row>
    <row r="73" spans="1:10" x14ac:dyDescent="0.25">
      <c r="A73" s="292"/>
      <c r="B73" s="393"/>
      <c r="C73" s="393"/>
      <c r="D73" s="393"/>
      <c r="E73" s="393"/>
      <c r="G73" s="393"/>
      <c r="H73" s="393"/>
    </row>
    <row r="74" spans="1:10" x14ac:dyDescent="0.25">
      <c r="A74" s="292"/>
      <c r="B74" s="393"/>
      <c r="C74" s="393"/>
      <c r="D74" s="393"/>
      <c r="E74" s="393"/>
      <c r="G74" s="393"/>
      <c r="H74" s="393"/>
    </row>
    <row r="75" spans="1:10" x14ac:dyDescent="0.25">
      <c r="A75" s="292"/>
      <c r="B75" s="393"/>
      <c r="C75" s="393"/>
      <c r="D75" s="393"/>
      <c r="E75" s="393"/>
      <c r="G75" s="393"/>
      <c r="H75" s="393"/>
    </row>
    <row r="76" spans="1:10" x14ac:dyDescent="0.25">
      <c r="A76" s="292"/>
      <c r="B76" s="393"/>
      <c r="C76" s="393"/>
      <c r="D76" s="393"/>
      <c r="E76" s="393"/>
      <c r="G76" s="393"/>
      <c r="H76" s="393"/>
    </row>
    <row r="77" spans="1:10" x14ac:dyDescent="0.25">
      <c r="A77" s="292"/>
      <c r="B77" s="393"/>
      <c r="C77" s="393"/>
      <c r="D77" s="393"/>
      <c r="E77" s="393"/>
      <c r="G77" s="393"/>
      <c r="H77" s="393"/>
    </row>
    <row r="78" spans="1:10" x14ac:dyDescent="0.25">
      <c r="A78" s="292"/>
      <c r="B78" s="393"/>
      <c r="C78" s="393"/>
      <c r="D78" s="393"/>
      <c r="E78" s="393"/>
      <c r="G78" s="393"/>
      <c r="H78" s="393"/>
    </row>
    <row r="79" spans="1:10" x14ac:dyDescent="0.25">
      <c r="A79" s="292"/>
      <c r="B79" s="393"/>
      <c r="C79" s="393"/>
      <c r="D79" s="393"/>
      <c r="E79" s="393"/>
      <c r="G79" s="393"/>
      <c r="H79" s="393"/>
    </row>
    <row r="80" spans="1:10" x14ac:dyDescent="0.25">
      <c r="A80" s="292"/>
      <c r="B80" s="393"/>
      <c r="C80" s="393"/>
      <c r="D80" s="393"/>
      <c r="E80" s="393"/>
      <c r="G80" s="393"/>
      <c r="H80" s="393"/>
    </row>
    <row r="81" spans="1:8" x14ac:dyDescent="0.25">
      <c r="A81" s="292"/>
      <c r="B81" s="393"/>
      <c r="C81" s="393"/>
      <c r="D81" s="393"/>
      <c r="E81" s="393"/>
      <c r="G81" s="393"/>
      <c r="H81" s="393"/>
    </row>
    <row r="82" spans="1:8" x14ac:dyDescent="0.25">
      <c r="A82" s="292"/>
      <c r="B82" s="393"/>
      <c r="C82" s="393"/>
      <c r="D82" s="393"/>
      <c r="E82" s="393"/>
      <c r="G82" s="393"/>
      <c r="H82" s="393"/>
    </row>
  </sheetData>
  <mergeCells count="6">
    <mergeCell ref="A9:A10"/>
    <mergeCell ref="B9:B10"/>
    <mergeCell ref="A8:J8"/>
    <mergeCell ref="A5:M5"/>
    <mergeCell ref="A7:M7"/>
    <mergeCell ref="A6:M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249977111117893"/>
  </sheetPr>
  <dimension ref="A1:O74"/>
  <sheetViews>
    <sheetView showGridLines="0" workbookViewId="0">
      <pane xSplit="3" ySplit="12" topLeftCell="D13" activePane="bottomRight" state="frozen"/>
      <selection pane="topRight" activeCell="D1" sqref="D1"/>
      <selection pane="bottomLeft" activeCell="A14" sqref="A14"/>
      <selection pane="bottomRight" activeCell="A11" sqref="A11:M11"/>
    </sheetView>
  </sheetViews>
  <sheetFormatPr defaultRowHeight="15" x14ac:dyDescent="0.25"/>
  <cols>
    <col min="1" max="1" width="13.140625" style="605" bestFit="1" customWidth="1"/>
    <col min="2" max="2" width="26.28515625" style="605" customWidth="1"/>
    <col min="3" max="16384" width="9.140625" style="605"/>
  </cols>
  <sheetData>
    <row r="1" spans="1:13" x14ac:dyDescent="0.25">
      <c r="A1" s="478" t="s">
        <v>927</v>
      </c>
    </row>
    <row r="2" spans="1:13" x14ac:dyDescent="0.25">
      <c r="A2" s="478" t="s">
        <v>928</v>
      </c>
    </row>
    <row r="3" spans="1:13" x14ac:dyDescent="0.25">
      <c r="A3" s="478" t="s">
        <v>929</v>
      </c>
    </row>
    <row r="4" spans="1:13" x14ac:dyDescent="0.25">
      <c r="A4" s="478" t="s">
        <v>930</v>
      </c>
    </row>
    <row r="5" spans="1:13" x14ac:dyDescent="0.25">
      <c r="A5" s="478" t="s">
        <v>931</v>
      </c>
    </row>
    <row r="6" spans="1:13" x14ac:dyDescent="0.25">
      <c r="A6" s="478" t="s">
        <v>932</v>
      </c>
    </row>
    <row r="7" spans="1:13" x14ac:dyDescent="0.25">
      <c r="A7" s="478" t="s">
        <v>920</v>
      </c>
    </row>
    <row r="8" spans="1:13" x14ac:dyDescent="0.25">
      <c r="A8" s="488" t="s">
        <v>933</v>
      </c>
    </row>
    <row r="9" spans="1:13" x14ac:dyDescent="0.25">
      <c r="A9" s="290" t="s">
        <v>934</v>
      </c>
    </row>
    <row r="10" spans="1:13" x14ac:dyDescent="0.25">
      <c r="A10" s="290" t="s">
        <v>981</v>
      </c>
    </row>
    <row r="11" spans="1:13" ht="15.75" thickBot="1" x14ac:dyDescent="0.3">
      <c r="A11" s="923" t="s">
        <v>1149</v>
      </c>
      <c r="B11" s="921"/>
      <c r="C11" s="921"/>
      <c r="D11" s="921"/>
      <c r="E11" s="921"/>
      <c r="F11" s="921"/>
      <c r="G11" s="921"/>
      <c r="H11" s="921"/>
      <c r="I11" s="921"/>
      <c r="J11" s="921"/>
      <c r="K11" s="921"/>
      <c r="L11" s="921"/>
      <c r="M11" s="921"/>
    </row>
    <row r="12" spans="1:13" ht="39.75" thickBot="1" x14ac:dyDescent="0.3">
      <c r="A12" s="518" t="s">
        <v>922</v>
      </c>
      <c r="B12" s="518" t="s">
        <v>20</v>
      </c>
      <c r="C12" s="517" t="s">
        <v>923</v>
      </c>
      <c r="D12" s="517" t="s">
        <v>935</v>
      </c>
      <c r="E12" s="518" t="s">
        <v>926</v>
      </c>
      <c r="F12" s="517" t="s">
        <v>936</v>
      </c>
      <c r="G12" s="518" t="s">
        <v>926</v>
      </c>
      <c r="H12" s="517" t="s">
        <v>937</v>
      </c>
      <c r="I12" s="518" t="s">
        <v>926</v>
      </c>
      <c r="J12" s="517" t="s">
        <v>938</v>
      </c>
      <c r="K12" s="518" t="s">
        <v>926</v>
      </c>
      <c r="L12" s="517" t="s">
        <v>939</v>
      </c>
      <c r="M12" s="518" t="s">
        <v>926</v>
      </c>
    </row>
    <row r="13" spans="1:13" x14ac:dyDescent="0.25">
      <c r="A13" s="521">
        <v>1962</v>
      </c>
      <c r="B13" s="521" t="s">
        <v>940</v>
      </c>
      <c r="C13" s="522">
        <v>169968</v>
      </c>
      <c r="D13" s="593"/>
      <c r="E13" s="596"/>
      <c r="F13" s="593"/>
      <c r="G13" s="596"/>
      <c r="H13" s="593"/>
      <c r="I13" s="596"/>
      <c r="J13" s="593"/>
      <c r="K13" s="596"/>
      <c r="L13" s="593"/>
      <c r="M13" s="596"/>
    </row>
    <row r="14" spans="1:13" x14ac:dyDescent="0.25">
      <c r="A14" s="508">
        <v>1963</v>
      </c>
      <c r="B14" s="508" t="s">
        <v>940</v>
      </c>
      <c r="C14" s="523">
        <v>202243</v>
      </c>
      <c r="D14" s="524"/>
      <c r="E14" s="585"/>
      <c r="F14" s="524"/>
      <c r="G14" s="585"/>
      <c r="H14" s="524"/>
      <c r="I14" s="585"/>
      <c r="J14" s="524"/>
      <c r="K14" s="585"/>
      <c r="L14" s="524"/>
      <c r="M14" s="585"/>
    </row>
    <row r="15" spans="1:13" x14ac:dyDescent="0.25">
      <c r="A15" s="508">
        <v>1964</v>
      </c>
      <c r="B15" s="508" t="s">
        <v>940</v>
      </c>
      <c r="C15" s="523">
        <v>218582</v>
      </c>
      <c r="D15" s="524"/>
      <c r="E15" s="585"/>
      <c r="F15" s="524"/>
      <c r="G15" s="585"/>
      <c r="H15" s="524"/>
      <c r="I15" s="585"/>
      <c r="J15" s="524"/>
      <c r="K15" s="585"/>
      <c r="L15" s="524"/>
      <c r="M15" s="585"/>
    </row>
    <row r="16" spans="1:13" x14ac:dyDescent="0.25">
      <c r="A16" s="508">
        <v>1965</v>
      </c>
      <c r="B16" s="508" t="s">
        <v>940</v>
      </c>
      <c r="C16" s="523">
        <v>242812</v>
      </c>
      <c r="D16" s="524"/>
      <c r="E16" s="585"/>
      <c r="F16" s="524"/>
      <c r="G16" s="585"/>
      <c r="H16" s="524"/>
      <c r="I16" s="585"/>
      <c r="J16" s="524"/>
      <c r="K16" s="585"/>
      <c r="L16" s="524"/>
      <c r="M16" s="585"/>
    </row>
    <row r="17" spans="1:13" x14ac:dyDescent="0.25">
      <c r="A17" s="508">
        <v>1966</v>
      </c>
      <c r="B17" s="508" t="s">
        <v>940</v>
      </c>
      <c r="C17" s="523">
        <v>254148</v>
      </c>
      <c r="D17" s="524"/>
      <c r="E17" s="585"/>
      <c r="F17" s="524"/>
      <c r="G17" s="585"/>
      <c r="H17" s="524"/>
      <c r="I17" s="585"/>
      <c r="J17" s="524"/>
      <c r="K17" s="585"/>
      <c r="L17" s="524"/>
      <c r="M17" s="585"/>
    </row>
    <row r="18" spans="1:13" x14ac:dyDescent="0.25">
      <c r="A18" s="508">
        <v>1967</v>
      </c>
      <c r="B18" s="508" t="s">
        <v>940</v>
      </c>
      <c r="C18" s="523">
        <v>260273</v>
      </c>
      <c r="D18" s="524"/>
      <c r="E18" s="585"/>
      <c r="F18" s="524"/>
      <c r="G18" s="585"/>
      <c r="H18" s="524"/>
      <c r="I18" s="585"/>
      <c r="J18" s="524"/>
      <c r="K18" s="585"/>
      <c r="L18" s="524"/>
      <c r="M18" s="585"/>
    </row>
    <row r="19" spans="1:13" x14ac:dyDescent="0.25">
      <c r="A19" s="508">
        <v>1968</v>
      </c>
      <c r="B19" s="508" t="s">
        <v>940</v>
      </c>
      <c r="C19" s="523">
        <v>339688</v>
      </c>
      <c r="D19" s="524"/>
      <c r="E19" s="585"/>
      <c r="F19" s="524"/>
      <c r="G19" s="585"/>
      <c r="H19" s="524"/>
      <c r="I19" s="585"/>
      <c r="J19" s="524"/>
      <c r="K19" s="585"/>
      <c r="L19" s="524"/>
      <c r="M19" s="585"/>
    </row>
    <row r="20" spans="1:13" x14ac:dyDescent="0.25">
      <c r="A20" s="508">
        <v>1969</v>
      </c>
      <c r="B20" s="508" t="s">
        <v>940</v>
      </c>
      <c r="C20" s="523">
        <v>347013</v>
      </c>
      <c r="D20" s="524"/>
      <c r="E20" s="585"/>
      <c r="F20" s="524"/>
      <c r="G20" s="585"/>
      <c r="H20" s="524"/>
      <c r="I20" s="585"/>
      <c r="J20" s="524"/>
      <c r="K20" s="585"/>
      <c r="L20" s="524"/>
      <c r="M20" s="585"/>
    </row>
    <row r="21" spans="1:13" x14ac:dyDescent="0.25">
      <c r="A21" s="508">
        <v>1970</v>
      </c>
      <c r="B21" s="508" t="s">
        <v>940</v>
      </c>
      <c r="C21" s="523">
        <v>406596</v>
      </c>
      <c r="D21" s="524"/>
      <c r="E21" s="585"/>
      <c r="F21" s="524"/>
      <c r="G21" s="585"/>
      <c r="H21" s="524"/>
      <c r="I21" s="585"/>
      <c r="J21" s="524"/>
      <c r="K21" s="585"/>
      <c r="L21" s="524"/>
      <c r="M21" s="585"/>
    </row>
    <row r="22" spans="1:13" x14ac:dyDescent="0.25">
      <c r="A22" s="508">
        <v>1971</v>
      </c>
      <c r="B22" s="508" t="s">
        <v>940</v>
      </c>
      <c r="C22" s="523">
        <v>472955</v>
      </c>
      <c r="D22" s="524"/>
      <c r="E22" s="585"/>
      <c r="F22" s="524"/>
      <c r="G22" s="585"/>
      <c r="H22" s="524"/>
      <c r="I22" s="585"/>
      <c r="J22" s="524"/>
      <c r="K22" s="585"/>
      <c r="L22" s="524"/>
      <c r="M22" s="585"/>
    </row>
    <row r="23" spans="1:13" x14ac:dyDescent="0.25">
      <c r="A23" s="508">
        <v>1972</v>
      </c>
      <c r="B23" s="508" t="s">
        <v>940</v>
      </c>
      <c r="C23" s="523">
        <v>533639</v>
      </c>
      <c r="D23" s="524"/>
      <c r="E23" s="585"/>
      <c r="F23" s="524"/>
      <c r="G23" s="585"/>
      <c r="H23" s="524"/>
      <c r="I23" s="585"/>
      <c r="J23" s="524"/>
      <c r="K23" s="585"/>
      <c r="L23" s="524"/>
      <c r="M23" s="585"/>
    </row>
    <row r="24" spans="1:13" x14ac:dyDescent="0.25">
      <c r="A24" s="508">
        <v>1973</v>
      </c>
      <c r="B24" s="508" t="s">
        <v>941</v>
      </c>
      <c r="C24" s="523">
        <v>650100</v>
      </c>
      <c r="D24" s="524">
        <v>11600</v>
      </c>
      <c r="E24" s="585">
        <v>1.784340870635287E-2</v>
      </c>
      <c r="F24" s="524">
        <v>369800</v>
      </c>
      <c r="G24" s="585">
        <v>0.56883556375942168</v>
      </c>
      <c r="H24" s="524">
        <v>126300</v>
      </c>
      <c r="I24" s="585">
        <v>0.19427780341485926</v>
      </c>
      <c r="J24" s="524">
        <v>11600</v>
      </c>
      <c r="K24" s="585">
        <v>1.784340870635287E-2</v>
      </c>
      <c r="L24" s="524">
        <v>130800</v>
      </c>
      <c r="M24" s="585">
        <v>0.20119981541301338</v>
      </c>
    </row>
    <row r="25" spans="1:13" x14ac:dyDescent="0.25">
      <c r="A25" s="508">
        <v>1974</v>
      </c>
      <c r="B25" s="508" t="s">
        <v>942</v>
      </c>
      <c r="C25" s="523">
        <v>724200</v>
      </c>
      <c r="D25" s="524">
        <v>12100</v>
      </c>
      <c r="E25" s="585">
        <v>1.6708091687379176E-2</v>
      </c>
      <c r="F25" s="524">
        <v>438700</v>
      </c>
      <c r="G25" s="585">
        <v>0.60577188621927647</v>
      </c>
      <c r="H25" s="524">
        <v>129600</v>
      </c>
      <c r="I25" s="585">
        <v>0.17895608947804473</v>
      </c>
      <c r="J25" s="524">
        <v>12300</v>
      </c>
      <c r="K25" s="585">
        <v>1.6984258492129246E-2</v>
      </c>
      <c r="L25" s="524">
        <v>131500</v>
      </c>
      <c r="M25" s="585">
        <v>0.18157967412317039</v>
      </c>
    </row>
    <row r="26" spans="1:13" x14ac:dyDescent="0.25">
      <c r="A26" s="508">
        <v>1975</v>
      </c>
      <c r="B26" s="508" t="s">
        <v>942</v>
      </c>
      <c r="C26" s="523">
        <v>763500</v>
      </c>
      <c r="D26" s="524">
        <v>14700</v>
      </c>
      <c r="E26" s="585">
        <v>1.9253438113948921E-2</v>
      </c>
      <c r="F26" s="524">
        <v>451500</v>
      </c>
      <c r="G26" s="585">
        <v>0.59135559921414538</v>
      </c>
      <c r="H26" s="524">
        <v>136900</v>
      </c>
      <c r="I26" s="585">
        <v>0.17930582842174198</v>
      </c>
      <c r="J26" s="524">
        <v>20400</v>
      </c>
      <c r="K26" s="585">
        <v>2.6719056974459726E-2</v>
      </c>
      <c r="L26" s="524">
        <v>140000</v>
      </c>
      <c r="M26" s="585">
        <v>0.183366077275704</v>
      </c>
    </row>
    <row r="27" spans="1:13" x14ac:dyDescent="0.25">
      <c r="A27" s="508">
        <v>1976</v>
      </c>
      <c r="B27" s="508" t="s">
        <v>943</v>
      </c>
      <c r="C27" s="523">
        <v>971700</v>
      </c>
      <c r="D27" s="524">
        <v>18200</v>
      </c>
      <c r="E27" s="585">
        <v>1.8730060718328702E-2</v>
      </c>
      <c r="F27" s="524">
        <v>556900</v>
      </c>
      <c r="G27" s="585">
        <v>0.57311927549655239</v>
      </c>
      <c r="H27" s="524">
        <v>139700</v>
      </c>
      <c r="I27" s="585">
        <v>0.14376865287640217</v>
      </c>
      <c r="J27" s="524">
        <v>23400</v>
      </c>
      <c r="K27" s="585">
        <v>2.4081506637851188E-2</v>
      </c>
      <c r="L27" s="524">
        <v>233500</v>
      </c>
      <c r="M27" s="585">
        <v>0.24030050427086549</v>
      </c>
    </row>
    <row r="28" spans="1:13" x14ac:dyDescent="0.25">
      <c r="A28" s="508">
        <v>1977</v>
      </c>
      <c r="B28" s="508" t="s">
        <v>940</v>
      </c>
      <c r="C28" s="523">
        <v>1038270</v>
      </c>
      <c r="D28" s="524"/>
      <c r="E28" s="585"/>
      <c r="F28" s="524"/>
      <c r="G28" s="585"/>
      <c r="H28" s="524"/>
      <c r="I28" s="585"/>
      <c r="J28" s="524"/>
      <c r="K28" s="585"/>
      <c r="L28" s="524"/>
      <c r="M28" s="585"/>
    </row>
    <row r="29" spans="1:13" x14ac:dyDescent="0.25">
      <c r="A29" s="508">
        <v>1978</v>
      </c>
      <c r="B29" s="508" t="s">
        <v>940</v>
      </c>
      <c r="C29" s="523">
        <v>1132590</v>
      </c>
      <c r="D29" s="524"/>
      <c r="E29" s="585"/>
      <c r="F29" s="524"/>
      <c r="G29" s="585"/>
      <c r="H29" s="524"/>
      <c r="I29" s="585"/>
      <c r="J29" s="524"/>
      <c r="K29" s="585"/>
      <c r="L29" s="524"/>
      <c r="M29" s="585"/>
    </row>
    <row r="30" spans="1:13" x14ac:dyDescent="0.25">
      <c r="A30" s="508">
        <v>1979</v>
      </c>
      <c r="B30" s="508" t="s">
        <v>940</v>
      </c>
      <c r="C30" s="523">
        <v>1257835</v>
      </c>
      <c r="D30" s="524"/>
      <c r="E30" s="585"/>
      <c r="F30" s="524"/>
      <c r="G30" s="585"/>
      <c r="H30" s="524"/>
      <c r="I30" s="585"/>
      <c r="J30" s="524"/>
      <c r="K30" s="585"/>
      <c r="L30" s="524"/>
      <c r="M30" s="585"/>
    </row>
    <row r="31" spans="1:13" x14ac:dyDescent="0.25">
      <c r="A31" s="508">
        <v>1980</v>
      </c>
      <c r="B31" s="508" t="s">
        <v>943</v>
      </c>
      <c r="C31" s="523">
        <v>1283054</v>
      </c>
      <c r="D31" s="524">
        <v>27576</v>
      </c>
      <c r="E31" s="585">
        <v>2.1492470309121828E-2</v>
      </c>
      <c r="F31" s="524">
        <v>750087</v>
      </c>
      <c r="G31" s="585">
        <v>0.58461062433849242</v>
      </c>
      <c r="H31" s="524">
        <v>176732</v>
      </c>
      <c r="I31" s="585">
        <v>0.13774322826630836</v>
      </c>
      <c r="J31" s="524">
        <v>28887</v>
      </c>
      <c r="K31" s="585">
        <v>2.251425115388752E-2</v>
      </c>
      <c r="L31" s="524">
        <v>299772</v>
      </c>
      <c r="M31" s="585">
        <v>0.23363942593218992</v>
      </c>
    </row>
    <row r="32" spans="1:13" x14ac:dyDescent="0.25">
      <c r="A32" s="508">
        <v>1981</v>
      </c>
      <c r="B32" s="508" t="s">
        <v>943</v>
      </c>
      <c r="C32" s="523">
        <v>1373734</v>
      </c>
      <c r="D32" s="524">
        <v>34769</v>
      </c>
      <c r="E32" s="585">
        <v>2.5309848922717208E-2</v>
      </c>
      <c r="F32" s="524">
        <v>836094</v>
      </c>
      <c r="G32" s="585">
        <v>0.6086287447205937</v>
      </c>
      <c r="H32" s="524">
        <v>175502</v>
      </c>
      <c r="I32" s="585">
        <v>0.12775544610528675</v>
      </c>
      <c r="J32" s="524">
        <v>29867</v>
      </c>
      <c r="K32" s="585">
        <v>2.174147251214573E-2</v>
      </c>
      <c r="L32" s="524">
        <v>297502</v>
      </c>
      <c r="M32" s="585">
        <v>0.21656448773925666</v>
      </c>
    </row>
    <row r="33" spans="1:13" x14ac:dyDescent="0.25">
      <c r="A33" s="508">
        <v>1982</v>
      </c>
      <c r="B33" s="508" t="s">
        <v>943</v>
      </c>
      <c r="C33" s="523">
        <v>1412504</v>
      </c>
      <c r="D33" s="524">
        <v>38374</v>
      </c>
      <c r="E33" s="585">
        <v>2.7167356694211133E-2</v>
      </c>
      <c r="F33" s="524">
        <v>848355</v>
      </c>
      <c r="G33" s="585">
        <v>0.60060360891013409</v>
      </c>
      <c r="H33" s="524">
        <v>192802</v>
      </c>
      <c r="I33" s="585">
        <v>0.13649660461138516</v>
      </c>
      <c r="J33" s="524">
        <v>32196</v>
      </c>
      <c r="K33" s="585">
        <v>2.2793563770438879E-2</v>
      </c>
      <c r="L33" s="524">
        <v>300777</v>
      </c>
      <c r="M33" s="585">
        <v>0.21293886601383075</v>
      </c>
    </row>
    <row r="34" spans="1:13" x14ac:dyDescent="0.25">
      <c r="A34" s="508">
        <v>1983</v>
      </c>
      <c r="B34" s="508" t="s">
        <v>943</v>
      </c>
      <c r="C34" s="523">
        <v>1447752</v>
      </c>
      <c r="D34" s="524">
        <v>41104</v>
      </c>
      <c r="E34" s="585">
        <v>2.8391602981726154E-2</v>
      </c>
      <c r="F34" s="524">
        <v>848255</v>
      </c>
      <c r="G34" s="585">
        <v>0.58591181362553812</v>
      </c>
      <c r="H34" s="524">
        <v>215747</v>
      </c>
      <c r="I34" s="585">
        <v>0.14902207007830071</v>
      </c>
      <c r="J34" s="524">
        <v>38494</v>
      </c>
      <c r="K34" s="585">
        <v>2.6588808027894279E-2</v>
      </c>
      <c r="L34" s="524">
        <v>304152</v>
      </c>
      <c r="M34" s="585">
        <v>0.2100857052865408</v>
      </c>
    </row>
    <row r="35" spans="1:13" x14ac:dyDescent="0.25">
      <c r="A35" s="508">
        <v>1984</v>
      </c>
      <c r="B35" s="508" t="s">
        <v>943</v>
      </c>
      <c r="C35" s="523">
        <v>1605485</v>
      </c>
      <c r="D35" s="524">
        <v>43789</v>
      </c>
      <c r="E35" s="585">
        <v>2.7274624178986413E-2</v>
      </c>
      <c r="F35" s="524">
        <v>947908</v>
      </c>
      <c r="G35" s="585">
        <v>0.59041847167678307</v>
      </c>
      <c r="H35" s="524">
        <v>272392</v>
      </c>
      <c r="I35" s="585">
        <v>0.16966337275029042</v>
      </c>
      <c r="J35" s="524">
        <v>39884</v>
      </c>
      <c r="K35" s="585">
        <v>2.4842337362230106E-2</v>
      </c>
      <c r="L35" s="524">
        <v>301512</v>
      </c>
      <c r="M35" s="585">
        <v>0.18780119403171006</v>
      </c>
    </row>
    <row r="36" spans="1:13" x14ac:dyDescent="0.25">
      <c r="A36" s="508">
        <v>1985</v>
      </c>
      <c r="B36" s="508" t="s">
        <v>943</v>
      </c>
      <c r="C36" s="523">
        <v>1601714</v>
      </c>
      <c r="D36" s="524">
        <v>48696</v>
      </c>
      <c r="E36" s="585">
        <v>3.0402431395367711E-2</v>
      </c>
      <c r="F36" s="524">
        <v>926507</v>
      </c>
      <c r="G36" s="585">
        <v>0.57844721342262106</v>
      </c>
      <c r="H36" s="524">
        <v>279995</v>
      </c>
      <c r="I36" s="585">
        <v>0.17480961020506783</v>
      </c>
      <c r="J36" s="524">
        <v>41215</v>
      </c>
      <c r="K36" s="585">
        <v>2.5731809798753086E-2</v>
      </c>
      <c r="L36" s="524">
        <v>305301</v>
      </c>
      <c r="M36" s="585">
        <v>0.19060893517819036</v>
      </c>
    </row>
    <row r="37" spans="1:13" x14ac:dyDescent="0.25">
      <c r="A37" s="508">
        <v>1986</v>
      </c>
      <c r="B37" s="508" t="s">
        <v>943</v>
      </c>
      <c r="C37" s="523">
        <v>1683641</v>
      </c>
      <c r="D37" s="524">
        <v>47975</v>
      </c>
      <c r="E37" s="585">
        <v>2.8494791941987632E-2</v>
      </c>
      <c r="F37" s="524">
        <v>1009062</v>
      </c>
      <c r="G37" s="585">
        <v>0.59933323077782019</v>
      </c>
      <c r="H37" s="524">
        <v>289487</v>
      </c>
      <c r="I37" s="585">
        <v>0.17194104919041531</v>
      </c>
      <c r="J37" s="524">
        <v>42253</v>
      </c>
      <c r="K37" s="585">
        <v>2.5096205188635819E-2</v>
      </c>
      <c r="L37" s="524">
        <v>294864</v>
      </c>
      <c r="M37" s="585">
        <v>0.17513472290114104</v>
      </c>
    </row>
    <row r="38" spans="1:13" x14ac:dyDescent="0.25">
      <c r="A38" s="508">
        <v>1987</v>
      </c>
      <c r="B38" s="508" t="s">
        <v>943</v>
      </c>
      <c r="C38" s="523">
        <v>1655373</v>
      </c>
      <c r="D38" s="524">
        <v>51337</v>
      </c>
      <c r="E38" s="585">
        <v>3.1012345858002999E-2</v>
      </c>
      <c r="F38" s="524">
        <v>983122</v>
      </c>
      <c r="G38" s="585">
        <v>0.59389756870505928</v>
      </c>
      <c r="H38" s="524">
        <v>288238</v>
      </c>
      <c r="I38" s="585">
        <v>0.1741226901731513</v>
      </c>
      <c r="J38" s="524">
        <v>45447</v>
      </c>
      <c r="K38" s="585">
        <v>2.7454235389848692E-2</v>
      </c>
      <c r="L38" s="524">
        <v>287229</v>
      </c>
      <c r="M38" s="585">
        <v>0.17351315987393778</v>
      </c>
    </row>
    <row r="39" spans="1:13" x14ac:dyDescent="0.25">
      <c r="A39" s="508">
        <v>1988</v>
      </c>
      <c r="B39" s="508" t="s">
        <v>943</v>
      </c>
      <c r="C39" s="523">
        <v>1603984</v>
      </c>
      <c r="D39" s="524">
        <v>52784</v>
      </c>
      <c r="E39" s="585">
        <v>3.2908058933256192E-2</v>
      </c>
      <c r="F39" s="524">
        <v>939109</v>
      </c>
      <c r="G39" s="585">
        <v>0.58548526668595202</v>
      </c>
      <c r="H39" s="524">
        <v>291911</v>
      </c>
      <c r="I39" s="585">
        <v>0.18199121686999373</v>
      </c>
      <c r="J39" s="524">
        <v>48910</v>
      </c>
      <c r="K39" s="585">
        <v>3.0492822871051081E-2</v>
      </c>
      <c r="L39" s="524">
        <v>271270</v>
      </c>
      <c r="M39" s="585">
        <v>0.16912263463974703</v>
      </c>
    </row>
    <row r="40" spans="1:13" x14ac:dyDescent="0.25">
      <c r="A40" s="508">
        <v>1989</v>
      </c>
      <c r="B40" s="508" t="s">
        <v>943</v>
      </c>
      <c r="C40" s="523">
        <v>1610966</v>
      </c>
      <c r="D40" s="524">
        <v>51967</v>
      </c>
      <c r="E40" s="585">
        <v>3.2258284780684383E-2</v>
      </c>
      <c r="F40" s="524">
        <v>939494</v>
      </c>
      <c r="G40" s="585">
        <v>0.58318673392237952</v>
      </c>
      <c r="H40" s="524">
        <v>317846</v>
      </c>
      <c r="I40" s="585">
        <v>0.19730149487946982</v>
      </c>
      <c r="J40" s="524">
        <v>52283</v>
      </c>
      <c r="K40" s="585">
        <v>3.2454440379250708E-2</v>
      </c>
      <c r="L40" s="524">
        <v>249376</v>
      </c>
      <c r="M40" s="585">
        <v>0.15479904603821559</v>
      </c>
    </row>
    <row r="41" spans="1:13" x14ac:dyDescent="0.25">
      <c r="A41" s="508">
        <v>1990</v>
      </c>
      <c r="B41" s="508" t="s">
        <v>943</v>
      </c>
      <c r="C41" s="523">
        <v>1604767</v>
      </c>
      <c r="D41" s="524">
        <v>58285</v>
      </c>
      <c r="E41" s="585">
        <v>3.631991435516807E-2</v>
      </c>
      <c r="F41" s="524">
        <v>939487</v>
      </c>
      <c r="G41" s="585">
        <v>0.58543514416734643</v>
      </c>
      <c r="H41" s="524">
        <v>309318</v>
      </c>
      <c r="I41" s="585">
        <v>0.19274947702688303</v>
      </c>
      <c r="J41" s="524">
        <v>53327</v>
      </c>
      <c r="K41" s="585">
        <v>3.3230369268560482E-2</v>
      </c>
      <c r="L41" s="524">
        <v>244350</v>
      </c>
      <c r="M41" s="585">
        <v>0.15226509518204201</v>
      </c>
    </row>
    <row r="42" spans="1:13" x14ac:dyDescent="0.25">
      <c r="A42" s="508">
        <v>1991</v>
      </c>
      <c r="B42" s="508" t="s">
        <v>943</v>
      </c>
      <c r="C42" s="523">
        <v>1733158</v>
      </c>
      <c r="D42" s="524">
        <v>64115</v>
      </c>
      <c r="E42" s="585">
        <v>3.6993165077852108E-2</v>
      </c>
      <c r="F42" s="524">
        <v>1054479</v>
      </c>
      <c r="G42" s="585">
        <v>0.60841481272913378</v>
      </c>
      <c r="H42" s="524">
        <v>314006</v>
      </c>
      <c r="I42" s="585">
        <v>0.18117563430454697</v>
      </c>
      <c r="J42" s="524">
        <v>55092</v>
      </c>
      <c r="K42" s="585">
        <v>3.1787061537378591E-2</v>
      </c>
      <c r="L42" s="524">
        <v>245466</v>
      </c>
      <c r="M42" s="585">
        <v>0.1416293263510886</v>
      </c>
    </row>
    <row r="43" spans="1:13" x14ac:dyDescent="0.25">
      <c r="A43" s="508">
        <v>1992</v>
      </c>
      <c r="B43" s="508" t="s">
        <v>943</v>
      </c>
      <c r="C43" s="523">
        <v>1739890</v>
      </c>
      <c r="D43" s="524">
        <v>67227</v>
      </c>
      <c r="E43" s="585">
        <v>3.8638649569800392E-2</v>
      </c>
      <c r="F43" s="524">
        <v>1054499</v>
      </c>
      <c r="G43" s="585">
        <v>0.60607222295662366</v>
      </c>
      <c r="H43" s="524">
        <v>314011</v>
      </c>
      <c r="I43" s="585">
        <v>0.18047750145124117</v>
      </c>
      <c r="J43" s="524">
        <v>57832</v>
      </c>
      <c r="K43" s="585">
        <v>3.3238882917885612E-2</v>
      </c>
      <c r="L43" s="524">
        <v>246321</v>
      </c>
      <c r="M43" s="585">
        <v>0.14157274310444914</v>
      </c>
    </row>
    <row r="44" spans="1:13" x14ac:dyDescent="0.25">
      <c r="A44" s="508">
        <v>1993</v>
      </c>
      <c r="B44" s="508" t="s">
        <v>943</v>
      </c>
      <c r="C44" s="523">
        <v>1734468</v>
      </c>
      <c r="D44" s="524">
        <v>62323</v>
      </c>
      <c r="E44" s="585">
        <v>3.5932055246911447E-2</v>
      </c>
      <c r="F44" s="524">
        <v>1046065</v>
      </c>
      <c r="G44" s="585">
        <v>0.60310423714937378</v>
      </c>
      <c r="H44" s="524">
        <v>316936</v>
      </c>
      <c r="I44" s="585">
        <v>0.18272807569813915</v>
      </c>
      <c r="J44" s="524">
        <v>62323</v>
      </c>
      <c r="K44" s="585">
        <v>3.5932055246911447E-2</v>
      </c>
      <c r="L44" s="524">
        <v>246821</v>
      </c>
      <c r="M44" s="585">
        <v>0.14230357665866422</v>
      </c>
    </row>
    <row r="45" spans="1:13" x14ac:dyDescent="0.25">
      <c r="A45" s="508">
        <v>1994</v>
      </c>
      <c r="B45" s="508" t="s">
        <v>944</v>
      </c>
      <c r="C45" s="523">
        <v>1771065</v>
      </c>
      <c r="D45" s="524">
        <v>70107</v>
      </c>
      <c r="E45" s="585">
        <v>3.9584656689618955E-2</v>
      </c>
      <c r="F45" s="524">
        <v>1047945</v>
      </c>
      <c r="G45" s="585">
        <v>0.59170329716865278</v>
      </c>
      <c r="H45" s="524">
        <v>341471</v>
      </c>
      <c r="I45" s="585">
        <v>0.19280545886232295</v>
      </c>
      <c r="J45" s="524">
        <v>62912</v>
      </c>
      <c r="K45" s="585">
        <v>3.5522129340255719E-2</v>
      </c>
      <c r="L45" s="524">
        <v>248630</v>
      </c>
      <c r="M45" s="585">
        <v>0.14038445793914961</v>
      </c>
    </row>
    <row r="46" spans="1:13" x14ac:dyDescent="0.25">
      <c r="A46" s="508">
        <v>1995</v>
      </c>
      <c r="B46" s="508" t="s">
        <v>944</v>
      </c>
      <c r="C46" s="523">
        <v>1777575</v>
      </c>
      <c r="D46" s="524">
        <v>72336</v>
      </c>
      <c r="E46" s="585">
        <v>4.069364161849711E-2</v>
      </c>
      <c r="F46" s="524">
        <v>1047575</v>
      </c>
      <c r="G46" s="585">
        <v>0.58932815774299252</v>
      </c>
      <c r="H46" s="524">
        <v>344093</v>
      </c>
      <c r="I46" s="585">
        <v>0.19357439207909652</v>
      </c>
      <c r="J46" s="524">
        <v>64132</v>
      </c>
      <c r="K46" s="585">
        <v>3.6078365188529318E-2</v>
      </c>
      <c r="L46" s="524">
        <v>249439</v>
      </c>
      <c r="M46" s="585">
        <v>0.14032544337088448</v>
      </c>
    </row>
    <row r="47" spans="1:13" x14ac:dyDescent="0.25">
      <c r="A47" s="508">
        <v>1996</v>
      </c>
      <c r="B47" s="508" t="s">
        <v>945</v>
      </c>
      <c r="C47" s="523">
        <v>2078865</v>
      </c>
      <c r="D47" s="523">
        <v>82394</v>
      </c>
      <c r="E47" s="585">
        <v>3.9634127276181957E-2</v>
      </c>
      <c r="F47" s="523">
        <v>1274326</v>
      </c>
      <c r="G47" s="585">
        <v>0.61299122357632652</v>
      </c>
      <c r="H47" s="523">
        <v>351316</v>
      </c>
      <c r="I47" s="585">
        <v>0.16899413862853047</v>
      </c>
      <c r="J47" s="523">
        <v>60279</v>
      </c>
      <c r="K47" s="585">
        <v>2.8996110858569461E-2</v>
      </c>
      <c r="L47" s="523">
        <v>310550</v>
      </c>
      <c r="M47" s="585">
        <v>0.1493843996603916</v>
      </c>
    </row>
    <row r="48" spans="1:13" x14ac:dyDescent="0.25">
      <c r="A48" s="508">
        <v>1997</v>
      </c>
      <c r="B48" s="508" t="s">
        <v>945</v>
      </c>
      <c r="C48" s="523">
        <v>1960366</v>
      </c>
      <c r="D48" s="523">
        <v>64829</v>
      </c>
      <c r="E48" s="585">
        <v>3.3069845120758064E-2</v>
      </c>
      <c r="F48" s="523">
        <v>1219884</v>
      </c>
      <c r="G48" s="585">
        <v>0.62227359584893838</v>
      </c>
      <c r="H48" s="523">
        <v>343139</v>
      </c>
      <c r="I48" s="585">
        <v>0.17503823265655494</v>
      </c>
      <c r="J48" s="523">
        <v>47986</v>
      </c>
      <c r="K48" s="585">
        <v>2.4478082154046746E-2</v>
      </c>
      <c r="L48" s="523">
        <v>284528</v>
      </c>
      <c r="M48" s="585">
        <v>0.14514024421970184</v>
      </c>
    </row>
    <row r="49" spans="1:15" x14ac:dyDescent="0.25">
      <c r="A49" s="508">
        <v>1998</v>
      </c>
      <c r="B49" s="508" t="s">
        <v>945</v>
      </c>
      <c r="C49" s="523">
        <v>2124813</v>
      </c>
      <c r="D49" s="523">
        <v>86440</v>
      </c>
      <c r="E49" s="585">
        <v>4.068122700680013E-2</v>
      </c>
      <c r="F49" s="523">
        <v>1276954</v>
      </c>
      <c r="G49" s="585">
        <v>0.60097241498428333</v>
      </c>
      <c r="H49" s="523">
        <v>380294</v>
      </c>
      <c r="I49" s="585">
        <v>0.17897763238459102</v>
      </c>
      <c r="J49" s="523">
        <v>64772</v>
      </c>
      <c r="K49" s="585">
        <v>3.0483623735359299E-2</v>
      </c>
      <c r="L49" s="523">
        <v>316353</v>
      </c>
      <c r="M49" s="585">
        <v>0.14888510188896623</v>
      </c>
    </row>
    <row r="50" spans="1:15" x14ac:dyDescent="0.25">
      <c r="A50" s="508">
        <v>1999</v>
      </c>
      <c r="B50" s="508" t="s">
        <v>945</v>
      </c>
      <c r="C50" s="523">
        <v>2156743</v>
      </c>
      <c r="D50" s="523">
        <v>96177</v>
      </c>
      <c r="E50" s="585">
        <v>4.4593630302729628E-2</v>
      </c>
      <c r="F50" s="523">
        <v>1292639</v>
      </c>
      <c r="G50" s="585">
        <v>0.59934772015024507</v>
      </c>
      <c r="H50" s="523">
        <v>381064</v>
      </c>
      <c r="I50" s="585">
        <v>0.17668493649915637</v>
      </c>
      <c r="J50" s="523">
        <v>66451</v>
      </c>
      <c r="K50" s="585">
        <v>3.0810810560182644E-2</v>
      </c>
      <c r="L50" s="523">
        <v>320412</v>
      </c>
      <c r="M50" s="585">
        <v>0.1485629024876863</v>
      </c>
    </row>
    <row r="51" spans="1:15" x14ac:dyDescent="0.25">
      <c r="A51" s="508">
        <v>2000</v>
      </c>
      <c r="B51" s="508" t="s">
        <v>945</v>
      </c>
      <c r="C51" s="523">
        <v>2194477</v>
      </c>
      <c r="D51" s="523">
        <v>98247</v>
      </c>
      <c r="E51" s="585">
        <v>4.4770120625552239E-2</v>
      </c>
      <c r="F51" s="523">
        <v>1322809</v>
      </c>
      <c r="G51" s="585">
        <v>0.60279009531656058</v>
      </c>
      <c r="H51" s="523">
        <v>385189</v>
      </c>
      <c r="I51" s="585">
        <v>0.17552656054267143</v>
      </c>
      <c r="J51" s="523">
        <v>66680</v>
      </c>
      <c r="K51" s="585">
        <v>3.038537200435457E-2</v>
      </c>
      <c r="L51" s="523">
        <v>321552</v>
      </c>
      <c r="M51" s="585">
        <v>0.14652785151086112</v>
      </c>
    </row>
    <row r="52" spans="1:15" x14ac:dyDescent="0.25">
      <c r="A52" s="508">
        <v>2001</v>
      </c>
      <c r="B52" s="508" t="s">
        <v>945</v>
      </c>
      <c r="C52" s="523">
        <v>2258905</v>
      </c>
      <c r="D52" s="523">
        <v>106952</v>
      </c>
      <c r="E52" s="585">
        <v>4.7346833974868358E-2</v>
      </c>
      <c r="F52" s="523">
        <v>1351937</v>
      </c>
      <c r="G52" s="585">
        <v>0.59849218979992513</v>
      </c>
      <c r="H52" s="523">
        <v>415746</v>
      </c>
      <c r="I52" s="585">
        <v>0.18404758057554435</v>
      </c>
      <c r="J52" s="523">
        <v>69141</v>
      </c>
      <c r="K52" s="585">
        <v>3.0608192907625599E-2</v>
      </c>
      <c r="L52" s="523">
        <v>315129</v>
      </c>
      <c r="M52" s="585">
        <v>0.13950520274203651</v>
      </c>
    </row>
    <row r="53" spans="1:15" x14ac:dyDescent="0.25">
      <c r="A53" s="597">
        <v>2002</v>
      </c>
      <c r="B53" s="508" t="s">
        <v>946</v>
      </c>
      <c r="C53" s="604">
        <v>1939400</v>
      </c>
      <c r="D53" s="604">
        <v>65900</v>
      </c>
      <c r="E53" s="585">
        <v>3.3979581313808398E-2</v>
      </c>
      <c r="F53" s="604">
        <v>1241400</v>
      </c>
      <c r="G53" s="585">
        <v>0.64009487470351656</v>
      </c>
      <c r="H53" s="604">
        <v>350399.99999999994</v>
      </c>
      <c r="I53" s="585">
        <v>0.18067443539238937</v>
      </c>
      <c r="J53" s="604">
        <v>45500.000000000007</v>
      </c>
      <c r="K53" s="585">
        <v>2.3460864184799427E-2</v>
      </c>
      <c r="L53" s="604">
        <v>236200</v>
      </c>
      <c r="M53" s="585">
        <v>0.12179024440548623</v>
      </c>
    </row>
    <row r="54" spans="1:15" x14ac:dyDescent="0.25">
      <c r="A54" s="597">
        <v>2003</v>
      </c>
      <c r="B54" s="508" t="s">
        <v>946</v>
      </c>
      <c r="C54" s="604">
        <v>1946399.9999999998</v>
      </c>
      <c r="D54" s="604">
        <v>70600</v>
      </c>
      <c r="E54" s="585">
        <v>3.6272092067406496E-2</v>
      </c>
      <c r="F54" s="604">
        <v>1241400</v>
      </c>
      <c r="G54" s="585">
        <v>0.63779284833538852</v>
      </c>
      <c r="H54" s="604">
        <v>353199.99999999988</v>
      </c>
      <c r="I54" s="585">
        <v>0.18146321413892311</v>
      </c>
      <c r="J54" s="604">
        <v>45800.000000000015</v>
      </c>
      <c r="K54" s="585">
        <v>2.353062063296343E-2</v>
      </c>
      <c r="L54" s="604">
        <v>235400</v>
      </c>
      <c r="M54" s="585">
        <v>0.12094122482531855</v>
      </c>
    </row>
    <row r="55" spans="1:15" x14ac:dyDescent="0.25">
      <c r="A55" s="597">
        <v>2004</v>
      </c>
      <c r="B55" s="508" t="s">
        <v>946</v>
      </c>
      <c r="C55" s="604">
        <v>1876000</v>
      </c>
      <c r="D55" s="604">
        <v>73700</v>
      </c>
      <c r="E55" s="585">
        <v>3.9285714285714285E-2</v>
      </c>
      <c r="F55" s="604">
        <v>1172500</v>
      </c>
      <c r="G55" s="585">
        <v>0.625</v>
      </c>
      <c r="H55" s="604">
        <v>349299.99999999988</v>
      </c>
      <c r="I55" s="585">
        <v>0.18619402985074621</v>
      </c>
      <c r="J55" s="604">
        <v>45100</v>
      </c>
      <c r="K55" s="585">
        <v>2.4040511727078891E-2</v>
      </c>
      <c r="L55" s="604">
        <v>235400</v>
      </c>
      <c r="M55" s="585">
        <v>0.12547974413646054</v>
      </c>
    </row>
    <row r="56" spans="1:15" x14ac:dyDescent="0.25">
      <c r="A56" s="597">
        <v>2005</v>
      </c>
      <c r="B56" s="508" t="s">
        <v>946</v>
      </c>
      <c r="C56" s="604">
        <v>1871300</v>
      </c>
      <c r="D56" s="604">
        <v>77800.000000000015</v>
      </c>
      <c r="E56" s="585">
        <v>4.1575375407470749E-2</v>
      </c>
      <c r="F56" s="604">
        <v>1162400</v>
      </c>
      <c r="G56" s="585">
        <v>0.62117244696200502</v>
      </c>
      <c r="H56" s="604">
        <v>351099.99999999994</v>
      </c>
      <c r="I56" s="585">
        <v>0.18762357719232617</v>
      </c>
      <c r="J56" s="604">
        <v>44400</v>
      </c>
      <c r="K56" s="585">
        <v>2.3726820926628547E-2</v>
      </c>
      <c r="L56" s="604">
        <v>235600</v>
      </c>
      <c r="M56" s="585">
        <v>0.1259017795115695</v>
      </c>
    </row>
    <row r="57" spans="1:15" x14ac:dyDescent="0.25">
      <c r="A57" s="597">
        <v>2006</v>
      </c>
      <c r="B57" s="508" t="s">
        <v>946</v>
      </c>
      <c r="C57" s="604">
        <v>1883400</v>
      </c>
      <c r="D57" s="604">
        <v>71700</v>
      </c>
      <c r="E57" s="585">
        <v>3.8069448869066581E-2</v>
      </c>
      <c r="F57" s="604">
        <v>1161200</v>
      </c>
      <c r="G57" s="585">
        <v>0.61654454709567807</v>
      </c>
      <c r="H57" s="604">
        <v>364900</v>
      </c>
      <c r="I57" s="585">
        <v>0.19374535414675587</v>
      </c>
      <c r="J57" s="604">
        <v>45600</v>
      </c>
      <c r="K57" s="585">
        <v>2.4211532335138577E-2</v>
      </c>
      <c r="L57" s="604">
        <v>240000</v>
      </c>
      <c r="M57" s="585">
        <v>0.12742911755336095</v>
      </c>
    </row>
    <row r="58" spans="1:15" x14ac:dyDescent="0.25">
      <c r="A58" s="597">
        <v>2007</v>
      </c>
      <c r="B58" s="508" t="s">
        <v>946</v>
      </c>
      <c r="C58" s="604">
        <v>2002000</v>
      </c>
      <c r="D58" s="604">
        <v>82600.000000000015</v>
      </c>
      <c r="E58" s="585">
        <v>4.1258741258741266E-2</v>
      </c>
      <c r="F58" s="604">
        <v>1210100.0000000002</v>
      </c>
      <c r="G58" s="585">
        <v>0.60444555444555459</v>
      </c>
      <c r="H58" s="604">
        <v>365900</v>
      </c>
      <c r="I58" s="585">
        <v>0.18276723276723278</v>
      </c>
      <c r="J58" s="604">
        <v>43900.000000000007</v>
      </c>
      <c r="K58" s="585">
        <v>2.1928071928071932E-2</v>
      </c>
      <c r="L58" s="604">
        <v>299500</v>
      </c>
      <c r="M58" s="585">
        <v>0.14960039960039961</v>
      </c>
    </row>
    <row r="59" spans="1:15" x14ac:dyDescent="0.25">
      <c r="A59" s="597">
        <v>2008</v>
      </c>
      <c r="B59" s="508" t="s">
        <v>946</v>
      </c>
      <c r="C59" s="604">
        <v>2028800.0000000002</v>
      </c>
      <c r="D59" s="604">
        <v>94700.000000000015</v>
      </c>
      <c r="E59" s="585">
        <v>4.6677839116719244E-2</v>
      </c>
      <c r="F59" s="604">
        <v>1209500</v>
      </c>
      <c r="G59" s="585">
        <v>0.59616522082018919</v>
      </c>
      <c r="H59" s="604">
        <v>369500</v>
      </c>
      <c r="I59" s="585">
        <v>0.18212736593059936</v>
      </c>
      <c r="J59" s="604">
        <v>50400.000000000007</v>
      </c>
      <c r="K59" s="585">
        <v>2.4842271293375396E-2</v>
      </c>
      <c r="L59" s="604">
        <v>304700.00000000006</v>
      </c>
      <c r="M59" s="585">
        <v>0.15018730283911674</v>
      </c>
    </row>
    <row r="60" spans="1:15" x14ac:dyDescent="0.25">
      <c r="A60" s="597">
        <v>2009</v>
      </c>
      <c r="B60" s="508">
        <v>3</v>
      </c>
      <c r="C60" s="604">
        <v>2178327</v>
      </c>
      <c r="D60" s="604">
        <v>109881</v>
      </c>
      <c r="E60" s="585">
        <v>5.044283984911356E-2</v>
      </c>
      <c r="F60" s="604">
        <v>1222761</v>
      </c>
      <c r="G60" s="585">
        <v>0.56133032368418512</v>
      </c>
      <c r="H60" s="604">
        <v>409983</v>
      </c>
      <c r="I60" s="585">
        <v>0.18821003458158486</v>
      </c>
      <c r="J60" s="604">
        <v>87784</v>
      </c>
      <c r="K60" s="585">
        <v>4.0298816477048673E-2</v>
      </c>
      <c r="L60" s="604">
        <v>347918</v>
      </c>
      <c r="M60" s="585">
        <v>0.15971798540806775</v>
      </c>
      <c r="O60" s="479"/>
    </row>
    <row r="61" spans="1:15" x14ac:dyDescent="0.25">
      <c r="A61" s="597">
        <v>2010</v>
      </c>
      <c r="B61" s="508">
        <v>3</v>
      </c>
      <c r="C61" s="604">
        <f>SUM(D61,F61,H61,J61,L61)</f>
        <v>2202400</v>
      </c>
      <c r="D61" s="604">
        <v>111351</v>
      </c>
      <c r="E61" s="585">
        <f>D61/C61</f>
        <v>5.0558935706501995E-2</v>
      </c>
      <c r="F61" s="604">
        <v>1230861</v>
      </c>
      <c r="G61" s="585">
        <f>F61/C61</f>
        <v>0.55887259353432617</v>
      </c>
      <c r="H61" s="604">
        <v>410733</v>
      </c>
      <c r="I61" s="585">
        <f>H61/C61</f>
        <v>0.18649337086814385</v>
      </c>
      <c r="J61" s="604">
        <v>98288</v>
      </c>
      <c r="K61" s="585">
        <f>J61/C61</f>
        <v>4.4627678895750089E-2</v>
      </c>
      <c r="L61" s="604">
        <v>351167</v>
      </c>
      <c r="M61" s="585">
        <f>L61/C61</f>
        <v>0.15944742099527787</v>
      </c>
      <c r="O61" s="479"/>
    </row>
    <row r="62" spans="1:15" ht="15.75" thickBot="1" x14ac:dyDescent="0.3">
      <c r="A62" s="561">
        <v>2011</v>
      </c>
      <c r="B62" s="561">
        <v>3</v>
      </c>
      <c r="C62" s="562">
        <f>SUM(D62,F62,H62,J62,L62)</f>
        <v>2207517.5</v>
      </c>
      <c r="D62" s="590">
        <f>GETPIVOTDATA("Total Capacity, kW (1)",'Summary PivotTables'!$I$21,"AKEPS Region","AN")</f>
        <v>104952</v>
      </c>
      <c r="E62" s="563">
        <f>D62/C62</f>
        <v>4.7542997960378572E-2</v>
      </c>
      <c r="F62" s="564">
        <f>GETPIVOTDATA("Total Capacity, kW (1)",'Summary PivotTables'!$I$21,"AKEPS Region","SC")</f>
        <v>1230196</v>
      </c>
      <c r="G62" s="563">
        <f>F62/C62</f>
        <v>0.55727576338579421</v>
      </c>
      <c r="H62" s="590">
        <f>GETPIVOTDATA("Total Capacity, kW (1)",'Summary PivotTables'!$I$21,"AKEPS Region","SE")</f>
        <v>414357</v>
      </c>
      <c r="I62" s="563">
        <f>H62/C62</f>
        <v>0.18770270224358357</v>
      </c>
      <c r="J62" s="590">
        <f>GETPIVOTDATA("Total Capacity, kW (1)",'Summary PivotTables'!$I$21,"AKEPS Region","SW")</f>
        <v>101725</v>
      </c>
      <c r="K62" s="563">
        <f>J62/C62</f>
        <v>4.608117489442326E-2</v>
      </c>
      <c r="L62" s="590">
        <f>GETPIVOTDATA("Total Capacity, kW (1)",'Summary PivotTables'!$I$21,"AKEPS Region","YU")</f>
        <v>356287.5</v>
      </c>
      <c r="M62" s="563">
        <f>L62/C62</f>
        <v>0.16139736151582038</v>
      </c>
      <c r="N62" s="482"/>
      <c r="O62" s="479"/>
    </row>
    <row r="63" spans="1:15" x14ac:dyDescent="0.25">
      <c r="A63" s="466"/>
      <c r="B63" s="582"/>
      <c r="C63" s="482"/>
      <c r="D63" s="482"/>
      <c r="E63" s="482"/>
      <c r="F63" s="482"/>
      <c r="G63" s="482"/>
      <c r="H63" s="482"/>
      <c r="I63" s="482"/>
      <c r="J63" s="591"/>
      <c r="K63" s="482"/>
      <c r="L63" s="482"/>
      <c r="M63" s="482"/>
      <c r="N63" s="482"/>
    </row>
    <row r="64" spans="1:15" x14ac:dyDescent="0.25">
      <c r="A64" s="466"/>
      <c r="B64" s="479"/>
      <c r="C64" s="292"/>
      <c r="D64" s="292"/>
      <c r="E64" s="292"/>
      <c r="F64" s="292"/>
      <c r="G64" s="292"/>
      <c r="H64" s="525"/>
      <c r="I64" s="525"/>
      <c r="J64" s="525"/>
      <c r="K64" s="525"/>
      <c r="L64" s="525"/>
      <c r="M64" s="525"/>
      <c r="N64" s="525"/>
    </row>
    <row r="65" spans="1:14" ht="15.75" x14ac:dyDescent="0.25">
      <c r="A65" s="466"/>
      <c r="B65" s="582"/>
      <c r="C65" s="506"/>
      <c r="D65" s="506"/>
      <c r="E65" s="743" t="s">
        <v>1047</v>
      </c>
      <c r="F65" s="506"/>
      <c r="G65" s="506"/>
      <c r="H65" s="482"/>
      <c r="I65" s="482"/>
      <c r="J65" s="482"/>
      <c r="K65" s="482"/>
      <c r="L65" s="482"/>
      <c r="M65" s="482"/>
      <c r="N65" s="482"/>
    </row>
    <row r="66" spans="1:14" x14ac:dyDescent="0.25">
      <c r="A66" s="466"/>
      <c r="B66" s="482"/>
      <c r="C66" s="482"/>
      <c r="D66" s="482"/>
      <c r="E66" s="482"/>
      <c r="F66" s="482"/>
      <c r="G66" s="482"/>
      <c r="H66" s="482"/>
      <c r="I66" s="482"/>
      <c r="J66" s="482"/>
    </row>
    <row r="67" spans="1:14" x14ac:dyDescent="0.25">
      <c r="A67" s="466"/>
      <c r="B67" s="595"/>
      <c r="C67" s="482"/>
      <c r="D67" s="592"/>
      <c r="E67" s="482"/>
      <c r="F67" s="482"/>
      <c r="G67" s="482"/>
      <c r="H67" s="482"/>
      <c r="I67" s="482"/>
      <c r="J67" s="482"/>
    </row>
    <row r="68" spans="1:14" x14ac:dyDescent="0.25">
      <c r="D68" s="466"/>
      <c r="E68" s="466"/>
      <c r="F68" s="466"/>
      <c r="G68" s="466"/>
      <c r="H68" s="466"/>
      <c r="I68" s="466"/>
      <c r="J68" s="466"/>
    </row>
    <row r="69" spans="1:14" x14ac:dyDescent="0.25">
      <c r="A69" s="292"/>
      <c r="B69" s="394"/>
      <c r="I69" s="482"/>
      <c r="J69" s="482"/>
      <c r="K69" s="482"/>
      <c r="L69" s="482"/>
      <c r="M69" s="482"/>
      <c r="N69" s="482"/>
    </row>
    <row r="70" spans="1:14" x14ac:dyDescent="0.25">
      <c r="A70" s="292"/>
      <c r="B70" s="394"/>
      <c r="D70" s="482"/>
      <c r="E70" s="482"/>
      <c r="F70" s="482"/>
      <c r="G70" s="482"/>
      <c r="H70" s="482"/>
      <c r="I70" s="482"/>
      <c r="J70" s="482"/>
      <c r="K70" s="482"/>
      <c r="L70" s="482"/>
      <c r="M70" s="482"/>
      <c r="N70" s="482"/>
    </row>
    <row r="71" spans="1:14" x14ac:dyDescent="0.25">
      <c r="A71" s="292"/>
      <c r="B71" s="394"/>
      <c r="D71" s="482"/>
      <c r="E71" s="482"/>
      <c r="F71" s="482"/>
      <c r="G71" s="482"/>
      <c r="H71" s="482"/>
      <c r="I71" s="482"/>
      <c r="J71" s="482"/>
      <c r="K71" s="482"/>
      <c r="L71" s="482"/>
      <c r="M71" s="482"/>
      <c r="N71" s="482"/>
    </row>
    <row r="72" spans="1:14" x14ac:dyDescent="0.25">
      <c r="A72" s="292"/>
      <c r="B72" s="394"/>
      <c r="D72" s="482"/>
      <c r="E72" s="482"/>
      <c r="F72" s="482"/>
      <c r="G72" s="482"/>
      <c r="H72" s="482"/>
      <c r="I72" s="482"/>
      <c r="J72" s="482"/>
    </row>
    <row r="73" spans="1:14" x14ac:dyDescent="0.25">
      <c r="A73" s="292"/>
      <c r="B73" s="394"/>
      <c r="D73" s="482"/>
      <c r="E73" s="482"/>
      <c r="F73" s="482"/>
      <c r="G73" s="482"/>
      <c r="H73" s="482"/>
      <c r="I73" s="482"/>
      <c r="J73" s="482"/>
    </row>
    <row r="74" spans="1:14" x14ac:dyDescent="0.25">
      <c r="A74" s="292"/>
      <c r="B74" s="394"/>
    </row>
  </sheetData>
  <mergeCells count="1">
    <mergeCell ref="A11:M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249977111117893"/>
  </sheetPr>
  <dimension ref="A1:U78"/>
  <sheetViews>
    <sheetView showGridLines="0" workbookViewId="0">
      <pane xSplit="3" ySplit="12" topLeftCell="D13" activePane="bottomRight" state="frozen"/>
      <selection pane="topRight" activeCell="D1" sqref="D1"/>
      <selection pane="bottomLeft" activeCell="A14" sqref="A14"/>
      <selection pane="bottomRight" activeCell="H49" sqref="H49:H50"/>
    </sheetView>
  </sheetViews>
  <sheetFormatPr defaultRowHeight="15" x14ac:dyDescent="0.25"/>
  <cols>
    <col min="1" max="3" width="12" style="605" customWidth="1"/>
    <col min="4" max="4" width="12.85546875" style="605" customWidth="1"/>
    <col min="5" max="6" width="12.42578125" style="605" customWidth="1"/>
    <col min="7" max="16384" width="9.140625" style="605"/>
  </cols>
  <sheetData>
    <row r="1" spans="1:18" x14ac:dyDescent="0.25">
      <c r="A1" s="478" t="s">
        <v>947</v>
      </c>
      <c r="Q1" s="603"/>
      <c r="R1" s="603"/>
    </row>
    <row r="2" spans="1:18" x14ac:dyDescent="0.25">
      <c r="A2" s="478" t="s">
        <v>948</v>
      </c>
      <c r="Q2" s="526"/>
      <c r="R2" s="527"/>
    </row>
    <row r="3" spans="1:18" x14ac:dyDescent="0.25">
      <c r="A3" s="478" t="s">
        <v>949</v>
      </c>
      <c r="Q3" s="526"/>
      <c r="R3" s="527"/>
    </row>
    <row r="4" spans="1:18" x14ac:dyDescent="0.25">
      <c r="A4" s="478" t="s">
        <v>950</v>
      </c>
      <c r="Q4" s="526"/>
      <c r="R4" s="527"/>
    </row>
    <row r="5" spans="1:18" x14ac:dyDescent="0.25">
      <c r="A5" s="478" t="s">
        <v>951</v>
      </c>
      <c r="Q5" s="526"/>
      <c r="R5" s="527"/>
    </row>
    <row r="6" spans="1:18" x14ac:dyDescent="0.25">
      <c r="A6" s="488" t="s">
        <v>952</v>
      </c>
      <c r="Q6" s="526"/>
      <c r="R6" s="527"/>
    </row>
    <row r="7" spans="1:18" x14ac:dyDescent="0.25">
      <c r="A7" s="478" t="s">
        <v>920</v>
      </c>
      <c r="Q7" s="526"/>
      <c r="R7" s="527"/>
    </row>
    <row r="8" spans="1:18" x14ac:dyDescent="0.25">
      <c r="A8" s="488" t="s">
        <v>933</v>
      </c>
      <c r="Q8" s="526"/>
      <c r="R8" s="527"/>
    </row>
    <row r="9" spans="1:18" x14ac:dyDescent="0.25">
      <c r="A9" s="488" t="s">
        <v>953</v>
      </c>
      <c r="Q9" s="528"/>
      <c r="R9" s="528"/>
    </row>
    <row r="10" spans="1:18" x14ac:dyDescent="0.25">
      <c r="A10" s="290" t="s">
        <v>984</v>
      </c>
      <c r="B10" s="470"/>
      <c r="C10" s="489"/>
      <c r="D10" s="489"/>
      <c r="E10" s="470"/>
      <c r="F10" s="489"/>
      <c r="G10" s="470"/>
      <c r="I10" s="470"/>
      <c r="J10" s="489"/>
      <c r="K10" s="470"/>
      <c r="L10" s="489"/>
      <c r="M10" s="470"/>
    </row>
    <row r="11" spans="1:18" ht="15.75" thickBot="1" x14ac:dyDescent="0.3">
      <c r="A11" s="923" t="s">
        <v>1150</v>
      </c>
      <c r="B11" s="924"/>
      <c r="C11" s="924"/>
      <c r="D11" s="924"/>
      <c r="E11" s="924"/>
      <c r="F11" s="924"/>
      <c r="G11" s="924"/>
      <c r="H11" s="924"/>
      <c r="I11" s="924"/>
      <c r="J11" s="924"/>
      <c r="K11" s="924"/>
      <c r="L11" s="924"/>
      <c r="M11" s="924"/>
      <c r="Q11" s="528"/>
      <c r="R11" s="528"/>
    </row>
    <row r="12" spans="1:18" ht="39.75" thickBot="1" x14ac:dyDescent="0.3">
      <c r="A12" s="518" t="s">
        <v>922</v>
      </c>
      <c r="B12" s="518" t="s">
        <v>20</v>
      </c>
      <c r="C12" s="517" t="s">
        <v>923</v>
      </c>
      <c r="D12" s="517" t="s">
        <v>22</v>
      </c>
      <c r="E12" s="518" t="s">
        <v>926</v>
      </c>
      <c r="F12" s="517" t="s">
        <v>23</v>
      </c>
      <c r="G12" s="518" t="s">
        <v>926</v>
      </c>
      <c r="H12" s="517" t="s">
        <v>9</v>
      </c>
      <c r="I12" s="518" t="s">
        <v>926</v>
      </c>
      <c r="J12" s="517" t="s">
        <v>24</v>
      </c>
      <c r="K12" s="518" t="s">
        <v>926</v>
      </c>
      <c r="L12" s="518" t="s">
        <v>10</v>
      </c>
      <c r="M12" s="518" t="s">
        <v>926</v>
      </c>
      <c r="N12" s="470"/>
      <c r="O12" s="470"/>
      <c r="P12" s="470"/>
    </row>
    <row r="13" spans="1:18" x14ac:dyDescent="0.25">
      <c r="A13" s="521">
        <v>1962</v>
      </c>
      <c r="B13" s="521"/>
      <c r="C13" s="522"/>
      <c r="D13" s="593"/>
      <c r="E13" s="596"/>
      <c r="F13" s="593"/>
      <c r="G13" s="596"/>
      <c r="H13" s="593"/>
      <c r="I13" s="596"/>
      <c r="J13" s="593"/>
      <c r="K13" s="596"/>
      <c r="L13" s="521"/>
      <c r="M13" s="521"/>
      <c r="N13" s="470"/>
      <c r="O13" s="470"/>
      <c r="P13" s="470"/>
    </row>
    <row r="14" spans="1:18" x14ac:dyDescent="0.25">
      <c r="A14" s="508">
        <v>1963</v>
      </c>
      <c r="B14" s="508" t="s">
        <v>942</v>
      </c>
      <c r="C14" s="523"/>
      <c r="D14" s="524"/>
      <c r="E14" s="585"/>
      <c r="F14" s="524"/>
      <c r="G14" s="585"/>
      <c r="H14" s="524"/>
      <c r="I14" s="585"/>
      <c r="J14" s="524">
        <v>325</v>
      </c>
      <c r="K14" s="585"/>
      <c r="L14" s="508"/>
      <c r="M14" s="508"/>
      <c r="N14" s="470"/>
      <c r="O14" s="470"/>
      <c r="P14" s="470"/>
    </row>
    <row r="15" spans="1:18" x14ac:dyDescent="0.25">
      <c r="A15" s="508">
        <v>1964</v>
      </c>
      <c r="B15" s="508" t="s">
        <v>942</v>
      </c>
      <c r="C15" s="523"/>
      <c r="D15" s="524"/>
      <c r="E15" s="585"/>
      <c r="F15" s="524"/>
      <c r="G15" s="585"/>
      <c r="H15" s="524"/>
      <c r="I15" s="585"/>
      <c r="J15" s="524">
        <v>321</v>
      </c>
      <c r="K15" s="585"/>
      <c r="L15" s="508"/>
      <c r="M15" s="508"/>
      <c r="N15" s="470"/>
      <c r="O15" s="470"/>
      <c r="P15" s="470"/>
    </row>
    <row r="16" spans="1:18" x14ac:dyDescent="0.25">
      <c r="A16" s="508">
        <v>1965</v>
      </c>
      <c r="B16" s="508" t="s">
        <v>942</v>
      </c>
      <c r="C16" s="523"/>
      <c r="D16" s="524"/>
      <c r="E16" s="585"/>
      <c r="F16" s="524"/>
      <c r="G16" s="585"/>
      <c r="H16" s="524"/>
      <c r="I16" s="585"/>
      <c r="J16" s="524">
        <v>350</v>
      </c>
      <c r="K16" s="585"/>
      <c r="L16" s="508"/>
      <c r="M16" s="508"/>
      <c r="N16" s="470"/>
      <c r="O16" s="470"/>
      <c r="P16" s="470"/>
    </row>
    <row r="17" spans="1:16" x14ac:dyDescent="0.25">
      <c r="A17" s="508">
        <v>1966</v>
      </c>
      <c r="B17" s="508" t="s">
        <v>942</v>
      </c>
      <c r="C17" s="523"/>
      <c r="D17" s="524"/>
      <c r="E17" s="585"/>
      <c r="F17" s="524"/>
      <c r="G17" s="585"/>
      <c r="H17" s="524"/>
      <c r="I17" s="585"/>
      <c r="J17" s="524">
        <v>316</v>
      </c>
      <c r="K17" s="585"/>
      <c r="L17" s="508"/>
      <c r="M17" s="508"/>
      <c r="N17" s="470"/>
      <c r="O17" s="470"/>
      <c r="P17" s="470"/>
    </row>
    <row r="18" spans="1:16" x14ac:dyDescent="0.25">
      <c r="A18" s="508">
        <v>1967</v>
      </c>
      <c r="B18" s="508" t="s">
        <v>942</v>
      </c>
      <c r="C18" s="523"/>
      <c r="D18" s="524"/>
      <c r="E18" s="585"/>
      <c r="F18" s="524"/>
      <c r="G18" s="585"/>
      <c r="H18" s="524"/>
      <c r="I18" s="585"/>
      <c r="J18" s="524">
        <v>363</v>
      </c>
      <c r="K18" s="585"/>
      <c r="L18" s="508"/>
      <c r="M18" s="508"/>
      <c r="N18" s="470"/>
      <c r="O18" s="470"/>
      <c r="P18" s="470"/>
    </row>
    <row r="19" spans="1:16" x14ac:dyDescent="0.25">
      <c r="A19" s="508">
        <v>1968</v>
      </c>
      <c r="B19" s="508" t="s">
        <v>942</v>
      </c>
      <c r="C19" s="523"/>
      <c r="D19" s="524"/>
      <c r="E19" s="585"/>
      <c r="F19" s="524"/>
      <c r="G19" s="585"/>
      <c r="H19" s="524"/>
      <c r="I19" s="585"/>
      <c r="J19" s="524">
        <v>363</v>
      </c>
      <c r="K19" s="585"/>
      <c r="L19" s="508"/>
      <c r="M19" s="508"/>
      <c r="N19" s="470"/>
      <c r="O19" s="470"/>
      <c r="P19" s="470"/>
    </row>
    <row r="20" spans="1:16" x14ac:dyDescent="0.25">
      <c r="A20" s="508">
        <v>1969</v>
      </c>
      <c r="B20" s="508" t="s">
        <v>942</v>
      </c>
      <c r="C20" s="523"/>
      <c r="D20" s="524"/>
      <c r="E20" s="585"/>
      <c r="F20" s="524"/>
      <c r="G20" s="585"/>
      <c r="H20" s="524"/>
      <c r="I20" s="585"/>
      <c r="J20" s="524">
        <v>340</v>
      </c>
      <c r="K20" s="585"/>
      <c r="L20" s="508"/>
      <c r="M20" s="508"/>
      <c r="N20" s="470"/>
      <c r="O20" s="470"/>
      <c r="P20" s="470"/>
    </row>
    <row r="21" spans="1:16" x14ac:dyDescent="0.25">
      <c r="A21" s="508">
        <v>1970</v>
      </c>
      <c r="B21" s="508" t="s">
        <v>942</v>
      </c>
      <c r="C21" s="523"/>
      <c r="D21" s="524"/>
      <c r="E21" s="585"/>
      <c r="F21" s="524"/>
      <c r="G21" s="585"/>
      <c r="H21" s="524"/>
      <c r="I21" s="585"/>
      <c r="J21" s="524">
        <v>362</v>
      </c>
      <c r="K21" s="585"/>
      <c r="L21" s="508"/>
      <c r="M21" s="508"/>
      <c r="N21" s="470"/>
      <c r="O21" s="470"/>
      <c r="P21" s="470"/>
    </row>
    <row r="22" spans="1:16" x14ac:dyDescent="0.25">
      <c r="A22" s="508">
        <v>1971</v>
      </c>
      <c r="B22" s="508" t="s">
        <v>942</v>
      </c>
      <c r="C22" s="523">
        <v>1071</v>
      </c>
      <c r="D22" s="524">
        <v>195</v>
      </c>
      <c r="E22" s="585">
        <v>0.18207282913165265</v>
      </c>
      <c r="F22" s="524">
        <v>614</v>
      </c>
      <c r="G22" s="585">
        <v>0.5732959850606909</v>
      </c>
      <c r="H22" s="524">
        <v>262</v>
      </c>
      <c r="I22" s="585">
        <v>0.24463118580765639</v>
      </c>
      <c r="J22" s="524"/>
      <c r="K22" s="585"/>
      <c r="L22" s="508"/>
      <c r="M22" s="508"/>
      <c r="N22" s="470"/>
      <c r="O22" s="470"/>
      <c r="P22" s="470"/>
    </row>
    <row r="23" spans="1:16" x14ac:dyDescent="0.25">
      <c r="A23" s="508">
        <v>1972</v>
      </c>
      <c r="B23" s="508" t="s">
        <v>941</v>
      </c>
      <c r="C23" s="523">
        <v>1207</v>
      </c>
      <c r="D23" s="524">
        <v>193</v>
      </c>
      <c r="E23" s="585">
        <v>0.15990057995028997</v>
      </c>
      <c r="F23" s="524">
        <v>748</v>
      </c>
      <c r="G23" s="585">
        <v>0.61971830985915488</v>
      </c>
      <c r="H23" s="524">
        <v>266</v>
      </c>
      <c r="I23" s="585">
        <v>0.22038111019055509</v>
      </c>
      <c r="J23" s="524"/>
      <c r="K23" s="585"/>
      <c r="L23" s="508"/>
      <c r="M23" s="508"/>
      <c r="N23" s="470"/>
      <c r="O23" s="529"/>
      <c r="P23" s="470"/>
    </row>
    <row r="24" spans="1:16" x14ac:dyDescent="0.25">
      <c r="A24" s="508">
        <v>1973</v>
      </c>
      <c r="B24" s="508" t="s">
        <v>941</v>
      </c>
      <c r="C24" s="523">
        <v>1406</v>
      </c>
      <c r="D24" s="524">
        <v>189</v>
      </c>
      <c r="E24" s="585">
        <v>0.13442389758179232</v>
      </c>
      <c r="F24" s="524">
        <v>950</v>
      </c>
      <c r="G24" s="585">
        <v>0.67567567567567566</v>
      </c>
      <c r="H24" s="524">
        <v>267</v>
      </c>
      <c r="I24" s="585">
        <v>0.18990042674253202</v>
      </c>
      <c r="J24" s="524"/>
      <c r="K24" s="585"/>
      <c r="L24" s="508"/>
      <c r="M24" s="508"/>
      <c r="N24" s="470"/>
      <c r="O24" s="529"/>
      <c r="P24" s="470"/>
    </row>
    <row r="25" spans="1:16" x14ac:dyDescent="0.25">
      <c r="A25" s="508">
        <v>1974</v>
      </c>
      <c r="B25" s="508" t="s">
        <v>943</v>
      </c>
      <c r="C25" s="523">
        <v>1868</v>
      </c>
      <c r="D25" s="524">
        <v>203</v>
      </c>
      <c r="E25" s="585">
        <v>0.10867237687366167</v>
      </c>
      <c r="F25" s="524">
        <v>1047</v>
      </c>
      <c r="G25" s="585">
        <v>0.56049250535331907</v>
      </c>
      <c r="H25" s="524">
        <v>299</v>
      </c>
      <c r="I25" s="585">
        <v>0.16006423982869378</v>
      </c>
      <c r="J25" s="524">
        <v>319</v>
      </c>
      <c r="K25" s="585">
        <v>0.17077087794432549</v>
      </c>
      <c r="L25" s="508"/>
      <c r="M25" s="508"/>
      <c r="N25" s="470"/>
      <c r="O25" s="529"/>
      <c r="P25" s="470"/>
    </row>
    <row r="26" spans="1:16" x14ac:dyDescent="0.25">
      <c r="A26" s="508">
        <v>1975</v>
      </c>
      <c r="B26" s="508" t="s">
        <v>943</v>
      </c>
      <c r="C26" s="523">
        <v>2262</v>
      </c>
      <c r="D26" s="524">
        <v>277</v>
      </c>
      <c r="E26" s="585">
        <v>0.12245800176834659</v>
      </c>
      <c r="F26" s="524">
        <v>1311</v>
      </c>
      <c r="G26" s="585">
        <v>0.57957559681697612</v>
      </c>
      <c r="H26" s="524">
        <v>323</v>
      </c>
      <c r="I26" s="585">
        <v>0.14279398762157383</v>
      </c>
      <c r="J26" s="524">
        <v>351</v>
      </c>
      <c r="K26" s="585">
        <v>0.15517241379310345</v>
      </c>
      <c r="L26" s="508"/>
      <c r="M26" s="508"/>
      <c r="N26" s="470"/>
      <c r="O26" s="529"/>
      <c r="P26" s="470"/>
    </row>
    <row r="27" spans="1:16" x14ac:dyDescent="0.25">
      <c r="A27" s="508">
        <v>1976</v>
      </c>
      <c r="B27" s="508" t="s">
        <v>943</v>
      </c>
      <c r="C27" s="523">
        <v>2502</v>
      </c>
      <c r="D27" s="524">
        <v>351</v>
      </c>
      <c r="E27" s="585">
        <v>0.14028776978417265</v>
      </c>
      <c r="F27" s="524">
        <v>1468</v>
      </c>
      <c r="G27" s="585">
        <v>0.58673061550759398</v>
      </c>
      <c r="H27" s="524">
        <v>314</v>
      </c>
      <c r="I27" s="585">
        <v>0.12549960031974419</v>
      </c>
      <c r="J27" s="524">
        <v>369</v>
      </c>
      <c r="K27" s="585">
        <v>0.14748201438848921</v>
      </c>
      <c r="L27" s="508"/>
      <c r="M27" s="508"/>
      <c r="N27" s="470"/>
      <c r="O27" s="529"/>
      <c r="P27" s="470"/>
    </row>
    <row r="28" spans="1:16" x14ac:dyDescent="0.25">
      <c r="A28" s="508">
        <v>1977</v>
      </c>
      <c r="B28" s="508" t="s">
        <v>943</v>
      </c>
      <c r="C28" s="523">
        <v>2710</v>
      </c>
      <c r="D28" s="524">
        <v>378</v>
      </c>
      <c r="E28" s="585">
        <v>0.13948339483394834</v>
      </c>
      <c r="F28" s="524">
        <v>1537</v>
      </c>
      <c r="G28" s="585">
        <v>0.56715867158671585</v>
      </c>
      <c r="H28" s="524">
        <v>297</v>
      </c>
      <c r="I28" s="585">
        <v>0.10959409594095941</v>
      </c>
      <c r="J28" s="524">
        <v>498</v>
      </c>
      <c r="K28" s="585">
        <v>0.18376383763837639</v>
      </c>
      <c r="L28" s="508"/>
      <c r="M28" s="508"/>
      <c r="N28" s="470"/>
      <c r="O28" s="529"/>
      <c r="P28" s="470"/>
    </row>
    <row r="29" spans="1:16" x14ac:dyDescent="0.25">
      <c r="A29" s="508">
        <v>1978</v>
      </c>
      <c r="B29" s="508" t="s">
        <v>943</v>
      </c>
      <c r="C29" s="523">
        <v>2864</v>
      </c>
      <c r="D29" s="524">
        <v>388</v>
      </c>
      <c r="E29" s="585">
        <v>0.13547486033519554</v>
      </c>
      <c r="F29" s="524">
        <v>1690</v>
      </c>
      <c r="G29" s="585">
        <v>0.59008379888268159</v>
      </c>
      <c r="H29" s="524">
        <v>323</v>
      </c>
      <c r="I29" s="585">
        <v>0.11277932960893855</v>
      </c>
      <c r="J29" s="524">
        <v>463</v>
      </c>
      <c r="K29" s="585">
        <v>0.16166201117318435</v>
      </c>
      <c r="L29" s="508"/>
      <c r="M29" s="508"/>
      <c r="N29" s="470"/>
      <c r="O29" s="529"/>
      <c r="P29" s="470"/>
    </row>
    <row r="30" spans="1:16" x14ac:dyDescent="0.25">
      <c r="A30" s="508">
        <v>1979</v>
      </c>
      <c r="B30" s="508" t="s">
        <v>943</v>
      </c>
      <c r="C30" s="523">
        <v>2968</v>
      </c>
      <c r="D30" s="524">
        <v>383</v>
      </c>
      <c r="E30" s="585">
        <v>0.12904312668463611</v>
      </c>
      <c r="F30" s="524">
        <v>1827</v>
      </c>
      <c r="G30" s="585">
        <v>0.61556603773584906</v>
      </c>
      <c r="H30" s="524">
        <v>308</v>
      </c>
      <c r="I30" s="585">
        <v>0.10377358490566038</v>
      </c>
      <c r="J30" s="524">
        <v>450</v>
      </c>
      <c r="K30" s="585">
        <v>0.15161725067385445</v>
      </c>
      <c r="L30" s="508"/>
      <c r="M30" s="508"/>
      <c r="N30" s="470"/>
      <c r="O30" s="529"/>
      <c r="P30" s="470"/>
    </row>
    <row r="31" spans="1:16" x14ac:dyDescent="0.25">
      <c r="A31" s="508">
        <v>1980</v>
      </c>
      <c r="B31" s="508" t="s">
        <v>943</v>
      </c>
      <c r="C31" s="523">
        <v>3034</v>
      </c>
      <c r="D31" s="524">
        <v>368</v>
      </c>
      <c r="E31" s="585">
        <v>0.12129202373104812</v>
      </c>
      <c r="F31" s="524">
        <v>1844</v>
      </c>
      <c r="G31" s="585">
        <v>0.6077785102175346</v>
      </c>
      <c r="H31" s="524">
        <v>290</v>
      </c>
      <c r="I31" s="585">
        <v>9.55833882663151E-2</v>
      </c>
      <c r="J31" s="524">
        <v>532</v>
      </c>
      <c r="K31" s="585">
        <v>0.17534607778510217</v>
      </c>
      <c r="L31" s="508"/>
      <c r="M31" s="508"/>
      <c r="N31" s="470"/>
      <c r="O31" s="529"/>
      <c r="P31" s="470"/>
    </row>
    <row r="32" spans="1:16" x14ac:dyDescent="0.25">
      <c r="A32" s="508">
        <v>1981</v>
      </c>
      <c r="B32" s="508" t="s">
        <v>943</v>
      </c>
      <c r="C32" s="523">
        <v>3154</v>
      </c>
      <c r="D32" s="524">
        <v>338</v>
      </c>
      <c r="E32" s="585">
        <v>0.10716550412175016</v>
      </c>
      <c r="F32" s="524">
        <v>1897</v>
      </c>
      <c r="G32" s="585">
        <v>0.60145846544071024</v>
      </c>
      <c r="H32" s="524">
        <v>338</v>
      </c>
      <c r="I32" s="585">
        <v>0.10716550412175016</v>
      </c>
      <c r="J32" s="524">
        <v>581</v>
      </c>
      <c r="K32" s="585">
        <v>0.18421052631578946</v>
      </c>
      <c r="L32" s="508"/>
      <c r="M32" s="508"/>
      <c r="N32" s="470"/>
      <c r="O32" s="529"/>
      <c r="P32" s="470"/>
    </row>
    <row r="33" spans="1:16" x14ac:dyDescent="0.25">
      <c r="A33" s="508">
        <v>1982</v>
      </c>
      <c r="B33" s="508" t="s">
        <v>943</v>
      </c>
      <c r="C33" s="523">
        <v>3607</v>
      </c>
      <c r="D33" s="524">
        <v>466</v>
      </c>
      <c r="E33" s="585">
        <v>0.12919323537565844</v>
      </c>
      <c r="F33" s="524">
        <v>2211</v>
      </c>
      <c r="G33" s="585">
        <v>0.61297477127807043</v>
      </c>
      <c r="H33" s="524">
        <v>354</v>
      </c>
      <c r="I33" s="585">
        <v>9.8142500693096754E-2</v>
      </c>
      <c r="J33" s="524">
        <v>576</v>
      </c>
      <c r="K33" s="585">
        <v>0.15968949265317439</v>
      </c>
      <c r="L33" s="508"/>
      <c r="M33" s="508"/>
      <c r="N33" s="470"/>
      <c r="O33" s="529"/>
      <c r="P33" s="470"/>
    </row>
    <row r="34" spans="1:16" x14ac:dyDescent="0.25">
      <c r="A34" s="508">
        <v>1983</v>
      </c>
      <c r="B34" s="508" t="s">
        <v>943</v>
      </c>
      <c r="C34" s="523">
        <v>3781</v>
      </c>
      <c r="D34" s="524">
        <v>526</v>
      </c>
      <c r="E34" s="585">
        <v>0.13911663581063211</v>
      </c>
      <c r="F34" s="524">
        <v>2338</v>
      </c>
      <c r="G34" s="585">
        <v>0.61835493255752449</v>
      </c>
      <c r="H34" s="524">
        <v>331</v>
      </c>
      <c r="I34" s="585">
        <v>8.754297804813542E-2</v>
      </c>
      <c r="J34" s="524">
        <v>586</v>
      </c>
      <c r="K34" s="585">
        <v>0.15498545358370802</v>
      </c>
      <c r="L34" s="508"/>
      <c r="M34" s="508"/>
      <c r="N34" s="470"/>
      <c r="O34" s="529"/>
      <c r="P34" s="470"/>
    </row>
    <row r="35" spans="1:16" x14ac:dyDescent="0.25">
      <c r="A35" s="508">
        <v>1984</v>
      </c>
      <c r="B35" s="508" t="s">
        <v>943</v>
      </c>
      <c r="C35" s="523">
        <v>4057</v>
      </c>
      <c r="D35" s="524">
        <v>541</v>
      </c>
      <c r="E35" s="585">
        <v>0.13334976583682523</v>
      </c>
      <c r="F35" s="524">
        <v>2512</v>
      </c>
      <c r="G35" s="585">
        <v>0.61917673157505548</v>
      </c>
      <c r="H35" s="524">
        <v>308</v>
      </c>
      <c r="I35" s="585">
        <v>7.5918166132610307E-2</v>
      </c>
      <c r="J35" s="524">
        <v>696</v>
      </c>
      <c r="K35" s="585">
        <v>0.17155533645550899</v>
      </c>
      <c r="L35" s="508"/>
      <c r="M35" s="508"/>
      <c r="N35" s="470"/>
      <c r="O35" s="529"/>
      <c r="P35" s="470"/>
    </row>
    <row r="36" spans="1:16" x14ac:dyDescent="0.25">
      <c r="A36" s="508">
        <v>1985</v>
      </c>
      <c r="B36" s="508" t="s">
        <v>954</v>
      </c>
      <c r="C36" s="523">
        <v>4234</v>
      </c>
      <c r="D36" s="524">
        <v>538</v>
      </c>
      <c r="E36" s="585">
        <v>0.12706660368445913</v>
      </c>
      <c r="F36" s="524">
        <v>2631</v>
      </c>
      <c r="G36" s="585">
        <v>0.62139820500708554</v>
      </c>
      <c r="H36" s="524">
        <v>290</v>
      </c>
      <c r="I36" s="585">
        <v>6.8493150684931503E-2</v>
      </c>
      <c r="J36" s="524">
        <v>775</v>
      </c>
      <c r="K36" s="585">
        <v>0.18304204062352386</v>
      </c>
      <c r="L36" s="508"/>
      <c r="M36" s="508"/>
      <c r="N36" s="470"/>
      <c r="O36" s="529"/>
      <c r="P36" s="470"/>
    </row>
    <row r="37" spans="1:16" x14ac:dyDescent="0.25">
      <c r="A37" s="508">
        <v>1986</v>
      </c>
      <c r="B37" s="508" t="s">
        <v>943</v>
      </c>
      <c r="C37" s="523">
        <v>4411</v>
      </c>
      <c r="D37" s="524">
        <v>535</v>
      </c>
      <c r="E37" s="585">
        <v>0.12128768986624348</v>
      </c>
      <c r="F37" s="524">
        <v>2749</v>
      </c>
      <c r="G37" s="585">
        <v>0.62321469054636136</v>
      </c>
      <c r="H37" s="524">
        <v>272</v>
      </c>
      <c r="I37" s="585">
        <v>6.1664021763772385E-2</v>
      </c>
      <c r="J37" s="524">
        <v>854</v>
      </c>
      <c r="K37" s="585">
        <v>0.19360689186125596</v>
      </c>
      <c r="L37" s="508"/>
      <c r="M37" s="508"/>
      <c r="N37" s="470"/>
      <c r="O37" s="529"/>
      <c r="P37" s="470"/>
    </row>
    <row r="38" spans="1:16" x14ac:dyDescent="0.25">
      <c r="A38" s="508">
        <v>1987</v>
      </c>
      <c r="B38" s="508" t="s">
        <v>943</v>
      </c>
      <c r="C38" s="523">
        <v>4424</v>
      </c>
      <c r="D38" s="524">
        <v>459</v>
      </c>
      <c r="E38" s="585">
        <v>0.10375226039783002</v>
      </c>
      <c r="F38" s="524">
        <v>2790</v>
      </c>
      <c r="G38" s="585">
        <v>0.63065099457504525</v>
      </c>
      <c r="H38" s="524">
        <v>276</v>
      </c>
      <c r="I38" s="585">
        <v>6.2386980108499093E-2</v>
      </c>
      <c r="J38" s="524">
        <v>898</v>
      </c>
      <c r="K38" s="585">
        <v>0.20298372513562388</v>
      </c>
      <c r="L38" s="508"/>
      <c r="M38" s="508"/>
      <c r="N38" s="470"/>
      <c r="O38" s="529"/>
      <c r="P38" s="470"/>
    </row>
    <row r="39" spans="1:16" x14ac:dyDescent="0.25">
      <c r="A39" s="508">
        <v>1988</v>
      </c>
      <c r="B39" s="508" t="s">
        <v>943</v>
      </c>
      <c r="C39" s="523">
        <v>4502</v>
      </c>
      <c r="D39" s="524">
        <v>451</v>
      </c>
      <c r="E39" s="585">
        <v>0.10017769880053309</v>
      </c>
      <c r="F39" s="524">
        <v>2767</v>
      </c>
      <c r="G39" s="585">
        <v>0.6146157263438472</v>
      </c>
      <c r="H39" s="524">
        <v>295</v>
      </c>
      <c r="I39" s="585">
        <v>6.5526432696579304E-2</v>
      </c>
      <c r="J39" s="524">
        <v>989</v>
      </c>
      <c r="K39" s="585">
        <v>0.21968014215904041</v>
      </c>
      <c r="L39" s="508"/>
      <c r="M39" s="508"/>
      <c r="N39" s="470"/>
      <c r="O39" s="529"/>
      <c r="P39" s="470"/>
    </row>
    <row r="40" spans="1:16" x14ac:dyDescent="0.25">
      <c r="A40" s="508">
        <v>1989</v>
      </c>
      <c r="B40" s="508" t="s">
        <v>943</v>
      </c>
      <c r="C40" s="523">
        <v>4604</v>
      </c>
      <c r="D40" s="524">
        <v>486</v>
      </c>
      <c r="E40" s="585">
        <v>0.10556038227628149</v>
      </c>
      <c r="F40" s="524">
        <v>2875</v>
      </c>
      <c r="G40" s="585">
        <v>0.62445699391833187</v>
      </c>
      <c r="H40" s="524">
        <v>307</v>
      </c>
      <c r="I40" s="585">
        <v>6.668114682884449E-2</v>
      </c>
      <c r="J40" s="524">
        <v>935</v>
      </c>
      <c r="K40" s="585">
        <v>0.2030842745438749</v>
      </c>
      <c r="L40" s="508"/>
      <c r="M40" s="508"/>
      <c r="N40" s="470"/>
      <c r="O40" s="529"/>
      <c r="P40" s="470"/>
    </row>
    <row r="41" spans="1:16" x14ac:dyDescent="0.25">
      <c r="A41" s="530">
        <v>1990</v>
      </c>
      <c r="B41" s="530" t="s">
        <v>943</v>
      </c>
      <c r="C41" s="505">
        <v>4675</v>
      </c>
      <c r="D41" s="602">
        <v>449</v>
      </c>
      <c r="E41" s="531">
        <v>9.6042780748663098E-2</v>
      </c>
      <c r="F41" s="602">
        <v>2886</v>
      </c>
      <c r="G41" s="531">
        <v>0.61732620320855613</v>
      </c>
      <c r="H41" s="602">
        <v>316</v>
      </c>
      <c r="I41" s="531">
        <v>6.7593582887700537E-2</v>
      </c>
      <c r="J41" s="602">
        <v>1024</v>
      </c>
      <c r="K41" s="531">
        <v>0.2190374331550802</v>
      </c>
      <c r="L41" s="530"/>
      <c r="M41" s="530"/>
      <c r="N41" s="470"/>
      <c r="O41" s="529"/>
      <c r="P41" s="470"/>
    </row>
    <row r="42" spans="1:16" x14ac:dyDescent="0.25">
      <c r="A42" s="508">
        <v>1991</v>
      </c>
      <c r="B42" s="508" t="s">
        <v>943</v>
      </c>
      <c r="C42" s="523">
        <v>4621</v>
      </c>
      <c r="D42" s="524">
        <v>547</v>
      </c>
      <c r="E42" s="585">
        <v>0.11837264661328717</v>
      </c>
      <c r="F42" s="524">
        <v>2666</v>
      </c>
      <c r="G42" s="585">
        <v>0.57693140012984201</v>
      </c>
      <c r="H42" s="524">
        <v>323</v>
      </c>
      <c r="I42" s="585">
        <v>6.9898290413330441E-2</v>
      </c>
      <c r="J42" s="524">
        <v>1085</v>
      </c>
      <c r="K42" s="585">
        <v>0.23479766284354037</v>
      </c>
      <c r="L42" s="508"/>
      <c r="M42" s="508"/>
      <c r="N42" s="470"/>
      <c r="O42" s="529"/>
      <c r="P42" s="470"/>
    </row>
    <row r="43" spans="1:16" x14ac:dyDescent="0.25">
      <c r="A43" s="508">
        <v>1992</v>
      </c>
      <c r="B43" s="508" t="s">
        <v>943</v>
      </c>
      <c r="C43" s="523">
        <v>4737</v>
      </c>
      <c r="D43" s="524">
        <v>530</v>
      </c>
      <c r="E43" s="585">
        <v>0.1118851593835761</v>
      </c>
      <c r="F43" s="524">
        <v>2569</v>
      </c>
      <c r="G43" s="585">
        <v>0.54232636689888114</v>
      </c>
      <c r="H43" s="524">
        <v>302</v>
      </c>
      <c r="I43" s="585">
        <v>6.3753430441207515E-2</v>
      </c>
      <c r="J43" s="524">
        <v>1337</v>
      </c>
      <c r="K43" s="585">
        <v>0.28224614735064385</v>
      </c>
      <c r="L43" s="508"/>
      <c r="M43" s="508"/>
      <c r="N43" s="470"/>
      <c r="O43" s="529"/>
      <c r="P43" s="470"/>
    </row>
    <row r="44" spans="1:16" x14ac:dyDescent="0.25">
      <c r="A44" s="508">
        <v>1993</v>
      </c>
      <c r="B44" s="508" t="s">
        <v>943</v>
      </c>
      <c r="C44" s="523">
        <v>4733</v>
      </c>
      <c r="D44" s="524">
        <v>575</v>
      </c>
      <c r="E44" s="585">
        <v>0.12148742869216142</v>
      </c>
      <c r="F44" s="524">
        <v>2476</v>
      </c>
      <c r="G44" s="585">
        <v>0.52313543207268121</v>
      </c>
      <c r="H44" s="524">
        <v>322</v>
      </c>
      <c r="I44" s="585">
        <v>6.8032960067610393E-2</v>
      </c>
      <c r="J44" s="524">
        <v>1359</v>
      </c>
      <c r="K44" s="585">
        <v>0.28713289668286501</v>
      </c>
      <c r="L44" s="508"/>
      <c r="M44" s="508"/>
      <c r="N44" s="470"/>
      <c r="O44" s="529"/>
      <c r="P44" s="470"/>
    </row>
    <row r="45" spans="1:16" x14ac:dyDescent="0.25">
      <c r="A45" s="530">
        <v>1994</v>
      </c>
      <c r="B45" s="530" t="s">
        <v>943</v>
      </c>
      <c r="C45" s="505">
        <v>4924</v>
      </c>
      <c r="D45" s="602">
        <v>593</v>
      </c>
      <c r="E45" s="531">
        <v>0.12043054427294882</v>
      </c>
      <c r="F45" s="602">
        <v>2654</v>
      </c>
      <c r="G45" s="531">
        <v>0.53899268887083673</v>
      </c>
      <c r="H45" s="602">
        <v>294</v>
      </c>
      <c r="I45" s="531">
        <v>5.9707554833468728E-2</v>
      </c>
      <c r="J45" s="602">
        <v>1384</v>
      </c>
      <c r="K45" s="531">
        <v>0.28107229894394803</v>
      </c>
      <c r="L45" s="530"/>
      <c r="M45" s="530"/>
      <c r="N45" s="470"/>
      <c r="O45" s="529"/>
      <c r="P45" s="583"/>
    </row>
    <row r="46" spans="1:16" x14ac:dyDescent="0.25">
      <c r="A46" s="530">
        <v>1995</v>
      </c>
      <c r="B46" s="530" t="s">
        <v>943</v>
      </c>
      <c r="C46" s="505">
        <v>5019</v>
      </c>
      <c r="D46" s="602">
        <v>591</v>
      </c>
      <c r="E46" s="531">
        <v>0.1177525403466826</v>
      </c>
      <c r="F46" s="602">
        <v>2660</v>
      </c>
      <c r="G46" s="531">
        <v>0.52998605299860535</v>
      </c>
      <c r="H46" s="602">
        <v>309</v>
      </c>
      <c r="I46" s="531">
        <v>6.1566049013747758E-2</v>
      </c>
      <c r="J46" s="602">
        <v>1459</v>
      </c>
      <c r="K46" s="531">
        <v>0.29069535764096432</v>
      </c>
      <c r="L46" s="530"/>
      <c r="M46" s="530"/>
      <c r="N46" s="470"/>
      <c r="O46" s="529"/>
      <c r="P46" s="583"/>
    </row>
    <row r="47" spans="1:16" x14ac:dyDescent="0.25">
      <c r="A47" s="530">
        <v>1996</v>
      </c>
      <c r="B47" s="530" t="s">
        <v>944</v>
      </c>
      <c r="C47" s="505">
        <v>4982</v>
      </c>
      <c r="D47" s="505">
        <v>643</v>
      </c>
      <c r="E47" s="531">
        <v>0.12906463267763951</v>
      </c>
      <c r="F47" s="505">
        <v>2844</v>
      </c>
      <c r="G47" s="531">
        <v>0.57085507828181459</v>
      </c>
      <c r="H47" s="505">
        <v>229</v>
      </c>
      <c r="I47" s="531">
        <v>4.5965475712565235E-2</v>
      </c>
      <c r="J47" s="505">
        <v>1266</v>
      </c>
      <c r="K47" s="531">
        <v>0.25411481332798075</v>
      </c>
      <c r="L47" s="505"/>
      <c r="M47" s="531"/>
      <c r="N47" s="470"/>
      <c r="O47" s="529"/>
      <c r="P47" s="583"/>
    </row>
    <row r="48" spans="1:16" x14ac:dyDescent="0.25">
      <c r="A48" s="530">
        <v>1997</v>
      </c>
      <c r="B48" s="530" t="s">
        <v>944</v>
      </c>
      <c r="C48" s="505">
        <v>5107.8389999999999</v>
      </c>
      <c r="D48" s="505">
        <v>740.721</v>
      </c>
      <c r="E48" s="531">
        <v>0.14501651285406608</v>
      </c>
      <c r="F48" s="505">
        <v>3031</v>
      </c>
      <c r="G48" s="531">
        <v>0.59340163227541043</v>
      </c>
      <c r="H48" s="505">
        <v>237.16499999999999</v>
      </c>
      <c r="I48" s="531">
        <v>4.6431573117320261E-2</v>
      </c>
      <c r="J48" s="505">
        <v>1098.953</v>
      </c>
      <c r="K48" s="531">
        <v>0.21515028175320325</v>
      </c>
      <c r="L48" s="505"/>
      <c r="M48" s="531"/>
      <c r="N48" s="470"/>
      <c r="O48" s="529"/>
      <c r="P48" s="583"/>
    </row>
    <row r="49" spans="1:17" x14ac:dyDescent="0.25">
      <c r="A49" s="530">
        <v>1998</v>
      </c>
      <c r="B49" s="530" t="s">
        <v>944</v>
      </c>
      <c r="C49" s="505">
        <v>4590.299</v>
      </c>
      <c r="D49" s="505">
        <v>756.91399999999999</v>
      </c>
      <c r="E49" s="531">
        <v>0.1648942694146939</v>
      </c>
      <c r="F49" s="505">
        <v>2549</v>
      </c>
      <c r="G49" s="531">
        <v>0.55530151739570777</v>
      </c>
      <c r="H49" s="505">
        <v>171.053</v>
      </c>
      <c r="I49" s="531">
        <v>3.7264021363314241E-2</v>
      </c>
      <c r="J49" s="505">
        <v>1113.3320000000001</v>
      </c>
      <c r="K49" s="531">
        <v>0.24254019182628411</v>
      </c>
      <c r="L49" s="505"/>
      <c r="M49" s="531"/>
      <c r="N49" s="470"/>
      <c r="O49" s="529"/>
      <c r="P49" s="583"/>
    </row>
    <row r="50" spans="1:17" x14ac:dyDescent="0.25">
      <c r="A50" s="530">
        <v>1999</v>
      </c>
      <c r="B50" s="530" t="s">
        <v>944</v>
      </c>
      <c r="C50" s="505">
        <v>4608.835</v>
      </c>
      <c r="D50" s="505">
        <v>798.03899999999999</v>
      </c>
      <c r="E50" s="531">
        <v>0.17315417019702375</v>
      </c>
      <c r="F50" s="505">
        <v>2838</v>
      </c>
      <c r="G50" s="531">
        <v>0.61577383438547917</v>
      </c>
      <c r="H50" s="505">
        <v>156.18799999999999</v>
      </c>
      <c r="I50" s="531">
        <v>3.3888824399224533E-2</v>
      </c>
      <c r="J50" s="505">
        <v>816.60799999999995</v>
      </c>
      <c r="K50" s="531">
        <v>0.1771831710182725</v>
      </c>
      <c r="L50" s="505"/>
      <c r="M50" s="531"/>
      <c r="N50" s="470"/>
      <c r="O50" s="529"/>
      <c r="P50" s="583"/>
    </row>
    <row r="51" spans="1:17" x14ac:dyDescent="0.25">
      <c r="A51" s="530">
        <v>2000</v>
      </c>
      <c r="B51" s="530" t="s">
        <v>944</v>
      </c>
      <c r="C51" s="505">
        <v>4937.7330000000002</v>
      </c>
      <c r="D51" s="505">
        <v>557.01300000000003</v>
      </c>
      <c r="E51" s="531">
        <v>0.11280743612503957</v>
      </c>
      <c r="F51" s="505">
        <v>3194</v>
      </c>
      <c r="G51" s="531">
        <v>0.64685555091779967</v>
      </c>
      <c r="H51" s="505">
        <v>184.90100000000001</v>
      </c>
      <c r="I51" s="531">
        <v>3.7446536700141544E-2</v>
      </c>
      <c r="J51" s="505">
        <v>1001.819</v>
      </c>
      <c r="K51" s="531">
        <v>0.20289047625701914</v>
      </c>
      <c r="L51" s="505"/>
      <c r="M51" s="531"/>
      <c r="N51" s="470"/>
      <c r="O51" s="529"/>
      <c r="P51" s="583"/>
    </row>
    <row r="52" spans="1:17" x14ac:dyDescent="0.25">
      <c r="A52" s="530">
        <v>2001</v>
      </c>
      <c r="B52" s="530" t="s">
        <v>944</v>
      </c>
      <c r="C52" s="505">
        <v>5416.8149999999996</v>
      </c>
      <c r="D52" s="505">
        <v>848</v>
      </c>
      <c r="E52" s="531">
        <v>0.15654955910438145</v>
      </c>
      <c r="F52" s="505">
        <v>3027.8069999999998</v>
      </c>
      <c r="G52" s="531">
        <v>0.55896444681976398</v>
      </c>
      <c r="H52" s="505">
        <v>194.00800000000001</v>
      </c>
      <c r="I52" s="531">
        <v>3.581588073434297E-2</v>
      </c>
      <c r="J52" s="505">
        <v>1346</v>
      </c>
      <c r="K52" s="531">
        <v>0.24848550301237907</v>
      </c>
      <c r="L52" s="530">
        <v>1</v>
      </c>
      <c r="M52" s="589">
        <v>1.8461032913252531E-4</v>
      </c>
      <c r="N52" s="470"/>
      <c r="O52" s="529"/>
      <c r="P52" s="583"/>
    </row>
    <row r="53" spans="1:17" x14ac:dyDescent="0.25">
      <c r="A53" s="502">
        <v>2002</v>
      </c>
      <c r="B53" s="530" t="s">
        <v>946</v>
      </c>
      <c r="C53" s="505">
        <v>5472.4999280000002</v>
      </c>
      <c r="D53" s="532">
        <v>875.1529300000002</v>
      </c>
      <c r="E53" s="531">
        <v>0.15991830817982977</v>
      </c>
      <c r="F53" s="532">
        <v>2952.995997</v>
      </c>
      <c r="G53" s="531">
        <v>0.53960640216567579</v>
      </c>
      <c r="H53" s="532">
        <v>205</v>
      </c>
      <c r="I53" s="531">
        <v>3.7460027902626224E-2</v>
      </c>
      <c r="J53" s="532">
        <v>1439.3510010000002</v>
      </c>
      <c r="K53" s="531">
        <v>0.26301526175186823</v>
      </c>
      <c r="L53" s="473"/>
      <c r="M53" s="589"/>
      <c r="N53" s="470"/>
      <c r="O53" s="529"/>
      <c r="P53" s="583"/>
    </row>
    <row r="54" spans="1:17" x14ac:dyDescent="0.25">
      <c r="A54" s="502">
        <v>2003</v>
      </c>
      <c r="B54" s="530" t="s">
        <v>946</v>
      </c>
      <c r="C54" s="505">
        <v>5673.5354899999993</v>
      </c>
      <c r="D54" s="532">
        <v>775</v>
      </c>
      <c r="E54" s="531">
        <v>0.13659912789229772</v>
      </c>
      <c r="F54" s="532">
        <v>3148</v>
      </c>
      <c r="G54" s="531">
        <v>0.55485684465155261</v>
      </c>
      <c r="H54" s="532">
        <v>168</v>
      </c>
      <c r="I54" s="531">
        <v>2.9611165788265833E-2</v>
      </c>
      <c r="J54" s="532">
        <v>1582.5354899999995</v>
      </c>
      <c r="K54" s="531">
        <v>0.27893286166788389</v>
      </c>
      <c r="L54" s="473"/>
      <c r="M54" s="589"/>
      <c r="N54" s="470"/>
      <c r="O54" s="529"/>
      <c r="P54" s="583"/>
    </row>
    <row r="55" spans="1:17" x14ac:dyDescent="0.25">
      <c r="A55" s="588">
        <v>2004</v>
      </c>
      <c r="B55" s="508" t="s">
        <v>946</v>
      </c>
      <c r="C55" s="505">
        <v>5866.4970089999997</v>
      </c>
      <c r="D55" s="600">
        <v>682</v>
      </c>
      <c r="E55" s="585">
        <v>0.116253361921726</v>
      </c>
      <c r="F55" s="600">
        <v>3475.4769999999999</v>
      </c>
      <c r="G55" s="585">
        <v>0.5924279846504904</v>
      </c>
      <c r="H55" s="600">
        <v>211</v>
      </c>
      <c r="I55" s="585">
        <v>3.5966949216252472E-2</v>
      </c>
      <c r="J55" s="600">
        <v>1498.0200089999998</v>
      </c>
      <c r="K55" s="585">
        <v>0.25535170421153108</v>
      </c>
      <c r="L55" s="490"/>
      <c r="M55" s="491"/>
      <c r="N55" s="470"/>
      <c r="O55" s="529"/>
      <c r="P55" s="470"/>
    </row>
    <row r="56" spans="1:17" x14ac:dyDescent="0.25">
      <c r="A56" s="588">
        <v>2005</v>
      </c>
      <c r="B56" s="508" t="s">
        <v>946</v>
      </c>
      <c r="C56" s="505">
        <v>5945.8280039999991</v>
      </c>
      <c r="D56" s="600">
        <v>685.55899799999986</v>
      </c>
      <c r="E56" s="585">
        <v>0.11530084582648482</v>
      </c>
      <c r="F56" s="600">
        <v>3576.7380009999997</v>
      </c>
      <c r="G56" s="585">
        <v>0.60155423241200101</v>
      </c>
      <c r="H56" s="600">
        <v>219</v>
      </c>
      <c r="I56" s="585">
        <v>3.6832548780871201E-2</v>
      </c>
      <c r="J56" s="600">
        <v>1463.9420049999999</v>
      </c>
      <c r="K56" s="585">
        <v>0.24621331192478943</v>
      </c>
      <c r="L56" s="490">
        <v>0.58899999999999997</v>
      </c>
      <c r="M56" s="491">
        <v>9.9061055853575961E-5</v>
      </c>
      <c r="N56" s="470"/>
      <c r="O56" s="529"/>
      <c r="P56" s="470"/>
    </row>
    <row r="57" spans="1:17" x14ac:dyDescent="0.25">
      <c r="A57" s="588">
        <v>2006</v>
      </c>
      <c r="B57" s="508" t="s">
        <v>946</v>
      </c>
      <c r="C57" s="505">
        <v>6068.5680090000005</v>
      </c>
      <c r="D57" s="600">
        <v>694.25200099999995</v>
      </c>
      <c r="E57" s="585">
        <v>0.11440128873407833</v>
      </c>
      <c r="F57" s="600">
        <v>3939.9210010000002</v>
      </c>
      <c r="G57" s="585">
        <v>0.64923405244151389</v>
      </c>
      <c r="H57" s="600">
        <v>210</v>
      </c>
      <c r="I57" s="585">
        <v>3.4604539273278168E-2</v>
      </c>
      <c r="J57" s="600">
        <v>1223.607006</v>
      </c>
      <c r="K57" s="585">
        <v>0.20163026997231101</v>
      </c>
      <c r="L57" s="490">
        <v>0.78800099999999995</v>
      </c>
      <c r="M57" s="491">
        <v>1.2984957881848793E-4</v>
      </c>
      <c r="N57" s="470"/>
      <c r="O57" s="529"/>
      <c r="P57" s="470"/>
    </row>
    <row r="58" spans="1:17" x14ac:dyDescent="0.25">
      <c r="A58" s="588">
        <v>2007</v>
      </c>
      <c r="B58" s="508" t="s">
        <v>946</v>
      </c>
      <c r="C58" s="505">
        <v>6146.5480449999995</v>
      </c>
      <c r="D58" s="600">
        <v>853</v>
      </c>
      <c r="E58" s="585">
        <v>0.13877708166519342</v>
      </c>
      <c r="F58" s="600">
        <v>3788.3250459999995</v>
      </c>
      <c r="G58" s="585">
        <v>0.61633375648656463</v>
      </c>
      <c r="H58" s="600">
        <v>214</v>
      </c>
      <c r="I58" s="585">
        <v>3.4816290124679246E-2</v>
      </c>
      <c r="J58" s="600">
        <v>1291.2229990000001</v>
      </c>
      <c r="K58" s="585">
        <v>0.2100728717235627</v>
      </c>
      <c r="L58" s="490"/>
      <c r="M58" s="491">
        <v>0</v>
      </c>
      <c r="N58" s="470"/>
      <c r="O58" s="529"/>
      <c r="P58" s="470"/>
    </row>
    <row r="59" spans="1:17" x14ac:dyDescent="0.25">
      <c r="A59" s="588">
        <v>2008</v>
      </c>
      <c r="B59" s="508" t="s">
        <v>946</v>
      </c>
      <c r="C59" s="505">
        <v>6261.7872560000005</v>
      </c>
      <c r="D59" s="600">
        <v>927.68143299999997</v>
      </c>
      <c r="E59" s="585">
        <v>0.14814962487125416</v>
      </c>
      <c r="F59" s="600">
        <v>3942.2368229999997</v>
      </c>
      <c r="G59" s="585">
        <v>0.62957054620828523</v>
      </c>
      <c r="H59" s="600">
        <v>220</v>
      </c>
      <c r="I59" s="585">
        <v>3.5133739139603881E-2</v>
      </c>
      <c r="J59" s="600">
        <v>1171.8009999999999</v>
      </c>
      <c r="K59" s="585">
        <v>0.18713523026148621</v>
      </c>
      <c r="L59" s="490">
        <v>2.25</v>
      </c>
      <c r="M59" s="491">
        <v>1.0859519370423019E-5</v>
      </c>
      <c r="N59" s="470"/>
      <c r="O59" s="529"/>
      <c r="P59" s="470"/>
    </row>
    <row r="60" spans="1:17" x14ac:dyDescent="0.25">
      <c r="A60" s="588">
        <v>2009</v>
      </c>
      <c r="B60" s="508">
        <v>3</v>
      </c>
      <c r="C60" s="505">
        <v>6166.7620000000006</v>
      </c>
      <c r="D60" s="600">
        <v>1183</v>
      </c>
      <c r="E60" s="585">
        <v>0.19183487217440853</v>
      </c>
      <c r="F60" s="600">
        <v>3518.5540000000001</v>
      </c>
      <c r="G60" s="585">
        <v>0.57056750365913256</v>
      </c>
      <c r="H60" s="600">
        <v>422</v>
      </c>
      <c r="I60" s="585">
        <v>6.8431374520372276E-2</v>
      </c>
      <c r="J60" s="600">
        <v>1309</v>
      </c>
      <c r="K60" s="585">
        <v>0.21226698873736327</v>
      </c>
      <c r="L60" s="490">
        <v>9.1519999999999992</v>
      </c>
      <c r="M60" s="491">
        <v>1.4840851649536657E-3</v>
      </c>
      <c r="N60" s="470"/>
      <c r="O60" s="529"/>
    </row>
    <row r="61" spans="1:17" x14ac:dyDescent="0.25">
      <c r="A61" s="588">
        <v>2010</v>
      </c>
      <c r="B61" s="508">
        <v>3</v>
      </c>
      <c r="C61" s="505">
        <f>SUM(D61,F61,H61,J61,L61)</f>
        <v>6485.4920000000002</v>
      </c>
      <c r="D61" s="600">
        <f>952949/1000</f>
        <v>952.94899999999996</v>
      </c>
      <c r="E61" s="585">
        <f>D61/C61</f>
        <v>0.14693549849417745</v>
      </c>
      <c r="F61" s="600">
        <f>3689685/1000</f>
        <v>3689.6849999999999</v>
      </c>
      <c r="G61" s="585">
        <f>F61/C61</f>
        <v>0.56891366144619404</v>
      </c>
      <c r="H61" s="600">
        <f>393673/1000</f>
        <v>393.673</v>
      </c>
      <c r="I61" s="585">
        <f>H61/C61</f>
        <v>6.0700560574278709E-2</v>
      </c>
      <c r="J61" s="600">
        <f>1428837/1000</f>
        <v>1428.837</v>
      </c>
      <c r="K61" s="585">
        <f>J61/C61</f>
        <v>0.22031281512643913</v>
      </c>
      <c r="L61" s="490">
        <f>20348/1000</f>
        <v>20.347999999999999</v>
      </c>
      <c r="M61" s="491">
        <f>L61/C61</f>
        <v>3.1374643589106269E-3</v>
      </c>
      <c r="N61" s="470"/>
      <c r="O61" s="529"/>
      <c r="Q61" s="533"/>
    </row>
    <row r="62" spans="1:17" ht="15.75" thickBot="1" x14ac:dyDescent="0.3">
      <c r="A62" s="566">
        <v>2011</v>
      </c>
      <c r="B62" s="567">
        <v>3</v>
      </c>
      <c r="C62" s="568">
        <f>SUM(D62,F62,H62,J62,L62)</f>
        <v>6552.2502376550001</v>
      </c>
      <c r="D62" s="569">
        <f>GETPIVOTDATA("Sum of Oil",'Summary PivotTables'!$A$59)/1000</f>
        <v>1020.281531655</v>
      </c>
      <c r="E62" s="563">
        <f>D62/C62</f>
        <v>0.15571467734726671</v>
      </c>
      <c r="F62" s="569">
        <f>GETPIVOTDATA("Sum of Gas",'Summary PivotTables'!$A$59)/1000</f>
        <v>3783.2466550000004</v>
      </c>
      <c r="G62" s="563">
        <f>F62/C62</f>
        <v>0.57739654588558498</v>
      </c>
      <c r="H62" s="569">
        <f>GETPIVOTDATA("Sum of Coal",'Summary PivotTables'!$A$59)/1000</f>
        <v>387.16</v>
      </c>
      <c r="I62" s="563">
        <f>H62/C62</f>
        <v>5.9088097364633253E-2</v>
      </c>
      <c r="J62" s="569">
        <f>GETPIVOTDATA("Sum of Hydro",'Summary PivotTables'!$A$59)/1000</f>
        <v>1340.3677859999998</v>
      </c>
      <c r="K62" s="563">
        <f>J62/C62</f>
        <v>0.20456602501184495</v>
      </c>
      <c r="L62" s="570">
        <f>GETPIVOTDATA("Sum of Wind",'Summary PivotTables'!$A$59)/1000</f>
        <v>21.194264999999998</v>
      </c>
      <c r="M62" s="571">
        <f>L62/C62</f>
        <v>3.2346543906701069E-3</v>
      </c>
      <c r="N62" s="470"/>
      <c r="O62" s="529"/>
      <c r="Q62" s="533"/>
    </row>
    <row r="63" spans="1:17" x14ac:dyDescent="0.25">
      <c r="A63" s="463"/>
      <c r="B63" s="565"/>
      <c r="C63" s="565"/>
      <c r="D63" s="565"/>
      <c r="E63" s="565"/>
      <c r="F63" s="565"/>
      <c r="G63" s="565"/>
      <c r="H63" s="565"/>
      <c r="I63" s="565"/>
      <c r="J63" s="565"/>
      <c r="K63" s="463"/>
      <c r="L63" s="582"/>
      <c r="M63" s="582"/>
      <c r="N63" s="482"/>
      <c r="Q63" s="533"/>
    </row>
    <row r="64" spans="1:17" x14ac:dyDescent="0.25">
      <c r="A64" s="463"/>
      <c r="B64" s="565"/>
      <c r="C64" s="565"/>
      <c r="D64" s="565"/>
      <c r="E64" s="565"/>
      <c r="F64" s="565"/>
      <c r="G64" s="565"/>
      <c r="H64" s="565"/>
      <c r="I64" s="565"/>
      <c r="J64" s="565"/>
      <c r="K64" s="463"/>
      <c r="L64" s="582"/>
      <c r="M64" s="582"/>
      <c r="N64" s="482"/>
      <c r="Q64" s="533"/>
    </row>
    <row r="65" spans="2:21" ht="15.75" x14ac:dyDescent="0.25">
      <c r="B65" s="338"/>
      <c r="D65" s="330"/>
      <c r="E65" s="330"/>
      <c r="F65" s="330"/>
      <c r="G65" s="330"/>
      <c r="H65" s="330"/>
      <c r="I65" s="330"/>
      <c r="J65" s="330"/>
      <c r="K65" s="330"/>
      <c r="L65" s="744"/>
      <c r="M65" s="582"/>
      <c r="N65" s="482"/>
    </row>
    <row r="66" spans="2:21" x14ac:dyDescent="0.25">
      <c r="F66" s="330"/>
      <c r="G66" s="330"/>
      <c r="H66" s="330"/>
      <c r="I66" s="330"/>
      <c r="J66" s="330"/>
      <c r="K66" s="330"/>
      <c r="L66" s="582"/>
      <c r="M66" s="582"/>
      <c r="N66" s="482"/>
    </row>
    <row r="67" spans="2:21" x14ac:dyDescent="0.25">
      <c r="I67" s="330"/>
      <c r="J67" s="330"/>
      <c r="K67" s="330"/>
      <c r="L67" s="525"/>
      <c r="M67" s="525"/>
      <c r="N67" s="525"/>
      <c r="T67" s="830" t="s">
        <v>999</v>
      </c>
      <c r="U67" s="830"/>
    </row>
    <row r="68" spans="2:21" x14ac:dyDescent="0.25">
      <c r="D68" s="393"/>
      <c r="E68" s="393"/>
      <c r="F68" s="393"/>
      <c r="G68" s="482"/>
      <c r="H68" s="482"/>
      <c r="I68" s="482"/>
      <c r="J68" s="482"/>
      <c r="K68" s="482"/>
      <c r="L68" s="482"/>
      <c r="M68" s="482"/>
      <c r="N68" s="482"/>
      <c r="O68" s="482"/>
      <c r="P68" s="482"/>
      <c r="T68" s="830" t="s">
        <v>922</v>
      </c>
      <c r="U68" s="830" t="s">
        <v>1000</v>
      </c>
    </row>
    <row r="69" spans="2:21" x14ac:dyDescent="0.25">
      <c r="D69" s="393"/>
      <c r="E69" s="393"/>
      <c r="F69" s="393"/>
      <c r="G69" s="482"/>
      <c r="H69" s="482"/>
      <c r="I69" s="482"/>
      <c r="J69" s="482"/>
      <c r="K69" s="482"/>
      <c r="L69" s="482"/>
      <c r="M69" s="482"/>
      <c r="N69" s="482"/>
      <c r="O69" s="482"/>
      <c r="P69" s="482"/>
      <c r="T69" s="804">
        <f>A59</f>
        <v>2008</v>
      </c>
      <c r="U69" s="831">
        <f>L59*1000</f>
        <v>2250</v>
      </c>
    </row>
    <row r="70" spans="2:21" x14ac:dyDescent="0.25">
      <c r="D70" s="466"/>
      <c r="F70" s="466"/>
      <c r="H70" s="466"/>
      <c r="J70" s="466"/>
      <c r="K70" s="470"/>
      <c r="L70" s="489"/>
      <c r="M70" s="470"/>
      <c r="O70" s="525"/>
      <c r="P70" s="525"/>
      <c r="T70" s="804">
        <f>A60</f>
        <v>2009</v>
      </c>
      <c r="U70" s="831">
        <f>L60*1000</f>
        <v>9152</v>
      </c>
    </row>
    <row r="71" spans="2:21" x14ac:dyDescent="0.25">
      <c r="D71" s="466"/>
      <c r="F71" s="466"/>
      <c r="H71" s="466"/>
      <c r="J71" s="466"/>
      <c r="K71" s="470"/>
      <c r="L71" s="489"/>
      <c r="M71" s="470"/>
      <c r="O71" s="470"/>
      <c r="T71" s="804">
        <f>A61</f>
        <v>2010</v>
      </c>
      <c r="U71" s="831">
        <f>L61*1000</f>
        <v>20348</v>
      </c>
    </row>
    <row r="72" spans="2:21" x14ac:dyDescent="0.25">
      <c r="D72" s="482"/>
      <c r="E72" s="482"/>
      <c r="F72" s="482"/>
      <c r="G72" s="482"/>
      <c r="H72" s="482"/>
      <c r="I72" s="482"/>
      <c r="J72" s="482"/>
      <c r="K72" s="482"/>
      <c r="L72" s="482"/>
      <c r="M72" s="482"/>
      <c r="N72" s="482"/>
      <c r="O72" s="470"/>
      <c r="T72" s="804">
        <f>A62</f>
        <v>2011</v>
      </c>
      <c r="U72" s="831">
        <f>L62*1000</f>
        <v>21194.264999999999</v>
      </c>
    </row>
    <row r="73" spans="2:21" x14ac:dyDescent="0.25">
      <c r="D73" s="482"/>
      <c r="E73" s="482"/>
      <c r="F73" s="482"/>
      <c r="G73" s="482"/>
      <c r="H73" s="482"/>
      <c r="I73" s="482"/>
      <c r="J73" s="482"/>
      <c r="K73" s="482"/>
      <c r="L73" s="482"/>
      <c r="M73" s="482"/>
      <c r="N73" s="482"/>
      <c r="O73" s="470"/>
    </row>
    <row r="74" spans="2:21" x14ac:dyDescent="0.25">
      <c r="D74" s="525"/>
      <c r="E74" s="525"/>
      <c r="F74" s="525"/>
      <c r="G74" s="525"/>
      <c r="H74" s="525"/>
      <c r="I74" s="525"/>
      <c r="J74" s="525"/>
      <c r="K74" s="525"/>
      <c r="L74" s="525"/>
      <c r="M74" s="525"/>
      <c r="N74" s="525"/>
    </row>
    <row r="75" spans="2:21" x14ac:dyDescent="0.25">
      <c r="D75" s="482"/>
      <c r="E75" s="482"/>
      <c r="F75" s="482"/>
      <c r="G75" s="482"/>
      <c r="H75" s="482"/>
      <c r="I75" s="482"/>
      <c r="J75" s="482"/>
      <c r="K75" s="482"/>
      <c r="L75" s="482"/>
      <c r="M75" s="482"/>
      <c r="N75" s="482"/>
    </row>
    <row r="76" spans="2:21" x14ac:dyDescent="0.25">
      <c r="D76" s="482"/>
      <c r="E76" s="482"/>
      <c r="F76" s="482"/>
      <c r="G76" s="482"/>
      <c r="H76" s="482"/>
      <c r="I76" s="482"/>
      <c r="J76" s="482"/>
      <c r="K76" s="470"/>
      <c r="L76" s="489"/>
      <c r="M76" s="470"/>
    </row>
    <row r="77" spans="2:21" x14ac:dyDescent="0.25">
      <c r="D77" s="482"/>
      <c r="E77" s="482"/>
      <c r="F77" s="482"/>
      <c r="G77" s="482"/>
      <c r="H77" s="482"/>
      <c r="I77" s="482"/>
      <c r="J77" s="482"/>
      <c r="K77" s="470"/>
      <c r="L77" s="489"/>
      <c r="M77" s="470"/>
    </row>
    <row r="78" spans="2:21" x14ac:dyDescent="0.25">
      <c r="D78" s="466"/>
      <c r="F78" s="466"/>
      <c r="H78" s="466"/>
      <c r="J78" s="466"/>
      <c r="K78" s="470"/>
      <c r="L78" s="489"/>
      <c r="M78" s="470"/>
    </row>
  </sheetData>
  <mergeCells count="1">
    <mergeCell ref="A11:M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B1:R146"/>
  <sheetViews>
    <sheetView showGridLines="0" topLeftCell="A46" zoomScaleNormal="100" workbookViewId="0">
      <selection activeCell="C82" sqref="C82"/>
    </sheetView>
  </sheetViews>
  <sheetFormatPr defaultRowHeight="15" x14ac:dyDescent="0.25"/>
  <cols>
    <col min="1" max="1" width="9.140625" style="341"/>
    <col min="2" max="2" width="28.5703125" style="341" customWidth="1"/>
    <col min="3" max="3" width="14.5703125" style="341" customWidth="1"/>
    <col min="4" max="4" width="12.7109375" style="341" customWidth="1"/>
    <col min="5" max="5" width="13" style="341" customWidth="1"/>
    <col min="6" max="6" width="12.28515625" style="341" customWidth="1"/>
    <col min="7" max="7" width="13.5703125" style="341" customWidth="1"/>
    <col min="8" max="8" width="18.7109375" style="341" customWidth="1"/>
    <col min="9" max="9" width="9.140625" style="341"/>
    <col min="10" max="10" width="11" style="341" customWidth="1"/>
    <col min="11" max="11" width="38.140625" style="341" customWidth="1"/>
    <col min="12" max="12" width="13" style="341" customWidth="1"/>
    <col min="13" max="13" width="9.140625" style="341"/>
    <col min="14" max="14" width="15.28515625" style="341" bestFit="1" customWidth="1"/>
    <col min="15" max="15" width="14.42578125" style="341" bestFit="1" customWidth="1"/>
    <col min="16" max="17" width="9.140625" style="341"/>
    <col min="18" max="18" width="16.5703125" style="341" customWidth="1"/>
    <col min="19" max="19" width="9.140625" style="341"/>
    <col min="20" max="20" width="15" style="341" customWidth="1"/>
    <col min="21" max="21" width="12.85546875" style="341" bestFit="1" customWidth="1"/>
    <col min="22" max="22" width="11.7109375" style="341" customWidth="1"/>
    <col min="23" max="16384" width="9.140625" style="341"/>
  </cols>
  <sheetData>
    <row r="1" spans="2:18" ht="34.5" customHeight="1" x14ac:dyDescent="0.25">
      <c r="B1" s="863" t="s">
        <v>1031</v>
      </c>
      <c r="C1" s="863"/>
      <c r="D1" s="863"/>
      <c r="E1" s="863"/>
      <c r="F1" s="863"/>
      <c r="G1" s="717"/>
      <c r="N1" s="859" t="s">
        <v>1103</v>
      </c>
      <c r="O1" s="859"/>
      <c r="P1" s="859"/>
      <c r="Q1" s="859"/>
      <c r="R1" s="859"/>
    </row>
    <row r="2" spans="2:18" ht="41.25" customHeight="1" x14ac:dyDescent="0.25">
      <c r="B2" s="852" t="s">
        <v>737</v>
      </c>
      <c r="C2" s="852"/>
      <c r="D2" s="852"/>
      <c r="E2" s="852"/>
      <c r="F2" s="852"/>
      <c r="G2" s="717"/>
      <c r="H2" s="862" t="s">
        <v>1102</v>
      </c>
      <c r="I2" s="862"/>
      <c r="J2" s="862"/>
      <c r="K2" s="862"/>
      <c r="L2" s="862"/>
      <c r="N2" s="869" t="s">
        <v>738</v>
      </c>
      <c r="O2" s="869"/>
      <c r="P2" s="869"/>
      <c r="Q2" s="869"/>
      <c r="R2" s="867" t="s">
        <v>1030</v>
      </c>
    </row>
    <row r="3" spans="2:18" ht="60" x14ac:dyDescent="0.25">
      <c r="B3" s="395" t="s">
        <v>5</v>
      </c>
      <c r="C3" s="618" t="s">
        <v>673</v>
      </c>
      <c r="D3" s="618" t="s">
        <v>674</v>
      </c>
      <c r="E3" s="618" t="s">
        <v>675</v>
      </c>
      <c r="F3" s="618" t="s">
        <v>1045</v>
      </c>
      <c r="G3" s="605"/>
      <c r="H3" s="721" t="s">
        <v>739</v>
      </c>
      <c r="I3" s="721" t="s">
        <v>1026</v>
      </c>
      <c r="J3" s="721" t="s">
        <v>1027</v>
      </c>
      <c r="K3" s="721" t="s">
        <v>1028</v>
      </c>
      <c r="L3" s="721" t="s">
        <v>1029</v>
      </c>
      <c r="N3" s="718"/>
      <c r="O3" s="864" t="s">
        <v>1032</v>
      </c>
      <c r="P3" s="864"/>
      <c r="Q3" s="864"/>
      <c r="R3" s="867"/>
    </row>
    <row r="4" spans="2:18" x14ac:dyDescent="0.25">
      <c r="B4" s="605" t="s">
        <v>368</v>
      </c>
      <c r="C4" s="605">
        <f>GETPIVOTDATA("PCE",'Summary PivotTables'!$A3,"PCE","PCE Eligible Active","AEA Energy Region","Aleutians")</f>
        <v>12</v>
      </c>
      <c r="D4" s="605">
        <f>GETPIVOTDATA("PCE",'Summary PivotTables'!$A3,"PCE","PCE Eligible Inactive","AEA Energy Region","Aleutians")</f>
        <v>1</v>
      </c>
      <c r="E4" s="605">
        <f>GETPIVOTDATA("PCE",'Summary PivotTables'!$A3,"PCE","PCE Ineligible","AEA Energy Region","Aleutians")</f>
        <v>0</v>
      </c>
      <c r="F4" s="398">
        <f>IFERROR((C4/SUM(C4:D4)),"")</f>
        <v>0.92307692307692313</v>
      </c>
      <c r="G4" s="605"/>
      <c r="H4" s="401" t="s">
        <v>1024</v>
      </c>
      <c r="I4" s="722">
        <v>56</v>
      </c>
      <c r="J4" s="723">
        <v>0.36647471891865224</v>
      </c>
      <c r="K4" s="723">
        <v>0.20493948359473504</v>
      </c>
      <c r="L4" s="723">
        <v>0.16153517293755884</v>
      </c>
      <c r="N4" s="399" t="s">
        <v>739</v>
      </c>
      <c r="O4" s="399" t="s">
        <v>740</v>
      </c>
      <c r="P4" s="399" t="s">
        <v>741</v>
      </c>
      <c r="Q4" s="399" t="s">
        <v>742</v>
      </c>
      <c r="R4" s="868"/>
    </row>
    <row r="5" spans="2:18" x14ac:dyDescent="0.25">
      <c r="B5" s="304" t="s">
        <v>390</v>
      </c>
      <c r="C5" s="304">
        <f>GETPIVOTDATA("PCE",'Summary PivotTables'!$A4,"PCE","PCE Eligible Active","AEA Energy Region","Bering Straits")</f>
        <v>16</v>
      </c>
      <c r="D5" s="304">
        <f>GETPIVOTDATA("PCE",'Summary PivotTables'!$A4,"PCE","PCE Eligible Inactive","AEA Energy Region","Bering Straits")</f>
        <v>0</v>
      </c>
      <c r="E5" s="304">
        <f>GETPIVOTDATA("PCE",'Summary PivotTables'!$A4,"PCE","PCE Ineligible","AEA Energy Region","Bering Straits")</f>
        <v>0</v>
      </c>
      <c r="F5" s="400">
        <f t="shared" ref="F5:F14" si="0">IFERROR((C5/SUM(C5:D5)),"")</f>
        <v>1</v>
      </c>
      <c r="G5" s="605"/>
      <c r="H5" s="401" t="s">
        <v>744</v>
      </c>
      <c r="I5" s="722">
        <v>105</v>
      </c>
      <c r="J5" s="723">
        <v>0.54154165353900852</v>
      </c>
      <c r="K5" s="723">
        <v>0.31920384352881054</v>
      </c>
      <c r="L5" s="723">
        <v>0.22175824801599112</v>
      </c>
      <c r="N5" s="401" t="s">
        <v>1024</v>
      </c>
      <c r="O5" s="606">
        <v>136</v>
      </c>
      <c r="P5" s="606">
        <v>428.92416111522328</v>
      </c>
      <c r="Q5" s="606">
        <v>955.02803738317755</v>
      </c>
      <c r="R5" s="719">
        <v>0.67822237842961286</v>
      </c>
    </row>
    <row r="6" spans="2:18" x14ac:dyDescent="0.25">
      <c r="B6" s="304" t="s">
        <v>392</v>
      </c>
      <c r="C6" s="304">
        <f>GETPIVOTDATA("PCE",'Summary PivotTables'!$A5,"PCE","PCE Eligible Active","AEA Energy Region","Bristol Bay")</f>
        <v>26</v>
      </c>
      <c r="D6" s="304">
        <f>GETPIVOTDATA("PCE",'Summary PivotTables'!$A5,"PCE","PCE Eligible Inactive","AEA Energy Region","Bristol Bay")</f>
        <v>1</v>
      </c>
      <c r="E6" s="304">
        <f>GETPIVOTDATA("PCE",'Summary PivotTables'!$A5,"PCE","PCE Ineligible","AEA Energy Region","Bristol Bay")</f>
        <v>0</v>
      </c>
      <c r="F6" s="400">
        <f t="shared" si="0"/>
        <v>0.96296296296296291</v>
      </c>
      <c r="G6" s="605"/>
      <c r="H6" s="401" t="s">
        <v>745</v>
      </c>
      <c r="I6" s="722">
        <v>23</v>
      </c>
      <c r="J6" s="723">
        <v>0.61478199936410971</v>
      </c>
      <c r="K6" s="723">
        <v>0.28722488352326703</v>
      </c>
      <c r="L6" s="723">
        <v>0.32755711584084263</v>
      </c>
      <c r="N6" s="401" t="s">
        <v>744</v>
      </c>
      <c r="O6" s="606">
        <v>48.886363636363633</v>
      </c>
      <c r="P6" s="606">
        <v>364.02421121972111</v>
      </c>
      <c r="Q6" s="606">
        <v>842.6875</v>
      </c>
      <c r="R6" s="719">
        <v>0.77227568733795171</v>
      </c>
    </row>
    <row r="7" spans="2:18" x14ac:dyDescent="0.25">
      <c r="B7" s="304" t="s">
        <v>379</v>
      </c>
      <c r="C7" s="304">
        <f>GETPIVOTDATA("PCE",'Summary PivotTables'!$A6,"PCE","PCE Eligible Active","AEA Energy Region","Copper River/Chugach")</f>
        <v>8</v>
      </c>
      <c r="D7" s="304">
        <f>GETPIVOTDATA("PCE",'Summary PivotTables'!$A6,"PCE","PCE Eligible Inactive","AEA Energy Region","Copper River/Chugach")</f>
        <v>0</v>
      </c>
      <c r="E7" s="304">
        <f>GETPIVOTDATA("PCE",'Summary PivotTables'!$A6,"PCE","PCE Ineligible","AEA Energy Region","Copper River/Chugach")</f>
        <v>15</v>
      </c>
      <c r="F7" s="400">
        <f t="shared" si="0"/>
        <v>1</v>
      </c>
      <c r="G7" s="605"/>
      <c r="H7" s="402" t="s">
        <v>746</v>
      </c>
      <c r="I7" s="722">
        <v>4</v>
      </c>
      <c r="J7" s="723">
        <v>0.69962871746326538</v>
      </c>
      <c r="K7" s="723">
        <v>0.26606155719054692</v>
      </c>
      <c r="L7" s="723">
        <v>0.43356717531454975</v>
      </c>
      <c r="N7" s="401" t="s">
        <v>745</v>
      </c>
      <c r="O7" s="606">
        <v>124.72357723577235</v>
      </c>
      <c r="P7" s="606">
        <v>310.34640314264669</v>
      </c>
      <c r="Q7" s="606">
        <v>590.70000000000005</v>
      </c>
      <c r="R7" s="719">
        <v>0.7454909093526958</v>
      </c>
    </row>
    <row r="8" spans="2:18" x14ac:dyDescent="0.25">
      <c r="B8" s="304" t="s">
        <v>222</v>
      </c>
      <c r="C8" s="304">
        <f>GETPIVOTDATA("PCE",'Summary PivotTables'!$A7,"PCE","PCE Eligible Active","AEA Energy Region","Kodiak")</f>
        <v>4</v>
      </c>
      <c r="D8" s="304">
        <f>GETPIVOTDATA("PCE",'Summary PivotTables'!$A7,"PCE","PCE Eligible Inactive","AEA Energy Region","Kodiak")</f>
        <v>1</v>
      </c>
      <c r="E8" s="304">
        <f>GETPIVOTDATA("PCE",'Summary PivotTables'!$A7,"PCE","PCE Ineligible","AEA Energy Region","Kodiak")</f>
        <v>5</v>
      </c>
      <c r="F8" s="400">
        <f t="shared" si="0"/>
        <v>0.8</v>
      </c>
      <c r="G8" s="605"/>
      <c r="H8" s="401" t="s">
        <v>747</v>
      </c>
      <c r="I8" s="722">
        <v>1</v>
      </c>
      <c r="J8" s="723">
        <v>0.6258456129096599</v>
      </c>
      <c r="K8" s="723">
        <v>0.2496297798705692</v>
      </c>
      <c r="L8" s="723">
        <v>0.55191708287400032</v>
      </c>
      <c r="N8" s="402" t="s">
        <v>746</v>
      </c>
      <c r="O8" s="606">
        <v>101.36585365853658</v>
      </c>
      <c r="P8" s="606">
        <v>359.31114511604181</v>
      </c>
      <c r="Q8" s="606">
        <v>535.1614123581337</v>
      </c>
      <c r="R8" s="719">
        <v>0.76169297282410797</v>
      </c>
    </row>
    <row r="9" spans="2:18" x14ac:dyDescent="0.25">
      <c r="B9" s="304" t="s">
        <v>363</v>
      </c>
      <c r="C9" s="304">
        <f>GETPIVOTDATA("PCE",'Summary PivotTables'!$A8,"PCE","PCE Eligible Active","AEA Energy Region","Lower Yukon-Kuskokwim")</f>
        <v>47</v>
      </c>
      <c r="D9" s="304">
        <f>GETPIVOTDATA("PCE",'Summary PivotTables'!$A8,"PCE","PCE Eligible Inactive","AEA Energy Region","Lower Yukon-Kuskokwim")</f>
        <v>1</v>
      </c>
      <c r="E9" s="304">
        <f>GETPIVOTDATA("PCE",'Summary PivotTables'!$A8,"PCE","PCE Ineligible","AEA Energy Region","Lower Yukon-Kuskokwim")</f>
        <v>0</v>
      </c>
      <c r="F9" s="400">
        <f t="shared" si="0"/>
        <v>0.97916666666666663</v>
      </c>
      <c r="G9" s="605"/>
      <c r="H9" s="724" t="s">
        <v>1025</v>
      </c>
      <c r="I9" s="722">
        <v>1</v>
      </c>
      <c r="J9" s="723">
        <v>0.99999550335204668</v>
      </c>
      <c r="K9" s="723">
        <v>0.27167907559819043</v>
      </c>
      <c r="L9" s="723">
        <v>0.72831641412765025</v>
      </c>
      <c r="N9" s="401" t="s">
        <v>747</v>
      </c>
      <c r="O9" s="606">
        <v>268.83673469387753</v>
      </c>
      <c r="P9" s="606">
        <v>332.9349593495935</v>
      </c>
      <c r="Q9" s="606">
        <v>540.29787234042556</v>
      </c>
      <c r="R9" s="719">
        <v>0.80084124929794143</v>
      </c>
    </row>
    <row r="10" spans="2:18" x14ac:dyDescent="0.25">
      <c r="B10" s="304" t="s">
        <v>401</v>
      </c>
      <c r="C10" s="304">
        <f>GETPIVOTDATA("PCE",'Summary PivotTables'!$A9,"PCE","PCE Eligible Active","AEA Energy Region","North Slope")</f>
        <v>7</v>
      </c>
      <c r="D10" s="304">
        <f>GETPIVOTDATA("PCE",'Summary PivotTables'!$A9,"PCE","PCE Eligible Inactive","AEA Energy Region","North Slope")</f>
        <v>0</v>
      </c>
      <c r="E10" s="304">
        <f>GETPIVOTDATA("PCE",'Summary PivotTables'!$A9,"PCE","PCE Ineligible","AEA Energy Region","North Slope")</f>
        <v>2</v>
      </c>
      <c r="F10" s="400">
        <f t="shared" si="0"/>
        <v>1</v>
      </c>
      <c r="G10" s="605"/>
      <c r="H10" s="399" t="s">
        <v>14</v>
      </c>
      <c r="I10" s="750">
        <f>SUM(I4:I9)</f>
        <v>190</v>
      </c>
      <c r="J10" s="749"/>
      <c r="K10" s="749"/>
      <c r="L10" s="749"/>
      <c r="N10" s="401" t="s">
        <v>1025</v>
      </c>
      <c r="O10" s="606">
        <v>96.15384615384616</v>
      </c>
      <c r="P10" s="606">
        <v>195.68968023255815</v>
      </c>
      <c r="Q10" s="606">
        <v>246.21276595744681</v>
      </c>
      <c r="R10" s="719">
        <v>0.49832695185855036</v>
      </c>
    </row>
    <row r="11" spans="2:18" ht="15" customHeight="1" x14ac:dyDescent="0.25">
      <c r="B11" s="304" t="s">
        <v>388</v>
      </c>
      <c r="C11" s="304">
        <f>GETPIVOTDATA("PCE",'Summary PivotTables'!$A10,"PCE","PCE Eligible Active","AEA Energy Region","Northwest Arctic")</f>
        <v>11</v>
      </c>
      <c r="D11" s="304">
        <f>GETPIVOTDATA("PCE",'Summary PivotTables'!$A10,"PCE","PCE Eligible Inactive","AEA Energy Region","Northwest Arctic")</f>
        <v>0</v>
      </c>
      <c r="E11" s="304">
        <f>GETPIVOTDATA("PCE",'Summary PivotTables'!$A10,"PCE","PCE Ineligible","AEA Energy Region","Northwest Arctic")</f>
        <v>0</v>
      </c>
      <c r="F11" s="400">
        <f t="shared" si="0"/>
        <v>1</v>
      </c>
      <c r="G11" s="605"/>
      <c r="H11" s="860" t="s">
        <v>1093</v>
      </c>
      <c r="I11" s="860"/>
      <c r="J11" s="860"/>
      <c r="K11" s="860"/>
      <c r="L11" s="860"/>
      <c r="N11" s="865" t="s">
        <v>748</v>
      </c>
      <c r="O11" s="865"/>
      <c r="P11" s="865"/>
      <c r="Q11" s="865"/>
      <c r="R11" s="866" t="s">
        <v>986</v>
      </c>
    </row>
    <row r="12" spans="2:18" x14ac:dyDescent="0.25">
      <c r="B12" s="304" t="s">
        <v>158</v>
      </c>
      <c r="C12" s="304">
        <f>GETPIVOTDATA("PCE",'Summary PivotTables'!$A11,"PCE","PCE Eligible Active","AEA Energy Region","Railbelt")</f>
        <v>0</v>
      </c>
      <c r="D12" s="304">
        <f>GETPIVOTDATA("PCE",'Summary PivotTables'!$A11,"PCE","PCE Eligible Inactive","AEA Energy Region","Railbelt")</f>
        <v>0</v>
      </c>
      <c r="E12" s="304">
        <f>GETPIVOTDATA("PCE",'Summary PivotTables'!$A11,"PCE","PCE Ineligible","AEA Energy Region","Railbelt")</f>
        <v>95</v>
      </c>
      <c r="F12" s="400" t="str">
        <f>IFERROR((C12/SUM(C12:D12)),"")</f>
        <v/>
      </c>
      <c r="G12" s="605"/>
      <c r="H12" s="860"/>
      <c r="I12" s="860"/>
      <c r="J12" s="860"/>
      <c r="K12" s="860"/>
      <c r="L12" s="860"/>
      <c r="N12" s="432"/>
      <c r="O12" s="864" t="s">
        <v>1032</v>
      </c>
      <c r="P12" s="864"/>
      <c r="Q12" s="864"/>
      <c r="R12" s="867"/>
    </row>
    <row r="13" spans="2:18" ht="15" customHeight="1" x14ac:dyDescent="0.25">
      <c r="B13" s="304" t="s">
        <v>373</v>
      </c>
      <c r="C13" s="304">
        <f>GETPIVOTDATA("PCE",'Summary PivotTables'!$A12,"PCE","PCE Eligible Active","AEA Energy Region","Southeast")</f>
        <v>22</v>
      </c>
      <c r="D13" s="304">
        <f>GETPIVOTDATA("PCE",'Summary PivotTables'!$A12,"PCE","PCE Eligible Inactive","AEA Energy Region","Southeast")</f>
        <v>0</v>
      </c>
      <c r="E13" s="304">
        <f>GETPIVOTDATA("PCE",'Summary PivotTables'!$A12,"PCE","PCE Ineligible","AEA Energy Region","Southeast")</f>
        <v>9</v>
      </c>
      <c r="F13" s="400">
        <f t="shared" si="0"/>
        <v>1</v>
      </c>
      <c r="G13" s="605"/>
      <c r="H13" s="860"/>
      <c r="I13" s="860"/>
      <c r="J13" s="860"/>
      <c r="K13" s="860"/>
      <c r="L13" s="860"/>
      <c r="N13" s="399" t="s">
        <v>739</v>
      </c>
      <c r="O13" s="399" t="s">
        <v>740</v>
      </c>
      <c r="P13" s="399" t="s">
        <v>741</v>
      </c>
      <c r="Q13" s="399" t="s">
        <v>742</v>
      </c>
      <c r="R13" s="868"/>
    </row>
    <row r="14" spans="2:18" x14ac:dyDescent="0.25">
      <c r="B14" s="605" t="s">
        <v>376</v>
      </c>
      <c r="C14" s="605">
        <f>GETPIVOTDATA("PCE",'Summary PivotTables'!$A13,"PCE","PCE Eligible Active","AEA Energy Region","Yukon-Koyukuk/Upper Tanana")</f>
        <v>38</v>
      </c>
      <c r="D14" s="605">
        <f>GETPIVOTDATA("PCE",'Summary PivotTables'!$A13,"PCE","PCE Eligible Inactive","AEA Energy Region","Yukon-Koyukuk/Upper Tanana")</f>
        <v>5</v>
      </c>
      <c r="E14" s="605">
        <f>GETPIVOTDATA("PCE",'Summary PivotTables'!$A13,"PCE","PCE Ineligible","AEA Energy Region","Yukon-Koyukuk/Upper Tanana")</f>
        <v>2</v>
      </c>
      <c r="F14" s="398">
        <f t="shared" si="0"/>
        <v>0.88372093023255816</v>
      </c>
      <c r="G14" s="605"/>
      <c r="N14" s="401" t="s">
        <v>743</v>
      </c>
      <c r="O14" s="606">
        <v>114.21818181818182</v>
      </c>
      <c r="P14" s="606">
        <v>513.65881923455697</v>
      </c>
      <c r="Q14" s="606">
        <v>1079.8461538461538</v>
      </c>
      <c r="R14" s="719">
        <v>0.61456203698630485</v>
      </c>
    </row>
    <row r="15" spans="2:18" x14ac:dyDescent="0.25">
      <c r="B15" s="395" t="s">
        <v>14</v>
      </c>
      <c r="C15" s="395">
        <f>SUM(C4:C14)</f>
        <v>191</v>
      </c>
      <c r="D15" s="395">
        <f>SUM(D4:D14)</f>
        <v>9</v>
      </c>
      <c r="E15" s="395">
        <f>SUM(E4:E14)</f>
        <v>128</v>
      </c>
      <c r="F15" s="403"/>
      <c r="G15" s="605"/>
      <c r="N15" s="401" t="s">
        <v>744</v>
      </c>
      <c r="O15" s="606">
        <v>141.56402610308947</v>
      </c>
      <c r="P15" s="606">
        <v>422.96018183867511</v>
      </c>
      <c r="Q15" s="606">
        <v>753.92857142857144</v>
      </c>
      <c r="R15" s="719">
        <v>0.71097907353011069</v>
      </c>
    </row>
    <row r="16" spans="2:18" ht="17.25" customHeight="1" x14ac:dyDescent="0.25">
      <c r="B16" s="857" t="s">
        <v>1077</v>
      </c>
      <c r="C16" s="857"/>
      <c r="D16" s="857"/>
      <c r="E16" s="857"/>
      <c r="F16" s="857"/>
      <c r="G16" s="605"/>
      <c r="N16" s="401" t="s">
        <v>745</v>
      </c>
      <c r="O16" s="606">
        <v>75.902439024390247</v>
      </c>
      <c r="P16" s="606">
        <v>375.77109546346531</v>
      </c>
      <c r="Q16" s="606">
        <v>618.40755208333337</v>
      </c>
      <c r="R16" s="719">
        <v>0.73447434264992062</v>
      </c>
    </row>
    <row r="17" spans="2:18" ht="17.25" customHeight="1" x14ac:dyDescent="0.25">
      <c r="B17" s="858"/>
      <c r="C17" s="858"/>
      <c r="D17" s="858"/>
      <c r="E17" s="858"/>
      <c r="F17" s="858"/>
      <c r="G17" s="605"/>
      <c r="N17" s="402" t="s">
        <v>746</v>
      </c>
      <c r="O17" s="606">
        <v>114.73684210526316</v>
      </c>
      <c r="P17" s="606">
        <v>297.70157600406714</v>
      </c>
      <c r="Q17" s="606">
        <v>504.70454545454544</v>
      </c>
      <c r="R17" s="719">
        <v>0.78097062906968995</v>
      </c>
    </row>
    <row r="18" spans="2:18" ht="17.25" customHeight="1" x14ac:dyDescent="0.25">
      <c r="B18" s="858"/>
      <c r="C18" s="858"/>
      <c r="D18" s="858"/>
      <c r="E18" s="858"/>
      <c r="F18" s="858"/>
      <c r="N18" s="401" t="s">
        <v>747</v>
      </c>
      <c r="O18" s="606">
        <v>228.34693877551021</v>
      </c>
      <c r="P18" s="606">
        <v>422.4362895005097</v>
      </c>
      <c r="Q18" s="606">
        <v>542.73394495412845</v>
      </c>
      <c r="R18" s="719">
        <v>0.71978716729808645</v>
      </c>
    </row>
    <row r="19" spans="2:18" ht="17.25" customHeight="1" x14ac:dyDescent="0.25">
      <c r="B19" s="858"/>
      <c r="C19" s="858"/>
      <c r="D19" s="858"/>
      <c r="E19" s="858"/>
      <c r="F19" s="858"/>
      <c r="N19" s="401" t="s">
        <v>1025</v>
      </c>
      <c r="O19" s="606">
        <v>82.07692307692308</v>
      </c>
      <c r="P19" s="606">
        <v>215.92051630434781</v>
      </c>
      <c r="Q19" s="606">
        <v>290.531914893617</v>
      </c>
      <c r="R19" s="719">
        <v>0.79174414397407455</v>
      </c>
    </row>
    <row r="20" spans="2:18" s="788" customFormat="1" ht="17.25" customHeight="1" x14ac:dyDescent="0.25">
      <c r="B20" s="798"/>
      <c r="C20" s="798"/>
      <c r="D20" s="798"/>
      <c r="E20" s="798"/>
      <c r="F20" s="798"/>
      <c r="N20" s="861" t="s">
        <v>1050</v>
      </c>
      <c r="O20" s="861"/>
      <c r="P20" s="861"/>
      <c r="Q20" s="861"/>
      <c r="R20" s="861"/>
    </row>
    <row r="21" spans="2:18" ht="15" customHeight="1" x14ac:dyDescent="0.25">
      <c r="B21" s="853" t="s">
        <v>1124</v>
      </c>
      <c r="C21" s="853"/>
      <c r="D21" s="853"/>
      <c r="E21" s="853"/>
      <c r="F21" s="853"/>
      <c r="G21" s="853"/>
      <c r="H21" s="853"/>
      <c r="N21" s="860"/>
      <c r="O21" s="860"/>
      <c r="P21" s="860"/>
      <c r="Q21" s="860"/>
      <c r="R21" s="860"/>
    </row>
    <row r="22" spans="2:18" x14ac:dyDescent="0.25">
      <c r="B22" s="852" t="s">
        <v>737</v>
      </c>
      <c r="C22" s="852"/>
      <c r="D22" s="852"/>
      <c r="E22" s="852"/>
      <c r="F22" s="852"/>
      <c r="G22" s="852"/>
      <c r="H22" s="852"/>
      <c r="K22" s="726"/>
      <c r="L22" s="720"/>
      <c r="M22" s="720"/>
      <c r="N22" s="860"/>
      <c r="O22" s="860"/>
      <c r="P22" s="860"/>
      <c r="Q22" s="860"/>
      <c r="R22" s="860"/>
    </row>
    <row r="23" spans="2:18" ht="60" x14ac:dyDescent="0.25">
      <c r="B23" s="395" t="s">
        <v>5</v>
      </c>
      <c r="C23" s="609" t="s">
        <v>1004</v>
      </c>
      <c r="D23" s="609" t="s">
        <v>759</v>
      </c>
      <c r="E23" s="395" t="s">
        <v>8</v>
      </c>
      <c r="F23" s="404" t="s">
        <v>10</v>
      </c>
      <c r="G23" s="404" t="s">
        <v>1007</v>
      </c>
      <c r="H23" s="397" t="s">
        <v>1008</v>
      </c>
      <c r="N23" s="860"/>
      <c r="O23" s="860"/>
      <c r="P23" s="860"/>
      <c r="Q23" s="860"/>
      <c r="R23" s="860"/>
    </row>
    <row r="24" spans="2:18" x14ac:dyDescent="0.25">
      <c r="B24" s="405" t="s">
        <v>368</v>
      </c>
      <c r="C24" s="610">
        <f>GETPIVOTDATA("Sum of Fossil Fuel Turbines",'Summary PivotTables'!$A$21,"AEA Energy Region","Aleutians")</f>
        <v>0</v>
      </c>
      <c r="D24" s="610">
        <f>GETPIVOTDATA("Sum of Internal Combustion",'Summary PivotTables'!$A$21,"AEA Energy Region","Aleutians")</f>
        <v>34945</v>
      </c>
      <c r="E24" s="610">
        <f>GETPIVOTDATA("Sum of Hydroelectric",'Summary PivotTables'!$A$21,"AEA Energy Region","Aleutians")</f>
        <v>800</v>
      </c>
      <c r="F24" s="610">
        <f>GETPIVOTDATA("Sum of Wind Turbine",'Summary PivotTables'!$A$21,"AEA Energy Region","Aleutians")</f>
        <v>1740</v>
      </c>
      <c r="G24" s="406">
        <f>MROUND(GETPIVOTDATA("Sum of Total Capacity, kW (1)",'Summary PivotTables'!A21,"AEA Energy Region","Aleutians"), 10)</f>
        <v>37490</v>
      </c>
      <c r="H24" s="407">
        <f t="shared" ref="H24:H34" si="1">G24/$G$35</f>
        <v>1.7063867749335469E-2</v>
      </c>
      <c r="I24" s="394"/>
      <c r="N24" s="860"/>
      <c r="O24" s="860"/>
      <c r="P24" s="860"/>
      <c r="Q24" s="860"/>
      <c r="R24" s="860"/>
    </row>
    <row r="25" spans="2:18" x14ac:dyDescent="0.25">
      <c r="B25" s="408" t="s">
        <v>390</v>
      </c>
      <c r="C25" s="611">
        <f>GETPIVOTDATA("Sum of Fossil Fuel Turbines",'Summary PivotTables'!$A$21,"AEA Energy Region","Bering Straits")</f>
        <v>0</v>
      </c>
      <c r="D25" s="611">
        <f>GETPIVOTDATA("Sum of Internal Combustion",'Summary PivotTables'!$A$21,"AEA Energy Region","Bering Straits")</f>
        <v>36833</v>
      </c>
      <c r="E25" s="611">
        <f>GETPIVOTDATA("Sum of Hydroelectric",'Summary PivotTables'!$A$21,"AEA Energy Region","Bering Straits")</f>
        <v>0</v>
      </c>
      <c r="F25" s="611">
        <f>GETPIVOTDATA("Sum of Wind Turbine",'Summary PivotTables'!$A$21,"AEA Energy Region","Bering Straits")</f>
        <v>2400</v>
      </c>
      <c r="G25" s="409">
        <f>MROUND(GETPIVOTDATA("Sum of Total Capacity, kW (1)",'Summary PivotTables'!A22,"AEA Energy Region","Bering Straits"),10)</f>
        <v>39230</v>
      </c>
      <c r="H25" s="400">
        <f t="shared" si="1"/>
        <v>1.785584240614645E-2</v>
      </c>
      <c r="I25" s="394"/>
      <c r="N25" s="860"/>
      <c r="O25" s="860"/>
      <c r="P25" s="860"/>
      <c r="Q25" s="860"/>
      <c r="R25" s="860"/>
    </row>
    <row r="26" spans="2:18" x14ac:dyDescent="0.25">
      <c r="B26" s="408" t="s">
        <v>392</v>
      </c>
      <c r="C26" s="611">
        <f>GETPIVOTDATA("Sum of Fossil Fuel Turbines",'Summary PivotTables'!$A$21,"AEA Energy Region","Bristol Bay")</f>
        <v>0</v>
      </c>
      <c r="D26" s="611">
        <f>GETPIVOTDATA("Sum of Internal Combustion",'Summary PivotTables'!$A$21,"AEA Energy Region","Bristol Bay")</f>
        <v>27479</v>
      </c>
      <c r="E26" s="611">
        <f>GETPIVOTDATA("Sum of Hydroelectric",'Summary PivotTables'!$A$21,"AEA Energy Region","Bristol Bay")</f>
        <v>824</v>
      </c>
      <c r="F26" s="611">
        <f>GETPIVOTDATA("Sum of Wind Turbine",'Summary PivotTables'!$A$21,"AEA Energy Region","Bristol Bay")</f>
        <v>44</v>
      </c>
      <c r="G26" s="409">
        <f>MROUND(GETPIVOTDATA("Sum of Total Capacity, kW (1)",'Summary PivotTables'!A23,"AEA Energy Region","Bristol Bay"),10)</f>
        <v>28320</v>
      </c>
      <c r="H26" s="400">
        <f t="shared" si="1"/>
        <v>1.2890070276371846E-2</v>
      </c>
      <c r="I26" s="394"/>
      <c r="N26" s="422"/>
    </row>
    <row r="27" spans="2:18" x14ac:dyDescent="0.25">
      <c r="B27" s="408" t="s">
        <v>379</v>
      </c>
      <c r="C27" s="611">
        <f>GETPIVOTDATA("Sum of Fossil Fuel Turbines",'Summary PivotTables'!$A$21,"AEA Energy Region","Copper River/Chugach")</f>
        <v>8100</v>
      </c>
      <c r="D27" s="611">
        <f>GETPIVOTDATA("Sum of Internal Combustion",'Summary PivotTables'!$A$21,"AEA Energy Region","Copper River/Chugach")</f>
        <v>30044</v>
      </c>
      <c r="E27" s="611">
        <f>GETPIVOTDATA("Sum of Hydroelectric",'Summary PivotTables'!$A$21,"AEA Energy Region","Copper River/Chugach")</f>
        <v>19200</v>
      </c>
      <c r="F27" s="611">
        <f>GETPIVOTDATA("Sum of Wind Turbine",'Summary PivotTables'!$A$21,"AEA Energy Region","Copper River/Chugach")</f>
        <v>0</v>
      </c>
      <c r="G27" s="409">
        <f>MROUND(GETPIVOTDATA("Sum of Total Capacity, kW (1)",'Summary PivotTables'!A24,"AEA Energy Region","Copper River/Chugach"),10)</f>
        <v>57340</v>
      </c>
      <c r="H27" s="400">
        <f t="shared" si="1"/>
        <v>2.6098751046863052E-2</v>
      </c>
      <c r="I27" s="394"/>
      <c r="N27" s="436"/>
    </row>
    <row r="28" spans="2:18" x14ac:dyDescent="0.25">
      <c r="B28" s="408" t="s">
        <v>222</v>
      </c>
      <c r="C28" s="611">
        <f>GETPIVOTDATA("Sum of Fossil Fuel Turbines",'Summary PivotTables'!$A$21,"AEA Energy Region","Kodiak")</f>
        <v>0</v>
      </c>
      <c r="D28" s="611">
        <f>GETPIVOTDATA("Sum of Internal Combustion",'Summary PivotTables'!$A$21,"AEA Energy Region","Kodiak")</f>
        <v>35232</v>
      </c>
      <c r="E28" s="611">
        <f>GETPIVOTDATA("Sum of Hydroelectric",'Summary PivotTables'!$A$21,"AEA Energy Region","Kodiak")</f>
        <v>22875</v>
      </c>
      <c r="F28" s="611">
        <f>GETPIVOTDATA("Sum of Wind Turbine",'Summary PivotTables'!$A$21,"AEA Energy Region","Kodiak")</f>
        <v>4500</v>
      </c>
      <c r="G28" s="409">
        <f>MROUND(GETPIVOTDATA("Sum of Total Capacity, kW (1)",'Summary PivotTables'!A25,"AEA Energy Region","Kodiak"),10)</f>
        <v>62610</v>
      </c>
      <c r="H28" s="400">
        <f t="shared" si="1"/>
        <v>2.8497432909733094E-2</v>
      </c>
      <c r="I28" s="394"/>
      <c r="N28" s="436"/>
    </row>
    <row r="29" spans="2:18" x14ac:dyDescent="0.25">
      <c r="B29" s="408" t="s">
        <v>363</v>
      </c>
      <c r="C29" s="611">
        <f>GETPIVOTDATA("Sum of Fossil Fuel Turbines",'Summary PivotTables'!$A$21,"AEA Energy Region","Lower Yukon-Kuskokwim")</f>
        <v>0</v>
      </c>
      <c r="D29" s="611">
        <f>GETPIVOTDATA("Sum of Internal Combustion",'Summary PivotTables'!$A$21,"AEA Energy Region","Lower Yukon-Kuskokwim")</f>
        <v>53209</v>
      </c>
      <c r="E29" s="611">
        <f>GETPIVOTDATA("Sum of Hydroelectric",'Summary PivotTables'!$A$21,"AEA Energy Region","Lower Yukon-Kuskokwim")</f>
        <v>0</v>
      </c>
      <c r="F29" s="611">
        <f>GETPIVOTDATA("Sum of Wind Turbine",'Summary PivotTables'!$A$21,"AEA Energy Region","Lower Yukon-Kuskokwim")</f>
        <v>2750</v>
      </c>
      <c r="G29" s="409">
        <f>MROUND(GETPIVOTDATA("Sum of Total Capacity, kW (1)",'Summary PivotTables'!A26,"AEA Energy Region","Lower Yukon-Kuskokwim"),10)</f>
        <v>55960</v>
      </c>
      <c r="H29" s="400">
        <f t="shared" si="1"/>
        <v>2.547063321559917E-2</v>
      </c>
      <c r="I29" s="394"/>
      <c r="N29" s="436"/>
    </row>
    <row r="30" spans="2:18" x14ac:dyDescent="0.25">
      <c r="B30" s="408" t="s">
        <v>401</v>
      </c>
      <c r="C30" s="611">
        <f>GETPIVOTDATA("Sum of Fossil Fuel Turbines",'Summary PivotTables'!$A$21,"AEA Energy Region","North Slope")</f>
        <v>17300</v>
      </c>
      <c r="D30" s="611">
        <f>GETPIVOTDATA("Sum of Internal Combustion",'Summary PivotTables'!$A$21,"AEA Energy Region","North Slope")</f>
        <v>23300</v>
      </c>
      <c r="E30" s="611">
        <f>GETPIVOTDATA("Sum of Hydroelectric",'Summary PivotTables'!$A$21,"AEA Energy Region","North Slope")</f>
        <v>0</v>
      </c>
      <c r="F30" s="611">
        <f>GETPIVOTDATA("Sum of Wind Turbine",'Summary PivotTables'!$A$21,"AEA Energy Region","North Slope")</f>
        <v>0</v>
      </c>
      <c r="G30" s="409">
        <f>MROUND(GETPIVOTDATA("Sum of Total Capacity, kW (1)",'Summary PivotTables'!A27,"AEA Energy Region","North Slope"),10)</f>
        <v>40600</v>
      </c>
      <c r="H30" s="400">
        <f t="shared" si="1"/>
        <v>1.8479408658922915E-2</v>
      </c>
      <c r="I30" s="394"/>
      <c r="N30" s="436"/>
    </row>
    <row r="31" spans="2:18" x14ac:dyDescent="0.25">
      <c r="B31" s="408" t="s">
        <v>388</v>
      </c>
      <c r="C31" s="611">
        <f>GETPIVOTDATA("Sum of Fossil Fuel Turbines",'Summary PivotTables'!$A$21,"AEA Energy Region","Northwest Arctic")</f>
        <v>0</v>
      </c>
      <c r="D31" s="611">
        <f>GETPIVOTDATA("Sum of Internal Combustion",'Summary PivotTables'!$A$21,"AEA Energy Region","Northwest Arctic")</f>
        <v>21959</v>
      </c>
      <c r="E31" s="611">
        <f>GETPIVOTDATA("Sum of Hydroelectric",'Summary PivotTables'!$A$21,"AEA Energy Region","Northwest Arctic")</f>
        <v>0</v>
      </c>
      <c r="F31" s="611">
        <f>GETPIVOTDATA("Sum of Wind Turbine",'Summary PivotTables'!$A$21,"AEA Energy Region","Northwest Arctic")</f>
        <v>1400</v>
      </c>
      <c r="G31" s="409">
        <f>MROUND(GETPIVOTDATA("Sum of Total Capacity, kW (1)",'Summary PivotTables'!A28,"AEA Energy Region","Northwest Arctic"),10)</f>
        <v>25120</v>
      </c>
      <c r="H31" s="400">
        <f t="shared" si="1"/>
        <v>1.1433565160397625E-2</v>
      </c>
      <c r="I31" s="394"/>
      <c r="N31" s="448"/>
    </row>
    <row r="32" spans="2:18" x14ac:dyDescent="0.25">
      <c r="B32" s="408" t="s">
        <v>158</v>
      </c>
      <c r="C32" s="611">
        <f>GETPIVOTDATA("Sum of Fossil Fuel Turbines",'Summary PivotTables'!$A$21,"AEA Energy Region","Railbelt")</f>
        <v>1198900</v>
      </c>
      <c r="D32" s="611">
        <f>GETPIVOTDATA("Sum of Internal Combustion",'Summary PivotTables'!$A$21,"AEA Energy Region","Railbelt")</f>
        <v>26200</v>
      </c>
      <c r="E32" s="611">
        <f>GETPIVOTDATA("Sum of Hydroelectric",'Summary PivotTables'!$A$21,"AEA Energy Region","Railbelt")</f>
        <v>184375</v>
      </c>
      <c r="F32" s="611">
        <f>GETPIVOTDATA("Sum of Wind Turbine",'Summary PivotTables'!$A$21,"AEA Energy Region","Railbelt")</f>
        <v>1012</v>
      </c>
      <c r="G32" s="409">
        <f>MROUND(GETPIVOTDATA("Sum of Total Capacity, kW (1)",'Summary PivotTables'!A29,"AEA Energy Region","Railbelt"),10)</f>
        <v>1416780</v>
      </c>
      <c r="H32" s="400">
        <f t="shared" si="1"/>
        <v>0.64485853694061102</v>
      </c>
      <c r="I32" s="394"/>
    </row>
    <row r="33" spans="2:9" x14ac:dyDescent="0.25">
      <c r="B33" s="408" t="s">
        <v>373</v>
      </c>
      <c r="C33" s="611">
        <f>GETPIVOTDATA("Sum of Fossil Fuel Turbines",'Summary PivotTables'!$A$21,"AEA Energy Region","Southeast")</f>
        <v>70900</v>
      </c>
      <c r="D33" s="611">
        <f>GETPIVOTDATA("Sum of Internal Combustion",'Summary PivotTables'!$A$21,"AEA Energy Region","Southeast")</f>
        <v>130922</v>
      </c>
      <c r="E33" s="611">
        <f>GETPIVOTDATA("Sum of Hydroelectric",'Summary PivotTables'!$A$21,"AEA Energy Region","Southeast")</f>
        <v>210085</v>
      </c>
      <c r="F33" s="611">
        <f>GETPIVOTDATA("Sum of Wind Turbine",'Summary PivotTables'!$A$21,"AEA Energy Region","Southeast")</f>
        <v>0</v>
      </c>
      <c r="G33" s="409">
        <f>MROUND(GETPIVOTDATA("Sum of Total Capacity, kW (1)",'Summary PivotTables'!A30,"AEA Energy Region","Southeast"),10)</f>
        <v>414360</v>
      </c>
      <c r="H33" s="400">
        <f t="shared" si="1"/>
        <v>0.18859920620471179</v>
      </c>
      <c r="I33" s="394"/>
    </row>
    <row r="34" spans="2:9" x14ac:dyDescent="0.25">
      <c r="B34" s="410" t="s">
        <v>376</v>
      </c>
      <c r="C34" s="612">
        <f>GETPIVOTDATA("Sum of Fossil Fuel Turbines",'Summary PivotTables'!$A$21,"AEA Energy Region","Yukon-Koyukuk/Upper Tanana")</f>
        <v>0</v>
      </c>
      <c r="D34" s="612">
        <f>GETPIVOTDATA("Sum of Internal Combustion",'Summary PivotTables'!$A$21,"AEA Energy Region","Yukon-Koyukuk/Upper Tanana")</f>
        <v>29715.5</v>
      </c>
      <c r="E34" s="612">
        <f>GETPIVOTDATA("Sum of Hydroelectric",'Summary PivotTables'!$A$21,"AEA Energy Region","Yukon-Koyukuk/Upper Tanana")</f>
        <v>0</v>
      </c>
      <c r="F34" s="612">
        <f>GETPIVOTDATA("Sum of Wind Turbine",'Summary PivotTables'!$A$21,"AEA Energy Region","Yukon-Koyukuk/Upper Tanana")</f>
        <v>0</v>
      </c>
      <c r="G34" s="411">
        <f>MROUND(GETPIVOTDATA("Sum of Total Capacity, kW (1)",'Summary PivotTables'!A31,"AEA Energy Region","Yukon-Koyukuk/Upper Tanana"),10)</f>
        <v>29720</v>
      </c>
      <c r="H34" s="412">
        <f t="shared" si="1"/>
        <v>1.3527291264610566E-2</v>
      </c>
      <c r="I34" s="394"/>
    </row>
    <row r="35" spans="2:9" x14ac:dyDescent="0.25">
      <c r="B35" s="413" t="s">
        <v>14</v>
      </c>
      <c r="C35" s="613">
        <f>SUM(C24:C34)</f>
        <v>1295200</v>
      </c>
      <c r="D35" s="613">
        <f>SUM(D24:D34)</f>
        <v>449838.5</v>
      </c>
      <c r="E35" s="613">
        <f>SUM(E24:E34)</f>
        <v>438159</v>
      </c>
      <c r="F35" s="613">
        <f>SUM(F24:F34)</f>
        <v>13846</v>
      </c>
      <c r="G35" s="414">
        <f>MROUND(SUM(C35:F35), 10)</f>
        <v>2197040</v>
      </c>
      <c r="H35" s="403">
        <f>SUM(H24:H34)</f>
        <v>1.0047746058333029</v>
      </c>
    </row>
    <row r="36" spans="2:9" x14ac:dyDescent="0.25">
      <c r="B36" s="415"/>
    </row>
    <row r="37" spans="2:9" x14ac:dyDescent="0.25">
      <c r="B37" s="416"/>
    </row>
    <row r="40" spans="2:9" x14ac:dyDescent="0.25">
      <c r="B40" s="853" t="s">
        <v>1125</v>
      </c>
      <c r="C40" s="853"/>
      <c r="D40" s="853"/>
    </row>
    <row r="41" spans="2:9" x14ac:dyDescent="0.25">
      <c r="B41" s="852" t="s">
        <v>737</v>
      </c>
      <c r="C41" s="852"/>
      <c r="D41" s="852"/>
    </row>
    <row r="42" spans="2:9" ht="45" x14ac:dyDescent="0.25">
      <c r="B42" s="395" t="s">
        <v>5</v>
      </c>
      <c r="C42" s="413" t="s">
        <v>1007</v>
      </c>
      <c r="D42" s="397" t="s">
        <v>1008</v>
      </c>
      <c r="G42" s="292"/>
      <c r="H42" s="417"/>
    </row>
    <row r="43" spans="2:9" x14ac:dyDescent="0.25">
      <c r="B43" s="405" t="s">
        <v>368</v>
      </c>
      <c r="C43" s="406">
        <f>MROUND(GETPIVOTDATA("Total Net Generation (1)",'Summary PivotTables'!$A$44,"AEA Energy Region","Aleutians"),10)</f>
        <v>63860</v>
      </c>
      <c r="D43" s="418">
        <f>C43/$C$54</f>
        <v>9.7462703651417446E-3</v>
      </c>
      <c r="F43" s="292"/>
      <c r="G43" s="292"/>
      <c r="H43" s="417"/>
    </row>
    <row r="44" spans="2:9" x14ac:dyDescent="0.25">
      <c r="B44" s="408" t="s">
        <v>390</v>
      </c>
      <c r="C44" s="409">
        <f>MROUND(GETPIVOTDATA("Total Net Generation (1)",'Summary PivotTables'!$A$44,"AEA Energy Region","Bering Straits"),10)</f>
        <v>55090</v>
      </c>
      <c r="D44" s="419">
        <f t="shared" ref="D44:D53" si="2">C44/$C$54</f>
        <v>8.4077988477240639E-3</v>
      </c>
      <c r="F44" s="292"/>
      <c r="G44" s="292"/>
      <c r="H44" s="417"/>
    </row>
    <row r="45" spans="2:9" x14ac:dyDescent="0.25">
      <c r="B45" s="408" t="s">
        <v>392</v>
      </c>
      <c r="C45" s="409">
        <f>MROUND(GETPIVOTDATA("Total Net Generation (1)",'Summary PivotTables'!$A$44,"AEA Energy Region","Bristol Bay"),10)</f>
        <v>54520</v>
      </c>
      <c r="D45" s="419">
        <f t="shared" si="2"/>
        <v>8.3208058300583768E-3</v>
      </c>
      <c r="F45" s="292"/>
      <c r="G45" s="292"/>
      <c r="H45" s="417"/>
    </row>
    <row r="46" spans="2:9" x14ac:dyDescent="0.25">
      <c r="B46" s="408" t="s">
        <v>379</v>
      </c>
      <c r="C46" s="409">
        <f>MROUND(GETPIVOTDATA("Total Net Generation (1)",'Summary PivotTables'!$A$44,"AEA Energy Region","Copper River/Chugach"),10)</f>
        <v>114670</v>
      </c>
      <c r="D46" s="419">
        <f t="shared" si="2"/>
        <v>1.7500858483726962E-2</v>
      </c>
      <c r="F46" s="292"/>
      <c r="G46" s="292"/>
      <c r="H46" s="417"/>
    </row>
    <row r="47" spans="2:9" x14ac:dyDescent="0.25">
      <c r="B47" s="408" t="s">
        <v>222</v>
      </c>
      <c r="C47" s="409">
        <f>MROUND(GETPIVOTDATA("Total Net Generation (1)",'Summary PivotTables'!$A$44,"AEA Energy Region","Kodiak"),10)</f>
        <v>150270</v>
      </c>
      <c r="D47" s="419">
        <f t="shared" si="2"/>
        <v>2.2934106604601472E-2</v>
      </c>
      <c r="F47" s="292"/>
      <c r="G47" s="292"/>
      <c r="H47" s="417"/>
    </row>
    <row r="48" spans="2:9" x14ac:dyDescent="0.25">
      <c r="B48" s="408" t="s">
        <v>363</v>
      </c>
      <c r="C48" s="409">
        <f>MROUND(GETPIVOTDATA("Total Net Generation (1)",'Summary PivotTables'!$A$44,"AEA Energy Region","Lower Yukon-Kuskokwim"),10)</f>
        <v>96150</v>
      </c>
      <c r="D48" s="419">
        <f t="shared" si="2"/>
        <v>1.4674348506238315E-2</v>
      </c>
      <c r="F48" s="292"/>
      <c r="G48" s="292"/>
      <c r="H48" s="417"/>
    </row>
    <row r="49" spans="2:8" x14ac:dyDescent="0.25">
      <c r="B49" s="408" t="s">
        <v>401</v>
      </c>
      <c r="C49" s="409">
        <f>MROUND(GETPIVOTDATA("Total Net Generation (1)",'Summary PivotTables'!$A$44,"AEA Energy Region","North Slope"),10)</f>
        <v>80330</v>
      </c>
      <c r="D49" s="419">
        <f t="shared" si="2"/>
        <v>1.2259910717692396E-2</v>
      </c>
      <c r="F49" s="292"/>
      <c r="G49" s="292"/>
      <c r="H49" s="417"/>
    </row>
    <row r="50" spans="2:8" x14ac:dyDescent="0.25">
      <c r="B50" s="408" t="s">
        <v>388</v>
      </c>
      <c r="C50" s="409">
        <f>MROUND(GETPIVOTDATA("Total Net Generation (1)",'Summary PivotTables'!$A$44,"AEA Energy Region","Northwest Arctic"),10)</f>
        <v>35920</v>
      </c>
      <c r="D50" s="419">
        <f t="shared" si="2"/>
        <v>5.4820863062306838E-3</v>
      </c>
      <c r="F50" s="292"/>
      <c r="G50" s="292"/>
      <c r="H50" s="417"/>
    </row>
    <row r="51" spans="2:8" x14ac:dyDescent="0.25">
      <c r="B51" s="408" t="s">
        <v>158</v>
      </c>
      <c r="C51" s="409">
        <f>MROUND(GETPIVOTDATA("Total Net Generation (1)",'Summary PivotTables'!$A$44,"AEA Energy Region","Railbelt"),10)</f>
        <v>5078290</v>
      </c>
      <c r="D51" s="419">
        <f t="shared" si="2"/>
        <v>0.77504521347628674</v>
      </c>
      <c r="F51" s="292"/>
      <c r="G51" s="292"/>
      <c r="H51" s="417"/>
    </row>
    <row r="52" spans="2:8" x14ac:dyDescent="0.25">
      <c r="B52" s="408" t="s">
        <v>373</v>
      </c>
      <c r="C52" s="409">
        <f>MROUND(GETPIVOTDATA("Total Net Generation (1)",'Summary PivotTables'!$A$44,"AEA Energy Region","Southeast"),10)</f>
        <v>790080</v>
      </c>
      <c r="D52" s="419">
        <f t="shared" si="2"/>
        <v>0.12058147964439696</v>
      </c>
      <c r="F52" s="292"/>
      <c r="G52" s="292"/>
      <c r="H52" s="417"/>
    </row>
    <row r="53" spans="2:8" x14ac:dyDescent="0.25">
      <c r="B53" s="410" t="s">
        <v>376</v>
      </c>
      <c r="C53" s="411">
        <f>MROUND(GETPIVOTDATA("Total Net Generation (1)",'Summary PivotTables'!$A$44,"AEA Energy Region","Yukon-Koyukuk/Upper Tanana"),10)</f>
        <v>33070</v>
      </c>
      <c r="D53" s="420">
        <f t="shared" si="2"/>
        <v>5.0471212179022474E-3</v>
      </c>
      <c r="F53" s="292"/>
      <c r="G53" s="417"/>
    </row>
    <row r="54" spans="2:8" x14ac:dyDescent="0.25">
      <c r="B54" s="413" t="s">
        <v>14</v>
      </c>
      <c r="C54" s="414">
        <f>SUM(C43:C53)</f>
        <v>6552250</v>
      </c>
      <c r="D54" s="421">
        <f>SUM(D43:D53)</f>
        <v>1</v>
      </c>
    </row>
    <row r="57" spans="2:8" x14ac:dyDescent="0.25">
      <c r="B57" s="853" t="s">
        <v>1126</v>
      </c>
      <c r="C57" s="853"/>
      <c r="D57" s="853"/>
      <c r="E57" s="853"/>
      <c r="F57" s="853"/>
      <c r="G57" s="853"/>
      <c r="H57" s="853"/>
    </row>
    <row r="58" spans="2:8" x14ac:dyDescent="0.25">
      <c r="B58" s="852" t="s">
        <v>737</v>
      </c>
      <c r="C58" s="852"/>
      <c r="D58" s="852"/>
      <c r="E58" s="852"/>
      <c r="F58" s="852"/>
      <c r="G58" s="852"/>
      <c r="H58" s="852"/>
    </row>
    <row r="59" spans="2:8" x14ac:dyDescent="0.25">
      <c r="B59" s="395" t="s">
        <v>5</v>
      </c>
      <c r="C59" s="404" t="s">
        <v>22</v>
      </c>
      <c r="D59" s="404" t="s">
        <v>23</v>
      </c>
      <c r="E59" s="404" t="s">
        <v>9</v>
      </c>
      <c r="F59" s="404" t="s">
        <v>24</v>
      </c>
      <c r="G59" s="404" t="s">
        <v>10</v>
      </c>
      <c r="H59" s="397" t="s">
        <v>1011</v>
      </c>
    </row>
    <row r="60" spans="2:8" x14ac:dyDescent="0.25">
      <c r="B60" s="405" t="s">
        <v>368</v>
      </c>
      <c r="C60" s="423">
        <f>GETPIVOTDATA("Sum of Oil",'Summary PivotTables'!B59,"AEA Energy Region","Aleutians")</f>
        <v>60717.303499999995</v>
      </c>
      <c r="D60" s="423">
        <f>GETPIVOTDATA("Sum of Gas",'Summary PivotTables'!$A$59,"AEA Energy Region","Aleutians")</f>
        <v>0</v>
      </c>
      <c r="E60" s="423">
        <f>GETPIVOTDATA("Sum of Coal",'Summary PivotTables'!$A$59,"AEA Energy Region","Aleutians")</f>
        <v>0</v>
      </c>
      <c r="F60" s="423">
        <f>MROUND(GETPIVOTDATA("Sum of Hydro",'Summary PivotTables'!$A$59,"AEA Energy Region","Aleutians"),10)</f>
        <v>3140</v>
      </c>
      <c r="G60" s="423">
        <f>GETPIVOTDATA("Sum of Wind",'Summary PivotTables'!$A$59,"AEA Energy Region","Aleutians")</f>
        <v>0.66</v>
      </c>
      <c r="H60" s="424">
        <f>MROUND(SUM(C60:G60),10)</f>
        <v>63860</v>
      </c>
    </row>
    <row r="61" spans="2:8" x14ac:dyDescent="0.25">
      <c r="B61" s="408" t="s">
        <v>390</v>
      </c>
      <c r="C61" s="425">
        <f>GETPIVOTDATA("Sum of Oil",'Summary PivotTables'!B60,"AEA Energy Region","Bering Straits")</f>
        <v>52469.839900000006</v>
      </c>
      <c r="D61" s="425">
        <f>GETPIVOTDATA("Sum of Gas",'Summary PivotTables'!C60,"AEA Energy Region","Bering Straits")</f>
        <v>0</v>
      </c>
      <c r="E61" s="425">
        <f>GETPIVOTDATA("Sum of Coal",'Summary PivotTables'!D60,"AEA Energy Region","Bering Straits")</f>
        <v>0</v>
      </c>
      <c r="F61" s="425">
        <f>GETPIVOTDATA("Sum of Hydro",'Summary PivotTables'!E60,"AEA Energy Region","Bering Straits")</f>
        <v>0</v>
      </c>
      <c r="G61" s="425">
        <f>GETPIVOTDATA("Sum of Wind",'Summary PivotTables'!F60,"AEA Energy Region","Bering Straits")</f>
        <v>2623.5770000000002</v>
      </c>
      <c r="H61" s="424">
        <f t="shared" ref="H61:H70" si="3">MROUND(SUM(C61:G61),10)</f>
        <v>55090</v>
      </c>
    </row>
    <row r="62" spans="2:8" x14ac:dyDescent="0.25">
      <c r="B62" s="408" t="s">
        <v>392</v>
      </c>
      <c r="C62" s="425">
        <f>GETPIVOTDATA("Sum of Oil",'Summary PivotTables'!B61,"AEA Energy Region","Bristol Bay")</f>
        <v>50864.982055</v>
      </c>
      <c r="D62" s="425">
        <f>GETPIVOTDATA("Sum of Gas",'Summary PivotTables'!C61,"AEA Energy Region","Bristol Bay")</f>
        <v>0</v>
      </c>
      <c r="E62" s="425">
        <f>GETPIVOTDATA("Sum of Coal",'Summary PivotTables'!D61,"AEA Energy Region","Bristol Bay")</f>
        <v>0</v>
      </c>
      <c r="F62" s="425">
        <f>GETPIVOTDATA("Sum of Hydro",'Summary PivotTables'!E61,"AEA Energy Region","Bristol Bay")</f>
        <v>3566.2379999999998</v>
      </c>
      <c r="G62" s="425">
        <f>GETPIVOTDATA("Sum of Wind",'Summary PivotTables'!F61,"AEA Energy Region","Bristol Bay")</f>
        <v>87.764999999999986</v>
      </c>
      <c r="H62" s="424">
        <f t="shared" si="3"/>
        <v>54520</v>
      </c>
    </row>
    <row r="63" spans="2:8" x14ac:dyDescent="0.25">
      <c r="B63" s="408" t="s">
        <v>379</v>
      </c>
      <c r="C63" s="425">
        <f>GETPIVOTDATA("Sum of Oil",'Summary PivotTables'!B62,"AEA Energy Region","Copper River/Chugach")</f>
        <v>51723.133999999998</v>
      </c>
      <c r="D63" s="425">
        <f>GETPIVOTDATA("Sum of Gas",'Summary PivotTables'!C62,"AEA Energy Region","Copper River/Chugach")</f>
        <v>0</v>
      </c>
      <c r="E63" s="425">
        <f>GETPIVOTDATA("Sum of Coal",'Summary PivotTables'!D62,"AEA Energy Region","Copper River/Chugach")</f>
        <v>0</v>
      </c>
      <c r="F63" s="425">
        <f>GETPIVOTDATA("Sum of Hydro",'Summary PivotTables'!E62,"AEA Energy Region","Copper River/Chugach")</f>
        <v>62948.928</v>
      </c>
      <c r="G63" s="425">
        <f>GETPIVOTDATA("Sum of Wind",'Summary PivotTables'!F62,"AEA Energy Region","Copper River/Chugach")</f>
        <v>0</v>
      </c>
      <c r="H63" s="424">
        <f t="shared" si="3"/>
        <v>114670</v>
      </c>
    </row>
    <row r="64" spans="2:8" x14ac:dyDescent="0.25">
      <c r="B64" s="408" t="s">
        <v>222</v>
      </c>
      <c r="C64" s="425">
        <f>GETPIVOTDATA("Sum of Oil",'Summary PivotTables'!B63,"AEA Energy Region","Kodiak")</f>
        <v>23380.62055</v>
      </c>
      <c r="D64" s="425">
        <f>GETPIVOTDATA("Sum of Gas",'Summary PivotTables'!C63,"AEA Energy Region","Kodiak")</f>
        <v>0</v>
      </c>
      <c r="E64" s="425">
        <f>GETPIVOTDATA("Sum of Coal",'Summary PivotTables'!D63,"AEA Energy Region","Kodiak")</f>
        <v>0</v>
      </c>
      <c r="F64" s="425">
        <f>GETPIVOTDATA("Sum of Hydro",'Summary PivotTables'!E63,"AEA Energy Region","Kodiak")</f>
        <v>114528.38499999999</v>
      </c>
      <c r="G64" s="425">
        <f>GETPIVOTDATA("Sum of Wind",'Summary PivotTables'!F63,"AEA Energy Region","Kodiak")</f>
        <v>12364</v>
      </c>
      <c r="H64" s="424">
        <f t="shared" si="3"/>
        <v>150270</v>
      </c>
    </row>
    <row r="65" spans="2:10" x14ac:dyDescent="0.25">
      <c r="B65" s="408" t="s">
        <v>363</v>
      </c>
      <c r="C65" s="425">
        <f>GETPIVOTDATA("Sum of Oil",'Summary PivotTables'!B64,"AEA Energy Region","Lower Yukon-Kuskokwim")</f>
        <v>93034.6927</v>
      </c>
      <c r="D65" s="425">
        <f>GETPIVOTDATA("Sum of Gas",'Summary PivotTables'!C64,"AEA Energy Region","Lower Yukon-Kuskokwim")</f>
        <v>0</v>
      </c>
      <c r="E65" s="425">
        <f>GETPIVOTDATA("Sum of Coal",'Summary PivotTables'!D64,"AEA Energy Region","Lower Yukon-Kuskokwim")</f>
        <v>0</v>
      </c>
      <c r="F65" s="425">
        <f>GETPIVOTDATA("Sum of Hydro",'Summary PivotTables'!E64,"AEA Energy Region","Lower Yukon-Kuskokwim")</f>
        <v>0</v>
      </c>
      <c r="G65" s="425">
        <f>GETPIVOTDATA("Sum of Wind",'Summary PivotTables'!F64,"AEA Energy Region","Lower Yukon-Kuskokwim")</f>
        <v>3113.8190000000004</v>
      </c>
      <c r="H65" s="424">
        <f t="shared" si="3"/>
        <v>96150</v>
      </c>
    </row>
    <row r="66" spans="2:10" x14ac:dyDescent="0.25">
      <c r="B66" s="408" t="s">
        <v>401</v>
      </c>
      <c r="C66" s="425">
        <f>GETPIVOTDATA("Sum of Oil",'Summary PivotTables'!B65,"AEA Energy Region","North Slope")</f>
        <v>28640</v>
      </c>
      <c r="D66" s="425">
        <f>GETPIVOTDATA("Sum of Gas",'Summary PivotTables'!C65,"AEA Energy Region","North Slope")</f>
        <v>51686</v>
      </c>
      <c r="E66" s="425">
        <f>GETPIVOTDATA("Sum of Coal",'Summary PivotTables'!D65,"AEA Energy Region","North Slope")</f>
        <v>0</v>
      </c>
      <c r="F66" s="425">
        <f>GETPIVOTDATA("Sum of Hydro",'Summary PivotTables'!E65,"AEA Energy Region","North Slope")</f>
        <v>0</v>
      </c>
      <c r="G66" s="425">
        <f>GETPIVOTDATA("Sum of Wind",'Summary PivotTables'!F65,"AEA Energy Region","North Slope")</f>
        <v>0</v>
      </c>
      <c r="H66" s="424">
        <f t="shared" si="3"/>
        <v>80330</v>
      </c>
    </row>
    <row r="67" spans="2:10" x14ac:dyDescent="0.25">
      <c r="B67" s="408" t="s">
        <v>388</v>
      </c>
      <c r="C67" s="425">
        <f>GETPIVOTDATA("Sum of Oil",'Summary PivotTables'!B66,"AEA Energy Region","Northwest Arctic")</f>
        <v>34305.354999999996</v>
      </c>
      <c r="D67" s="425">
        <f>GETPIVOTDATA("Sum of Gas",'Summary PivotTables'!C66,"AEA Energy Region","Northwest Arctic")</f>
        <v>0</v>
      </c>
      <c r="E67" s="425">
        <f>GETPIVOTDATA("Sum of Coal",'Summary PivotTables'!D66,"AEA Energy Region","Northwest Arctic")</f>
        <v>0</v>
      </c>
      <c r="F67" s="425">
        <f>GETPIVOTDATA("Sum of Hydro",'Summary PivotTables'!E66,"AEA Energy Region","Northwest Arctic")</f>
        <v>0</v>
      </c>
      <c r="G67" s="425">
        <f>GETPIVOTDATA("Sum of Wind",'Summary PivotTables'!F66,"AEA Energy Region","Northwest Arctic")</f>
        <v>1610.444</v>
      </c>
      <c r="H67" s="424">
        <f t="shared" si="3"/>
        <v>35920</v>
      </c>
    </row>
    <row r="68" spans="2:10" x14ac:dyDescent="0.25">
      <c r="B68" s="408" t="s">
        <v>158</v>
      </c>
      <c r="C68" s="425">
        <f>GETPIVOTDATA("Sum of Oil",'Summary PivotTables'!B67,"AEA Energy Region","Railbelt")</f>
        <v>559426.34499999997</v>
      </c>
      <c r="D68" s="425">
        <f>GETPIVOTDATA("Sum of Gas",'Summary PivotTables'!C67,"AEA Energy Region","Railbelt")</f>
        <v>3731560.6550000003</v>
      </c>
      <c r="E68" s="425">
        <f>GETPIVOTDATA("Sum of Coal",'Summary PivotTables'!D67,"AEA Energy Region","Railbelt")</f>
        <v>387160</v>
      </c>
      <c r="F68" s="425">
        <f>GETPIVOTDATA("Sum of Hydro",'Summary PivotTables'!E67,"AEA Energy Region","Railbelt")</f>
        <v>398747</v>
      </c>
      <c r="G68" s="425">
        <f>GETPIVOTDATA("Sum of Wind",'Summary PivotTables'!F67,"AEA Energy Region","Railbelt")</f>
        <v>1394</v>
      </c>
      <c r="H68" s="424">
        <f t="shared" si="3"/>
        <v>5078290</v>
      </c>
      <c r="I68" s="608"/>
    </row>
    <row r="69" spans="2:10" x14ac:dyDescent="0.25">
      <c r="B69" s="408" t="s">
        <v>373</v>
      </c>
      <c r="C69" s="425">
        <f>GETPIVOTDATA("Sum of Oil",'Summary PivotTables'!B68,"AEA Energy Region","Southeast")</f>
        <v>32648.500249999997</v>
      </c>
      <c r="D69" s="425">
        <f>GETPIVOTDATA("Sum of Gas",'Summary PivotTables'!C68,"AEA Energy Region","Southeast")</f>
        <v>0</v>
      </c>
      <c r="E69" s="425">
        <f>GETPIVOTDATA("Sum of Coal",'Summary PivotTables'!D68,"AEA Energy Region","Southeast")</f>
        <v>0</v>
      </c>
      <c r="F69" s="425">
        <f>GETPIVOTDATA("Sum of Hydro",'Summary PivotTables'!E68,"AEA Energy Region","Southeast")</f>
        <v>757432.65999999992</v>
      </c>
      <c r="G69" s="425">
        <f>GETPIVOTDATA("Sum of Wind",'Summary PivotTables'!F68,"AEA Energy Region","Southeast")</f>
        <v>0</v>
      </c>
      <c r="H69" s="424">
        <f t="shared" si="3"/>
        <v>790080</v>
      </c>
    </row>
    <row r="70" spans="2:10" x14ac:dyDescent="0.25">
      <c r="B70" s="410" t="s">
        <v>376</v>
      </c>
      <c r="C70" s="426">
        <f>GETPIVOTDATA("Sum of Oil",'Summary PivotTables'!B69,"AEA Energy Region","Yukon-Koyukuk/Upper Tanana")</f>
        <v>33070.758699999998</v>
      </c>
      <c r="D70" s="426">
        <f>GETPIVOTDATA("Sum of Gas",'Summary PivotTables'!C69,"AEA Energy Region","Yukon-Koyukuk/Upper Tanana")</f>
        <v>0</v>
      </c>
      <c r="E70" s="426">
        <f>GETPIVOTDATA("Sum of Coal",'Summary PivotTables'!D69,"AEA Energy Region","Yukon-Koyukuk/Upper Tanana")</f>
        <v>0</v>
      </c>
      <c r="F70" s="426">
        <f>GETPIVOTDATA("Sum of Hydro",'Summary PivotTables'!E69,"AEA Energy Region","Yukon-Koyukuk/Upper Tanana")</f>
        <v>0</v>
      </c>
      <c r="G70" s="426">
        <f>GETPIVOTDATA("Sum of Wind",'Summary PivotTables'!F69,"AEA Energy Region","Yukon-Koyukuk/Upper Tanana")</f>
        <v>0</v>
      </c>
      <c r="H70" s="424">
        <f t="shared" si="3"/>
        <v>33070</v>
      </c>
    </row>
    <row r="71" spans="2:10" x14ac:dyDescent="0.25">
      <c r="B71" s="413" t="s">
        <v>14</v>
      </c>
      <c r="C71" s="414">
        <f t="shared" ref="C71:H71" si="4">MROUND(SUM(C60:C70),10)</f>
        <v>1020280</v>
      </c>
      <c r="D71" s="414">
        <f t="shared" si="4"/>
        <v>3783250</v>
      </c>
      <c r="E71" s="414">
        <f t="shared" si="4"/>
        <v>387160</v>
      </c>
      <c r="F71" s="414">
        <f t="shared" si="4"/>
        <v>1340360</v>
      </c>
      <c r="G71" s="414">
        <f t="shared" si="4"/>
        <v>21190</v>
      </c>
      <c r="H71" s="414">
        <f t="shared" si="4"/>
        <v>6552250</v>
      </c>
    </row>
    <row r="72" spans="2:10" x14ac:dyDescent="0.25">
      <c r="B72" s="413" t="s">
        <v>749</v>
      </c>
      <c r="C72" s="427">
        <f t="shared" ref="C72:H72" si="5">C71/$H$71</f>
        <v>0.15571444923499561</v>
      </c>
      <c r="D72" s="427">
        <f t="shared" si="5"/>
        <v>0.57739707733984513</v>
      </c>
      <c r="E72" s="427">
        <f t="shared" si="5"/>
        <v>5.9088099507802666E-2</v>
      </c>
      <c r="F72" s="427">
        <f t="shared" si="5"/>
        <v>0.20456484413751003</v>
      </c>
      <c r="G72" s="428">
        <f t="shared" si="5"/>
        <v>3.2340035865542371E-3</v>
      </c>
      <c r="H72" s="427">
        <f t="shared" si="5"/>
        <v>1</v>
      </c>
      <c r="J72" s="847"/>
    </row>
    <row r="73" spans="2:10" x14ac:dyDescent="0.25">
      <c r="C73" s="607">
        <f>C68/$H$68</f>
        <v>0.11016037780433964</v>
      </c>
      <c r="D73" s="607">
        <f>D68/$H$68</f>
        <v>0.73480653034781396</v>
      </c>
      <c r="E73" s="607">
        <f>E68/$H$68</f>
        <v>7.6238261304494223E-2</v>
      </c>
      <c r="F73" s="607">
        <f>F68/$H$68</f>
        <v>7.8519934859962698E-2</v>
      </c>
      <c r="G73" s="846">
        <f>G68/$H$68</f>
        <v>2.7450185003219586E-4</v>
      </c>
    </row>
    <row r="74" spans="2:10" x14ac:dyDescent="0.25">
      <c r="F74" s="608"/>
      <c r="H74" s="608"/>
    </row>
    <row r="75" spans="2:10" x14ac:dyDescent="0.25">
      <c r="B75" s="853" t="s">
        <v>1127</v>
      </c>
      <c r="C75" s="853"/>
      <c r="D75" s="853"/>
      <c r="E75" s="853"/>
      <c r="H75" s="608"/>
    </row>
    <row r="76" spans="2:10" x14ac:dyDescent="0.25">
      <c r="B76" s="852" t="s">
        <v>737</v>
      </c>
      <c r="C76" s="852"/>
      <c r="D76" s="852"/>
      <c r="E76" s="852"/>
    </row>
    <row r="77" spans="2:10" x14ac:dyDescent="0.25">
      <c r="B77" s="854" t="s">
        <v>5</v>
      </c>
      <c r="C77" s="396" t="s">
        <v>22</v>
      </c>
      <c r="D77" s="396" t="s">
        <v>23</v>
      </c>
      <c r="E77" s="396" t="s">
        <v>9</v>
      </c>
    </row>
    <row r="78" spans="2:10" x14ac:dyDescent="0.25">
      <c r="B78" s="855"/>
      <c r="C78" s="431" t="s">
        <v>1098</v>
      </c>
      <c r="D78" s="431" t="s">
        <v>750</v>
      </c>
      <c r="E78" s="432" t="s">
        <v>751</v>
      </c>
    </row>
    <row r="79" spans="2:10" x14ac:dyDescent="0.25">
      <c r="B79" s="405" t="s">
        <v>368</v>
      </c>
      <c r="C79" s="433">
        <f>MROUND(GETPIVOTDATA("Sum of Oil (gallons)",'Summary PivotTables'!$A$74,"AEA Energy Region","Aleutians"),10)</f>
        <v>4221440</v>
      </c>
      <c r="D79" s="433">
        <f>GETPIVOTDATA("Sum of Gas (Mcf)",'Summary PivotTables'!$A$74,"AEA Energy Region","Aleutians")</f>
        <v>0</v>
      </c>
      <c r="E79" s="433">
        <f>GETPIVOTDATA("Sum of Coal (Short Tons)",'Summary PivotTables'!$A$74,"AEA Energy Region","Aleutians")</f>
        <v>0</v>
      </c>
    </row>
    <row r="80" spans="2:10" x14ac:dyDescent="0.25">
      <c r="B80" s="408" t="s">
        <v>390</v>
      </c>
      <c r="C80" s="434">
        <f>MROUND(GETPIVOTDATA("Sum of Oil (gallons)",'Summary PivotTables'!$A$74,"AEA Energy Region","Bering Straits"),10)</f>
        <v>3548340</v>
      </c>
      <c r="D80" s="434">
        <f>GETPIVOTDATA("Sum of Gas (Mcf)",'Summary PivotTables'!$A$74,"AEA Energy Region","Bering Straits")</f>
        <v>0</v>
      </c>
      <c r="E80" s="434">
        <f>GETPIVOTDATA("Sum of Coal (Short Tons)",'Summary PivotTables'!$A$74,"AEA Energy Region","Bering Straits")</f>
        <v>0</v>
      </c>
    </row>
    <row r="81" spans="2:11" x14ac:dyDescent="0.25">
      <c r="B81" s="408" t="s">
        <v>392</v>
      </c>
      <c r="C81" s="434">
        <f>MROUND(GETPIVOTDATA("Sum of Oil (gallons)",'Summary PivotTables'!$A$74,"AEA Energy Region","Bristol Bay"),10)</f>
        <v>3628030</v>
      </c>
      <c r="D81" s="434">
        <f>GETPIVOTDATA("Sum of Gas (Mcf)",'Summary PivotTables'!$A$74,"AEA Energy Region","Bristol Bay")</f>
        <v>0</v>
      </c>
      <c r="E81" s="434">
        <f>GETPIVOTDATA("Sum of Coal (Short Tons)",'Summary PivotTables'!$A$74,"AEA Energy Region","Bristol Bay")</f>
        <v>0</v>
      </c>
    </row>
    <row r="82" spans="2:11" x14ac:dyDescent="0.25">
      <c r="B82" s="408" t="s">
        <v>379</v>
      </c>
      <c r="C82" s="434">
        <f>MROUND(GETPIVOTDATA("Sum of Oil (gallons)",'Summary PivotTables'!$A$74,"AEA Energy Region","Copper River/Chugach"),10)</f>
        <v>4658330</v>
      </c>
      <c r="D82" s="434">
        <f>GETPIVOTDATA("Sum of Gas (Mcf)",'Summary PivotTables'!$A$74,"AEA Energy Region","Copper River/Chugach")</f>
        <v>0</v>
      </c>
      <c r="E82" s="434">
        <f>GETPIVOTDATA("Sum of Coal (Short Tons)",'Summary PivotTables'!$A$74,"AEA Energy Region","Copper River/Chugach")</f>
        <v>0</v>
      </c>
    </row>
    <row r="83" spans="2:11" x14ac:dyDescent="0.25">
      <c r="B83" s="408" t="s">
        <v>222</v>
      </c>
      <c r="C83" s="434">
        <f>MROUND(GETPIVOTDATA("Sum of Oil (gallons)",'Summary PivotTables'!$A$74,"AEA Energy Region","Kodiak"),10)</f>
        <v>1772550</v>
      </c>
      <c r="D83" s="434">
        <f>GETPIVOTDATA("Sum of Gas (Mcf)",'Summary PivotTables'!$A$74,"AEA Energy Region","Kodiak")</f>
        <v>0</v>
      </c>
      <c r="E83" s="434">
        <f>GETPIVOTDATA("Sum of Coal (Short Tons)",'Summary PivotTables'!$A$74,"AEA Energy Region","Kodiak")</f>
        <v>0</v>
      </c>
    </row>
    <row r="84" spans="2:11" x14ac:dyDescent="0.25">
      <c r="B84" s="408" t="s">
        <v>363</v>
      </c>
      <c r="C84" s="434">
        <f>MROUND(GETPIVOTDATA("Sum of Oil (gallons)",'Summary PivotTables'!$A$74,"AEA Energy Region","Lower Yukon-Kuskokwim"),10)</f>
        <v>7129680</v>
      </c>
      <c r="D84" s="434">
        <f>GETPIVOTDATA("Sum of Gas (Mcf)",'Summary PivotTables'!$A$74,"AEA Energy Region","Lower Yukon-Kuskokwim")</f>
        <v>0</v>
      </c>
      <c r="E84" s="434">
        <f>GETPIVOTDATA("Sum of Coal (Short Tons)",'Summary PivotTables'!$A$74,"AEA Energy Region","Lower Yukon-Kuskokwim")</f>
        <v>0</v>
      </c>
    </row>
    <row r="85" spans="2:11" x14ac:dyDescent="0.25">
      <c r="B85" s="408" t="s">
        <v>401</v>
      </c>
      <c r="C85" s="434">
        <f>MROUND(GETPIVOTDATA("Sum of Oil (gallons)",'Summary PivotTables'!$A$74,"AEA Energy Region","North Slope"),10)</f>
        <v>2162790</v>
      </c>
      <c r="D85" s="434">
        <f>MROUND(GETPIVOTDATA("Sum of Gas (Mcf)",'Summary PivotTables'!$A$74,"AEA Energy Region","North Slope"),10)</f>
        <v>756310</v>
      </c>
      <c r="E85" s="434">
        <f>GETPIVOTDATA("Sum of Coal (Short Tons)",'Summary PivotTables'!$A$74,"AEA Energy Region","North Slope")</f>
        <v>0</v>
      </c>
    </row>
    <row r="86" spans="2:11" x14ac:dyDescent="0.25">
      <c r="B86" s="408" t="s">
        <v>388</v>
      </c>
      <c r="C86" s="434">
        <f>MROUND(GETPIVOTDATA("Sum of Oil (gallons)",'Summary PivotTables'!$A$74,"AEA Energy Region","Northwest Arctic"),10)</f>
        <v>2471750</v>
      </c>
      <c r="D86" s="434">
        <f>GETPIVOTDATA("Sum of Gas (Mcf)",'Summary PivotTables'!$A$74,"AEA Energy Region","Northwest Arctic")</f>
        <v>0</v>
      </c>
      <c r="E86" s="434">
        <f>GETPIVOTDATA("Sum of Coal (Short Tons)",'Summary PivotTables'!$A$74,"AEA Energy Region","Northwest Arctic")</f>
        <v>0</v>
      </c>
    </row>
    <row r="87" spans="2:11" x14ac:dyDescent="0.25">
      <c r="B87" s="408" t="s">
        <v>158</v>
      </c>
      <c r="C87" s="434">
        <f>MROUND(GETPIVOTDATA("Sum of Oil (gallons)",'Summary PivotTables'!$A$74,"AEA Energy Region","Railbelt"),10)</f>
        <v>34486410</v>
      </c>
      <c r="D87" s="434">
        <f>MROUND(GETPIVOTDATA("Sum of Gas (Mcf)",'Summary PivotTables'!$A$74,"AEA Energy Region","Railbelt"),10)</f>
        <v>40181450</v>
      </c>
      <c r="E87" s="434">
        <f>MROUND(GETPIVOTDATA("Sum of Coal (Short Tons)",'Summary PivotTables'!$A$74,"AEA Energy Region","Railbelt"),10)</f>
        <v>397370</v>
      </c>
    </row>
    <row r="88" spans="2:11" x14ac:dyDescent="0.25">
      <c r="B88" s="408" t="s">
        <v>373</v>
      </c>
      <c r="C88" s="434">
        <f>MROUND(GETPIVOTDATA("Sum of Oil (gallons)",'Summary PivotTables'!$A$74,"AEA Energy Region","Southeast"),10)</f>
        <v>2687200</v>
      </c>
      <c r="D88" s="434">
        <f>GETPIVOTDATA("Sum of Gas (Mcf)",'Summary PivotTables'!$A$74,"AEA Energy Region","Southeast")</f>
        <v>0</v>
      </c>
      <c r="E88" s="434">
        <f>GETPIVOTDATA("Sum of Coal (Short Tons)",'Summary PivotTables'!$A$74,"AEA Energy Region","Southeast")</f>
        <v>0</v>
      </c>
    </row>
    <row r="89" spans="2:11" x14ac:dyDescent="0.25">
      <c r="B89" s="410" t="s">
        <v>376</v>
      </c>
      <c r="C89" s="435">
        <f>MROUND(GETPIVOTDATA("Sum of Oil (gallons)",'Summary PivotTables'!$A$74,"AEA Energy Region","Yukon-Koyukuk/Upper Tanana"),10)</f>
        <v>2557160</v>
      </c>
      <c r="D89" s="435">
        <f>GETPIVOTDATA("Sum of Gas (Mcf)",'Summary PivotTables'!$A$74,"AEA Energy Region","Yukon-Koyukuk/Upper Tanana")</f>
        <v>0</v>
      </c>
      <c r="E89" s="435">
        <f>GETPIVOTDATA("Sum of Coal (Short Tons)",'Summary PivotTables'!$A$74,"AEA Energy Region","Yukon-Koyukuk/Upper Tanana")</f>
        <v>0</v>
      </c>
    </row>
    <row r="90" spans="2:11" x14ac:dyDescent="0.25">
      <c r="B90" s="413" t="s">
        <v>752</v>
      </c>
      <c r="C90" s="414">
        <f>SUM(C79:C89)</f>
        <v>69323680</v>
      </c>
      <c r="D90" s="414">
        <f>SUM(D79:D89)</f>
        <v>40937760</v>
      </c>
      <c r="E90" s="414">
        <f>SUM(E79:E89)</f>
        <v>397370</v>
      </c>
    </row>
    <row r="91" spans="2:11" x14ac:dyDescent="0.25">
      <c r="B91" s="436" t="s">
        <v>753</v>
      </c>
      <c r="C91" s="437">
        <v>0.13900000000000001</v>
      </c>
      <c r="D91" s="341">
        <v>1.0249999999999999</v>
      </c>
      <c r="E91" s="341">
        <v>19.536000000000001</v>
      </c>
    </row>
    <row r="92" spans="2:11" x14ac:dyDescent="0.25">
      <c r="B92" s="395" t="s">
        <v>754</v>
      </c>
      <c r="C92" s="438">
        <f>MROUND((C90*C91),10)</f>
        <v>9635990</v>
      </c>
      <c r="D92" s="438">
        <f>MROUND((D90*D91),10)</f>
        <v>41961200</v>
      </c>
      <c r="E92" s="438">
        <f>MROUND((E90*E91),10)</f>
        <v>7763020</v>
      </c>
      <c r="G92" s="506"/>
    </row>
    <row r="94" spans="2:11" x14ac:dyDescent="0.25">
      <c r="K94" s="776"/>
    </row>
    <row r="95" spans="2:11" x14ac:dyDescent="0.25">
      <c r="B95" s="853" t="s">
        <v>1128</v>
      </c>
      <c r="C95" s="853"/>
      <c r="D95" s="853"/>
      <c r="E95" s="853"/>
      <c r="F95" s="853"/>
      <c r="G95" s="853"/>
    </row>
    <row r="96" spans="2:11" x14ac:dyDescent="0.25">
      <c r="B96" s="852" t="s">
        <v>737</v>
      </c>
      <c r="C96" s="852"/>
      <c r="D96" s="852"/>
      <c r="E96" s="852"/>
      <c r="F96" s="852"/>
      <c r="G96" s="852"/>
    </row>
    <row r="97" spans="2:9" ht="45" x14ac:dyDescent="0.25">
      <c r="B97" s="395" t="s">
        <v>5</v>
      </c>
      <c r="C97" s="404" t="s">
        <v>11</v>
      </c>
      <c r="D97" s="404" t="s">
        <v>12</v>
      </c>
      <c r="E97" s="404" t="s">
        <v>13</v>
      </c>
      <c r="F97" s="404" t="s">
        <v>1007</v>
      </c>
      <c r="G97" s="397" t="s">
        <v>1009</v>
      </c>
    </row>
    <row r="98" spans="2:9" x14ac:dyDescent="0.25">
      <c r="B98" s="405" t="s">
        <v>368</v>
      </c>
      <c r="C98" s="439">
        <f>MROUND(GETPIVOTDATA("Sum of Sales (MWh)",'Summary PivotTables'!$A$90,"AEA Energy Region","Aleutians"),10)</f>
        <v>8760</v>
      </c>
      <c r="D98" s="439">
        <f>MROUND(GETPIVOTDATA("Sum of Sales  (MWh)",'Summary PivotTables'!$A$90,"AEA Energy Region","Aleutians"),10)</f>
        <v>41420</v>
      </c>
      <c r="E98" s="439">
        <f>MROUND(GETPIVOTDATA("Sum of Sales (MWh)2",'Summary PivotTables'!$A$90,"AEA Energy Region","Aleutians"),10)</f>
        <v>9500</v>
      </c>
      <c r="F98" s="439">
        <f>MROUND(GETPIVOTDATA("Sum of Sales (MWh)3",'Summary PivotTables'!$A$90,"AEA Energy Region","Aleutians"),10)</f>
        <v>59680</v>
      </c>
      <c r="G98" s="418">
        <f>F98/$F$109</f>
        <v>9.5248735177234783E-3</v>
      </c>
      <c r="I98" s="795"/>
    </row>
    <row r="99" spans="2:9" x14ac:dyDescent="0.25">
      <c r="B99" s="408" t="s">
        <v>390</v>
      </c>
      <c r="C99" s="440">
        <f>MROUND(GETPIVOTDATA("Sum of Sales (MWh)",'Summary PivotTables'!$A$90,"AEA Energy Region","Bering Straits"),10)</f>
        <v>17090</v>
      </c>
      <c r="D99" s="440">
        <f>MROUND(GETPIVOTDATA("Sum of Sales  (MWh)",'Summary PivotTables'!$A$90,"AEA Energy Region","Bering Straits"),10)</f>
        <v>22160</v>
      </c>
      <c r="E99" s="440">
        <f>MROUND(GETPIVOTDATA("Sum of Sales (MWh)2",'Summary PivotTables'!$A$90,"AEA Energy Region","Bering Straits"),10)</f>
        <v>13220</v>
      </c>
      <c r="F99" s="440">
        <f>MROUND(GETPIVOTDATA("Sum of Sales (MWh)3",'Summary PivotTables'!$A$90,"AEA Energy Region","Bering Straits"),10)</f>
        <v>52480</v>
      </c>
      <c r="G99" s="419">
        <f t="shared" ref="G99:G108" si="6">F99/$F$109</f>
        <v>8.375760090652282E-3</v>
      </c>
      <c r="I99" s="795"/>
    </row>
    <row r="100" spans="2:9" x14ac:dyDescent="0.25">
      <c r="B100" s="408" t="s">
        <v>392</v>
      </c>
      <c r="C100" s="440">
        <f>MROUND(GETPIVOTDATA("Sum of Sales (MWh)",'Summary PivotTables'!$A$90,"AEA Energy Region","Bristol Bay"),10)</f>
        <v>14800</v>
      </c>
      <c r="D100" s="440">
        <f>MROUND(GETPIVOTDATA("Sum of Sales  (MWh)",'Summary PivotTables'!$A$90,"AEA Energy Region","Bristol Bay"), 10)</f>
        <v>24880</v>
      </c>
      <c r="E100" s="440">
        <f>MROUND(GETPIVOTDATA("Sum of Sales (MWh)2",'Summary PivotTables'!$A$90,"AEA Energy Region","Bristol Bay"), 10)</f>
        <v>11190</v>
      </c>
      <c r="F100" s="440">
        <f>MROUND(GETPIVOTDATA("Sum of Sales (MWh)3",'Summary PivotTables'!$A$90,"AEA Energy Region","Bristol Bay"),10)</f>
        <v>50880</v>
      </c>
      <c r="G100" s="419">
        <f t="shared" si="6"/>
        <v>8.1204015513031257E-3</v>
      </c>
      <c r="I100" s="795"/>
    </row>
    <row r="101" spans="2:9" x14ac:dyDescent="0.25">
      <c r="B101" s="408" t="s">
        <v>379</v>
      </c>
      <c r="C101" s="440">
        <f>MROUND(GETPIVOTDATA("Sum of Sales (MWh)",'Summary PivotTables'!$A$90,"AEA Energy Region","Copper River/Chugach"),10)</f>
        <v>24270</v>
      </c>
      <c r="D101" s="440">
        <f>MROUND(GETPIVOTDATA("Sum of Sales  (MWh)",'Summary PivotTables'!$A$90,"AEA Energy Region","Copper River/Chugach"),10)</f>
        <v>78930</v>
      </c>
      <c r="E101" s="440">
        <f>MROUND(GETPIVOTDATA("Sum of Sales (MWh)2",'Summary PivotTables'!$A$90,"AEA Energy Region","Copper River/Chugach"), 10)</f>
        <v>5290</v>
      </c>
      <c r="F101" s="440">
        <f>MROUND(GETPIVOTDATA("Sum of Sales (MWh)3",'Summary PivotTables'!$A$90,"AEA Energy Region","Copper River/Chugach"), 10)</f>
        <v>108480</v>
      </c>
      <c r="G101" s="419">
        <f t="shared" si="6"/>
        <v>1.7313308967872705E-2</v>
      </c>
      <c r="I101" s="795"/>
    </row>
    <row r="102" spans="2:9" x14ac:dyDescent="0.25">
      <c r="B102" s="408" t="s">
        <v>222</v>
      </c>
      <c r="C102" s="440">
        <f>MROUND(GETPIVOTDATA("Sum of Sales (MWh)",'Summary PivotTables'!$A$90,"AEA Energy Region","Kodiak"), 10)</f>
        <v>35080</v>
      </c>
      <c r="D102" s="440">
        <f>MROUND(GETPIVOTDATA("Sum of Sales  (MWh)",'Summary PivotTables'!$A$90,"AEA Energy Region","Kodiak"),10)</f>
        <v>22240</v>
      </c>
      <c r="E102" s="440">
        <f>MROUND(GETPIVOTDATA("Sum of Sales (MWh)2",'Summary PivotTables'!$A$90,"AEA Energy Region","Kodiak"), 10)</f>
        <v>86910</v>
      </c>
      <c r="F102" s="440">
        <f>MROUND(GETPIVOTDATA("Sum of Sales (MWh)3",'Summary PivotTables'!$A$90,"AEA Energy Region","Kodiak"), 10)</f>
        <v>144230</v>
      </c>
      <c r="G102" s="419">
        <f t="shared" si="6"/>
        <v>2.3018976331455384E-2</v>
      </c>
      <c r="I102" s="795"/>
    </row>
    <row r="103" spans="2:9" x14ac:dyDescent="0.25">
      <c r="B103" s="408" t="s">
        <v>363</v>
      </c>
      <c r="C103" s="440">
        <f>MROUND(GETPIVOTDATA("Sum of Sales (MWh)",'Summary PivotTables'!$A$90,"AEA Energy Region","Lower Yukon-Kuskokwim"), 10)</f>
        <v>31740</v>
      </c>
      <c r="D103" s="440">
        <f>MROUND(GETPIVOTDATA("Sum of Sales  (MWh)",'Summary PivotTables'!$A$90,"AEA Energy Region","Lower Yukon-Kuskokwim"), 10)</f>
        <v>36330</v>
      </c>
      <c r="E103" s="440">
        <f>MROUND(GETPIVOTDATA("Sum of Sales (MWh)2",'Summary PivotTables'!$A$90,"AEA Energy Region","Lower Yukon-Kuskokwim"), 10)</f>
        <v>21760</v>
      </c>
      <c r="F103" s="440">
        <f>MROUND(GETPIVOTDATA("Sum of Sales (MWh)3",'Summary PivotTables'!$A$90,"AEA Energy Region","Lower Yukon-Kuskokwim"), 10)</f>
        <v>89840</v>
      </c>
      <c r="G103" s="419">
        <f t="shared" si="6"/>
        <v>1.4338381984455049E-2</v>
      </c>
      <c r="I103" s="795"/>
    </row>
    <row r="104" spans="2:9" x14ac:dyDescent="0.25">
      <c r="B104" s="408" t="s">
        <v>401</v>
      </c>
      <c r="C104" s="440">
        <f>MROUND(GETPIVOTDATA("Sum of Sales (MWh)",'Summary PivotTables'!$A$90,"AEA Energy Region","North Slope"), 10)</f>
        <v>17260</v>
      </c>
      <c r="D104" s="440">
        <f>MROUND(GETPIVOTDATA("Sum of Sales  (MWh)",'Summary PivotTables'!$A$90,"AEA Energy Region","North Slope"),10)</f>
        <v>59040</v>
      </c>
      <c r="E104" s="440">
        <f>MROUND(GETPIVOTDATA("Sum of Sales (MWh)2",'Summary PivotTables'!$A$90,"AEA Energy Region","North Slope"), 10)</f>
        <v>1650</v>
      </c>
      <c r="F104" s="440">
        <f>MROUND(GETPIVOTDATA("Sum of Sales (MWh)3",'Summary PivotTables'!$A$90,"AEA Energy Region","North Slope"), 10)</f>
        <v>77950</v>
      </c>
      <c r="G104" s="419">
        <f t="shared" si="6"/>
        <v>1.2440748838916641E-2</v>
      </c>
      <c r="I104" s="795"/>
    </row>
    <row r="105" spans="2:9" x14ac:dyDescent="0.25">
      <c r="B105" s="408" t="s">
        <v>388</v>
      </c>
      <c r="C105" s="440">
        <f>MROUND(GETPIVOTDATA("Sum of Sales (MWh)",'Summary PivotTables'!$A$90,"AEA Energy Region","Northwest Arctic"), 10)</f>
        <v>12800</v>
      </c>
      <c r="D105" s="440">
        <f>MROUND(GETPIVOTDATA("Sum of Sales  (MWh)",'Summary PivotTables'!$A$90,"AEA Energy Region","Northwest Arctic"), 10)</f>
        <v>13500</v>
      </c>
      <c r="E105" s="440">
        <f>MROUND(GETPIVOTDATA("Sum of Sales (MWh)2",'Summary PivotTables'!$A$90,"AEA Energy Region","Northwest Arctic"), 10)</f>
        <v>8210</v>
      </c>
      <c r="F105" s="440">
        <f>MROUND(GETPIVOTDATA("Sum of Sales (MWh)3",'Summary PivotTables'!$A$90,"AEA Energy Region","Northwest Arctic"), 10)</f>
        <v>34510</v>
      </c>
      <c r="G105" s="419">
        <f t="shared" si="6"/>
        <v>5.5077644955870853E-3</v>
      </c>
      <c r="I105" s="795"/>
    </row>
    <row r="106" spans="2:9" x14ac:dyDescent="0.25">
      <c r="B106" s="408" t="s">
        <v>158</v>
      </c>
      <c r="C106" s="440">
        <f>MROUND(GETPIVOTDATA("Sum of Sales (MWh)",'Summary PivotTables'!$A$90,"AEA Energy Region","Railbelt"), 10)</f>
        <v>1640130</v>
      </c>
      <c r="D106" s="440">
        <f>MROUND(GETPIVOTDATA("Sum of Sales  (MWh)",'Summary PivotTables'!$A$90,"AEA Energy Region","Railbelt"), 10)</f>
        <v>2125760</v>
      </c>
      <c r="E106" s="440">
        <f>MROUND(GETPIVOTDATA("Sum of Sales (MWh)2",'Summary PivotTables'!$A$90,"AEA Energy Region","Railbelt"), 10)</f>
        <v>1050830</v>
      </c>
      <c r="F106" s="440">
        <f>MROUND(GETPIVOTDATA("Sum of Sales (MWh)3",'Summary PivotTables'!$A$90,"AEA Energy Region","Railbelt"), 10)</f>
        <v>4816720</v>
      </c>
      <c r="G106" s="419">
        <f t="shared" si="6"/>
        <v>0.76874411478366345</v>
      </c>
      <c r="I106" s="795"/>
    </row>
    <row r="107" spans="2:9" x14ac:dyDescent="0.25">
      <c r="B107" s="408" t="s">
        <v>373</v>
      </c>
      <c r="C107" s="440">
        <f>MROUND(GETPIVOTDATA("Sum of Sales (MWh)",'Summary PivotTables'!$A$90,"AEA Energy Region","Southeast"),10)</f>
        <v>325050</v>
      </c>
      <c r="D107" s="440">
        <f>MROUND(GETPIVOTDATA("Sum of Sales  (MWh)",'Summary PivotTables'!$A$90,"AEA Energy Region","Southeast"), 10)</f>
        <v>319380</v>
      </c>
      <c r="E107" s="440">
        <f>MROUND(GETPIVOTDATA("Sum of Sales (MWh)2",'Summary PivotTables'!$A$90,"AEA Energy Region","Southeast"), 10)</f>
        <v>159200</v>
      </c>
      <c r="F107" s="440">
        <f>MROUND(GETPIVOTDATA("Sum of Sales (MWh)3",'Summary PivotTables'!$A$90,"AEA Energy Region","Southeast"), 10)</f>
        <v>803630</v>
      </c>
      <c r="G107" s="419">
        <f t="shared" si="6"/>
        <v>0.12825861436072586</v>
      </c>
      <c r="I107" s="795"/>
    </row>
    <row r="108" spans="2:9" x14ac:dyDescent="0.25">
      <c r="B108" s="410" t="s">
        <v>376</v>
      </c>
      <c r="C108" s="441">
        <f>MROUND(GETPIVOTDATA("Sum of Sales (MWh)",'Summary PivotTables'!$A$90,"AEA Energy Region","Yukon-Koyukuk/Upper Tanana"),10)</f>
        <v>11390</v>
      </c>
      <c r="D108" s="441">
        <f>MROUND(GETPIVOTDATA("Sum of Sales  (MWh)",'Summary PivotTables'!$A$90,"AEA Energy Region","Yukon-Koyukuk/Upper Tanana"),10)</f>
        <v>7710</v>
      </c>
      <c r="E108" s="441">
        <f>MROUND(GETPIVOTDATA("Sum of Sales (MWh)2",'Summary PivotTables'!$A$90,"AEA Energy Region","Yukon-Koyukuk/Upper Tanana"), 10)</f>
        <v>8200</v>
      </c>
      <c r="F108" s="441">
        <f>MROUND(GETPIVOTDATA("Sum of Sales (MWh)3",'Summary PivotTables'!$A$90,"AEA Energy Region","Yukon-Koyukuk/Upper Tanana"), 10)</f>
        <v>27300</v>
      </c>
      <c r="G108" s="442">
        <f t="shared" si="6"/>
        <v>4.3570550776449559E-3</v>
      </c>
      <c r="I108" s="795"/>
    </row>
    <row r="109" spans="2:9" x14ac:dyDescent="0.25">
      <c r="B109" s="413" t="s">
        <v>14</v>
      </c>
      <c r="C109" s="414">
        <f>SUM(C98:C108)</f>
        <v>2138370</v>
      </c>
      <c r="D109" s="414">
        <f>SUM(D98:D108)</f>
        <v>2751350</v>
      </c>
      <c r="E109" s="414">
        <f>SUM(E98:E108)</f>
        <v>1375960</v>
      </c>
      <c r="F109" s="414">
        <f>SUM(F98:F108)</f>
        <v>6265700</v>
      </c>
      <c r="G109" s="443"/>
    </row>
    <row r="110" spans="2:9" x14ac:dyDescent="0.25">
      <c r="B110" s="413" t="s">
        <v>755</v>
      </c>
      <c r="C110" s="444">
        <f>C109/$F$109</f>
        <v>0.34128189986753277</v>
      </c>
      <c r="D110" s="444">
        <f>D109/$F$109</f>
        <v>0.43911294827393588</v>
      </c>
      <c r="E110" s="444">
        <f>E109/$F$109</f>
        <v>0.21960195987678952</v>
      </c>
      <c r="F110" s="444">
        <f>F109/$F$109</f>
        <v>1</v>
      </c>
      <c r="G110" s="445"/>
    </row>
    <row r="113" spans="2:7" x14ac:dyDescent="0.25">
      <c r="B113" s="853" t="s">
        <v>1129</v>
      </c>
      <c r="C113" s="853"/>
      <c r="D113" s="853"/>
      <c r="E113" s="853"/>
      <c r="F113" s="853"/>
      <c r="G113" s="853"/>
    </row>
    <row r="114" spans="2:7" x14ac:dyDescent="0.25">
      <c r="B114" s="856" t="s">
        <v>737</v>
      </c>
      <c r="C114" s="856"/>
      <c r="D114" s="856"/>
      <c r="E114" s="856"/>
      <c r="F114" s="856"/>
      <c r="G114" s="856"/>
    </row>
    <row r="115" spans="2:7" ht="45" x14ac:dyDescent="0.25">
      <c r="B115" s="395" t="s">
        <v>5</v>
      </c>
      <c r="C115" s="404" t="s">
        <v>11</v>
      </c>
      <c r="D115" s="404" t="s">
        <v>12</v>
      </c>
      <c r="E115" s="404" t="s">
        <v>13</v>
      </c>
      <c r="F115" s="404" t="s">
        <v>1007</v>
      </c>
      <c r="G115" s="397" t="s">
        <v>1008</v>
      </c>
    </row>
    <row r="116" spans="2:7" x14ac:dyDescent="0.25">
      <c r="B116" s="405" t="s">
        <v>368</v>
      </c>
      <c r="C116" s="439">
        <f>MROUND(GETPIVOTDATA("Sum of Revenue ($000)",'Summary PivotTables'!$A$106,"AEA Energy Region","Aleutians"), 10)</f>
        <v>4290</v>
      </c>
      <c r="D116" s="439">
        <f>MROUND(GETPIVOTDATA("Sum of Revenue ($000)2",'Summary PivotTables'!$A$106,"AEA Energy Region","Aleutians"), 10)</f>
        <v>19270</v>
      </c>
      <c r="E116" s="439">
        <f>MROUND(GETPIVOTDATA("Sum of Revenue ($000)3",'Summary PivotTables'!$A$106,"AEA Energy Region","Aleutians"), 10)</f>
        <v>4930</v>
      </c>
      <c r="F116" s="439">
        <f>SUM(C116:E116)</f>
        <v>28490</v>
      </c>
      <c r="G116" s="418">
        <f>F116/$F$127</f>
        <v>2.787071276241905E-2</v>
      </c>
    </row>
    <row r="117" spans="2:7" x14ac:dyDescent="0.25">
      <c r="B117" s="408" t="s">
        <v>390</v>
      </c>
      <c r="C117" s="440">
        <f>MROUND(GETPIVOTDATA("Sum of Revenue ($000)",'Summary PivotTables'!$A$106,"AEA Energy Region","Bering Straits"), 10)</f>
        <v>7490</v>
      </c>
      <c r="D117" s="440">
        <f>MROUND(GETPIVOTDATA("Sum of Revenue ($000)2",'Summary PivotTables'!$A$106,"AEA Energy Region","Bering Straits"), 10)</f>
        <v>8790</v>
      </c>
      <c r="E117" s="440">
        <f>MROUND(GETPIVOTDATA("Sum of Revenue ($000)3",'Summary PivotTables'!$A$106,"AEA Energy Region","Bering Straits"), 10)</f>
        <v>5910</v>
      </c>
      <c r="F117" s="440">
        <f t="shared" ref="F117:F126" si="7">SUM(C117:E117)</f>
        <v>22190</v>
      </c>
      <c r="G117" s="419">
        <f t="shared" ref="G117:G126" si="8">F117/$F$127</f>
        <v>2.170765588620845E-2</v>
      </c>
    </row>
    <row r="118" spans="2:7" x14ac:dyDescent="0.25">
      <c r="B118" s="408" t="s">
        <v>392</v>
      </c>
      <c r="C118" s="440">
        <f>MROUND(GETPIVOTDATA("Sum of Revenue ($000)",'Summary PivotTables'!$A$106,"AEA Energy Region","Bristol Bay"), 10)</f>
        <v>7550</v>
      </c>
      <c r="D118" s="440">
        <f>MROUND(GETPIVOTDATA("Sum of Revenue ($000)2",'Summary PivotTables'!$A$106,"AEA Energy Region","Bristol Bay"), 10)</f>
        <v>12020</v>
      </c>
      <c r="E118" s="440">
        <f>MROUND(GETPIVOTDATA("Sum of Revenue ($000)3",'Summary PivotTables'!$A$106,"AEA Energy Region","Bristol Bay"), 10)</f>
        <v>5940</v>
      </c>
      <c r="F118" s="440">
        <f t="shared" si="7"/>
        <v>25510</v>
      </c>
      <c r="G118" s="419">
        <f t="shared" si="8"/>
        <v>2.4955489033671813E-2</v>
      </c>
    </row>
    <row r="119" spans="2:7" x14ac:dyDescent="0.25">
      <c r="B119" s="408" t="s">
        <v>379</v>
      </c>
      <c r="C119" s="440">
        <f>MROUND(GETPIVOTDATA("Sum of Revenue ($000)",'Summary PivotTables'!$A$106,"AEA Energy Region","Copper River/Chugach"), 10)</f>
        <v>7950</v>
      </c>
      <c r="D119" s="440">
        <f>MROUND(GETPIVOTDATA("Sum of Revenue ($000)2",'Summary PivotTables'!$A$106,"AEA Energy Region","Copper River/Chugach"), 10)</f>
        <v>22540</v>
      </c>
      <c r="E119" s="440">
        <f>MROUND(GETPIVOTDATA("Sum of Revenue ($000)3",'Summary PivotTables'!$A$106,"AEA Energy Region","Copper River/Chugach"), 10)</f>
        <v>2360</v>
      </c>
      <c r="F119" s="440">
        <f t="shared" si="7"/>
        <v>32850</v>
      </c>
      <c r="G119" s="419">
        <f t="shared" si="8"/>
        <v>3.2135939425955273E-2</v>
      </c>
    </row>
    <row r="120" spans="2:7" x14ac:dyDescent="0.25">
      <c r="B120" s="408" t="s">
        <v>222</v>
      </c>
      <c r="C120" s="440">
        <f>MROUND(GETPIVOTDATA("Sum of Revenue ($000)",'Summary PivotTables'!$A$106,"AEA Energy Region","Kodiak"), 10)</f>
        <v>6970</v>
      </c>
      <c r="D120" s="440">
        <f>MROUND(GETPIVOTDATA("Sum of Revenue ($000)2",'Summary PivotTables'!$A$106,"AEA Energy Region","Kodiak"), 10)</f>
        <v>4310</v>
      </c>
      <c r="E120" s="440">
        <f>MROUND(GETPIVOTDATA("Sum of Revenue ($000)3",'Summary PivotTables'!$A$106,"AEA Energy Region","Kodiak"), 10)</f>
        <v>15290</v>
      </c>
      <c r="F120" s="440">
        <f t="shared" si="7"/>
        <v>26570</v>
      </c>
      <c r="G120" s="419">
        <f t="shared" si="8"/>
        <v>2.5992447809669153E-2</v>
      </c>
    </row>
    <row r="121" spans="2:7" x14ac:dyDescent="0.25">
      <c r="B121" s="408" t="s">
        <v>363</v>
      </c>
      <c r="C121" s="440">
        <f>MROUND(GETPIVOTDATA("Sum of Revenue ($000)",'Summary PivotTables'!$A$106,"AEA Energy Region","Lower Yukon-Kuskokwim"), 10)</f>
        <v>17600</v>
      </c>
      <c r="D121" s="440">
        <f>MROUND(GETPIVOTDATA("Sum of Revenue ($000)2",'Summary PivotTables'!$A$106,"AEA Energy Region","Lower Yukon-Kuskokwim"), 10)</f>
        <v>19440</v>
      </c>
      <c r="E121" s="440">
        <f>MROUND(GETPIVOTDATA("Sum of Revenue ($000)3",'Summary PivotTables'!$A$106,"AEA Energy Region","Lower Yukon-Kuskokwim"), 10)</f>
        <v>11910</v>
      </c>
      <c r="F121" s="440">
        <f t="shared" si="7"/>
        <v>48950</v>
      </c>
      <c r="G121" s="419">
        <f t="shared" si="8"/>
        <v>4.7885973665160141E-2</v>
      </c>
    </row>
    <row r="122" spans="2:7" x14ac:dyDescent="0.25">
      <c r="B122" s="408" t="s">
        <v>401</v>
      </c>
      <c r="C122" s="440">
        <f>MROUND(GETPIVOTDATA("Sum of Revenue ($000)",'Summary PivotTables'!$A$106,"AEA Energy Region","North Slope"), 10)</f>
        <v>2140</v>
      </c>
      <c r="D122" s="440">
        <f>MROUND(GETPIVOTDATA("Sum of Revenue ($000)2",'Summary PivotTables'!$A$106,"AEA Energy Region","North Slope"), 10)</f>
        <v>6700</v>
      </c>
      <c r="E122" s="440">
        <f>MROUND(GETPIVOTDATA("Sum of Revenue ($000)3",'Summary PivotTables'!$A$106,"AEA Energy Region","North Slope"), 10)</f>
        <v>240</v>
      </c>
      <c r="F122" s="440">
        <f t="shared" si="7"/>
        <v>9080</v>
      </c>
      <c r="G122" s="419">
        <f t="shared" si="8"/>
        <v>8.8826280057130551E-3</v>
      </c>
    </row>
    <row r="123" spans="2:7" x14ac:dyDescent="0.25">
      <c r="B123" s="408" t="s">
        <v>388</v>
      </c>
      <c r="C123" s="440">
        <f>MROUND(GETPIVOTDATA("Sum of Revenue ($000)",'Summary PivotTables'!$A$106,"AEA Energy Region","Northwest Arctic"), 10)</f>
        <v>6520</v>
      </c>
      <c r="D123" s="440">
        <f>MROUND(GETPIVOTDATA("Sum of Revenue ($000)2",'Summary PivotTables'!$A$106,"AEA Energy Region","Northwest Arctic"), 10)</f>
        <v>6270</v>
      </c>
      <c r="E123" s="440">
        <f>MROUND(GETPIVOTDATA("Sum of Revenue ($000)3",'Summary PivotTables'!$A$106,"AEA Energy Region","Northwest Arctic"), 10)</f>
        <v>4620</v>
      </c>
      <c r="F123" s="440">
        <f t="shared" si="7"/>
        <v>17410</v>
      </c>
      <c r="G123" s="419">
        <f t="shared" si="8"/>
        <v>1.7031558764258183E-2</v>
      </c>
    </row>
    <row r="124" spans="2:7" x14ac:dyDescent="0.25">
      <c r="B124" s="408" t="s">
        <v>158</v>
      </c>
      <c r="C124" s="440">
        <f>MROUND(GETPIVOTDATA("Sum of Revenue ($000)",'Summary PivotTables'!$A$106,"AEA Energy Region","Railbelt"), 10)</f>
        <v>271220</v>
      </c>
      <c r="D124" s="440">
        <f>MROUND(GETPIVOTDATA("Sum of Revenue ($000)2",'Summary PivotTables'!$A$106,"AEA Energy Region","Railbelt"),10)</f>
        <v>261740</v>
      </c>
      <c r="E124" s="440">
        <f>MROUND(GETPIVOTDATA("Sum of Revenue ($000)3",'Summary PivotTables'!$A$106,"AEA Energy Region","Railbelt"), 10)</f>
        <v>165170</v>
      </c>
      <c r="F124" s="440">
        <f t="shared" si="7"/>
        <v>698130</v>
      </c>
      <c r="G124" s="419">
        <f t="shared" si="8"/>
        <v>0.68295474555379465</v>
      </c>
    </row>
    <row r="125" spans="2:7" x14ac:dyDescent="0.25">
      <c r="B125" s="408" t="s">
        <v>373</v>
      </c>
      <c r="C125" s="440">
        <f>MROUND(GETPIVOTDATA("Sum of Revenue ($000)",'Summary PivotTables'!$A$106,"AEA Energy Region","Southeast"), 10)</f>
        <v>41370</v>
      </c>
      <c r="D125" s="440">
        <f>MROUND(GETPIVOTDATA("Sum of Revenue ($000)2",'Summary PivotTables'!$A$106,"AEA Energy Region","Southeast"), 10)</f>
        <v>38220</v>
      </c>
      <c r="E125" s="440">
        <f>MROUND(GETPIVOTDATA("Sum of Revenue ($000)3",'Summary PivotTables'!$A$106,"AEA Energy Region","Southeast"), 10)</f>
        <v>17630</v>
      </c>
      <c r="F125" s="440">
        <f t="shared" si="7"/>
        <v>97220</v>
      </c>
      <c r="G125" s="419">
        <f t="shared" si="8"/>
        <v>9.5106728492888024E-2</v>
      </c>
    </row>
    <row r="126" spans="2:7" x14ac:dyDescent="0.25">
      <c r="B126" s="410" t="s">
        <v>376</v>
      </c>
      <c r="C126" s="441">
        <f>MROUND(GETPIVOTDATA("Sum of Revenue ($000)",'Summary PivotTables'!$A$106,"AEA Energy Region","Yukon-Koyukuk/Upper Tanana"), 10)</f>
        <v>6520</v>
      </c>
      <c r="D126" s="441">
        <f>MROUND(GETPIVOTDATA("Sum of Revenue ($000)2",'Summary PivotTables'!$A$106,"AEA Energy Region","Yukon-Koyukuk/Upper Tanana"),10)</f>
        <v>4500</v>
      </c>
      <c r="E126" s="441">
        <f>MROUND(GETPIVOTDATA("Sum of Revenue ($000)3",'Summary PivotTables'!$A$106,"AEA Energy Region","Yukon-Koyukuk/Upper Tanana"), 10)</f>
        <v>4800</v>
      </c>
      <c r="F126" s="441">
        <f t="shared" si="7"/>
        <v>15820</v>
      </c>
      <c r="G126" s="420">
        <f t="shared" si="8"/>
        <v>1.5476120600262174E-2</v>
      </c>
    </row>
    <row r="127" spans="2:7" x14ac:dyDescent="0.25">
      <c r="B127" s="413" t="s">
        <v>14</v>
      </c>
      <c r="C127" s="414">
        <f>SUM(C116:C126)</f>
        <v>379620</v>
      </c>
      <c r="D127" s="414">
        <f>SUM(D116:D126)</f>
        <v>403800</v>
      </c>
      <c r="E127" s="414">
        <f>SUM(E116:E126)</f>
        <v>238800</v>
      </c>
      <c r="F127" s="414">
        <f>SUM(F116:F126)</f>
        <v>1022220</v>
      </c>
      <c r="G127" s="443"/>
    </row>
    <row r="128" spans="2:7" x14ac:dyDescent="0.25">
      <c r="B128" s="413" t="s">
        <v>755</v>
      </c>
      <c r="C128" s="446">
        <f>C127/$F$127</f>
        <v>0.37136819862651876</v>
      </c>
      <c r="D128" s="446">
        <f>D127/$F$127</f>
        <v>0.39502259787521277</v>
      </c>
      <c r="E128" s="446">
        <f>E127/$F$127</f>
        <v>0.23360920349826847</v>
      </c>
      <c r="F128" s="446">
        <f>F127/$F$127</f>
        <v>1</v>
      </c>
      <c r="G128" s="447"/>
    </row>
    <row r="131" spans="2:7" x14ac:dyDescent="0.25">
      <c r="B131" s="853" t="s">
        <v>1130</v>
      </c>
      <c r="C131" s="853"/>
      <c r="D131" s="853"/>
      <c r="E131" s="853"/>
      <c r="F131" s="853"/>
      <c r="G131" s="853"/>
    </row>
    <row r="132" spans="2:7" x14ac:dyDescent="0.25">
      <c r="B132" s="852" t="s">
        <v>737</v>
      </c>
      <c r="C132" s="852"/>
      <c r="D132" s="852"/>
      <c r="E132" s="852"/>
      <c r="F132" s="852"/>
      <c r="G132" s="852"/>
    </row>
    <row r="133" spans="2:7" ht="45" x14ac:dyDescent="0.25">
      <c r="B133" s="395" t="s">
        <v>5</v>
      </c>
      <c r="C133" s="413" t="s">
        <v>11</v>
      </c>
      <c r="D133" s="413" t="s">
        <v>12</v>
      </c>
      <c r="E133" s="413" t="s">
        <v>13</v>
      </c>
      <c r="F133" s="413" t="s">
        <v>1007</v>
      </c>
      <c r="G133" s="397" t="s">
        <v>1009</v>
      </c>
    </row>
    <row r="134" spans="2:7" x14ac:dyDescent="0.25">
      <c r="B134" s="405" t="s">
        <v>368</v>
      </c>
      <c r="C134" s="439">
        <f>MROUND(GETPIVOTDATA("Sum of Customers (Accounts)",'Summary PivotTables'!$A$122,"AEA Energy Region","Aleutians"), 10)</f>
        <v>1580</v>
      </c>
      <c r="D134" s="439">
        <f>MROUND(GETPIVOTDATA("Sum of Customers (Accounts)2",'Summary PivotTables'!$A$122,"AEA Energy Region","Aleutians"), 10)</f>
        <v>750</v>
      </c>
      <c r="E134" s="439">
        <f>MROUND(GETPIVOTDATA("Sum of Customers (Accounts)3",'Summary PivotTables'!$A$122,"AEA Energy Region","Aleutians"), 10)</f>
        <v>370</v>
      </c>
      <c r="F134" s="439">
        <f>SUM(C134:E134)</f>
        <v>2700</v>
      </c>
      <c r="G134" s="418">
        <f>F134/$F$145</f>
        <v>8.2995204721504987E-3</v>
      </c>
    </row>
    <row r="135" spans="2:7" x14ac:dyDescent="0.25">
      <c r="B135" s="408" t="s">
        <v>390</v>
      </c>
      <c r="C135" s="440">
        <f>MROUND(GETPIVOTDATA("Sum of Customers (Accounts)",'Summary PivotTables'!$A$122,"AEA Energy Region","Bering Straits"), 10)</f>
        <v>3360</v>
      </c>
      <c r="D135" s="440">
        <f>MROUND(GETPIVOTDATA("Sum of Customers (Accounts)2",'Summary PivotTables'!$A$122,"AEA Energy Region","Bering Straits"), 10)</f>
        <v>530</v>
      </c>
      <c r="E135" s="440">
        <f>MROUND(GETPIVOTDATA("Sum of Customers (Accounts)3",'Summary PivotTables'!$A$122,"AEA Energy Region","Bering Straits"), 10)</f>
        <v>400</v>
      </c>
      <c r="F135" s="440">
        <f t="shared" ref="F135:F144" si="9">SUM(C135:E135)</f>
        <v>4290</v>
      </c>
      <c r="G135" s="419">
        <f t="shared" ref="G135:G144" si="10">F135/$F$145</f>
        <v>1.318701586130579E-2</v>
      </c>
    </row>
    <row r="136" spans="2:7" x14ac:dyDescent="0.25">
      <c r="B136" s="408" t="s">
        <v>392</v>
      </c>
      <c r="C136" s="440">
        <f>MROUND(GETPIVOTDATA("Sum of Customers (Accounts)",'Summary PivotTables'!$A$122,"AEA Energy Region","Bristol Bay"), 10)</f>
        <v>3100</v>
      </c>
      <c r="D136" s="440">
        <f>MROUND(GETPIVOTDATA("Sum of Customers (Accounts)2",'Summary PivotTables'!$A$122,"AEA Energy Region","Bristol Bay"), 10)</f>
        <v>1000</v>
      </c>
      <c r="E136" s="440">
        <f>MROUND(GETPIVOTDATA("Sum of Customers (Accounts)3",'Summary PivotTables'!$A$122,"AEA Energy Region","Bristol Bay"), 10)</f>
        <v>520</v>
      </c>
      <c r="F136" s="440">
        <f t="shared" si="9"/>
        <v>4620</v>
      </c>
      <c r="G136" s="419">
        <f t="shared" si="10"/>
        <v>1.4201401696790851E-2</v>
      </c>
    </row>
    <row r="137" spans="2:7" x14ac:dyDescent="0.25">
      <c r="B137" s="408" t="s">
        <v>379</v>
      </c>
      <c r="C137" s="440">
        <f>MROUND(GETPIVOTDATA("Sum of Customers (Accounts)",'Summary PivotTables'!$A$122,"AEA Energy Region","Copper River/Chugach"), 10)</f>
        <v>4110</v>
      </c>
      <c r="D137" s="440">
        <f>MROUND(GETPIVOTDATA("Sum of Customers (Accounts)2",'Summary PivotTables'!$A$122,"AEA Energy Region","Copper River/Chugach"), 10)</f>
        <v>1510</v>
      </c>
      <c r="E137" s="440">
        <f>MROUND(GETPIVOTDATA("Sum of Customers (Accounts)3",'Summary PivotTables'!$A$122,"AEA Energy Region","Copper River/Chugach"), 10)</f>
        <v>150</v>
      </c>
      <c r="F137" s="440">
        <f t="shared" si="9"/>
        <v>5770</v>
      </c>
      <c r="G137" s="419">
        <f t="shared" si="10"/>
        <v>1.7736382638632732E-2</v>
      </c>
    </row>
    <row r="138" spans="2:7" x14ac:dyDescent="0.25">
      <c r="B138" s="408" t="s">
        <v>222</v>
      </c>
      <c r="C138" s="440">
        <f>MROUND(GETPIVOTDATA("Sum of Customers (Accounts)",'Summary PivotTables'!$A$122,"AEA Energy Region","Kodiak"), 10)</f>
        <v>4920</v>
      </c>
      <c r="D138" s="440">
        <f>MROUND(GETPIVOTDATA("Sum of Customers (Accounts)2",'Summary PivotTables'!$A$122,"AEA Energy Region","Kodiak"), 10)</f>
        <v>1090</v>
      </c>
      <c r="E138" s="440">
        <f>MROUND(GETPIVOTDATA("Sum of Customers (Accounts)3",'Summary PivotTables'!$A$122,"AEA Energy Region","Kodiak"), 10)</f>
        <v>140</v>
      </c>
      <c r="F138" s="440">
        <f t="shared" si="9"/>
        <v>6150</v>
      </c>
      <c r="G138" s="419">
        <f t="shared" si="10"/>
        <v>1.8904463297676134E-2</v>
      </c>
    </row>
    <row r="139" spans="2:7" x14ac:dyDescent="0.25">
      <c r="B139" s="408" t="s">
        <v>363</v>
      </c>
      <c r="C139" s="440">
        <f>MROUND(GETPIVOTDATA("Sum of Customers (Accounts)",'Summary PivotTables'!$A$122,"AEA Energy Region","Lower Yukon-Kuskokwim"), 10)</f>
        <v>6400</v>
      </c>
      <c r="D139" s="440">
        <f>MROUND(GETPIVOTDATA("Sum of Customers (Accounts)2",'Summary PivotTables'!$A$122,"AEA Energy Region","Lower Yukon-Kuskokwim"), 10)</f>
        <v>1640</v>
      </c>
      <c r="E139" s="440">
        <f>MROUND(GETPIVOTDATA("Sum of Customers (Accounts)3",'Summary PivotTables'!$A$122,"AEA Energy Region","Lower Yukon-Kuskokwim"), 10)</f>
        <v>740</v>
      </c>
      <c r="F139" s="440">
        <f t="shared" si="9"/>
        <v>8780</v>
      </c>
      <c r="G139" s="419">
        <f t="shared" si="10"/>
        <v>2.6988811016844954E-2</v>
      </c>
    </row>
    <row r="140" spans="2:7" x14ac:dyDescent="0.25">
      <c r="B140" s="408" t="s">
        <v>401</v>
      </c>
      <c r="C140" s="440">
        <f>MROUND(GETPIVOTDATA("Sum of Customers (Accounts)",'Summary PivotTables'!$A$122,"AEA Energy Region","North Slope"), 10)</f>
        <v>2170</v>
      </c>
      <c r="D140" s="440">
        <f>MROUND(GETPIVOTDATA("Sum of Customers (Accounts)2",'Summary PivotTables'!$A$122,"AEA Energy Region","North Slope"), 10)</f>
        <v>820</v>
      </c>
      <c r="E140" s="440">
        <f>MROUND(GETPIVOTDATA("Sum of Customers (Accounts)3",'Summary PivotTables'!$A$122,"AEA Energy Region","North Slope"), 10)</f>
        <v>40</v>
      </c>
      <c r="F140" s="440">
        <f t="shared" si="9"/>
        <v>3030</v>
      </c>
      <c r="G140" s="419">
        <f t="shared" si="10"/>
        <v>9.3139063076355597E-3</v>
      </c>
    </row>
    <row r="141" spans="2:7" x14ac:dyDescent="0.25">
      <c r="B141" s="408" t="s">
        <v>388</v>
      </c>
      <c r="C141" s="440">
        <f>MROUND(GETPIVOTDATA("Sum of Customers (Accounts)",'Summary PivotTables'!$A$122,"AEA Energy Region","Northwest Arctic"), 10)</f>
        <v>1880</v>
      </c>
      <c r="D141" s="440">
        <f>MROUND(GETPIVOTDATA("Sum of Customers (Accounts)2",'Summary PivotTables'!$A$122,"AEA Energy Region","Northwest Arctic"), 10)</f>
        <v>230</v>
      </c>
      <c r="E141" s="440">
        <f>MROUND(GETPIVOTDATA("Sum of Customers (Accounts)3",'Summary PivotTables'!$A$122,"AEA Energy Region","Northwest Arctic"), 10)</f>
        <v>240</v>
      </c>
      <c r="F141" s="440">
        <f t="shared" si="9"/>
        <v>2350</v>
      </c>
      <c r="G141" s="419">
        <f t="shared" si="10"/>
        <v>7.2236567072421001E-3</v>
      </c>
    </row>
    <row r="142" spans="2:7" x14ac:dyDescent="0.25">
      <c r="B142" s="408" t="s">
        <v>158</v>
      </c>
      <c r="C142" s="440">
        <f>MROUND(GETPIVOTDATA("Sum of Customers (Accounts)",'Summary PivotTables'!$A$122,"AEA Energy Region","Railbelt"), 10)</f>
        <v>212790</v>
      </c>
      <c r="D142" s="440">
        <f>MROUND(GETPIVOTDATA("Sum of Customers (Accounts)2",'Summary PivotTables'!$A$122,"AEA Energy Region","Railbelt"), 10)</f>
        <v>29950</v>
      </c>
      <c r="E142" s="440">
        <f>MROUND(GETPIVOTDATA("Sum of Customers (Accounts)3",'Summary PivotTables'!$A$122,"AEA Energy Region","Railbelt"), 10)</f>
        <v>640</v>
      </c>
      <c r="F142" s="440">
        <f t="shared" si="9"/>
        <v>243380</v>
      </c>
      <c r="G142" s="419">
        <f t="shared" si="10"/>
        <v>0.74812492315258827</v>
      </c>
    </row>
    <row r="143" spans="2:7" x14ac:dyDescent="0.25">
      <c r="B143" s="408" t="s">
        <v>373</v>
      </c>
      <c r="C143" s="440">
        <f>MROUND(GETPIVOTDATA("Sum of Customers (Accounts)",'Summary PivotTables'!$A$122,"AEA Energy Region","Southeast"), 10)</f>
        <v>31620</v>
      </c>
      <c r="D143" s="440">
        <f>MROUND(GETPIVOTDATA("Sum of Customers (Accounts)2",'Summary PivotTables'!$A$122,"AEA Energy Region","Southeast"), 10)</f>
        <v>7870</v>
      </c>
      <c r="E143" s="440">
        <f>MROUND(GETPIVOTDATA("Sum of Customers (Accounts)3",'Summary PivotTables'!$A$122,"AEA Energy Region","Southeast"), 10)</f>
        <v>720</v>
      </c>
      <c r="F143" s="440">
        <f t="shared" si="9"/>
        <v>40210</v>
      </c>
      <c r="G143" s="419">
        <f t="shared" si="10"/>
        <v>0.12360137710561908</v>
      </c>
    </row>
    <row r="144" spans="2:7" x14ac:dyDescent="0.25">
      <c r="B144" s="410" t="s">
        <v>376</v>
      </c>
      <c r="C144" s="441">
        <f>MROUND(GETPIVOTDATA("Sum of Customers (Accounts)",'Summary PivotTables'!$A$122,"AEA Energy Region","Yukon-Koyukuk/Upper Tanana"), 10)</f>
        <v>2960</v>
      </c>
      <c r="D144" s="441">
        <f>MROUND(GETPIVOTDATA("Sum of Customers (Accounts)2",'Summary PivotTables'!$A$122,"AEA Energy Region","Yukon-Koyukuk/Upper Tanana"), 10)</f>
        <v>600</v>
      </c>
      <c r="E144" s="441">
        <f>MROUND(GETPIVOTDATA("Sum of Customers (Accounts)3",'Summary PivotTables'!$A$122,"AEA Energy Region","Yukon-Koyukuk/Upper Tanana"), 10)</f>
        <v>480</v>
      </c>
      <c r="F144" s="441">
        <f t="shared" si="9"/>
        <v>4040</v>
      </c>
      <c r="G144" s="420">
        <f t="shared" si="10"/>
        <v>1.2418541743514078E-2</v>
      </c>
    </row>
    <row r="145" spans="2:7" x14ac:dyDescent="0.25">
      <c r="B145" s="413" t="s">
        <v>14</v>
      </c>
      <c r="C145" s="414">
        <f>SUM(C134:C144)</f>
        <v>274890</v>
      </c>
      <c r="D145" s="414">
        <f>SUM(D134:D144)</f>
        <v>45990</v>
      </c>
      <c r="E145" s="414">
        <f>SUM(E134:E144)</f>
        <v>4440</v>
      </c>
      <c r="F145" s="414">
        <f>SUM(F134:F144)</f>
        <v>325320</v>
      </c>
      <c r="G145" s="443"/>
    </row>
    <row r="146" spans="2:7" x14ac:dyDescent="0.25">
      <c r="B146" s="413" t="s">
        <v>755</v>
      </c>
      <c r="C146" s="444">
        <f>C145/$F$145</f>
        <v>0.84498340095905566</v>
      </c>
      <c r="D146" s="444">
        <f>D145/$F$145</f>
        <v>0.14136849870896348</v>
      </c>
      <c r="E146" s="444">
        <f>E145/$F$145</f>
        <v>1.3648100331980819E-2</v>
      </c>
      <c r="F146" s="444">
        <f>F145/$F$145</f>
        <v>1</v>
      </c>
      <c r="G146" s="447"/>
    </row>
  </sheetData>
  <mergeCells count="28">
    <mergeCell ref="B21:H21"/>
    <mergeCell ref="B22:H22"/>
    <mergeCell ref="B16:F19"/>
    <mergeCell ref="N1:R1"/>
    <mergeCell ref="H11:L13"/>
    <mergeCell ref="N20:R25"/>
    <mergeCell ref="H2:L2"/>
    <mergeCell ref="B1:F1"/>
    <mergeCell ref="O3:Q3"/>
    <mergeCell ref="N11:Q11"/>
    <mergeCell ref="R11:R13"/>
    <mergeCell ref="O12:Q12"/>
    <mergeCell ref="N2:Q2"/>
    <mergeCell ref="R2:R4"/>
    <mergeCell ref="B2:F2"/>
    <mergeCell ref="B132:G132"/>
    <mergeCell ref="B77:B78"/>
    <mergeCell ref="B95:G95"/>
    <mergeCell ref="B96:G96"/>
    <mergeCell ref="B113:G113"/>
    <mergeCell ref="B114:G114"/>
    <mergeCell ref="B131:G131"/>
    <mergeCell ref="B76:E76"/>
    <mergeCell ref="B40:D40"/>
    <mergeCell ref="B41:D41"/>
    <mergeCell ref="B57:H57"/>
    <mergeCell ref="B58:H58"/>
    <mergeCell ref="B75:E7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249977111117893"/>
  </sheetPr>
  <dimension ref="A1:O63"/>
  <sheetViews>
    <sheetView showGridLines="0" workbookViewId="0">
      <pane xSplit="2" ySplit="9" topLeftCell="C10" activePane="bottomRight" state="frozen"/>
      <selection pane="topRight" activeCell="C1" sqref="C1"/>
      <selection pane="bottomLeft" activeCell="A11" sqref="A11"/>
      <selection pane="bottomRight" activeCell="J24" sqref="J24"/>
    </sheetView>
  </sheetViews>
  <sheetFormatPr defaultRowHeight="15" x14ac:dyDescent="0.25"/>
  <cols>
    <col min="1" max="16384" width="9.140625" style="605"/>
  </cols>
  <sheetData>
    <row r="1" spans="1:15" x14ac:dyDescent="0.25">
      <c r="A1" s="478" t="s">
        <v>947</v>
      </c>
    </row>
    <row r="2" spans="1:15" x14ac:dyDescent="0.25">
      <c r="A2" s="488" t="s">
        <v>955</v>
      </c>
    </row>
    <row r="3" spans="1:15" x14ac:dyDescent="0.25">
      <c r="A3" s="478" t="s">
        <v>956</v>
      </c>
    </row>
    <row r="4" spans="1:15" x14ac:dyDescent="0.25">
      <c r="A4" s="478" t="s">
        <v>957</v>
      </c>
    </row>
    <row r="5" spans="1:15" x14ac:dyDescent="0.25">
      <c r="A5" s="478" t="s">
        <v>958</v>
      </c>
    </row>
    <row r="6" spans="1:15" x14ac:dyDescent="0.25">
      <c r="A6" s="290" t="s">
        <v>959</v>
      </c>
    </row>
    <row r="7" spans="1:15" x14ac:dyDescent="0.25">
      <c r="A7" s="290" t="s">
        <v>984</v>
      </c>
      <c r="B7" s="470"/>
      <c r="C7" s="489"/>
      <c r="D7" s="489"/>
      <c r="E7" s="470"/>
      <c r="F7" s="489"/>
      <c r="G7" s="470"/>
      <c r="H7" s="489"/>
      <c r="I7" s="470"/>
      <c r="J7" s="489"/>
      <c r="K7" s="470"/>
      <c r="L7" s="489"/>
      <c r="M7" s="470"/>
      <c r="O7" s="466"/>
    </row>
    <row r="8" spans="1:15" ht="15.75" thickBot="1" x14ac:dyDescent="0.3">
      <c r="A8" s="923" t="s">
        <v>1151</v>
      </c>
      <c r="B8" s="923"/>
      <c r="C8" s="923"/>
      <c r="D8" s="923"/>
      <c r="E8" s="923"/>
      <c r="F8" s="923"/>
      <c r="G8" s="923"/>
      <c r="H8" s="923"/>
      <c r="I8" s="923"/>
      <c r="J8" s="923"/>
      <c r="K8" s="923"/>
      <c r="L8" s="923"/>
      <c r="M8" s="923"/>
    </row>
    <row r="9" spans="1:15" ht="39.75" thickBot="1" x14ac:dyDescent="0.3">
      <c r="A9" s="518" t="s">
        <v>922</v>
      </c>
      <c r="B9" s="518" t="s">
        <v>20</v>
      </c>
      <c r="C9" s="517" t="s">
        <v>923</v>
      </c>
      <c r="D9" s="517" t="s">
        <v>935</v>
      </c>
      <c r="E9" s="518" t="s">
        <v>926</v>
      </c>
      <c r="F9" s="517" t="s">
        <v>936</v>
      </c>
      <c r="G9" s="518" t="s">
        <v>926</v>
      </c>
      <c r="H9" s="517" t="s">
        <v>937</v>
      </c>
      <c r="I9" s="518" t="s">
        <v>926</v>
      </c>
      <c r="J9" s="517" t="s">
        <v>938</v>
      </c>
      <c r="K9" s="518" t="s">
        <v>926</v>
      </c>
      <c r="L9" s="517" t="s">
        <v>939</v>
      </c>
      <c r="M9" s="518" t="s">
        <v>926</v>
      </c>
      <c r="N9" s="470"/>
    </row>
    <row r="10" spans="1:15" x14ac:dyDescent="0.25">
      <c r="A10" s="521">
        <v>1962</v>
      </c>
      <c r="B10" s="521">
        <v>1</v>
      </c>
      <c r="C10" s="534"/>
      <c r="D10" s="504"/>
      <c r="E10" s="596"/>
      <c r="F10" s="504"/>
      <c r="G10" s="596"/>
      <c r="H10" s="534"/>
      <c r="I10" s="596"/>
      <c r="J10" s="534"/>
      <c r="K10" s="596"/>
      <c r="L10" s="504"/>
      <c r="M10" s="596"/>
      <c r="N10" s="470"/>
    </row>
    <row r="11" spans="1:15" x14ac:dyDescent="0.25">
      <c r="A11" s="508">
        <v>1963</v>
      </c>
      <c r="B11" s="508" t="s">
        <v>941</v>
      </c>
      <c r="C11" s="469">
        <v>574000</v>
      </c>
      <c r="D11" s="475">
        <v>14000</v>
      </c>
      <c r="E11" s="585">
        <v>2.4390243902439025E-2</v>
      </c>
      <c r="F11" s="475">
        <v>329000</v>
      </c>
      <c r="G11" s="585">
        <v>0.57317073170731703</v>
      </c>
      <c r="H11" s="475">
        <v>129000</v>
      </c>
      <c r="I11" s="585">
        <v>0.22473867595818817</v>
      </c>
      <c r="J11" s="475"/>
      <c r="K11" s="585">
        <v>0</v>
      </c>
      <c r="L11" s="475">
        <v>102000</v>
      </c>
      <c r="M11" s="585">
        <v>0.17770034843205576</v>
      </c>
      <c r="N11" s="470"/>
    </row>
    <row r="12" spans="1:15" x14ac:dyDescent="0.25">
      <c r="A12" s="508">
        <v>1964</v>
      </c>
      <c r="B12" s="508" t="s">
        <v>941</v>
      </c>
      <c r="C12" s="469">
        <v>628000</v>
      </c>
      <c r="D12" s="475">
        <v>15000</v>
      </c>
      <c r="E12" s="585">
        <v>2.3885350318471339E-2</v>
      </c>
      <c r="F12" s="475">
        <v>362000</v>
      </c>
      <c r="G12" s="585">
        <v>0.57643312101910826</v>
      </c>
      <c r="H12" s="475">
        <v>141000</v>
      </c>
      <c r="I12" s="585">
        <v>0.22452229299363058</v>
      </c>
      <c r="J12" s="475"/>
      <c r="K12" s="585">
        <v>0</v>
      </c>
      <c r="L12" s="475">
        <v>110000</v>
      </c>
      <c r="M12" s="585">
        <v>0.1751592356687898</v>
      </c>
      <c r="N12" s="470"/>
    </row>
    <row r="13" spans="1:15" x14ac:dyDescent="0.25">
      <c r="A13" s="508">
        <v>1965</v>
      </c>
      <c r="B13" s="508">
        <v>1</v>
      </c>
      <c r="C13" s="469">
        <v>733926</v>
      </c>
      <c r="D13" s="475">
        <v>9126</v>
      </c>
      <c r="E13" s="585">
        <v>1.2434496120862322E-2</v>
      </c>
      <c r="F13" s="475">
        <v>451349</v>
      </c>
      <c r="G13" s="585">
        <v>0.61497889432994612</v>
      </c>
      <c r="H13" s="475">
        <v>148121</v>
      </c>
      <c r="I13" s="585">
        <v>0.20182007450342404</v>
      </c>
      <c r="J13" s="475">
        <v>7980</v>
      </c>
      <c r="K13" s="585">
        <v>1.0873030796020308E-2</v>
      </c>
      <c r="L13" s="475">
        <v>117350</v>
      </c>
      <c r="M13" s="585">
        <v>0.15989350424974724</v>
      </c>
      <c r="N13" s="470"/>
    </row>
    <row r="14" spans="1:15" x14ac:dyDescent="0.25">
      <c r="A14" s="508">
        <v>1966</v>
      </c>
      <c r="B14" s="508" t="s">
        <v>941</v>
      </c>
      <c r="C14" s="469">
        <v>822000</v>
      </c>
      <c r="D14" s="475">
        <v>20000</v>
      </c>
      <c r="E14" s="585">
        <v>2.4330900243309004E-2</v>
      </c>
      <c r="F14" s="475">
        <v>510000</v>
      </c>
      <c r="G14" s="585">
        <v>0.62043795620437958</v>
      </c>
      <c r="H14" s="475">
        <v>160000</v>
      </c>
      <c r="I14" s="585">
        <v>0.19464720194647203</v>
      </c>
      <c r="J14" s="475"/>
      <c r="K14" s="585">
        <v>0</v>
      </c>
      <c r="L14" s="475">
        <v>132000</v>
      </c>
      <c r="M14" s="585">
        <v>0.16058394160583941</v>
      </c>
      <c r="N14" s="470"/>
    </row>
    <row r="15" spans="1:15" x14ac:dyDescent="0.25">
      <c r="A15" s="508">
        <v>1967</v>
      </c>
      <c r="B15" s="508" t="s">
        <v>941</v>
      </c>
      <c r="C15" s="469">
        <v>891000</v>
      </c>
      <c r="D15" s="475">
        <v>22000</v>
      </c>
      <c r="E15" s="585">
        <v>2.4691358024691357E-2</v>
      </c>
      <c r="F15" s="475">
        <v>560000</v>
      </c>
      <c r="G15" s="585">
        <v>0.62850729517396187</v>
      </c>
      <c r="H15" s="475">
        <v>156000</v>
      </c>
      <c r="I15" s="585">
        <v>0.17508417508417509</v>
      </c>
      <c r="J15" s="475"/>
      <c r="K15" s="585">
        <v>0</v>
      </c>
      <c r="L15" s="475">
        <v>145000</v>
      </c>
      <c r="M15" s="585">
        <v>0.16273849607182941</v>
      </c>
      <c r="N15" s="470"/>
    </row>
    <row r="16" spans="1:15" x14ac:dyDescent="0.25">
      <c r="A16" s="508">
        <v>1968</v>
      </c>
      <c r="B16" s="508" t="s">
        <v>941</v>
      </c>
      <c r="C16" s="469">
        <v>1008000</v>
      </c>
      <c r="D16" s="475">
        <v>25000</v>
      </c>
      <c r="E16" s="585">
        <v>2.48015873015873E-2</v>
      </c>
      <c r="F16" s="475">
        <v>635000</v>
      </c>
      <c r="G16" s="585">
        <v>0.62996031746031744</v>
      </c>
      <c r="H16" s="475">
        <v>177000</v>
      </c>
      <c r="I16" s="585">
        <v>0.17559523809523808</v>
      </c>
      <c r="J16" s="475"/>
      <c r="K16" s="585">
        <v>0</v>
      </c>
      <c r="L16" s="475">
        <v>171000</v>
      </c>
      <c r="M16" s="585">
        <v>0.16964285714285715</v>
      </c>
      <c r="N16" s="470"/>
    </row>
    <row r="17" spans="1:14" x14ac:dyDescent="0.25">
      <c r="A17" s="508">
        <v>1969</v>
      </c>
      <c r="B17" s="508" t="s">
        <v>941</v>
      </c>
      <c r="C17" s="469">
        <v>1120000</v>
      </c>
      <c r="D17" s="475">
        <v>29000</v>
      </c>
      <c r="E17" s="585">
        <v>2.5892857142857145E-2</v>
      </c>
      <c r="F17" s="475">
        <v>708000</v>
      </c>
      <c r="G17" s="585">
        <v>0.63214285714285712</v>
      </c>
      <c r="H17" s="475">
        <v>185000</v>
      </c>
      <c r="I17" s="585">
        <v>0.16517857142857142</v>
      </c>
      <c r="J17" s="475"/>
      <c r="K17" s="585">
        <v>0</v>
      </c>
      <c r="L17" s="475">
        <v>198000</v>
      </c>
      <c r="M17" s="585">
        <v>0.1767857142857143</v>
      </c>
      <c r="N17" s="470"/>
    </row>
    <row r="18" spans="1:14" x14ac:dyDescent="0.25">
      <c r="A18" s="508">
        <v>1970</v>
      </c>
      <c r="B18" s="508">
        <v>1</v>
      </c>
      <c r="C18" s="469">
        <v>1281310</v>
      </c>
      <c r="D18" s="475">
        <v>15836</v>
      </c>
      <c r="E18" s="585">
        <v>1.2359226104533641E-2</v>
      </c>
      <c r="F18" s="475">
        <v>804449</v>
      </c>
      <c r="G18" s="585">
        <v>0.62783323317542206</v>
      </c>
      <c r="H18" s="475">
        <v>201952</v>
      </c>
      <c r="I18" s="585">
        <v>0.15761369223685134</v>
      </c>
      <c r="J18" s="475">
        <v>18941</v>
      </c>
      <c r="K18" s="585">
        <v>1.4782527257260147E-2</v>
      </c>
      <c r="L18" s="475">
        <v>240132</v>
      </c>
      <c r="M18" s="585">
        <v>0.18741132122593285</v>
      </c>
      <c r="N18" s="470"/>
    </row>
    <row r="19" spans="1:14" x14ac:dyDescent="0.25">
      <c r="A19" s="508">
        <v>1971</v>
      </c>
      <c r="B19" s="508">
        <v>1</v>
      </c>
      <c r="C19" s="469">
        <v>1491351</v>
      </c>
      <c r="D19" s="475">
        <v>18367</v>
      </c>
      <c r="E19" s="585">
        <v>1.2315678871037067E-2</v>
      </c>
      <c r="F19" s="475">
        <v>956098</v>
      </c>
      <c r="G19" s="585">
        <v>0.64109522171507582</v>
      </c>
      <c r="H19" s="475">
        <v>217336</v>
      </c>
      <c r="I19" s="585">
        <v>0.14573095133204725</v>
      </c>
      <c r="J19" s="475">
        <v>22976</v>
      </c>
      <c r="K19" s="585">
        <v>1.5406165282351371E-2</v>
      </c>
      <c r="L19" s="475">
        <v>276574</v>
      </c>
      <c r="M19" s="585">
        <v>0.18545198279948852</v>
      </c>
      <c r="N19" s="470"/>
    </row>
    <row r="20" spans="1:14" x14ac:dyDescent="0.25">
      <c r="A20" s="508">
        <v>1972</v>
      </c>
      <c r="B20" s="508">
        <v>1</v>
      </c>
      <c r="C20" s="469">
        <v>1624744</v>
      </c>
      <c r="D20" s="475">
        <v>20278</v>
      </c>
      <c r="E20" s="585">
        <v>1.2480735426627211E-2</v>
      </c>
      <c r="F20" s="475">
        <v>1033717</v>
      </c>
      <c r="G20" s="585">
        <v>0.63623376975080381</v>
      </c>
      <c r="H20" s="475">
        <v>232465</v>
      </c>
      <c r="I20" s="585">
        <v>0.14307792489155213</v>
      </c>
      <c r="J20" s="475">
        <v>25847</v>
      </c>
      <c r="K20" s="585">
        <v>1.5908352331198021E-2</v>
      </c>
      <c r="L20" s="475">
        <v>312437</v>
      </c>
      <c r="M20" s="585">
        <v>0.1922992175998188</v>
      </c>
      <c r="N20" s="470"/>
    </row>
    <row r="21" spans="1:14" x14ac:dyDescent="0.25">
      <c r="A21" s="508">
        <v>1973</v>
      </c>
      <c r="B21" s="508">
        <v>1</v>
      </c>
      <c r="C21" s="469">
        <v>1789281</v>
      </c>
      <c r="D21" s="475">
        <v>22415</v>
      </c>
      <c r="E21" s="585">
        <v>1.2527378315647458E-2</v>
      </c>
      <c r="F21" s="475">
        <v>1169883</v>
      </c>
      <c r="G21" s="585">
        <v>0.65382854900935072</v>
      </c>
      <c r="H21" s="475">
        <v>247700</v>
      </c>
      <c r="I21" s="585">
        <v>0.13843549448074394</v>
      </c>
      <c r="J21" s="475">
        <v>28798</v>
      </c>
      <c r="K21" s="585">
        <v>1.6094733024047091E-2</v>
      </c>
      <c r="L21" s="475">
        <v>320485</v>
      </c>
      <c r="M21" s="585">
        <v>0.17911384517021084</v>
      </c>
      <c r="N21" s="470"/>
    </row>
    <row r="22" spans="1:14" x14ac:dyDescent="0.25">
      <c r="A22" s="508">
        <v>1974</v>
      </c>
      <c r="B22" s="508">
        <v>1</v>
      </c>
      <c r="C22" s="469">
        <v>1935126</v>
      </c>
      <c r="D22" s="475">
        <v>22755</v>
      </c>
      <c r="E22" s="585">
        <v>1.1758924225089219E-2</v>
      </c>
      <c r="F22" s="475">
        <v>1267829</v>
      </c>
      <c r="G22" s="585">
        <v>0.65516612354957759</v>
      </c>
      <c r="H22" s="475">
        <v>263521</v>
      </c>
      <c r="I22" s="585">
        <v>0.13617769592264276</v>
      </c>
      <c r="J22" s="475">
        <v>32454</v>
      </c>
      <c r="K22" s="585">
        <v>1.677100095807715E-2</v>
      </c>
      <c r="L22" s="475">
        <v>348567</v>
      </c>
      <c r="M22" s="585">
        <v>0.18012625534461321</v>
      </c>
      <c r="N22" s="470"/>
    </row>
    <row r="23" spans="1:14" x14ac:dyDescent="0.25">
      <c r="A23" s="508">
        <v>1975</v>
      </c>
      <c r="B23" s="508">
        <v>1</v>
      </c>
      <c r="C23" s="469">
        <v>2288220</v>
      </c>
      <c r="D23" s="475">
        <v>28813</v>
      </c>
      <c r="E23" s="585">
        <v>1.2591883647551372E-2</v>
      </c>
      <c r="F23" s="475">
        <v>1499648</v>
      </c>
      <c r="G23" s="585">
        <v>0.65537754236917778</v>
      </c>
      <c r="H23" s="475">
        <v>289031</v>
      </c>
      <c r="I23" s="585">
        <v>0.12631259232066847</v>
      </c>
      <c r="J23" s="475">
        <v>37151</v>
      </c>
      <c r="K23" s="585">
        <v>1.6235764043667129E-2</v>
      </c>
      <c r="L23" s="475">
        <v>433577</v>
      </c>
      <c r="M23" s="585">
        <v>0.18948221761893524</v>
      </c>
      <c r="N23" s="470"/>
    </row>
    <row r="24" spans="1:14" x14ac:dyDescent="0.25">
      <c r="A24" s="508">
        <v>1976</v>
      </c>
      <c r="B24" s="508">
        <v>1</v>
      </c>
      <c r="C24" s="469">
        <v>2572104</v>
      </c>
      <c r="D24" s="475">
        <v>37032</v>
      </c>
      <c r="E24" s="585">
        <v>1.4397551576452585E-2</v>
      </c>
      <c r="F24" s="475">
        <v>1722992</v>
      </c>
      <c r="G24" s="585">
        <v>0.6698764902196801</v>
      </c>
      <c r="H24" s="475">
        <v>305796</v>
      </c>
      <c r="I24" s="585">
        <v>0.11888943837418704</v>
      </c>
      <c r="J24" s="475">
        <v>29424</v>
      </c>
      <c r="K24" s="585">
        <v>1.1439661848821043E-2</v>
      </c>
      <c r="L24" s="475">
        <v>476860</v>
      </c>
      <c r="M24" s="585">
        <v>0.18539685798085925</v>
      </c>
      <c r="N24" s="470"/>
    </row>
    <row r="25" spans="1:14" x14ac:dyDescent="0.25">
      <c r="A25" s="508">
        <v>1977</v>
      </c>
      <c r="B25" s="508">
        <v>1</v>
      </c>
      <c r="C25" s="469">
        <v>2828083</v>
      </c>
      <c r="D25" s="475">
        <v>44908</v>
      </c>
      <c r="E25" s="585">
        <v>1.5879307644082581E-2</v>
      </c>
      <c r="F25" s="475">
        <v>1920710</v>
      </c>
      <c r="G25" s="585">
        <v>0.67915616337992912</v>
      </c>
      <c r="H25" s="475">
        <v>318514</v>
      </c>
      <c r="I25" s="585">
        <v>0.11262540738726551</v>
      </c>
      <c r="J25" s="475">
        <v>42173</v>
      </c>
      <c r="K25" s="585">
        <v>1.4912221458846858E-2</v>
      </c>
      <c r="L25" s="475">
        <v>501778</v>
      </c>
      <c r="M25" s="585">
        <v>0.17742690012987597</v>
      </c>
      <c r="N25" s="470"/>
    </row>
    <row r="26" spans="1:14" x14ac:dyDescent="0.25">
      <c r="A26" s="508">
        <v>1978</v>
      </c>
      <c r="B26" s="508">
        <v>1</v>
      </c>
      <c r="C26" s="469">
        <v>2960038</v>
      </c>
      <c r="D26" s="475">
        <v>47701</v>
      </c>
      <c r="E26" s="585">
        <v>1.6114995820999595E-2</v>
      </c>
      <c r="F26" s="475">
        <v>2052305</v>
      </c>
      <c r="G26" s="585">
        <v>0.69333738283089608</v>
      </c>
      <c r="H26" s="475">
        <v>326083</v>
      </c>
      <c r="I26" s="585">
        <v>0.11016176143684642</v>
      </c>
      <c r="J26" s="475">
        <v>47336</v>
      </c>
      <c r="K26" s="585">
        <v>1.5991686593212654E-2</v>
      </c>
      <c r="L26" s="475">
        <v>486613</v>
      </c>
      <c r="M26" s="585">
        <v>0.16439417331804523</v>
      </c>
      <c r="N26" s="470"/>
    </row>
    <row r="27" spans="1:14" x14ac:dyDescent="0.25">
      <c r="A27" s="508">
        <v>1979</v>
      </c>
      <c r="B27" s="508">
        <v>1</v>
      </c>
      <c r="C27" s="469">
        <v>3084915</v>
      </c>
      <c r="D27" s="475">
        <v>51404</v>
      </c>
      <c r="E27" s="585">
        <v>1.6663019888716546E-2</v>
      </c>
      <c r="F27" s="475">
        <v>2166505</v>
      </c>
      <c r="G27" s="585">
        <v>0.70229001447365647</v>
      </c>
      <c r="H27" s="475">
        <v>346457</v>
      </c>
      <c r="I27" s="585">
        <v>0.11230682206803105</v>
      </c>
      <c r="J27" s="475">
        <v>50294</v>
      </c>
      <c r="K27" s="585">
        <v>1.6303204464304527E-2</v>
      </c>
      <c r="L27" s="475">
        <v>470255</v>
      </c>
      <c r="M27" s="585">
        <v>0.15243693910529138</v>
      </c>
      <c r="N27" s="470"/>
    </row>
    <row r="28" spans="1:14" x14ac:dyDescent="0.25">
      <c r="A28" s="508">
        <v>1980</v>
      </c>
      <c r="B28" s="508">
        <v>1</v>
      </c>
      <c r="C28" s="469">
        <v>3181484</v>
      </c>
      <c r="D28" s="475">
        <v>63936</v>
      </c>
      <c r="E28" s="585">
        <v>2.0096282112372715E-2</v>
      </c>
      <c r="F28" s="475">
        <v>2235091</v>
      </c>
      <c r="G28" s="585">
        <v>0.70253095725139592</v>
      </c>
      <c r="H28" s="475">
        <v>365443</v>
      </c>
      <c r="I28" s="585">
        <v>0.11486557845332555</v>
      </c>
      <c r="J28" s="475">
        <v>55402</v>
      </c>
      <c r="K28" s="585">
        <v>1.7413886098437081E-2</v>
      </c>
      <c r="L28" s="475">
        <v>461612</v>
      </c>
      <c r="M28" s="585">
        <v>0.14509329608446875</v>
      </c>
      <c r="N28" s="470"/>
    </row>
    <row r="29" spans="1:14" x14ac:dyDescent="0.25">
      <c r="A29" s="508">
        <v>1981</v>
      </c>
      <c r="B29" s="508">
        <v>1</v>
      </c>
      <c r="C29" s="469">
        <v>3281429</v>
      </c>
      <c r="D29" s="475">
        <v>71666</v>
      </c>
      <c r="E29" s="585">
        <v>2.1839875249472104E-2</v>
      </c>
      <c r="F29" s="475">
        <v>2305525</v>
      </c>
      <c r="G29" s="585">
        <v>0.70259786208996144</v>
      </c>
      <c r="H29" s="475">
        <v>394724</v>
      </c>
      <c r="I29" s="585">
        <v>0.12029027597427829</v>
      </c>
      <c r="J29" s="475">
        <v>59659</v>
      </c>
      <c r="K29" s="585">
        <v>1.8180798670335393E-2</v>
      </c>
      <c r="L29" s="475">
        <v>449855</v>
      </c>
      <c r="M29" s="585">
        <v>0.1370911880159528</v>
      </c>
      <c r="N29" s="470"/>
    </row>
    <row r="30" spans="1:14" x14ac:dyDescent="0.25">
      <c r="A30" s="508">
        <v>1982</v>
      </c>
      <c r="B30" s="508">
        <v>1</v>
      </c>
      <c r="C30" s="469">
        <v>3714277</v>
      </c>
      <c r="D30" s="475">
        <v>86813</v>
      </c>
      <c r="E30" s="585">
        <v>2.3372785605381613E-2</v>
      </c>
      <c r="F30" s="475">
        <v>2577871</v>
      </c>
      <c r="G30" s="585">
        <v>0.69404382064127146</v>
      </c>
      <c r="H30" s="475">
        <v>475011</v>
      </c>
      <c r="I30" s="585">
        <v>0.12788787696771134</v>
      </c>
      <c r="J30" s="475">
        <v>68178</v>
      </c>
      <c r="K30" s="585">
        <v>1.8355658449814054E-2</v>
      </c>
      <c r="L30" s="475">
        <v>506404</v>
      </c>
      <c r="M30" s="585">
        <v>0.13633985833582149</v>
      </c>
      <c r="N30" s="470"/>
    </row>
    <row r="31" spans="1:14" x14ac:dyDescent="0.25">
      <c r="A31" s="508">
        <v>1983</v>
      </c>
      <c r="B31" s="508">
        <v>1</v>
      </c>
      <c r="C31" s="469">
        <v>3856013</v>
      </c>
      <c r="D31" s="475">
        <v>94981</v>
      </c>
      <c r="E31" s="585">
        <v>2.4631919031393307E-2</v>
      </c>
      <c r="F31" s="475">
        <v>2655641</v>
      </c>
      <c r="G31" s="585">
        <v>0.68870125697190332</v>
      </c>
      <c r="H31" s="475">
        <v>507253</v>
      </c>
      <c r="I31" s="585">
        <v>0.13154857102400846</v>
      </c>
      <c r="J31" s="475">
        <v>77308</v>
      </c>
      <c r="K31" s="585">
        <v>2.0048687595192235E-2</v>
      </c>
      <c r="L31" s="475">
        <v>520830</v>
      </c>
      <c r="M31" s="585">
        <v>0.13506956537750262</v>
      </c>
      <c r="N31" s="470"/>
    </row>
    <row r="32" spans="1:14" x14ac:dyDescent="0.25">
      <c r="A32" s="508">
        <v>1984</v>
      </c>
      <c r="B32" s="508">
        <v>1</v>
      </c>
      <c r="C32" s="469">
        <v>4146039</v>
      </c>
      <c r="D32" s="475">
        <v>100906</v>
      </c>
      <c r="E32" s="585">
        <v>2.433792832146538E-2</v>
      </c>
      <c r="F32" s="475">
        <v>2827848</v>
      </c>
      <c r="G32" s="585">
        <v>0.68206015428219557</v>
      </c>
      <c r="H32" s="475">
        <v>567608</v>
      </c>
      <c r="I32" s="585">
        <v>0.13690368083850635</v>
      </c>
      <c r="J32" s="475">
        <v>79846</v>
      </c>
      <c r="K32" s="585">
        <v>1.9258381312862709E-2</v>
      </c>
      <c r="L32" s="475">
        <v>569831</v>
      </c>
      <c r="M32" s="585">
        <v>0.13743985524496996</v>
      </c>
      <c r="N32" s="470"/>
    </row>
    <row r="33" spans="1:14" x14ac:dyDescent="0.25">
      <c r="A33" s="508">
        <v>1985</v>
      </c>
      <c r="B33" s="508">
        <v>1</v>
      </c>
      <c r="C33" s="469">
        <v>4473992</v>
      </c>
      <c r="D33" s="475">
        <v>107467</v>
      </c>
      <c r="E33" s="585">
        <v>2.4020382691788453E-2</v>
      </c>
      <c r="F33" s="475">
        <v>3164189</v>
      </c>
      <c r="G33" s="585">
        <v>0.70724064772578943</v>
      </c>
      <c r="H33" s="475">
        <v>579250</v>
      </c>
      <c r="I33" s="585">
        <v>0.12947050419401734</v>
      </c>
      <c r="J33" s="475">
        <v>83877</v>
      </c>
      <c r="K33" s="585">
        <v>1.8747686629748107E-2</v>
      </c>
      <c r="L33" s="475">
        <v>539209</v>
      </c>
      <c r="M33" s="585">
        <v>0.1205207787586567</v>
      </c>
      <c r="N33" s="470"/>
    </row>
    <row r="34" spans="1:14" x14ac:dyDescent="0.25">
      <c r="A34" s="508">
        <v>1986</v>
      </c>
      <c r="B34" s="508">
        <v>1</v>
      </c>
      <c r="C34" s="469">
        <v>4410431</v>
      </c>
      <c r="D34" s="475">
        <v>112398</v>
      </c>
      <c r="E34" s="585">
        <v>2.5484584159688701E-2</v>
      </c>
      <c r="F34" s="475">
        <v>3088302</v>
      </c>
      <c r="G34" s="585">
        <v>0.70022680323079534</v>
      </c>
      <c r="H34" s="475">
        <v>568241</v>
      </c>
      <c r="I34" s="585">
        <v>0.12884024259760554</v>
      </c>
      <c r="J34" s="475">
        <v>89186</v>
      </c>
      <c r="K34" s="585">
        <v>2.0221606459776834E-2</v>
      </c>
      <c r="L34" s="475">
        <v>552304</v>
      </c>
      <c r="M34" s="585">
        <v>0.12522676355213358</v>
      </c>
      <c r="N34" s="470"/>
    </row>
    <row r="35" spans="1:14" x14ac:dyDescent="0.25">
      <c r="A35" s="508">
        <v>1987</v>
      </c>
      <c r="B35" s="508">
        <v>1</v>
      </c>
      <c r="C35" s="469">
        <v>4423875</v>
      </c>
      <c r="D35" s="475">
        <v>113700</v>
      </c>
      <c r="E35" s="585">
        <v>2.5701449521064679E-2</v>
      </c>
      <c r="F35" s="475">
        <v>3186583</v>
      </c>
      <c r="G35" s="585">
        <v>0.72031488231471275</v>
      </c>
      <c r="H35" s="475">
        <v>580705</v>
      </c>
      <c r="I35" s="585">
        <v>0.13126614110932158</v>
      </c>
      <c r="J35" s="475">
        <v>106937</v>
      </c>
      <c r="K35" s="585">
        <v>2.4172699273826679E-2</v>
      </c>
      <c r="L35" s="475">
        <v>435950</v>
      </c>
      <c r="M35" s="585">
        <v>9.854482778107429E-2</v>
      </c>
      <c r="N35" s="470"/>
    </row>
    <row r="36" spans="1:14" x14ac:dyDescent="0.25">
      <c r="A36" s="508">
        <v>1988</v>
      </c>
      <c r="B36" s="508">
        <v>1</v>
      </c>
      <c r="C36" s="469">
        <v>4502221</v>
      </c>
      <c r="D36" s="475">
        <v>119138</v>
      </c>
      <c r="E36" s="585">
        <v>2.6462050619016703E-2</v>
      </c>
      <c r="F36" s="475">
        <v>3167213</v>
      </c>
      <c r="G36" s="585">
        <v>0.70347790568255086</v>
      </c>
      <c r="H36" s="475">
        <v>636945</v>
      </c>
      <c r="I36" s="585">
        <v>0.14147350829734925</v>
      </c>
      <c r="J36" s="475">
        <v>112804</v>
      </c>
      <c r="K36" s="585">
        <v>2.5055189427618058E-2</v>
      </c>
      <c r="L36" s="475">
        <v>466121</v>
      </c>
      <c r="M36" s="585">
        <v>0.1035313459734651</v>
      </c>
      <c r="N36" s="470"/>
    </row>
    <row r="37" spans="1:14" x14ac:dyDescent="0.25">
      <c r="A37" s="508">
        <v>1989</v>
      </c>
      <c r="B37" s="508">
        <v>1</v>
      </c>
      <c r="C37" s="469">
        <v>4603964</v>
      </c>
      <c r="D37" s="475">
        <v>126988</v>
      </c>
      <c r="E37" s="585">
        <v>2.758231819362619E-2</v>
      </c>
      <c r="F37" s="475">
        <v>3269386</v>
      </c>
      <c r="G37" s="585">
        <v>0.71012414519314226</v>
      </c>
      <c r="H37" s="475">
        <v>626705</v>
      </c>
      <c r="I37" s="585">
        <v>0.13612291494894399</v>
      </c>
      <c r="J37" s="475">
        <v>119476</v>
      </c>
      <c r="K37" s="585">
        <v>2.5950680761187533E-2</v>
      </c>
      <c r="L37" s="475">
        <v>461409</v>
      </c>
      <c r="M37" s="585">
        <v>0.10021994090310002</v>
      </c>
      <c r="N37" s="470"/>
    </row>
    <row r="38" spans="1:14" x14ac:dyDescent="0.25">
      <c r="A38" s="508">
        <v>1990</v>
      </c>
      <c r="B38" s="508">
        <v>1</v>
      </c>
      <c r="C38" s="469">
        <v>4674565</v>
      </c>
      <c r="D38" s="475">
        <v>135768</v>
      </c>
      <c r="E38" s="585">
        <v>2.9043985910988508E-2</v>
      </c>
      <c r="F38" s="475">
        <v>3318206</v>
      </c>
      <c r="G38" s="585">
        <v>0.70984273402979747</v>
      </c>
      <c r="H38" s="475">
        <v>651226</v>
      </c>
      <c r="I38" s="585">
        <v>0.13931264192497056</v>
      </c>
      <c r="J38" s="475">
        <v>127326</v>
      </c>
      <c r="K38" s="585">
        <v>2.7238042470261938E-2</v>
      </c>
      <c r="L38" s="475">
        <v>442039</v>
      </c>
      <c r="M38" s="585">
        <v>9.4562595663981563E-2</v>
      </c>
      <c r="N38" s="470"/>
    </row>
    <row r="39" spans="1:14" x14ac:dyDescent="0.25">
      <c r="A39" s="508">
        <v>1991</v>
      </c>
      <c r="B39" s="508">
        <v>1</v>
      </c>
      <c r="C39" s="469">
        <v>4621212</v>
      </c>
      <c r="D39" s="475">
        <v>162135</v>
      </c>
      <c r="E39" s="585">
        <v>3.508495173993316E-2</v>
      </c>
      <c r="F39" s="475">
        <v>3180445</v>
      </c>
      <c r="G39" s="585">
        <v>0.68822746067481866</v>
      </c>
      <c r="H39" s="475">
        <v>660607</v>
      </c>
      <c r="I39" s="585">
        <v>0.14295102670035481</v>
      </c>
      <c r="J39" s="475">
        <v>126761</v>
      </c>
      <c r="K39" s="585">
        <v>2.7430249899809835E-2</v>
      </c>
      <c r="L39" s="475">
        <v>491264</v>
      </c>
      <c r="M39" s="585">
        <v>0.10630631098508357</v>
      </c>
      <c r="N39" s="470"/>
    </row>
    <row r="40" spans="1:14" x14ac:dyDescent="0.25">
      <c r="A40" s="508">
        <v>1992</v>
      </c>
      <c r="B40" s="508">
        <v>1</v>
      </c>
      <c r="C40" s="469">
        <v>4736792</v>
      </c>
      <c r="D40" s="475">
        <v>163449</v>
      </c>
      <c r="E40" s="585">
        <v>3.4506264999603103E-2</v>
      </c>
      <c r="F40" s="475">
        <v>3303067</v>
      </c>
      <c r="G40" s="585">
        <v>0.69732152055652852</v>
      </c>
      <c r="H40" s="475">
        <v>670609</v>
      </c>
      <c r="I40" s="585">
        <v>0.14157450865480267</v>
      </c>
      <c r="J40" s="475">
        <v>132589</v>
      </c>
      <c r="K40" s="585">
        <v>2.7991307196938351E-2</v>
      </c>
      <c r="L40" s="475">
        <v>467078</v>
      </c>
      <c r="M40" s="585">
        <v>9.8606398592127331E-2</v>
      </c>
      <c r="N40" s="470"/>
    </row>
    <row r="41" spans="1:14" x14ac:dyDescent="0.25">
      <c r="A41" s="508">
        <v>1993</v>
      </c>
      <c r="B41" s="508">
        <v>1</v>
      </c>
      <c r="C41" s="469">
        <v>4733185</v>
      </c>
      <c r="D41" s="475">
        <v>155026</v>
      </c>
      <c r="E41" s="585">
        <v>3.2752998245367551E-2</v>
      </c>
      <c r="F41" s="475">
        <v>3249963</v>
      </c>
      <c r="G41" s="585">
        <v>0.68663341914588172</v>
      </c>
      <c r="H41" s="475">
        <v>659553</v>
      </c>
      <c r="I41" s="585">
        <v>0.13934654994469897</v>
      </c>
      <c r="J41" s="475">
        <v>135373</v>
      </c>
      <c r="K41" s="585">
        <v>2.8600825870951588E-2</v>
      </c>
      <c r="L41" s="475">
        <v>533270</v>
      </c>
      <c r="M41" s="585">
        <v>0.1126662067931002</v>
      </c>
      <c r="N41" s="470"/>
    </row>
    <row r="42" spans="1:14" x14ac:dyDescent="0.25">
      <c r="A42" s="508">
        <v>1994</v>
      </c>
      <c r="B42" s="508">
        <v>1</v>
      </c>
      <c r="C42" s="469">
        <v>4924864</v>
      </c>
      <c r="D42" s="475">
        <v>157381</v>
      </c>
      <c r="E42" s="585">
        <v>3.1956415446193029E-2</v>
      </c>
      <c r="F42" s="475">
        <v>3439538</v>
      </c>
      <c r="G42" s="585">
        <v>0.69840263609309816</v>
      </c>
      <c r="H42" s="475">
        <v>687221</v>
      </c>
      <c r="I42" s="585">
        <v>0.13954111220127094</v>
      </c>
      <c r="J42" s="475">
        <v>143404</v>
      </c>
      <c r="K42" s="585">
        <v>2.9118367532585673E-2</v>
      </c>
      <c r="L42" s="475">
        <v>497320</v>
      </c>
      <c r="M42" s="585">
        <v>0.10098146872685215</v>
      </c>
      <c r="N42" s="470"/>
    </row>
    <row r="43" spans="1:14" x14ac:dyDescent="0.25">
      <c r="A43" s="508">
        <v>1995</v>
      </c>
      <c r="B43" s="508">
        <v>1</v>
      </c>
      <c r="C43" s="469">
        <v>5018794</v>
      </c>
      <c r="D43" s="475">
        <v>161031</v>
      </c>
      <c r="E43" s="585">
        <v>3.2085596659277106E-2</v>
      </c>
      <c r="F43" s="475">
        <v>3501178</v>
      </c>
      <c r="G43" s="585">
        <v>0.69761341071181637</v>
      </c>
      <c r="H43" s="475">
        <v>714949</v>
      </c>
      <c r="I43" s="585">
        <v>0.14245434261697132</v>
      </c>
      <c r="J43" s="475">
        <v>139087</v>
      </c>
      <c r="K43" s="585">
        <v>2.7713231505417438E-2</v>
      </c>
      <c r="L43" s="475">
        <v>502549</v>
      </c>
      <c r="M43" s="585">
        <v>0.1001334185065177</v>
      </c>
      <c r="N43" s="470"/>
    </row>
    <row r="44" spans="1:14" x14ac:dyDescent="0.25">
      <c r="A44" s="508">
        <v>1996</v>
      </c>
      <c r="B44" s="508" t="s">
        <v>960</v>
      </c>
      <c r="C44" s="469">
        <v>4982268</v>
      </c>
      <c r="D44" s="469">
        <v>71707</v>
      </c>
      <c r="E44" s="585">
        <v>1.4392441354017889E-2</v>
      </c>
      <c r="F44" s="469">
        <v>3609022</v>
      </c>
      <c r="G44" s="585">
        <v>0.72437331753330014</v>
      </c>
      <c r="H44" s="469">
        <v>656591</v>
      </c>
      <c r="I44" s="585">
        <v>0.13178556432532332</v>
      </c>
      <c r="J44" s="469">
        <v>91476</v>
      </c>
      <c r="K44" s="585">
        <v>1.836031301407311E-2</v>
      </c>
      <c r="L44" s="469">
        <v>553472</v>
      </c>
      <c r="M44" s="585">
        <v>0.11108836377328558</v>
      </c>
      <c r="N44" s="470"/>
    </row>
    <row r="45" spans="1:14" x14ac:dyDescent="0.25">
      <c r="A45" s="508">
        <v>1997</v>
      </c>
      <c r="B45" s="508" t="s">
        <v>943</v>
      </c>
      <c r="C45" s="469">
        <v>5108003</v>
      </c>
      <c r="D45" s="469">
        <v>120857</v>
      </c>
      <c r="E45" s="585">
        <v>2.3660322830663959E-2</v>
      </c>
      <c r="F45" s="469">
        <v>3594688</v>
      </c>
      <c r="G45" s="585">
        <v>0.7037364700059886</v>
      </c>
      <c r="H45" s="469">
        <v>632150</v>
      </c>
      <c r="I45" s="585">
        <v>0.12375677931277644</v>
      </c>
      <c r="J45" s="469">
        <v>73625</v>
      </c>
      <c r="K45" s="585">
        <v>1.4413656374125073E-2</v>
      </c>
      <c r="L45" s="469">
        <v>686683</v>
      </c>
      <c r="M45" s="585">
        <v>0.13443277147644589</v>
      </c>
      <c r="N45" s="470"/>
    </row>
    <row r="46" spans="1:14" x14ac:dyDescent="0.25">
      <c r="A46" s="508">
        <v>1998</v>
      </c>
      <c r="B46" s="508" t="s">
        <v>943</v>
      </c>
      <c r="C46" s="469">
        <v>4590270</v>
      </c>
      <c r="D46" s="469">
        <v>122432</v>
      </c>
      <c r="E46" s="585">
        <v>2.6672069398967817E-2</v>
      </c>
      <c r="F46" s="469">
        <v>3200155</v>
      </c>
      <c r="G46" s="585">
        <v>0.69716051561237136</v>
      </c>
      <c r="H46" s="469">
        <v>529577</v>
      </c>
      <c r="I46" s="585">
        <v>0.11536946628411836</v>
      </c>
      <c r="J46" s="469">
        <v>76632</v>
      </c>
      <c r="K46" s="585">
        <v>1.6694442810553628E-2</v>
      </c>
      <c r="L46" s="469">
        <v>661474</v>
      </c>
      <c r="M46" s="585">
        <v>0.14410350589398882</v>
      </c>
      <c r="N46" s="470"/>
    </row>
    <row r="47" spans="1:14" x14ac:dyDescent="0.25">
      <c r="A47" s="508">
        <v>1999</v>
      </c>
      <c r="B47" s="508" t="s">
        <v>943</v>
      </c>
      <c r="C47" s="469">
        <v>4609315</v>
      </c>
      <c r="D47" s="469">
        <v>128838</v>
      </c>
      <c r="E47" s="585">
        <v>2.7951658760575052E-2</v>
      </c>
      <c r="F47" s="469">
        <v>3338963</v>
      </c>
      <c r="G47" s="585">
        <v>0.72439462262830812</v>
      </c>
      <c r="H47" s="469">
        <v>398387</v>
      </c>
      <c r="I47" s="585">
        <v>8.6430847099840211E-2</v>
      </c>
      <c r="J47" s="469">
        <v>98213</v>
      </c>
      <c r="K47" s="585">
        <v>2.1307504477346417E-2</v>
      </c>
      <c r="L47" s="469">
        <v>644914</v>
      </c>
      <c r="M47" s="585">
        <v>0.1399153670339302</v>
      </c>
      <c r="N47" s="470"/>
    </row>
    <row r="48" spans="1:14" x14ac:dyDescent="0.25">
      <c r="A48" s="508">
        <v>2000</v>
      </c>
      <c r="B48" s="508" t="s">
        <v>943</v>
      </c>
      <c r="C48" s="469">
        <v>4937687</v>
      </c>
      <c r="D48" s="469">
        <v>126766</v>
      </c>
      <c r="E48" s="585">
        <v>2.567315425218326E-2</v>
      </c>
      <c r="F48" s="469">
        <v>3650429</v>
      </c>
      <c r="G48" s="585">
        <v>0.73929939261034572</v>
      </c>
      <c r="H48" s="469">
        <v>552457</v>
      </c>
      <c r="I48" s="585">
        <v>0.11188578781927652</v>
      </c>
      <c r="J48" s="469">
        <v>44473</v>
      </c>
      <c r="K48" s="585">
        <v>9.0068487532725342E-3</v>
      </c>
      <c r="L48" s="469">
        <v>563562</v>
      </c>
      <c r="M48" s="585">
        <v>0.114134816564922</v>
      </c>
      <c r="N48" s="470"/>
    </row>
    <row r="49" spans="1:14" x14ac:dyDescent="0.25">
      <c r="A49" s="508">
        <v>2001</v>
      </c>
      <c r="B49" s="508">
        <v>1</v>
      </c>
      <c r="C49" s="469">
        <v>5646289.9220000003</v>
      </c>
      <c r="D49" s="469">
        <v>179161.91100000008</v>
      </c>
      <c r="E49" s="585">
        <v>3.1730908875564477E-2</v>
      </c>
      <c r="F49" s="469">
        <v>3761085.1750000003</v>
      </c>
      <c r="G49" s="585">
        <v>0.66611619788517129</v>
      </c>
      <c r="H49" s="469">
        <v>704467.61399999994</v>
      </c>
      <c r="I49" s="585">
        <v>0.12476646146970558</v>
      </c>
      <c r="J49" s="469">
        <v>167056.60100000002</v>
      </c>
      <c r="K49" s="585">
        <v>2.9586968311543251E-2</v>
      </c>
      <c r="L49" s="469">
        <v>834518.62100000004</v>
      </c>
      <c r="M49" s="585">
        <v>0.14779946345801548</v>
      </c>
      <c r="N49" s="470"/>
    </row>
    <row r="50" spans="1:14" x14ac:dyDescent="0.25">
      <c r="A50" s="588">
        <v>2002</v>
      </c>
      <c r="B50" s="508" t="s">
        <v>961</v>
      </c>
      <c r="C50" s="492">
        <v>5631870.9279999994</v>
      </c>
      <c r="D50" s="492">
        <v>136177.19</v>
      </c>
      <c r="E50" s="585">
        <v>2.4179742707342106E-2</v>
      </c>
      <c r="F50" s="492">
        <v>3859369.7359999996</v>
      </c>
      <c r="G50" s="585">
        <v>0.68527311533585633</v>
      </c>
      <c r="H50" s="492">
        <v>592208.00199999998</v>
      </c>
      <c r="I50" s="585">
        <v>0.10515297839226333</v>
      </c>
      <c r="J50" s="492">
        <v>97834.001000000004</v>
      </c>
      <c r="K50" s="585">
        <v>1.7371492040699696E-2</v>
      </c>
      <c r="L50" s="492">
        <v>946281.99899999995</v>
      </c>
      <c r="M50" s="585">
        <v>0.1680226715238386</v>
      </c>
      <c r="N50" s="470"/>
    </row>
    <row r="51" spans="1:14" x14ac:dyDescent="0.25">
      <c r="A51" s="588">
        <v>2003</v>
      </c>
      <c r="B51" s="508" t="s">
        <v>961</v>
      </c>
      <c r="C51" s="492">
        <v>6079380.1800000006</v>
      </c>
      <c r="D51" s="492">
        <v>138647.12000000002</v>
      </c>
      <c r="E51" s="585">
        <v>2.2806127581249575E-2</v>
      </c>
      <c r="F51" s="492">
        <v>4310312.6100000013</v>
      </c>
      <c r="G51" s="585">
        <v>0.7090052739554118</v>
      </c>
      <c r="H51" s="492">
        <v>686021.40999999992</v>
      </c>
      <c r="I51" s="585">
        <v>0.11284397252484378</v>
      </c>
      <c r="J51" s="492">
        <v>121773.51999999999</v>
      </c>
      <c r="K51" s="585">
        <v>2.0030581472863237E-2</v>
      </c>
      <c r="L51" s="492">
        <v>822625.5199999999</v>
      </c>
      <c r="M51" s="585">
        <v>0.13531404446563167</v>
      </c>
      <c r="N51" s="470"/>
    </row>
    <row r="52" spans="1:14" x14ac:dyDescent="0.25">
      <c r="A52" s="588">
        <v>2004</v>
      </c>
      <c r="B52" s="508" t="s">
        <v>961</v>
      </c>
      <c r="C52" s="492">
        <v>6048564.9040000001</v>
      </c>
      <c r="D52" s="492">
        <v>136395.00200000001</v>
      </c>
      <c r="E52" s="585">
        <v>2.2549977418577439E-2</v>
      </c>
      <c r="F52" s="492">
        <v>4327319</v>
      </c>
      <c r="G52" s="585">
        <v>0.71542904286904219</v>
      </c>
      <c r="H52" s="492">
        <v>664930.00399999996</v>
      </c>
      <c r="I52" s="585">
        <v>0.10993186227699607</v>
      </c>
      <c r="J52" s="492">
        <v>125679.00199999998</v>
      </c>
      <c r="K52" s="585">
        <v>2.0778317500881358E-2</v>
      </c>
      <c r="L52" s="492">
        <v>794241.89600000007</v>
      </c>
      <c r="M52" s="585">
        <v>0.13131079993450295</v>
      </c>
      <c r="N52" s="470"/>
    </row>
    <row r="53" spans="1:14" x14ac:dyDescent="0.25">
      <c r="A53" s="588">
        <v>2005</v>
      </c>
      <c r="B53" s="508" t="s">
        <v>961</v>
      </c>
      <c r="C53" s="492">
        <v>6120090.0240000011</v>
      </c>
      <c r="D53" s="492">
        <v>137572.00200000001</v>
      </c>
      <c r="E53" s="585">
        <v>2.2478754636044547E-2</v>
      </c>
      <c r="F53" s="492">
        <v>4397480.9970000004</v>
      </c>
      <c r="G53" s="585">
        <v>0.71853207710266187</v>
      </c>
      <c r="H53" s="492">
        <v>671689.00100000005</v>
      </c>
      <c r="I53" s="585">
        <v>0.10975149031565944</v>
      </c>
      <c r="J53" s="492">
        <v>123761</v>
      </c>
      <c r="K53" s="585">
        <v>2.0222088157963339E-2</v>
      </c>
      <c r="L53" s="492">
        <v>789587.02400000009</v>
      </c>
      <c r="M53" s="585">
        <v>0.12901558978767075</v>
      </c>
      <c r="N53" s="470"/>
    </row>
    <row r="54" spans="1:14" x14ac:dyDescent="0.25">
      <c r="A54" s="588">
        <v>2006</v>
      </c>
      <c r="B54" s="508" t="s">
        <v>961</v>
      </c>
      <c r="C54" s="492">
        <v>6255895.6690000016</v>
      </c>
      <c r="D54" s="492">
        <v>135213.00199999998</v>
      </c>
      <c r="E54" s="585">
        <v>2.1613691972202222E-2</v>
      </c>
      <c r="F54" s="492">
        <v>4497021.006000001</v>
      </c>
      <c r="G54" s="585">
        <v>0.71884526915693359</v>
      </c>
      <c r="H54" s="492">
        <v>726890.00199999986</v>
      </c>
      <c r="I54" s="585">
        <v>0.11619279483863139</v>
      </c>
      <c r="J54" s="492">
        <v>125426</v>
      </c>
      <c r="K54" s="585">
        <v>2.0049247403777309E-2</v>
      </c>
      <c r="L54" s="492">
        <v>771345.65899999999</v>
      </c>
      <c r="M54" s="585">
        <v>0.12329899662845541</v>
      </c>
      <c r="N54" s="470"/>
    </row>
    <row r="55" spans="1:14" x14ac:dyDescent="0.25">
      <c r="A55" s="588">
        <v>2007</v>
      </c>
      <c r="B55" s="508" t="s">
        <v>961</v>
      </c>
      <c r="C55" s="492">
        <v>6436366.1729999986</v>
      </c>
      <c r="D55" s="492">
        <v>133348.99799999999</v>
      </c>
      <c r="E55" s="585">
        <v>2.0718056495820196E-2</v>
      </c>
      <c r="F55" s="492">
        <v>4423339.0129999984</v>
      </c>
      <c r="G55" s="585">
        <v>0.68724166619909299</v>
      </c>
      <c r="H55" s="492">
        <v>745073.00099999993</v>
      </c>
      <c r="I55" s="585">
        <v>0.11575988391175085</v>
      </c>
      <c r="J55" s="492">
        <v>131424.997</v>
      </c>
      <c r="K55" s="585">
        <v>2.0419129904590657E-2</v>
      </c>
      <c r="L55" s="492">
        <v>1003180.1640000001</v>
      </c>
      <c r="M55" s="585">
        <v>0.15586126348874532</v>
      </c>
      <c r="N55" s="470"/>
    </row>
    <row r="56" spans="1:14" x14ac:dyDescent="0.25">
      <c r="A56" s="588">
        <v>2008</v>
      </c>
      <c r="B56" s="508" t="s">
        <v>961</v>
      </c>
      <c r="C56" s="492">
        <v>6439253.7660000008</v>
      </c>
      <c r="D56" s="492">
        <v>151346</v>
      </c>
      <c r="E56" s="585">
        <v>2.3503655159410591E-2</v>
      </c>
      <c r="F56" s="492">
        <v>4511790</v>
      </c>
      <c r="G56" s="585">
        <v>0.70066969930937795</v>
      </c>
      <c r="H56" s="492">
        <v>704078.62</v>
      </c>
      <c r="I56" s="585">
        <v>0.10934164820737706</v>
      </c>
      <c r="J56" s="492">
        <v>127054.94</v>
      </c>
      <c r="K56" s="585">
        <v>1.9731314313292742E-2</v>
      </c>
      <c r="L56" s="492">
        <v>944984.20600000001</v>
      </c>
      <c r="M56" s="585">
        <v>0.14675368301054156</v>
      </c>
      <c r="N56" s="470"/>
    </row>
    <row r="57" spans="1:14" x14ac:dyDescent="0.25">
      <c r="A57" s="588">
        <v>2009</v>
      </c>
      <c r="B57" s="508">
        <v>3</v>
      </c>
      <c r="C57" s="492">
        <v>6441390.5420000004</v>
      </c>
      <c r="D57" s="492">
        <v>176010.41400000002</v>
      </c>
      <c r="E57" s="585">
        <v>2.7324909559877451E-2</v>
      </c>
      <c r="F57" s="492">
        <v>4145642.057</v>
      </c>
      <c r="G57" s="585">
        <v>0.64359427207045439</v>
      </c>
      <c r="H57" s="492">
        <v>744326.95199999993</v>
      </c>
      <c r="I57" s="585">
        <v>0.1155537685763255</v>
      </c>
      <c r="J57" s="492">
        <v>176535.93300000002</v>
      </c>
      <c r="K57" s="585">
        <v>2.7406494273080829E-2</v>
      </c>
      <c r="L57" s="492">
        <v>1198875.1859999998</v>
      </c>
      <c r="M57" s="585">
        <v>0.18612055552026172</v>
      </c>
    </row>
    <row r="58" spans="1:14" x14ac:dyDescent="0.25">
      <c r="A58" s="588">
        <v>2010</v>
      </c>
      <c r="B58" s="508">
        <v>3</v>
      </c>
      <c r="C58" s="492">
        <f>SUM(D58,F58,H58,J58,L58)</f>
        <v>6485494</v>
      </c>
      <c r="D58" s="492">
        <v>170852</v>
      </c>
      <c r="E58" s="585">
        <f>D58/C58</f>
        <v>2.6343714141127877E-2</v>
      </c>
      <c r="F58" s="492">
        <v>4365639</v>
      </c>
      <c r="G58" s="585">
        <f>F58/C58</f>
        <v>0.67313900837777352</v>
      </c>
      <c r="H58" s="492">
        <v>789060</v>
      </c>
      <c r="I58" s="585">
        <f>H58/C58</f>
        <v>0.12166536581484771</v>
      </c>
      <c r="J58" s="492">
        <v>173051</v>
      </c>
      <c r="K58" s="585">
        <f>J58/C58</f>
        <v>2.6682778520803505E-2</v>
      </c>
      <c r="L58" s="492">
        <v>986892</v>
      </c>
      <c r="M58" s="585">
        <f>L58/C58</f>
        <v>0.15216913314544736</v>
      </c>
      <c r="N58" s="482"/>
    </row>
    <row r="59" spans="1:14" s="330" customFormat="1" ht="13.5" thickBot="1" x14ac:dyDescent="0.25">
      <c r="A59" s="566">
        <v>2011</v>
      </c>
      <c r="B59" s="567">
        <v>3</v>
      </c>
      <c r="C59" s="572">
        <f>SUM(D59,F59,H59,J59,L59)</f>
        <v>6552248.2447455004</v>
      </c>
      <c r="D59" s="513">
        <f>GETPIVOTDATA("Total Net Generation (1)",'Summary PivotTables'!$D$44,"AKEPS Region","AN")</f>
        <v>171335.36389999997</v>
      </c>
      <c r="E59" s="563">
        <f>D59/C59</f>
        <v>2.6149095318145247E-2</v>
      </c>
      <c r="F59" s="513">
        <f>GETPIVOTDATA("Total Net Generation (1)",'Summary PivotTables'!$D$44,"AKEPS Region","SC")</f>
        <v>4458214.6495500002</v>
      </c>
      <c r="G59" s="563">
        <f>F59/C59</f>
        <v>0.68040991168568954</v>
      </c>
      <c r="H59" s="513">
        <f>GETPIVOTDATA("Total Net Generation (1)",'Summary PivotTables'!$D$44,"AKEPS Region","SE")</f>
        <v>790081.16024999996</v>
      </c>
      <c r="I59" s="563">
        <f>H59/C59</f>
        <v>0.12058168902309163</v>
      </c>
      <c r="J59" s="513">
        <f>GETPIVOTDATA("Total Net Generation (1)",'Summary PivotTables'!$D$44,"AKEPS Region","SW")</f>
        <v>192175.4529455</v>
      </c>
      <c r="K59" s="563">
        <f>J59/C59</f>
        <v>2.9329696581568452E-2</v>
      </c>
      <c r="L59" s="513">
        <f>GETPIVOTDATA("Total Net Generation (1)",'Summary PivotTables'!$D$44,"AKEPS Region","YU")</f>
        <v>940441.61810000008</v>
      </c>
      <c r="M59" s="563">
        <f>L59/C59</f>
        <v>0.14352960739150511</v>
      </c>
    </row>
    <row r="60" spans="1:14" x14ac:dyDescent="0.25">
      <c r="B60" s="582"/>
      <c r="C60" s="482"/>
      <c r="D60" s="482"/>
      <c r="E60" s="482"/>
      <c r="F60" s="482"/>
      <c r="G60" s="482"/>
      <c r="H60" s="595"/>
      <c r="I60" s="482"/>
      <c r="J60" s="482"/>
      <c r="K60" s="482"/>
      <c r="L60" s="482"/>
      <c r="M60" s="482"/>
      <c r="N60" s="482"/>
    </row>
    <row r="61" spans="1:14" x14ac:dyDescent="0.25">
      <c r="C61" s="292"/>
      <c r="D61" s="292"/>
      <c r="E61" s="292"/>
      <c r="F61" s="292"/>
      <c r="G61" s="292"/>
      <c r="H61" s="430"/>
    </row>
    <row r="62" spans="1:14" x14ac:dyDescent="0.25">
      <c r="B62" s="595"/>
      <c r="C62" s="506"/>
      <c r="D62" s="560" t="s">
        <v>1048</v>
      </c>
      <c r="E62" s="506"/>
      <c r="F62" s="506"/>
      <c r="G62" s="506"/>
      <c r="H62" s="510"/>
    </row>
    <row r="63" spans="1:14" x14ac:dyDescent="0.25">
      <c r="H63" s="493"/>
    </row>
  </sheetData>
  <mergeCells count="1">
    <mergeCell ref="A8:M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sheetPr>
  <dimension ref="A1:S71"/>
  <sheetViews>
    <sheetView showGridLines="0" workbookViewId="0">
      <pane xSplit="2" ySplit="11" topLeftCell="H12" activePane="bottomRight" state="frozen"/>
      <selection pane="topRight" activeCell="C1" sqref="C1"/>
      <selection pane="bottomLeft" activeCell="A12" sqref="A12"/>
      <selection pane="bottomRight" activeCell="M33" sqref="M33"/>
    </sheetView>
  </sheetViews>
  <sheetFormatPr defaultRowHeight="15" x14ac:dyDescent="0.25"/>
  <cols>
    <col min="1" max="2" width="12" style="605" customWidth="1"/>
    <col min="3" max="3" width="12" style="788" customWidth="1"/>
    <col min="4" max="4" width="12" style="605" customWidth="1"/>
    <col min="5" max="5" width="12" style="788" customWidth="1"/>
    <col min="6" max="6" width="12.140625" style="605" customWidth="1"/>
    <col min="7" max="8" width="12" style="605" customWidth="1"/>
    <col min="9" max="9" width="12" style="788" customWidth="1"/>
    <col min="10" max="10" width="20.28515625" style="605" customWidth="1"/>
    <col min="11" max="11" width="22.7109375" style="605" customWidth="1"/>
    <col min="12" max="12" width="28.42578125" style="605" customWidth="1"/>
    <col min="13" max="13" width="28.42578125" style="788" customWidth="1"/>
    <col min="14" max="14" width="20.28515625" style="605" customWidth="1"/>
    <col min="15" max="15" width="22.7109375" style="605" customWidth="1"/>
    <col min="16" max="16" width="28.42578125" style="605" customWidth="1"/>
    <col min="17" max="16384" width="9.140625" style="605"/>
  </cols>
  <sheetData>
    <row r="1" spans="1:19" x14ac:dyDescent="0.25">
      <c r="A1" s="472" t="s">
        <v>962</v>
      </c>
      <c r="B1" s="472"/>
      <c r="C1" s="472"/>
      <c r="D1" s="535"/>
      <c r="E1" s="535"/>
      <c r="F1" s="586"/>
      <c r="G1" s="535"/>
      <c r="H1" s="535"/>
      <c r="I1" s="535"/>
      <c r="J1" s="586"/>
      <c r="K1" s="535"/>
      <c r="L1" s="535"/>
      <c r="M1" s="535"/>
      <c r="N1" s="586"/>
      <c r="O1" s="535"/>
      <c r="P1" s="535"/>
      <c r="Q1" s="586"/>
    </row>
    <row r="2" spans="1:19" x14ac:dyDescent="0.25">
      <c r="A2" s="472" t="s">
        <v>963</v>
      </c>
      <c r="B2" s="472"/>
      <c r="C2" s="472"/>
      <c r="D2" s="535"/>
      <c r="E2" s="535"/>
      <c r="F2" s="586"/>
      <c r="G2" s="535"/>
      <c r="H2" s="535"/>
      <c r="I2" s="535"/>
      <c r="J2" s="586"/>
      <c r="K2" s="535"/>
      <c r="L2" s="535"/>
      <c r="M2" s="535"/>
      <c r="N2" s="586"/>
      <c r="O2" s="535"/>
      <c r="P2" s="535"/>
      <c r="Q2" s="586"/>
    </row>
    <row r="3" spans="1:19" x14ac:dyDescent="0.25">
      <c r="A3" s="925" t="s">
        <v>964</v>
      </c>
      <c r="B3" s="925"/>
      <c r="C3" s="925"/>
      <c r="D3" s="925"/>
      <c r="E3" s="925"/>
      <c r="F3" s="925"/>
      <c r="G3" s="925"/>
      <c r="H3" s="925"/>
      <c r="I3" s="925"/>
      <c r="J3" s="925"/>
      <c r="K3" s="925"/>
      <c r="L3" s="925"/>
      <c r="M3" s="925"/>
      <c r="N3" s="925"/>
      <c r="O3" s="925"/>
      <c r="P3" s="925"/>
      <c r="Q3" s="925"/>
    </row>
    <row r="4" spans="1:19" x14ac:dyDescent="0.25">
      <c r="A4" s="472" t="s">
        <v>965</v>
      </c>
      <c r="B4" s="472"/>
      <c r="C4" s="472"/>
      <c r="D4" s="535"/>
      <c r="E4" s="535"/>
      <c r="F4" s="586"/>
      <c r="G4" s="535"/>
      <c r="H4" s="535"/>
      <c r="I4" s="535"/>
      <c r="J4" s="586"/>
      <c r="K4" s="535"/>
      <c r="L4" s="535"/>
      <c r="M4" s="535"/>
      <c r="N4" s="586"/>
      <c r="O4" s="535"/>
      <c r="P4" s="535"/>
      <c r="Q4" s="586"/>
    </row>
    <row r="5" spans="1:19" x14ac:dyDescent="0.25">
      <c r="A5" s="472" t="s">
        <v>966</v>
      </c>
      <c r="B5" s="472"/>
      <c r="C5" s="472"/>
      <c r="D5" s="535"/>
      <c r="E5" s="535"/>
      <c r="F5" s="586"/>
      <c r="G5" s="535"/>
      <c r="H5" s="535"/>
      <c r="I5" s="535"/>
      <c r="J5" s="586"/>
      <c r="K5" s="535"/>
      <c r="L5" s="535"/>
      <c r="M5" s="535"/>
      <c r="N5" s="586"/>
      <c r="O5" s="535"/>
      <c r="P5" s="535"/>
      <c r="Q5" s="586"/>
    </row>
    <row r="6" spans="1:19" x14ac:dyDescent="0.25">
      <c r="A6" s="587" t="s">
        <v>959</v>
      </c>
      <c r="B6" s="472"/>
      <c r="C6" s="472"/>
      <c r="D6" s="535"/>
      <c r="E6" s="535"/>
      <c r="F6" s="586"/>
      <c r="G6" s="535"/>
      <c r="H6" s="535"/>
      <c r="I6" s="535"/>
      <c r="J6" s="586"/>
      <c r="K6" s="535"/>
      <c r="L6" s="535"/>
      <c r="M6" s="535"/>
      <c r="N6" s="586"/>
      <c r="O6" s="535"/>
      <c r="P6" s="535"/>
      <c r="Q6" s="586"/>
    </row>
    <row r="7" spans="1:19" x14ac:dyDescent="0.25">
      <c r="A7" s="290" t="s">
        <v>984</v>
      </c>
      <c r="B7" s="470"/>
      <c r="C7" s="470"/>
      <c r="D7" s="489"/>
      <c r="E7" s="489"/>
      <c r="F7" s="489"/>
      <c r="G7" s="470"/>
      <c r="H7" s="489"/>
      <c r="I7" s="489"/>
      <c r="J7" s="470"/>
      <c r="K7" s="489"/>
      <c r="L7" s="470"/>
      <c r="M7" s="470"/>
      <c r="N7" s="489"/>
      <c r="O7" s="470"/>
      <c r="P7" s="489"/>
      <c r="Q7" s="470"/>
      <c r="R7" s="466"/>
    </row>
    <row r="8" spans="1:19" x14ac:dyDescent="0.25">
      <c r="A8" s="536" t="s">
        <v>967</v>
      </c>
      <c r="B8" s="470"/>
      <c r="C8" s="470"/>
      <c r="D8" s="489"/>
      <c r="E8" s="489"/>
      <c r="F8" s="489"/>
      <c r="G8" s="470"/>
      <c r="H8" s="489"/>
      <c r="I8" s="489"/>
      <c r="J8" s="470"/>
      <c r="K8" s="489"/>
      <c r="L8" s="470"/>
      <c r="M8" s="470"/>
      <c r="N8" s="489"/>
      <c r="O8" s="470"/>
      <c r="P8" s="489"/>
      <c r="Q8" s="470"/>
      <c r="R8" s="466"/>
    </row>
    <row r="9" spans="1:19" ht="15.75" thickBot="1" x14ac:dyDescent="0.3">
      <c r="A9" s="923" t="s">
        <v>1152</v>
      </c>
      <c r="B9" s="923"/>
      <c r="C9" s="923"/>
      <c r="D9" s="923"/>
      <c r="E9" s="923"/>
      <c r="F9" s="923"/>
      <c r="G9" s="923"/>
      <c r="H9" s="923"/>
      <c r="I9" s="923"/>
      <c r="J9" s="923"/>
      <c r="K9" s="923"/>
      <c r="L9" s="923"/>
      <c r="M9" s="923"/>
      <c r="N9" s="923"/>
      <c r="O9" s="923"/>
      <c r="P9" s="923"/>
      <c r="Q9" s="923"/>
      <c r="R9" s="923"/>
      <c r="S9" s="470"/>
    </row>
    <row r="10" spans="1:19" ht="15.75" thickBot="1" x14ac:dyDescent="0.3">
      <c r="A10" s="926" t="s">
        <v>922</v>
      </c>
      <c r="B10" s="926" t="s">
        <v>20</v>
      </c>
      <c r="C10" s="799"/>
      <c r="D10" s="928" t="s">
        <v>923</v>
      </c>
      <c r="E10" s="928"/>
      <c r="F10" s="928"/>
      <c r="G10" s="928"/>
      <c r="H10" s="928" t="s">
        <v>11</v>
      </c>
      <c r="I10" s="928"/>
      <c r="J10" s="928"/>
      <c r="K10" s="928"/>
      <c r="L10" s="928" t="s">
        <v>968</v>
      </c>
      <c r="M10" s="928"/>
      <c r="N10" s="928"/>
      <c r="O10" s="928"/>
      <c r="P10" s="928" t="s">
        <v>13</v>
      </c>
      <c r="Q10" s="928"/>
      <c r="R10" s="928"/>
      <c r="S10" s="470"/>
    </row>
    <row r="11" spans="1:19" ht="39.75" thickBot="1" x14ac:dyDescent="0.3">
      <c r="A11" s="927"/>
      <c r="B11" s="927"/>
      <c r="C11" s="800" t="s">
        <v>1121</v>
      </c>
      <c r="D11" s="517" t="s">
        <v>16</v>
      </c>
      <c r="E11" s="517" t="s">
        <v>1122</v>
      </c>
      <c r="F11" s="537" t="s">
        <v>15</v>
      </c>
      <c r="G11" s="517" t="s">
        <v>969</v>
      </c>
      <c r="H11" s="517" t="s">
        <v>16</v>
      </c>
      <c r="I11" s="517" t="s">
        <v>1122</v>
      </c>
      <c r="J11" s="537" t="s">
        <v>15</v>
      </c>
      <c r="K11" s="517" t="s">
        <v>969</v>
      </c>
      <c r="L11" s="517" t="s">
        <v>16</v>
      </c>
      <c r="M11" s="517" t="s">
        <v>1122</v>
      </c>
      <c r="N11" s="537" t="s">
        <v>15</v>
      </c>
      <c r="O11" s="517" t="s">
        <v>969</v>
      </c>
      <c r="P11" s="517" t="s">
        <v>16</v>
      </c>
      <c r="Q11" s="537" t="s">
        <v>15</v>
      </c>
      <c r="R11" s="517" t="s">
        <v>969</v>
      </c>
      <c r="S11" s="538"/>
    </row>
    <row r="12" spans="1:19" x14ac:dyDescent="0.25">
      <c r="A12" s="467">
        <v>1962</v>
      </c>
      <c r="B12" s="467">
        <v>1</v>
      </c>
      <c r="C12" s="828">
        <v>242800</v>
      </c>
      <c r="D12" s="601">
        <v>440000</v>
      </c>
      <c r="E12" s="601">
        <f>IF(D12&gt;0,(D12*1000)/C12,"")</f>
        <v>1812.1911037891268</v>
      </c>
      <c r="F12" s="539">
        <v>17449</v>
      </c>
      <c r="G12" s="601">
        <v>50734</v>
      </c>
      <c r="H12" s="601">
        <v>215000</v>
      </c>
      <c r="I12" s="601">
        <f t="shared" ref="I12:I20" si="0">IF(H12&gt;0,(H12*1000)/C12,"")</f>
        <v>885.50247116968694</v>
      </c>
      <c r="J12" s="476">
        <v>8774</v>
      </c>
      <c r="K12" s="601">
        <v>43112</v>
      </c>
      <c r="L12" s="601">
        <v>201000</v>
      </c>
      <c r="M12" s="601">
        <f t="shared" ref="M12:M43" si="1">IF(L12&gt;0,(L12*1000)/C12,"")</f>
        <v>827.841845140033</v>
      </c>
      <c r="N12" s="476">
        <v>7812</v>
      </c>
      <c r="O12" s="601">
        <v>7157</v>
      </c>
      <c r="P12" s="601">
        <v>24000</v>
      </c>
      <c r="Q12" s="476">
        <v>863</v>
      </c>
      <c r="R12" s="601"/>
      <c r="S12" s="470"/>
    </row>
    <row r="13" spans="1:19" x14ac:dyDescent="0.25">
      <c r="A13" s="503">
        <v>1963</v>
      </c>
      <c r="B13" s="503">
        <v>1</v>
      </c>
      <c r="C13" s="540">
        <v>249900</v>
      </c>
      <c r="D13" s="599">
        <v>516000</v>
      </c>
      <c r="E13" s="599">
        <f t="shared" ref="E13:E61" si="2">IF(D13&gt;0,(D13*1000)/C13,"")</f>
        <v>2064.8259303721488</v>
      </c>
      <c r="F13" s="494">
        <v>18065</v>
      </c>
      <c r="G13" s="599">
        <v>54174</v>
      </c>
      <c r="H13" s="599">
        <v>233000</v>
      </c>
      <c r="I13" s="599">
        <f t="shared" si="0"/>
        <v>932.37294917967188</v>
      </c>
      <c r="J13" s="495">
        <v>8553</v>
      </c>
      <c r="K13" s="599">
        <v>46239</v>
      </c>
      <c r="L13" s="599">
        <v>256000</v>
      </c>
      <c r="M13" s="599">
        <f t="shared" si="1"/>
        <v>1024.4097639055622</v>
      </c>
      <c r="N13" s="495">
        <v>8603</v>
      </c>
      <c r="O13" s="599">
        <v>7472</v>
      </c>
      <c r="P13" s="599">
        <v>27000</v>
      </c>
      <c r="Q13" s="495">
        <v>907</v>
      </c>
      <c r="R13" s="599"/>
      <c r="S13" s="470"/>
    </row>
    <row r="14" spans="1:19" x14ac:dyDescent="0.25">
      <c r="A14" s="503">
        <v>1964</v>
      </c>
      <c r="B14" s="503">
        <v>1</v>
      </c>
      <c r="C14" s="540">
        <v>253200</v>
      </c>
      <c r="D14" s="599">
        <v>562000</v>
      </c>
      <c r="E14" s="599">
        <f t="shared" si="2"/>
        <v>2219.5892575039493</v>
      </c>
      <c r="F14" s="494">
        <v>18792</v>
      </c>
      <c r="G14" s="599">
        <v>57738</v>
      </c>
      <c r="H14" s="599">
        <v>253000</v>
      </c>
      <c r="I14" s="599">
        <f t="shared" si="0"/>
        <v>999.21011058451813</v>
      </c>
      <c r="J14" s="495">
        <v>8762</v>
      </c>
      <c r="K14" s="599">
        <v>49358</v>
      </c>
      <c r="L14" s="599">
        <v>284000</v>
      </c>
      <c r="M14" s="599">
        <f t="shared" si="1"/>
        <v>1121.6429699842022</v>
      </c>
      <c r="N14" s="495">
        <v>9105</v>
      </c>
      <c r="O14" s="599">
        <v>7943</v>
      </c>
      <c r="P14" s="599">
        <v>25000</v>
      </c>
      <c r="Q14" s="495">
        <v>925</v>
      </c>
      <c r="R14" s="599"/>
      <c r="S14" s="470"/>
    </row>
    <row r="15" spans="1:19" x14ac:dyDescent="0.25">
      <c r="A15" s="503">
        <v>1965</v>
      </c>
      <c r="B15" s="503">
        <v>1</v>
      </c>
      <c r="C15" s="540">
        <v>265200</v>
      </c>
      <c r="D15" s="599">
        <v>616000</v>
      </c>
      <c r="E15" s="599">
        <f t="shared" si="2"/>
        <v>2322.7752639517344</v>
      </c>
      <c r="F15" s="494">
        <v>20851</v>
      </c>
      <c r="G15" s="599">
        <v>59986</v>
      </c>
      <c r="H15" s="599">
        <v>277000</v>
      </c>
      <c r="I15" s="599">
        <f t="shared" si="0"/>
        <v>1044.4947209653092</v>
      </c>
      <c r="J15" s="495">
        <v>9789</v>
      </c>
      <c r="K15" s="599">
        <v>51456</v>
      </c>
      <c r="L15" s="599">
        <v>312000</v>
      </c>
      <c r="M15" s="599">
        <f t="shared" si="1"/>
        <v>1176.4705882352941</v>
      </c>
      <c r="N15" s="495">
        <v>10060</v>
      </c>
      <c r="O15" s="599">
        <v>8100</v>
      </c>
      <c r="P15" s="599">
        <v>27000</v>
      </c>
      <c r="Q15" s="495">
        <v>1002</v>
      </c>
      <c r="R15" s="599"/>
      <c r="S15" s="470"/>
    </row>
    <row r="16" spans="1:19" x14ac:dyDescent="0.25">
      <c r="A16" s="503">
        <v>1966</v>
      </c>
      <c r="B16" s="503">
        <v>1</v>
      </c>
      <c r="C16" s="540">
        <v>271500</v>
      </c>
      <c r="D16" s="599">
        <v>694000</v>
      </c>
      <c r="E16" s="599">
        <f t="shared" si="2"/>
        <v>2556.1694290976061</v>
      </c>
      <c r="F16" s="494">
        <v>22818</v>
      </c>
      <c r="G16" s="599">
        <v>60554</v>
      </c>
      <c r="H16" s="599">
        <v>303000</v>
      </c>
      <c r="I16" s="599">
        <f t="shared" si="0"/>
        <v>1116.0220994475137</v>
      </c>
      <c r="J16" s="495">
        <v>10548</v>
      </c>
      <c r="K16" s="599">
        <v>52019</v>
      </c>
      <c r="L16" s="599">
        <v>357000</v>
      </c>
      <c r="M16" s="599">
        <f t="shared" si="1"/>
        <v>1314.9171270718232</v>
      </c>
      <c r="N16" s="495">
        <v>11049</v>
      </c>
      <c r="O16" s="599">
        <v>8110</v>
      </c>
      <c r="P16" s="599">
        <v>34000</v>
      </c>
      <c r="Q16" s="495">
        <v>1221</v>
      </c>
      <c r="R16" s="599"/>
      <c r="S16" s="470"/>
    </row>
    <row r="17" spans="1:19" x14ac:dyDescent="0.25">
      <c r="A17" s="503">
        <v>1967</v>
      </c>
      <c r="B17" s="503">
        <v>1</v>
      </c>
      <c r="C17" s="540">
        <v>277900</v>
      </c>
      <c r="D17" s="599">
        <v>786000</v>
      </c>
      <c r="E17" s="599">
        <f t="shared" si="2"/>
        <v>2828.3555235696294</v>
      </c>
      <c r="F17" s="494">
        <v>25163</v>
      </c>
      <c r="G17" s="599">
        <v>62917</v>
      </c>
      <c r="H17" s="599">
        <v>348000</v>
      </c>
      <c r="I17" s="599">
        <f t="shared" si="0"/>
        <v>1252.2490104354083</v>
      </c>
      <c r="J17" s="495">
        <v>11738</v>
      </c>
      <c r="K17" s="599">
        <v>53797</v>
      </c>
      <c r="L17" s="599">
        <v>391000</v>
      </c>
      <c r="M17" s="599">
        <f t="shared" si="1"/>
        <v>1406.9809283915076</v>
      </c>
      <c r="N17" s="495">
        <v>11965</v>
      </c>
      <c r="O17" s="599">
        <v>8706</v>
      </c>
      <c r="P17" s="599">
        <v>47000</v>
      </c>
      <c r="Q17" s="495">
        <v>1460</v>
      </c>
      <c r="R17" s="599"/>
      <c r="S17" s="470"/>
    </row>
    <row r="18" spans="1:19" x14ac:dyDescent="0.25">
      <c r="A18" s="503">
        <v>1968</v>
      </c>
      <c r="B18" s="503">
        <v>1</v>
      </c>
      <c r="C18" s="540">
        <v>284900</v>
      </c>
      <c r="D18" s="599">
        <v>841000</v>
      </c>
      <c r="E18" s="599">
        <f t="shared" si="2"/>
        <v>2951.9129519129519</v>
      </c>
      <c r="F18" s="494">
        <v>26461</v>
      </c>
      <c r="G18" s="599">
        <v>65412</v>
      </c>
      <c r="H18" s="599">
        <v>366000</v>
      </c>
      <c r="I18" s="599">
        <f t="shared" si="0"/>
        <v>1284.6612846612848</v>
      </c>
      <c r="J18" s="495">
        <v>12285</v>
      </c>
      <c r="K18" s="599">
        <v>55902</v>
      </c>
      <c r="L18" s="599">
        <v>411000</v>
      </c>
      <c r="M18" s="599">
        <f t="shared" si="1"/>
        <v>1442.6114426114425</v>
      </c>
      <c r="N18" s="495">
        <v>12381</v>
      </c>
      <c r="O18" s="599">
        <v>9058</v>
      </c>
      <c r="P18" s="599">
        <v>64000</v>
      </c>
      <c r="Q18" s="495">
        <v>1795</v>
      </c>
      <c r="R18" s="599"/>
      <c r="S18" s="470"/>
    </row>
    <row r="19" spans="1:19" x14ac:dyDescent="0.25">
      <c r="A19" s="503">
        <v>1969</v>
      </c>
      <c r="B19" s="503">
        <v>1</v>
      </c>
      <c r="C19" s="540">
        <v>294600</v>
      </c>
      <c r="D19" s="599">
        <v>956000</v>
      </c>
      <c r="E19" s="599">
        <f t="shared" si="2"/>
        <v>3245.0780719619825</v>
      </c>
      <c r="F19" s="494">
        <v>28239</v>
      </c>
      <c r="G19" s="599">
        <v>69938</v>
      </c>
      <c r="H19" s="599">
        <v>417000</v>
      </c>
      <c r="I19" s="599">
        <f t="shared" si="0"/>
        <v>1415.478615071283</v>
      </c>
      <c r="J19" s="495">
        <v>13048</v>
      </c>
      <c r="K19" s="599">
        <v>59967</v>
      </c>
      <c r="L19" s="599">
        <v>470000</v>
      </c>
      <c r="M19" s="599">
        <f t="shared" si="1"/>
        <v>1595.3835709436523</v>
      </c>
      <c r="N19" s="495">
        <v>13244</v>
      </c>
      <c r="O19" s="599">
        <v>9517</v>
      </c>
      <c r="P19" s="599">
        <v>69000</v>
      </c>
      <c r="Q19" s="495">
        <v>1947</v>
      </c>
      <c r="R19" s="599"/>
      <c r="S19" s="470"/>
    </row>
    <row r="20" spans="1:19" x14ac:dyDescent="0.25">
      <c r="A20" s="503">
        <v>1970</v>
      </c>
      <c r="B20" s="503">
        <v>1</v>
      </c>
      <c r="C20" s="540">
        <v>308500</v>
      </c>
      <c r="D20" s="599">
        <v>1054000</v>
      </c>
      <c r="E20" s="599">
        <f t="shared" si="2"/>
        <v>3416.5316045380873</v>
      </c>
      <c r="F20" s="494">
        <v>30655</v>
      </c>
      <c r="G20" s="599">
        <v>74323</v>
      </c>
      <c r="H20" s="599">
        <v>465000</v>
      </c>
      <c r="I20" s="599">
        <f t="shared" si="0"/>
        <v>1507.2933549432739</v>
      </c>
      <c r="J20" s="495">
        <v>14015</v>
      </c>
      <c r="K20" s="599">
        <v>63996</v>
      </c>
      <c r="L20" s="599">
        <v>513000</v>
      </c>
      <c r="M20" s="599">
        <f t="shared" si="1"/>
        <v>1662.8849270664505</v>
      </c>
      <c r="N20" s="495">
        <v>14591</v>
      </c>
      <c r="O20" s="599">
        <v>9879</v>
      </c>
      <c r="P20" s="599">
        <v>76000</v>
      </c>
      <c r="Q20" s="495">
        <v>2049</v>
      </c>
      <c r="R20" s="599"/>
      <c r="S20" s="470"/>
    </row>
    <row r="21" spans="1:19" x14ac:dyDescent="0.25">
      <c r="A21" s="503">
        <v>1971</v>
      </c>
      <c r="B21" s="503"/>
      <c r="C21" s="540">
        <v>319600</v>
      </c>
      <c r="D21" s="848"/>
      <c r="E21" s="827">
        <f>E20+349</f>
        <v>3765.5316045380873</v>
      </c>
      <c r="F21" s="850"/>
      <c r="G21" s="827"/>
      <c r="H21" s="827"/>
      <c r="I21" s="827">
        <f>I20+173</f>
        <v>1680.2933549432739</v>
      </c>
      <c r="J21" s="849"/>
      <c r="K21" s="599"/>
      <c r="L21" s="599"/>
      <c r="M21" s="599" t="str">
        <f t="shared" si="1"/>
        <v/>
      </c>
      <c r="N21" s="495"/>
      <c r="O21" s="599"/>
      <c r="P21" s="599"/>
      <c r="Q21" s="495"/>
      <c r="R21" s="599"/>
      <c r="S21" s="470"/>
    </row>
    <row r="22" spans="1:19" x14ac:dyDescent="0.25">
      <c r="A22" s="503">
        <v>1972</v>
      </c>
      <c r="B22" s="503"/>
      <c r="C22" s="540">
        <v>329800</v>
      </c>
      <c r="D22" s="848"/>
      <c r="E22" s="827">
        <f>E21+349</f>
        <v>4114.5316045380878</v>
      </c>
      <c r="F22" s="850"/>
      <c r="G22" s="827"/>
      <c r="H22" s="827"/>
      <c r="I22" s="827">
        <f>I21+173</f>
        <v>1853.2933549432739</v>
      </c>
      <c r="J22" s="849"/>
      <c r="K22" s="599"/>
      <c r="L22" s="599"/>
      <c r="M22" s="599" t="str">
        <f t="shared" si="1"/>
        <v/>
      </c>
      <c r="N22" s="495"/>
      <c r="O22" s="599"/>
      <c r="P22" s="599"/>
      <c r="Q22" s="495"/>
      <c r="R22" s="599"/>
      <c r="S22" s="470"/>
    </row>
    <row r="23" spans="1:19" x14ac:dyDescent="0.25">
      <c r="A23" s="503">
        <v>1973</v>
      </c>
      <c r="B23" s="503"/>
      <c r="C23" s="540">
        <v>336400</v>
      </c>
      <c r="D23" s="848"/>
      <c r="E23" s="827">
        <f>E22+349</f>
        <v>4463.5316045380878</v>
      </c>
      <c r="F23" s="850"/>
      <c r="G23" s="827"/>
      <c r="H23" s="827"/>
      <c r="I23" s="827">
        <f>I22+173</f>
        <v>2026.2933549432739</v>
      </c>
      <c r="J23" s="849"/>
      <c r="K23" s="599"/>
      <c r="L23" s="599"/>
      <c r="M23" s="599" t="str">
        <f t="shared" si="1"/>
        <v/>
      </c>
      <c r="N23" s="495"/>
      <c r="O23" s="599"/>
      <c r="P23" s="599"/>
      <c r="Q23" s="495"/>
      <c r="R23" s="599"/>
      <c r="S23" s="470"/>
    </row>
    <row r="24" spans="1:19" x14ac:dyDescent="0.25">
      <c r="A24" s="503">
        <v>1974</v>
      </c>
      <c r="B24" s="503"/>
      <c r="C24" s="540">
        <v>348100</v>
      </c>
      <c r="D24" s="848"/>
      <c r="E24" s="827">
        <f>E23+349</f>
        <v>4812.5316045380878</v>
      </c>
      <c r="F24" s="850"/>
      <c r="G24" s="827"/>
      <c r="H24" s="827"/>
      <c r="I24" s="827">
        <f>I23+173</f>
        <v>2199.2933549432737</v>
      </c>
      <c r="J24" s="849"/>
      <c r="K24" s="599"/>
      <c r="L24" s="599"/>
      <c r="M24" s="599" t="str">
        <f t="shared" si="1"/>
        <v/>
      </c>
      <c r="N24" s="495"/>
      <c r="O24" s="599"/>
      <c r="P24" s="599"/>
      <c r="Q24" s="495"/>
      <c r="R24" s="599"/>
      <c r="S24" s="470"/>
    </row>
    <row r="25" spans="1:19" x14ac:dyDescent="0.25">
      <c r="A25" s="503">
        <v>1975</v>
      </c>
      <c r="B25" s="503">
        <v>1</v>
      </c>
      <c r="C25" s="540">
        <v>384100</v>
      </c>
      <c r="D25" s="599">
        <v>1982586</v>
      </c>
      <c r="E25" s="599">
        <f t="shared" si="2"/>
        <v>5161.6401978651393</v>
      </c>
      <c r="F25" s="494">
        <v>62676</v>
      </c>
      <c r="G25" s="599">
        <v>103523</v>
      </c>
      <c r="H25" s="599">
        <v>910638</v>
      </c>
      <c r="I25" s="599">
        <f>IF(H25&gt;0,(H25*1000)/C25,"")</f>
        <v>2370.8357198646186</v>
      </c>
      <c r="J25" s="495">
        <v>30789</v>
      </c>
      <c r="K25" s="599">
        <v>89724</v>
      </c>
      <c r="L25" s="599"/>
      <c r="M25" s="599" t="str">
        <f t="shared" si="1"/>
        <v/>
      </c>
      <c r="N25" s="495"/>
      <c r="O25" s="599"/>
      <c r="P25" s="599"/>
      <c r="Q25" s="495"/>
      <c r="R25" s="599"/>
      <c r="S25" s="470"/>
    </row>
    <row r="26" spans="1:19" x14ac:dyDescent="0.25">
      <c r="A26" s="503">
        <v>1976</v>
      </c>
      <c r="B26" s="503">
        <v>1</v>
      </c>
      <c r="C26" s="540">
        <v>409800</v>
      </c>
      <c r="D26" s="599">
        <v>2250884</v>
      </c>
      <c r="E26" s="599">
        <f t="shared" si="2"/>
        <v>5492.6403123474865</v>
      </c>
      <c r="F26" s="494">
        <v>85810</v>
      </c>
      <c r="G26" s="599">
        <v>114995</v>
      </c>
      <c r="H26" s="599">
        <v>1008683</v>
      </c>
      <c r="I26" s="599">
        <f>IF(H26&gt;0,(H26*1000)/C26,"")</f>
        <v>2461.4031234748659</v>
      </c>
      <c r="J26" s="495">
        <v>38854</v>
      </c>
      <c r="K26" s="599">
        <v>98520</v>
      </c>
      <c r="L26" s="599"/>
      <c r="M26" s="599" t="str">
        <f t="shared" si="1"/>
        <v/>
      </c>
      <c r="N26" s="495"/>
      <c r="O26" s="599"/>
      <c r="P26" s="599"/>
      <c r="Q26" s="495"/>
      <c r="R26" s="599"/>
      <c r="S26" s="470"/>
    </row>
    <row r="27" spans="1:19" x14ac:dyDescent="0.25">
      <c r="A27" s="503">
        <v>1977</v>
      </c>
      <c r="B27" s="503"/>
      <c r="C27" s="540">
        <v>418000</v>
      </c>
      <c r="D27" s="827"/>
      <c r="E27" s="827">
        <f>E26+310</f>
        <v>5802.6403123474865</v>
      </c>
      <c r="F27" s="494"/>
      <c r="G27" s="599"/>
      <c r="H27" s="827"/>
      <c r="I27" s="827">
        <f>I26+146</f>
        <v>2607.4031234748659</v>
      </c>
      <c r="J27" s="495"/>
      <c r="K27" s="599"/>
      <c r="L27" s="599"/>
      <c r="M27" s="599" t="str">
        <f t="shared" si="1"/>
        <v/>
      </c>
      <c r="N27" s="495"/>
      <c r="O27" s="599"/>
      <c r="P27" s="599"/>
      <c r="Q27" s="495"/>
      <c r="R27" s="599"/>
      <c r="S27" s="470"/>
    </row>
    <row r="28" spans="1:19" x14ac:dyDescent="0.25">
      <c r="A28" s="503">
        <v>1978</v>
      </c>
      <c r="B28" s="503"/>
      <c r="C28" s="540">
        <v>411600</v>
      </c>
      <c r="D28" s="827"/>
      <c r="E28" s="827">
        <f>E27+310</f>
        <v>6112.6403123474865</v>
      </c>
      <c r="F28" s="494"/>
      <c r="G28" s="599"/>
      <c r="H28" s="827"/>
      <c r="I28" s="827">
        <f>I27+146</f>
        <v>2753.4031234748659</v>
      </c>
      <c r="J28" s="495"/>
      <c r="K28" s="599"/>
      <c r="L28" s="599"/>
      <c r="M28" s="599" t="str">
        <f t="shared" si="1"/>
        <v/>
      </c>
      <c r="N28" s="495"/>
      <c r="O28" s="599"/>
      <c r="P28" s="599"/>
      <c r="Q28" s="495"/>
      <c r="R28" s="599"/>
      <c r="S28" s="470"/>
    </row>
    <row r="29" spans="1:19" x14ac:dyDescent="0.25">
      <c r="A29" s="503">
        <v>1979</v>
      </c>
      <c r="B29" s="503"/>
      <c r="C29" s="540">
        <v>413700</v>
      </c>
      <c r="D29" s="827"/>
      <c r="E29" s="827">
        <f>E28+310</f>
        <v>6422.6403123474865</v>
      </c>
      <c r="F29" s="494"/>
      <c r="G29" s="599"/>
      <c r="H29" s="827"/>
      <c r="I29" s="827">
        <f>I28+146</f>
        <v>2899.4031234748659</v>
      </c>
      <c r="J29" s="495"/>
      <c r="K29" s="599"/>
      <c r="L29" s="599"/>
      <c r="M29" s="599" t="str">
        <f t="shared" si="1"/>
        <v/>
      </c>
      <c r="N29" s="495"/>
      <c r="O29" s="599"/>
      <c r="P29" s="599"/>
      <c r="Q29" s="495"/>
      <c r="R29" s="599"/>
      <c r="S29" s="470"/>
    </row>
    <row r="30" spans="1:19" x14ac:dyDescent="0.25">
      <c r="A30" s="503">
        <v>1980</v>
      </c>
      <c r="B30" s="503">
        <v>1</v>
      </c>
      <c r="C30" s="540">
        <v>419800</v>
      </c>
      <c r="D30" s="599">
        <v>2825885</v>
      </c>
      <c r="E30" s="599">
        <f t="shared" si="2"/>
        <v>6731.5030967127204</v>
      </c>
      <c r="F30" s="494">
        <v>145643</v>
      </c>
      <c r="G30" s="599">
        <v>144558</v>
      </c>
      <c r="H30" s="599">
        <v>1277257</v>
      </c>
      <c r="I30" s="599">
        <f t="shared" ref="I30:I61" si="3">IF(H30&gt;0,(H30*1000)/C30,"")</f>
        <v>3042.5369223439734</v>
      </c>
      <c r="J30" s="495">
        <v>65561</v>
      </c>
      <c r="K30" s="599">
        <v>123894</v>
      </c>
      <c r="L30" s="599">
        <v>1444117</v>
      </c>
      <c r="M30" s="599">
        <f t="shared" si="1"/>
        <v>3440.0119104335399</v>
      </c>
      <c r="N30" s="495">
        <v>71556</v>
      </c>
      <c r="O30" s="599">
        <v>18679</v>
      </c>
      <c r="P30" s="599"/>
      <c r="Q30" s="495"/>
      <c r="R30" s="599"/>
      <c r="S30" s="470"/>
    </row>
    <row r="31" spans="1:19" x14ac:dyDescent="0.25">
      <c r="A31" s="503">
        <v>1981</v>
      </c>
      <c r="B31" s="503">
        <v>1</v>
      </c>
      <c r="C31" s="540">
        <v>434300</v>
      </c>
      <c r="D31" s="599">
        <v>2912588</v>
      </c>
      <c r="E31" s="599">
        <f t="shared" si="2"/>
        <v>6706.3965001151282</v>
      </c>
      <c r="F31" s="494">
        <v>179361</v>
      </c>
      <c r="G31" s="599">
        <v>151815</v>
      </c>
      <c r="H31" s="599">
        <v>1290616</v>
      </c>
      <c r="I31" s="599">
        <f t="shared" si="3"/>
        <v>2971.7154040985492</v>
      </c>
      <c r="J31" s="495">
        <v>76704</v>
      </c>
      <c r="K31" s="599">
        <v>129795</v>
      </c>
      <c r="L31" s="599">
        <v>1501272</v>
      </c>
      <c r="M31" s="599">
        <f t="shared" si="1"/>
        <v>3456.7626064932074</v>
      </c>
      <c r="N31" s="495">
        <v>89867</v>
      </c>
      <c r="O31" s="599">
        <v>19320</v>
      </c>
      <c r="P31" s="599"/>
      <c r="Q31" s="495"/>
      <c r="R31" s="599"/>
      <c r="S31" s="470"/>
    </row>
    <row r="32" spans="1:19" x14ac:dyDescent="0.25">
      <c r="A32" s="503">
        <v>1982</v>
      </c>
      <c r="B32" s="503">
        <v>1</v>
      </c>
      <c r="C32" s="540">
        <v>464300</v>
      </c>
      <c r="D32" s="599">
        <v>3243776</v>
      </c>
      <c r="E32" s="599">
        <f t="shared" si="2"/>
        <v>6986.3794960155074</v>
      </c>
      <c r="F32" s="494">
        <v>220120</v>
      </c>
      <c r="G32" s="599">
        <v>164087</v>
      </c>
      <c r="H32" s="599">
        <v>1460183</v>
      </c>
      <c r="I32" s="599">
        <f t="shared" si="3"/>
        <v>3144.9127719147104</v>
      </c>
      <c r="J32" s="495">
        <v>100168</v>
      </c>
      <c r="K32" s="599">
        <v>140769</v>
      </c>
      <c r="L32" s="599">
        <v>1694845</v>
      </c>
      <c r="M32" s="599">
        <f t="shared" si="1"/>
        <v>3650.3230669825543</v>
      </c>
      <c r="N32" s="495">
        <v>112052</v>
      </c>
      <c r="O32" s="599">
        <v>20996</v>
      </c>
      <c r="P32" s="599"/>
      <c r="Q32" s="495"/>
      <c r="R32" s="599"/>
      <c r="S32" s="470"/>
    </row>
    <row r="33" spans="1:19" x14ac:dyDescent="0.25">
      <c r="A33" s="503">
        <v>1983</v>
      </c>
      <c r="B33" s="503">
        <v>1</v>
      </c>
      <c r="C33" s="540">
        <v>499100</v>
      </c>
      <c r="D33" s="599">
        <v>3404361</v>
      </c>
      <c r="E33" s="599">
        <f t="shared" si="2"/>
        <v>6820.9997996393504</v>
      </c>
      <c r="F33" s="494">
        <v>263916</v>
      </c>
      <c r="G33" s="599">
        <v>179286</v>
      </c>
      <c r="H33" s="599">
        <v>1516594</v>
      </c>
      <c r="I33" s="599">
        <f t="shared" si="3"/>
        <v>3038.6575836505708</v>
      </c>
      <c r="J33" s="495">
        <v>121690</v>
      </c>
      <c r="K33" s="599">
        <v>154639</v>
      </c>
      <c r="L33" s="599">
        <v>1757507</v>
      </c>
      <c r="M33" s="599">
        <f t="shared" si="1"/>
        <v>3521.3524343818872</v>
      </c>
      <c r="N33" s="495">
        <v>126179</v>
      </c>
      <c r="O33" s="599">
        <v>21778</v>
      </c>
      <c r="P33" s="599"/>
      <c r="Q33" s="495"/>
      <c r="R33" s="599"/>
      <c r="S33" s="470"/>
    </row>
    <row r="34" spans="1:19" x14ac:dyDescent="0.25">
      <c r="A34" s="503">
        <v>1984</v>
      </c>
      <c r="B34" s="503">
        <v>1</v>
      </c>
      <c r="C34" s="540">
        <v>524000</v>
      </c>
      <c r="D34" s="599">
        <v>3638000</v>
      </c>
      <c r="E34" s="599">
        <f t="shared" si="2"/>
        <v>6942.7480916030536</v>
      </c>
      <c r="F34" s="494">
        <v>299075</v>
      </c>
      <c r="G34" s="599">
        <v>198765</v>
      </c>
      <c r="H34" s="599">
        <v>1588764</v>
      </c>
      <c r="I34" s="599">
        <f t="shared" si="3"/>
        <v>3031.9923664122139</v>
      </c>
      <c r="J34" s="495">
        <v>134421</v>
      </c>
      <c r="K34" s="599">
        <v>170470</v>
      </c>
      <c r="L34" s="599">
        <v>1901883</v>
      </c>
      <c r="M34" s="599">
        <f t="shared" si="1"/>
        <v>3629.5477099236641</v>
      </c>
      <c r="N34" s="495">
        <v>147733</v>
      </c>
      <c r="O34" s="599">
        <v>24678</v>
      </c>
      <c r="P34" s="599"/>
      <c r="Q34" s="495"/>
      <c r="R34" s="599"/>
      <c r="S34" s="470"/>
    </row>
    <row r="35" spans="1:19" x14ac:dyDescent="0.25">
      <c r="A35" s="503">
        <v>1985</v>
      </c>
      <c r="B35" s="503">
        <v>1</v>
      </c>
      <c r="C35" s="540">
        <v>543900</v>
      </c>
      <c r="D35" s="599">
        <f>H35+L35+P35</f>
        <v>3804018</v>
      </c>
      <c r="E35" s="599">
        <f t="shared" si="2"/>
        <v>6993.965802537231</v>
      </c>
      <c r="F35" s="494">
        <f>J35+N35+Q35</f>
        <v>312853.8</v>
      </c>
      <c r="G35" s="599">
        <f>K35+O35+'Table 3.5'!R35</f>
        <v>201037</v>
      </c>
      <c r="H35" s="599">
        <v>1659526</v>
      </c>
      <c r="I35" s="599">
        <f t="shared" si="3"/>
        <v>3051.1601397315685</v>
      </c>
      <c r="J35" s="495">
        <v>142454.29999999999</v>
      </c>
      <c r="K35" s="599">
        <v>171889</v>
      </c>
      <c r="L35" s="599">
        <v>2144492</v>
      </c>
      <c r="M35" s="599">
        <f t="shared" si="1"/>
        <v>3942.8056628056629</v>
      </c>
      <c r="N35" s="495">
        <v>170399.5</v>
      </c>
      <c r="O35" s="599">
        <v>29148</v>
      </c>
      <c r="P35" s="599"/>
      <c r="Q35" s="495"/>
      <c r="R35" s="599"/>
      <c r="S35" s="470"/>
    </row>
    <row r="36" spans="1:19" x14ac:dyDescent="0.25">
      <c r="A36" s="503">
        <v>1986</v>
      </c>
      <c r="B36" s="503">
        <v>1</v>
      </c>
      <c r="C36" s="540">
        <v>550700</v>
      </c>
      <c r="D36" s="599">
        <v>4041658</v>
      </c>
      <c r="E36" s="599">
        <f t="shared" si="2"/>
        <v>7339.1283820591971</v>
      </c>
      <c r="F36" s="494">
        <v>351620</v>
      </c>
      <c r="G36" s="599">
        <v>490615</v>
      </c>
      <c r="H36" s="599">
        <v>1610969</v>
      </c>
      <c r="I36" s="599">
        <f t="shared" si="3"/>
        <v>2925.311421826766</v>
      </c>
      <c r="J36" s="495">
        <v>148852</v>
      </c>
      <c r="K36" s="599">
        <v>190401</v>
      </c>
      <c r="L36" s="599">
        <v>2169522</v>
      </c>
      <c r="M36" s="599">
        <f t="shared" si="1"/>
        <v>3939.5714545124388</v>
      </c>
      <c r="N36" s="495">
        <v>172254</v>
      </c>
      <c r="O36" s="599">
        <f>(O37+O35)/2</f>
        <v>29822</v>
      </c>
      <c r="P36" s="599">
        <v>261167</v>
      </c>
      <c r="Q36" s="495">
        <v>30514</v>
      </c>
      <c r="R36" s="599">
        <v>4071</v>
      </c>
      <c r="S36" s="470"/>
    </row>
    <row r="37" spans="1:19" x14ac:dyDescent="0.25">
      <c r="A37" s="503">
        <v>1987</v>
      </c>
      <c r="B37" s="503">
        <v>1</v>
      </c>
      <c r="C37" s="540">
        <v>541300</v>
      </c>
      <c r="D37" s="599">
        <v>3932791</v>
      </c>
      <c r="E37" s="599">
        <f t="shared" si="2"/>
        <v>7265.4553851838164</v>
      </c>
      <c r="F37" s="494">
        <v>356165</v>
      </c>
      <c r="G37" s="599">
        <v>226616</v>
      </c>
      <c r="H37" s="599">
        <v>1542405</v>
      </c>
      <c r="I37" s="599">
        <f t="shared" si="3"/>
        <v>2849.4457786809535</v>
      </c>
      <c r="J37" s="495">
        <v>150996</v>
      </c>
      <c r="K37" s="599">
        <v>192404</v>
      </c>
      <c r="L37" s="599">
        <v>2198897</v>
      </c>
      <c r="M37" s="599">
        <f t="shared" si="1"/>
        <v>4062.2519859597264</v>
      </c>
      <c r="N37" s="495">
        <v>179972</v>
      </c>
      <c r="O37" s="599">
        <v>30496</v>
      </c>
      <c r="P37" s="599">
        <v>191489</v>
      </c>
      <c r="Q37" s="495">
        <v>25197</v>
      </c>
      <c r="R37" s="599">
        <v>3716</v>
      </c>
      <c r="S37" s="470"/>
    </row>
    <row r="38" spans="1:19" x14ac:dyDescent="0.25">
      <c r="A38" s="503">
        <v>1988</v>
      </c>
      <c r="B38" s="503">
        <v>1</v>
      </c>
      <c r="C38" s="540">
        <v>535000</v>
      </c>
      <c r="D38" s="599">
        <v>4019398</v>
      </c>
      <c r="E38" s="599">
        <f t="shared" si="2"/>
        <v>7512.8934579439256</v>
      </c>
      <c r="F38" s="494">
        <v>366322</v>
      </c>
      <c r="G38" s="599">
        <v>227020</v>
      </c>
      <c r="H38" s="599">
        <v>1578933</v>
      </c>
      <c r="I38" s="599">
        <f t="shared" si="3"/>
        <v>2951.2766355140188</v>
      </c>
      <c r="J38" s="495">
        <v>154076</v>
      </c>
      <c r="K38" s="599">
        <v>191698</v>
      </c>
      <c r="L38" s="599">
        <v>2207325</v>
      </c>
      <c r="M38" s="599">
        <f t="shared" si="1"/>
        <v>4125.8411214953267</v>
      </c>
      <c r="N38" s="495">
        <v>180297</v>
      </c>
      <c r="O38" s="599">
        <v>30855</v>
      </c>
      <c r="P38" s="599">
        <v>233140</v>
      </c>
      <c r="Q38" s="495">
        <v>31949</v>
      </c>
      <c r="R38" s="599">
        <v>4467</v>
      </c>
      <c r="S38" s="470"/>
    </row>
    <row r="39" spans="1:19" x14ac:dyDescent="0.25">
      <c r="A39" s="503">
        <v>1989</v>
      </c>
      <c r="B39" s="503">
        <v>1</v>
      </c>
      <c r="C39" s="540">
        <v>538900</v>
      </c>
      <c r="D39" s="599">
        <v>4144099</v>
      </c>
      <c r="E39" s="599">
        <f t="shared" si="2"/>
        <v>7689.922063462609</v>
      </c>
      <c r="F39" s="494">
        <v>381926</v>
      </c>
      <c r="G39" s="599">
        <v>228552</v>
      </c>
      <c r="H39" s="599">
        <v>1636796</v>
      </c>
      <c r="I39" s="599">
        <f t="shared" si="3"/>
        <v>3037.2907775097419</v>
      </c>
      <c r="J39" s="495">
        <v>159560</v>
      </c>
      <c r="K39" s="599">
        <v>193042</v>
      </c>
      <c r="L39" s="599">
        <v>2237907</v>
      </c>
      <c r="M39" s="599">
        <f t="shared" si="1"/>
        <v>4152.7314900723695</v>
      </c>
      <c r="N39" s="495">
        <v>188288</v>
      </c>
      <c r="O39" s="599">
        <v>31117</v>
      </c>
      <c r="P39" s="599">
        <v>269396</v>
      </c>
      <c r="Q39" s="495">
        <v>34078</v>
      </c>
      <c r="R39" s="599">
        <v>4393</v>
      </c>
      <c r="S39" s="470"/>
    </row>
    <row r="40" spans="1:19" x14ac:dyDescent="0.25">
      <c r="A40" s="503">
        <v>1990</v>
      </c>
      <c r="B40" s="503">
        <v>1</v>
      </c>
      <c r="C40" s="540">
        <v>553171</v>
      </c>
      <c r="D40" s="599">
        <v>4235451</v>
      </c>
      <c r="E40" s="599">
        <f t="shared" si="2"/>
        <v>7656.6757837992227</v>
      </c>
      <c r="F40" s="494">
        <v>402043</v>
      </c>
      <c r="G40" s="599">
        <v>229897</v>
      </c>
      <c r="H40" s="599">
        <v>1646617</v>
      </c>
      <c r="I40" s="599">
        <f t="shared" si="3"/>
        <v>2976.6871365274028</v>
      </c>
      <c r="J40" s="495">
        <v>166009</v>
      </c>
      <c r="K40" s="599">
        <v>193443</v>
      </c>
      <c r="L40" s="599">
        <v>2307933</v>
      </c>
      <c r="M40" s="599">
        <f t="shared" si="1"/>
        <v>4172.1872621666716</v>
      </c>
      <c r="N40" s="495">
        <v>201250</v>
      </c>
      <c r="O40" s="599">
        <v>31817</v>
      </c>
      <c r="P40" s="599">
        <v>280901</v>
      </c>
      <c r="Q40" s="495">
        <v>34784</v>
      </c>
      <c r="R40" s="599">
        <v>4637</v>
      </c>
      <c r="S40" s="470"/>
    </row>
    <row r="41" spans="1:19" x14ac:dyDescent="0.25">
      <c r="A41" s="503">
        <v>1991</v>
      </c>
      <c r="B41" s="503">
        <v>1</v>
      </c>
      <c r="C41" s="540">
        <v>569054</v>
      </c>
      <c r="D41" s="599">
        <v>4252707</v>
      </c>
      <c r="E41" s="599">
        <f t="shared" si="2"/>
        <v>7473.2925170546205</v>
      </c>
      <c r="F41" s="494">
        <v>418382</v>
      </c>
      <c r="G41" s="599">
        <v>233394</v>
      </c>
      <c r="H41" s="599">
        <v>1613758</v>
      </c>
      <c r="I41" s="599">
        <f t="shared" si="3"/>
        <v>2835.8609200532815</v>
      </c>
      <c r="J41" s="495">
        <v>170879</v>
      </c>
      <c r="K41" s="599">
        <v>195941</v>
      </c>
      <c r="L41" s="599">
        <v>2425317</v>
      </c>
      <c r="M41" s="599">
        <f t="shared" si="1"/>
        <v>4262.0155556414684</v>
      </c>
      <c r="N41" s="495">
        <v>221318</v>
      </c>
      <c r="O41" s="599">
        <v>32708</v>
      </c>
      <c r="P41" s="599">
        <v>213632</v>
      </c>
      <c r="Q41" s="495">
        <v>26185</v>
      </c>
      <c r="R41" s="599">
        <v>4745</v>
      </c>
      <c r="S41" s="470"/>
    </row>
    <row r="42" spans="1:19" x14ac:dyDescent="0.25">
      <c r="A42" s="503">
        <v>1992</v>
      </c>
      <c r="B42" s="503">
        <v>1</v>
      </c>
      <c r="C42" s="540">
        <v>586722</v>
      </c>
      <c r="D42" s="599">
        <v>4326067</v>
      </c>
      <c r="E42" s="599">
        <f t="shared" si="2"/>
        <v>7373.2824063184953</v>
      </c>
      <c r="F42" s="494">
        <v>432219</v>
      </c>
      <c r="G42" s="599">
        <v>237518</v>
      </c>
      <c r="H42" s="599">
        <v>1640914</v>
      </c>
      <c r="I42" s="599">
        <f t="shared" si="3"/>
        <v>2796.7487157461287</v>
      </c>
      <c r="J42" s="495">
        <v>177586</v>
      </c>
      <c r="K42" s="599">
        <v>199250</v>
      </c>
      <c r="L42" s="599">
        <v>2467751</v>
      </c>
      <c r="M42" s="599">
        <f t="shared" si="1"/>
        <v>4205.9970480056991</v>
      </c>
      <c r="N42" s="495">
        <v>226936</v>
      </c>
      <c r="O42" s="599">
        <v>33477</v>
      </c>
      <c r="P42" s="599">
        <v>217402</v>
      </c>
      <c r="Q42" s="495">
        <v>27697</v>
      </c>
      <c r="R42" s="599">
        <v>4791</v>
      </c>
      <c r="S42" s="470"/>
    </row>
    <row r="43" spans="1:19" x14ac:dyDescent="0.25">
      <c r="A43" s="503">
        <v>1993</v>
      </c>
      <c r="B43" s="503">
        <v>1</v>
      </c>
      <c r="C43" s="540">
        <v>596906</v>
      </c>
      <c r="D43" s="599">
        <v>4368172</v>
      </c>
      <c r="E43" s="599">
        <f t="shared" si="2"/>
        <v>7318.0232733462217</v>
      </c>
      <c r="F43" s="494">
        <v>441048</v>
      </c>
      <c r="G43" s="599">
        <v>241929</v>
      </c>
      <c r="H43" s="599">
        <v>1628395</v>
      </c>
      <c r="I43" s="599">
        <f t="shared" si="3"/>
        <v>2728.0593594301281</v>
      </c>
      <c r="J43" s="495">
        <v>180749</v>
      </c>
      <c r="K43" s="599">
        <v>203218</v>
      </c>
      <c r="L43" s="599">
        <v>2538044</v>
      </c>
      <c r="M43" s="599">
        <f t="shared" si="1"/>
        <v>4251.9994773046346</v>
      </c>
      <c r="N43" s="495">
        <v>238638</v>
      </c>
      <c r="O43" s="599">
        <v>34598</v>
      </c>
      <c r="P43" s="599">
        <v>201734</v>
      </c>
      <c r="Q43" s="495">
        <v>21660</v>
      </c>
      <c r="R43" s="599">
        <v>4113</v>
      </c>
      <c r="S43" s="470"/>
    </row>
    <row r="44" spans="1:19" x14ac:dyDescent="0.25">
      <c r="A44" s="503">
        <v>1994</v>
      </c>
      <c r="B44" s="503">
        <v>1</v>
      </c>
      <c r="C44" s="540">
        <v>600622</v>
      </c>
      <c r="D44" s="599">
        <v>4550653</v>
      </c>
      <c r="E44" s="599">
        <f t="shared" si="2"/>
        <v>7576.5672919073895</v>
      </c>
      <c r="F44" s="494">
        <v>465995</v>
      </c>
      <c r="G44" s="599">
        <v>245246</v>
      </c>
      <c r="H44" s="599">
        <v>1689011</v>
      </c>
      <c r="I44" s="599">
        <f t="shared" si="3"/>
        <v>2812.1031197658426</v>
      </c>
      <c r="J44" s="495">
        <v>191397</v>
      </c>
      <c r="K44" s="599">
        <v>206279</v>
      </c>
      <c r="L44" s="599">
        <v>2635784</v>
      </c>
      <c r="M44" s="599">
        <f t="shared" ref="M44:M61" si="4">IF(L44&gt;0,(L44*1000)/C44,"")</f>
        <v>4388.4240004528638</v>
      </c>
      <c r="N44" s="495">
        <v>248265</v>
      </c>
      <c r="O44" s="599">
        <v>34962</v>
      </c>
      <c r="P44" s="599">
        <v>225858</v>
      </c>
      <c r="Q44" s="495">
        <v>26333</v>
      </c>
      <c r="R44" s="599">
        <v>4005</v>
      </c>
      <c r="S44" s="470"/>
    </row>
    <row r="45" spans="1:19" x14ac:dyDescent="0.25">
      <c r="A45" s="503">
        <v>1995</v>
      </c>
      <c r="B45" s="503">
        <v>1</v>
      </c>
      <c r="C45" s="540">
        <v>601581</v>
      </c>
      <c r="D45" s="599">
        <v>4637935</v>
      </c>
      <c r="E45" s="599">
        <f t="shared" si="2"/>
        <v>7709.5769314522895</v>
      </c>
      <c r="F45" s="494">
        <v>472891</v>
      </c>
      <c r="G45" s="599">
        <v>250815</v>
      </c>
      <c r="H45" s="599">
        <v>1711770</v>
      </c>
      <c r="I45" s="599">
        <f t="shared" si="3"/>
        <v>2845.452233365083</v>
      </c>
      <c r="J45" s="495">
        <v>193033</v>
      </c>
      <c r="K45" s="599">
        <v>210870</v>
      </c>
      <c r="L45" s="599">
        <v>2702302</v>
      </c>
      <c r="M45" s="599">
        <f t="shared" si="4"/>
        <v>4492.0002460184078</v>
      </c>
      <c r="N45" s="495">
        <v>249684</v>
      </c>
      <c r="O45" s="599">
        <v>34968</v>
      </c>
      <c r="P45" s="599">
        <v>223863</v>
      </c>
      <c r="Q45" s="495">
        <v>30174</v>
      </c>
      <c r="R45" s="599">
        <v>4977</v>
      </c>
      <c r="S45" s="470"/>
    </row>
    <row r="46" spans="1:19" x14ac:dyDescent="0.25">
      <c r="A46" s="503">
        <v>1996</v>
      </c>
      <c r="B46" s="503" t="s">
        <v>943</v>
      </c>
      <c r="C46" s="540">
        <v>605212</v>
      </c>
      <c r="D46" s="599">
        <v>4779562</v>
      </c>
      <c r="E46" s="599">
        <f t="shared" si="2"/>
        <v>7897.3351486751753</v>
      </c>
      <c r="F46" s="494">
        <v>489489</v>
      </c>
      <c r="G46" s="599">
        <v>256103</v>
      </c>
      <c r="H46" s="599">
        <v>1766184</v>
      </c>
      <c r="I46" s="599">
        <f t="shared" si="3"/>
        <v>2918.2897893630661</v>
      </c>
      <c r="J46" s="495">
        <v>200660</v>
      </c>
      <c r="K46" s="599">
        <v>215712</v>
      </c>
      <c r="L46" s="599">
        <v>2834072</v>
      </c>
      <c r="M46" s="599">
        <f t="shared" si="4"/>
        <v>4682.7756224265213</v>
      </c>
      <c r="N46" s="495">
        <v>264912</v>
      </c>
      <c r="O46" s="599">
        <v>36194</v>
      </c>
      <c r="P46" s="599">
        <v>179306</v>
      </c>
      <c r="Q46" s="495">
        <v>23917</v>
      </c>
      <c r="R46" s="599">
        <v>4197</v>
      </c>
      <c r="S46" s="470"/>
    </row>
    <row r="47" spans="1:19" x14ac:dyDescent="0.25">
      <c r="A47" s="503">
        <v>1997</v>
      </c>
      <c r="B47" s="503" t="s">
        <v>943</v>
      </c>
      <c r="C47" s="540">
        <v>609655</v>
      </c>
      <c r="D47" s="599">
        <v>4840529</v>
      </c>
      <c r="E47" s="599">
        <f t="shared" si="2"/>
        <v>7939.7839761832511</v>
      </c>
      <c r="F47" s="494">
        <v>487620</v>
      </c>
      <c r="G47" s="599">
        <v>254991</v>
      </c>
      <c r="H47" s="599">
        <v>1725834</v>
      </c>
      <c r="I47" s="599">
        <f t="shared" si="3"/>
        <v>2830.837112793301</v>
      </c>
      <c r="J47" s="495">
        <v>197457</v>
      </c>
      <c r="K47" s="599">
        <v>215076</v>
      </c>
      <c r="L47" s="599">
        <v>2936355</v>
      </c>
      <c r="M47" s="599">
        <f t="shared" si="4"/>
        <v>4816.4207625624331</v>
      </c>
      <c r="N47" s="495">
        <v>263860</v>
      </c>
      <c r="O47" s="599">
        <v>35008</v>
      </c>
      <c r="P47" s="599">
        <v>178340</v>
      </c>
      <c r="Q47" s="495">
        <v>26303</v>
      </c>
      <c r="R47" s="599">
        <v>4907</v>
      </c>
      <c r="S47" s="470"/>
    </row>
    <row r="48" spans="1:19" x14ac:dyDescent="0.25">
      <c r="A48" s="503">
        <v>1998</v>
      </c>
      <c r="B48" s="503" t="s">
        <v>943</v>
      </c>
      <c r="C48" s="540">
        <v>617082</v>
      </c>
      <c r="D48" s="599">
        <v>5094584</v>
      </c>
      <c r="E48" s="599">
        <f t="shared" si="2"/>
        <v>8255.9270891064716</v>
      </c>
      <c r="F48" s="494">
        <v>508097</v>
      </c>
      <c r="G48" s="599">
        <v>265185</v>
      </c>
      <c r="H48" s="599">
        <v>1767992</v>
      </c>
      <c r="I48" s="599">
        <f t="shared" si="3"/>
        <v>2865.0843810060901</v>
      </c>
      <c r="J48" s="495">
        <v>203284</v>
      </c>
      <c r="K48" s="599">
        <v>222927</v>
      </c>
      <c r="L48" s="599">
        <v>3124911</v>
      </c>
      <c r="M48" s="599">
        <f t="shared" si="4"/>
        <v>5064.012562349898</v>
      </c>
      <c r="N48" s="495">
        <v>277217</v>
      </c>
      <c r="O48" s="599">
        <v>36935</v>
      </c>
      <c r="P48" s="599">
        <v>201681</v>
      </c>
      <c r="Q48" s="495">
        <v>27596</v>
      </c>
      <c r="R48" s="599">
        <v>5323</v>
      </c>
      <c r="S48" s="470"/>
    </row>
    <row r="49" spans="1:19" x14ac:dyDescent="0.25">
      <c r="A49" s="503">
        <v>1999</v>
      </c>
      <c r="B49" s="503" t="s">
        <v>943</v>
      </c>
      <c r="C49" s="540">
        <v>622000</v>
      </c>
      <c r="D49" s="599">
        <v>5292615</v>
      </c>
      <c r="E49" s="599">
        <f t="shared" si="2"/>
        <v>8509.0273311897108</v>
      </c>
      <c r="F49" s="494">
        <v>517414</v>
      </c>
      <c r="G49" s="599">
        <v>269831</v>
      </c>
      <c r="H49" s="599">
        <v>1865743</v>
      </c>
      <c r="I49" s="599">
        <f t="shared" si="3"/>
        <v>2999.586816720257</v>
      </c>
      <c r="J49" s="495">
        <v>208179</v>
      </c>
      <c r="K49" s="599">
        <v>227247</v>
      </c>
      <c r="L49" s="599">
        <v>3229036</v>
      </c>
      <c r="M49" s="599">
        <f t="shared" si="4"/>
        <v>5191.3762057877811</v>
      </c>
      <c r="N49" s="495">
        <v>281217</v>
      </c>
      <c r="O49" s="599">
        <v>37009</v>
      </c>
      <c r="P49" s="599">
        <v>197836</v>
      </c>
      <c r="Q49" s="495">
        <v>28018</v>
      </c>
      <c r="R49" s="599">
        <v>5575</v>
      </c>
      <c r="S49" s="470"/>
    </row>
    <row r="50" spans="1:19" x14ac:dyDescent="0.25">
      <c r="A50" s="503">
        <v>2000</v>
      </c>
      <c r="B50" s="503" t="s">
        <v>943</v>
      </c>
      <c r="C50" s="540">
        <v>628346</v>
      </c>
      <c r="D50" s="599">
        <v>5309970</v>
      </c>
      <c r="E50" s="599">
        <f t="shared" si="2"/>
        <v>8450.7102774585983</v>
      </c>
      <c r="F50" s="494">
        <v>535246</v>
      </c>
      <c r="G50" s="599">
        <v>273530</v>
      </c>
      <c r="H50" s="599">
        <v>1854968</v>
      </c>
      <c r="I50" s="599">
        <f t="shared" si="3"/>
        <v>2952.1442008065619</v>
      </c>
      <c r="J50" s="495">
        <v>212474</v>
      </c>
      <c r="K50" s="599">
        <v>230534</v>
      </c>
      <c r="L50" s="599">
        <v>3273104</v>
      </c>
      <c r="M50" s="599">
        <f t="shared" si="4"/>
        <v>5209.0790742679992</v>
      </c>
      <c r="N50" s="495">
        <v>296990</v>
      </c>
      <c r="O50" s="599">
        <v>38928</v>
      </c>
      <c r="P50" s="599">
        <v>181898</v>
      </c>
      <c r="Q50" s="495">
        <v>25782</v>
      </c>
      <c r="R50" s="599">
        <v>4068</v>
      </c>
      <c r="S50" s="470"/>
    </row>
    <row r="51" spans="1:19" x14ac:dyDescent="0.25">
      <c r="A51" s="503">
        <v>2001</v>
      </c>
      <c r="B51" s="503">
        <v>1</v>
      </c>
      <c r="C51" s="540">
        <v>632716</v>
      </c>
      <c r="D51" s="540">
        <v>5419835.608</v>
      </c>
      <c r="E51" s="540">
        <f t="shared" si="2"/>
        <v>8565.9847514524681</v>
      </c>
      <c r="F51" s="541">
        <v>639625.00299999991</v>
      </c>
      <c r="G51" s="540">
        <v>272161.09999999998</v>
      </c>
      <c r="H51" s="540">
        <v>1885745.4720000001</v>
      </c>
      <c r="I51" s="540">
        <f t="shared" si="3"/>
        <v>2980.3979542164257</v>
      </c>
      <c r="J51" s="541">
        <v>221223.15</v>
      </c>
      <c r="K51" s="540">
        <v>237110.1</v>
      </c>
      <c r="L51" s="540">
        <v>3282876.2390000001</v>
      </c>
      <c r="M51" s="540">
        <f t="shared" si="4"/>
        <v>5188.546265623123</v>
      </c>
      <c r="N51" s="541">
        <v>298096.52</v>
      </c>
      <c r="O51" s="540">
        <v>37371.699999999997</v>
      </c>
      <c r="P51" s="540">
        <v>191183.35800000001</v>
      </c>
      <c r="Q51" s="541">
        <v>27431.933000000001</v>
      </c>
      <c r="R51" s="540">
        <v>5256.3</v>
      </c>
      <c r="S51" s="470"/>
    </row>
    <row r="52" spans="1:19" x14ac:dyDescent="0.25">
      <c r="A52" s="503">
        <v>2002</v>
      </c>
      <c r="B52" s="540" t="s">
        <v>961</v>
      </c>
      <c r="C52" s="540">
        <v>641729</v>
      </c>
      <c r="D52" s="499">
        <v>5465489</v>
      </c>
      <c r="E52" s="499">
        <f t="shared" si="2"/>
        <v>8516.8178467857924</v>
      </c>
      <c r="F52" s="542">
        <v>571871</v>
      </c>
      <c r="G52" s="499">
        <v>284821</v>
      </c>
      <c r="H52" s="499">
        <v>1932217</v>
      </c>
      <c r="I52" s="499">
        <f t="shared" si="3"/>
        <v>3010.9547799772176</v>
      </c>
      <c r="J52" s="542">
        <v>232769</v>
      </c>
      <c r="K52" s="499">
        <v>239822</v>
      </c>
      <c r="L52" s="499">
        <v>3326091</v>
      </c>
      <c r="M52" s="499">
        <f t="shared" si="4"/>
        <v>5183.0149486777127</v>
      </c>
      <c r="N52" s="542">
        <v>310014</v>
      </c>
      <c r="O52" s="499">
        <v>39523</v>
      </c>
      <c r="P52" s="499">
        <v>207181</v>
      </c>
      <c r="Q52" s="542">
        <v>29088</v>
      </c>
      <c r="R52" s="499">
        <v>5476</v>
      </c>
      <c r="S52" s="470"/>
    </row>
    <row r="53" spans="1:19" x14ac:dyDescent="0.25">
      <c r="A53" s="503">
        <v>2003</v>
      </c>
      <c r="B53" s="540" t="s">
        <v>961</v>
      </c>
      <c r="C53" s="540">
        <v>649466</v>
      </c>
      <c r="D53" s="499">
        <v>5563682</v>
      </c>
      <c r="E53" s="499">
        <f t="shared" si="2"/>
        <v>8566.5485183212058</v>
      </c>
      <c r="F53" s="542">
        <v>584243</v>
      </c>
      <c r="G53" s="499">
        <v>290842</v>
      </c>
      <c r="H53" s="499">
        <v>1987009</v>
      </c>
      <c r="I53" s="499">
        <f t="shared" si="3"/>
        <v>3059.4503792346327</v>
      </c>
      <c r="J53" s="542">
        <v>238065</v>
      </c>
      <c r="K53" s="499">
        <v>246921</v>
      </c>
      <c r="L53" s="499">
        <v>3576673</v>
      </c>
      <c r="M53" s="499">
        <f t="shared" si="4"/>
        <v>5507.0981390865727</v>
      </c>
      <c r="N53" s="542">
        <v>346178</v>
      </c>
      <c r="O53" s="499">
        <v>43921</v>
      </c>
      <c r="P53" s="499"/>
      <c r="Q53" s="542"/>
      <c r="R53" s="499"/>
      <c r="S53" s="470"/>
    </row>
    <row r="54" spans="1:19" x14ac:dyDescent="0.25">
      <c r="A54" s="503">
        <v>2004</v>
      </c>
      <c r="B54" s="540" t="s">
        <v>961</v>
      </c>
      <c r="C54" s="540">
        <v>659653</v>
      </c>
      <c r="D54" s="499">
        <v>5788484</v>
      </c>
      <c r="E54" s="499">
        <f t="shared" si="2"/>
        <v>8775.0438488114214</v>
      </c>
      <c r="F54" s="542">
        <v>636008</v>
      </c>
      <c r="G54" s="499">
        <v>296358</v>
      </c>
      <c r="H54" s="499">
        <v>2061905</v>
      </c>
      <c r="I54" s="499">
        <f t="shared" si="3"/>
        <v>3125.7418673150883</v>
      </c>
      <c r="J54" s="542">
        <v>256461</v>
      </c>
      <c r="K54" s="499">
        <v>251198</v>
      </c>
      <c r="L54" s="499">
        <v>3726579</v>
      </c>
      <c r="M54" s="499">
        <f t="shared" si="4"/>
        <v>5649.3019814963318</v>
      </c>
      <c r="N54" s="542">
        <v>379547</v>
      </c>
      <c r="O54" s="499">
        <v>45160</v>
      </c>
      <c r="P54" s="499"/>
      <c r="Q54" s="542"/>
      <c r="R54" s="499"/>
      <c r="S54" s="470"/>
    </row>
    <row r="55" spans="1:19" x14ac:dyDescent="0.25">
      <c r="A55" s="503">
        <v>2005</v>
      </c>
      <c r="B55" s="540" t="s">
        <v>961</v>
      </c>
      <c r="C55" s="540">
        <v>667146</v>
      </c>
      <c r="D55" s="499">
        <v>5912571</v>
      </c>
      <c r="E55" s="499">
        <f t="shared" si="2"/>
        <v>8862.484373735284</v>
      </c>
      <c r="F55" s="542">
        <v>693022</v>
      </c>
      <c r="G55" s="499">
        <v>302674</v>
      </c>
      <c r="H55" s="499">
        <v>2061652</v>
      </c>
      <c r="I55" s="499">
        <f t="shared" si="3"/>
        <v>3090.2561058598867</v>
      </c>
      <c r="J55" s="542">
        <v>274152</v>
      </c>
      <c r="K55" s="499">
        <v>256717</v>
      </c>
      <c r="L55" s="499">
        <v>3850919</v>
      </c>
      <c r="M55" s="499">
        <f t="shared" si="4"/>
        <v>5772.2282678753973</v>
      </c>
      <c r="N55" s="542">
        <v>418870</v>
      </c>
      <c r="O55" s="499">
        <v>45957</v>
      </c>
      <c r="P55" s="499"/>
      <c r="Q55" s="542"/>
      <c r="R55" s="499"/>
      <c r="S55" s="470"/>
    </row>
    <row r="56" spans="1:19" x14ac:dyDescent="0.25">
      <c r="A56" s="503">
        <v>2006</v>
      </c>
      <c r="B56" s="540" t="s">
        <v>961</v>
      </c>
      <c r="C56" s="540">
        <v>674583</v>
      </c>
      <c r="D56" s="499">
        <v>6182291</v>
      </c>
      <c r="E56" s="499">
        <f t="shared" si="2"/>
        <v>9164.6113228468548</v>
      </c>
      <c r="F56" s="542">
        <v>794064</v>
      </c>
      <c r="G56" s="499">
        <v>308575</v>
      </c>
      <c r="H56" s="499">
        <v>2120254</v>
      </c>
      <c r="I56" s="499">
        <f t="shared" si="3"/>
        <v>3143.0587488863489</v>
      </c>
      <c r="J56" s="542">
        <v>314378</v>
      </c>
      <c r="K56" s="499">
        <v>261502</v>
      </c>
      <c r="L56" s="499">
        <v>4062037</v>
      </c>
      <c r="M56" s="499">
        <f t="shared" si="4"/>
        <v>6021.5525739605064</v>
      </c>
      <c r="N56" s="542">
        <v>479686</v>
      </c>
      <c r="O56" s="499">
        <v>47073</v>
      </c>
      <c r="P56" s="499"/>
      <c r="Q56" s="542"/>
      <c r="R56" s="499"/>
      <c r="S56" s="470"/>
    </row>
    <row r="57" spans="1:19" x14ac:dyDescent="0.25">
      <c r="A57" s="503">
        <v>2007</v>
      </c>
      <c r="B57" s="540" t="s">
        <v>961</v>
      </c>
      <c r="C57" s="540">
        <v>680169</v>
      </c>
      <c r="D57" s="499">
        <v>6326610</v>
      </c>
      <c r="E57" s="499">
        <f t="shared" si="2"/>
        <v>9301.5265323765125</v>
      </c>
      <c r="F57" s="542">
        <v>840471</v>
      </c>
      <c r="G57" s="499">
        <v>312845</v>
      </c>
      <c r="H57" s="499">
        <v>2114456</v>
      </c>
      <c r="I57" s="499">
        <f t="shared" si="3"/>
        <v>3108.7215089191068</v>
      </c>
      <c r="J57" s="542">
        <v>320973</v>
      </c>
      <c r="K57" s="499">
        <v>265449</v>
      </c>
      <c r="L57" s="499">
        <v>4212154</v>
      </c>
      <c r="M57" s="499">
        <f t="shared" si="4"/>
        <v>6192.8050234574057</v>
      </c>
      <c r="N57" s="542">
        <v>519498</v>
      </c>
      <c r="O57" s="499">
        <v>47396</v>
      </c>
      <c r="P57" s="499"/>
      <c r="Q57" s="542"/>
      <c r="R57" s="499"/>
      <c r="S57" s="470"/>
    </row>
    <row r="58" spans="1:19" x14ac:dyDescent="0.25">
      <c r="A58" s="503">
        <v>2008</v>
      </c>
      <c r="B58" s="540" t="s">
        <v>961</v>
      </c>
      <c r="C58" s="540">
        <v>686818</v>
      </c>
      <c r="D58" s="499">
        <v>6324855</v>
      </c>
      <c r="E58" s="499">
        <f t="shared" si="2"/>
        <v>9208.924343858198</v>
      </c>
      <c r="F58" s="542">
        <v>931674.39999999991</v>
      </c>
      <c r="G58" s="499">
        <v>317020</v>
      </c>
      <c r="H58" s="499">
        <v>2129297</v>
      </c>
      <c r="I58" s="499">
        <f t="shared" si="3"/>
        <v>3100.2347055551836</v>
      </c>
      <c r="J58" s="542">
        <v>352363.50000000006</v>
      </c>
      <c r="K58" s="499">
        <v>268638</v>
      </c>
      <c r="L58" s="499">
        <v>4195558</v>
      </c>
      <c r="M58" s="499">
        <f t="shared" si="4"/>
        <v>6108.6896383030144</v>
      </c>
      <c r="N58" s="542">
        <v>579310.9</v>
      </c>
      <c r="O58" s="499">
        <v>48382</v>
      </c>
      <c r="P58" s="499"/>
      <c r="Q58" s="542"/>
      <c r="R58" s="499"/>
      <c r="S58" s="470"/>
    </row>
    <row r="59" spans="1:19" x14ac:dyDescent="0.25">
      <c r="A59" s="503">
        <v>2009</v>
      </c>
      <c r="B59" s="540">
        <v>3</v>
      </c>
      <c r="C59" s="540">
        <v>697828</v>
      </c>
      <c r="D59" s="499">
        <v>6287118.5960000018</v>
      </c>
      <c r="E59" s="499">
        <f t="shared" si="2"/>
        <v>9009.5533512556121</v>
      </c>
      <c r="F59" s="542">
        <v>964742.9837857997</v>
      </c>
      <c r="G59" s="499">
        <v>321849.28116883122</v>
      </c>
      <c r="H59" s="499">
        <v>2123746.4499999997</v>
      </c>
      <c r="I59" s="499">
        <f t="shared" si="3"/>
        <v>3043.3666318920991</v>
      </c>
      <c r="J59" s="542">
        <v>366328.59942450002</v>
      </c>
      <c r="K59" s="499">
        <v>271509.69336219336</v>
      </c>
      <c r="L59" s="499">
        <v>4050063.6309999982</v>
      </c>
      <c r="M59" s="499">
        <f t="shared" si="4"/>
        <v>5803.8135916013662</v>
      </c>
      <c r="N59" s="542">
        <v>550973.69085829996</v>
      </c>
      <c r="O59" s="499">
        <v>46736.398629148607</v>
      </c>
      <c r="P59" s="499">
        <v>113308.51499999998</v>
      </c>
      <c r="Q59" s="542">
        <v>47440.693502999973</v>
      </c>
      <c r="R59" s="499">
        <v>3592.1816017316005</v>
      </c>
      <c r="S59" s="470"/>
    </row>
    <row r="60" spans="1:19" x14ac:dyDescent="0.25">
      <c r="A60" s="503">
        <v>2010</v>
      </c>
      <c r="B60" s="540">
        <v>3</v>
      </c>
      <c r="C60" s="540">
        <v>714046</v>
      </c>
      <c r="D60" s="499">
        <f>SUM(H60,L60,P60)</f>
        <v>6192915</v>
      </c>
      <c r="E60" s="499">
        <f t="shared" si="2"/>
        <v>8672.9916559997528</v>
      </c>
      <c r="F60" s="542">
        <v>924112.8235733998</v>
      </c>
      <c r="G60" s="499">
        <v>324034.95075757575</v>
      </c>
      <c r="H60" s="499">
        <v>2096447</v>
      </c>
      <c r="I60" s="499">
        <f t="shared" si="3"/>
        <v>2936.0111253336618</v>
      </c>
      <c r="J60" s="542">
        <v>342382</v>
      </c>
      <c r="K60" s="499">
        <v>273316</v>
      </c>
      <c r="L60" s="499">
        <v>2722607</v>
      </c>
      <c r="M60" s="499">
        <f t="shared" si="4"/>
        <v>3812.9294191130543</v>
      </c>
      <c r="N60" s="542">
        <v>367542</v>
      </c>
      <c r="O60" s="499">
        <v>46150</v>
      </c>
      <c r="P60" s="499">
        <v>1373861</v>
      </c>
      <c r="Q60" s="542">
        <v>216626.41525749996</v>
      </c>
      <c r="R60" s="499">
        <v>4447.9242424242429</v>
      </c>
      <c r="S60" s="470"/>
    </row>
    <row r="61" spans="1:19" ht="15.75" thickBot="1" x14ac:dyDescent="0.3">
      <c r="A61" s="558">
        <v>2011</v>
      </c>
      <c r="B61" s="573">
        <v>3</v>
      </c>
      <c r="C61" s="573">
        <v>723136</v>
      </c>
      <c r="D61" s="574">
        <f>SUM(H61,L61,P61)</f>
        <v>6265694.0550545007</v>
      </c>
      <c r="E61" s="574">
        <f t="shared" si="2"/>
        <v>8664.6136481305039</v>
      </c>
      <c r="F61" s="575">
        <f>SUM(J61,N61,Q61)</f>
        <v>1022202.6014984425</v>
      </c>
      <c r="G61" s="574">
        <f>SUM(K61,O61,R61)</f>
        <v>325299.79477414</v>
      </c>
      <c r="H61" s="574">
        <f>'Summary PivotTables'!I102</f>
        <v>2138377.9916480002</v>
      </c>
      <c r="I61" s="574">
        <f t="shared" si="3"/>
        <v>2957.0896645278344</v>
      </c>
      <c r="J61" s="575">
        <f>'Summary PivotTables'!I118</f>
        <v>379620.94076715526</v>
      </c>
      <c r="K61" s="574">
        <f>'Summary PivotTables'!I134</f>
        <v>274894.01247000002</v>
      </c>
      <c r="L61" s="574">
        <f>'Summary PivotTables'!J102</f>
        <v>2751363.3368310002</v>
      </c>
      <c r="M61" s="574">
        <f t="shared" si="4"/>
        <v>3804.7660977063792</v>
      </c>
      <c r="N61" s="575">
        <f>'Summary PivotTables'!J118</f>
        <v>403782.37149754027</v>
      </c>
      <c r="O61" s="574">
        <f>'Summary PivotTables'!J134</f>
        <v>45975.620185</v>
      </c>
      <c r="P61" s="574">
        <f>'Summary PivotTables'!K102</f>
        <v>1375952.7265755001</v>
      </c>
      <c r="Q61" s="575">
        <f>'Summary PivotTables'!K118</f>
        <v>238799.28923374691</v>
      </c>
      <c r="R61" s="574">
        <f>'Summary PivotTables'!K134</f>
        <v>4430.16211914</v>
      </c>
      <c r="S61" s="470"/>
    </row>
    <row r="71" s="348" customFormat="1" x14ac:dyDescent="0.25"/>
  </sheetData>
  <mergeCells count="8">
    <mergeCell ref="A3:Q3"/>
    <mergeCell ref="A9:R9"/>
    <mergeCell ref="A10:A11"/>
    <mergeCell ref="B10:B11"/>
    <mergeCell ref="D10:G10"/>
    <mergeCell ref="H10:K10"/>
    <mergeCell ref="L10:O10"/>
    <mergeCell ref="P10:R1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6" tint="-0.249977111117893"/>
  </sheetPr>
  <dimension ref="A1:N64"/>
  <sheetViews>
    <sheetView showGridLines="0" workbookViewId="0">
      <pane xSplit="1" ySplit="12" topLeftCell="B13" activePane="bottomRight" state="frozen"/>
      <selection pane="topRight" activeCell="B1" sqref="B1"/>
      <selection pane="bottomLeft" activeCell="A13" sqref="A13"/>
      <selection pane="bottomRight" activeCell="E44" sqref="E44"/>
    </sheetView>
  </sheetViews>
  <sheetFormatPr defaultRowHeight="15" x14ac:dyDescent="0.25"/>
  <cols>
    <col min="1" max="1" width="20.28515625" style="605" customWidth="1"/>
    <col min="2" max="2" width="17.28515625" style="605" customWidth="1"/>
    <col min="3" max="5" width="28.42578125" style="605" customWidth="1"/>
    <col min="6" max="8" width="28.42578125" style="605" bestFit="1" customWidth="1"/>
    <col min="9" max="16384" width="9.140625" style="605"/>
  </cols>
  <sheetData>
    <row r="1" spans="1:14" x14ac:dyDescent="0.25">
      <c r="A1" s="478" t="s">
        <v>962</v>
      </c>
    </row>
    <row r="2" spans="1:14" x14ac:dyDescent="0.25">
      <c r="A2" s="478" t="s">
        <v>970</v>
      </c>
    </row>
    <row r="3" spans="1:14" x14ac:dyDescent="0.25">
      <c r="A3" s="488" t="s">
        <v>971</v>
      </c>
    </row>
    <row r="4" spans="1:14" x14ac:dyDescent="0.25">
      <c r="A4" s="478" t="s">
        <v>957</v>
      </c>
    </row>
    <row r="5" spans="1:14" x14ac:dyDescent="0.25">
      <c r="A5" s="478" t="s">
        <v>966</v>
      </c>
    </row>
    <row r="6" spans="1:14" x14ac:dyDescent="0.25">
      <c r="A6" s="488" t="s">
        <v>959</v>
      </c>
    </row>
    <row r="7" spans="1:14" x14ac:dyDescent="0.25">
      <c r="A7" s="290" t="s">
        <v>984</v>
      </c>
      <c r="B7" s="470"/>
      <c r="C7" s="489"/>
      <c r="D7" s="470"/>
      <c r="E7" s="489"/>
      <c r="F7" s="470"/>
      <c r="G7" s="489"/>
      <c r="H7" s="470"/>
      <c r="I7" s="489"/>
      <c r="J7" s="470"/>
    </row>
    <row r="8" spans="1:14" x14ac:dyDescent="0.25">
      <c r="A8" s="536" t="s">
        <v>972</v>
      </c>
      <c r="B8" s="470"/>
      <c r="C8" s="489"/>
      <c r="D8" s="470"/>
      <c r="E8" s="489"/>
      <c r="F8" s="470"/>
      <c r="G8" s="489"/>
      <c r="H8" s="470"/>
      <c r="I8" s="489"/>
      <c r="J8" s="470"/>
    </row>
    <row r="9" spans="1:14" x14ac:dyDescent="0.25">
      <c r="A9" s="536" t="s">
        <v>983</v>
      </c>
      <c r="B9" s="470"/>
      <c r="C9" s="489"/>
      <c r="D9" s="470"/>
      <c r="E9" s="489"/>
      <c r="F9" s="470"/>
      <c r="G9" s="489"/>
      <c r="H9" s="470"/>
      <c r="I9" s="489"/>
      <c r="J9" s="470"/>
    </row>
    <row r="10" spans="1:14" ht="15" customHeight="1" thickBot="1" x14ac:dyDescent="0.3">
      <c r="A10" s="923" t="s">
        <v>1153</v>
      </c>
      <c r="B10" s="923"/>
      <c r="C10" s="923"/>
      <c r="D10" s="923"/>
      <c r="E10" s="923"/>
      <c r="F10" s="923"/>
      <c r="G10" s="923"/>
      <c r="H10" s="923"/>
      <c r="I10" s="923"/>
      <c r="J10" s="923"/>
    </row>
    <row r="11" spans="1:14" ht="15.75" thickBot="1" x14ac:dyDescent="0.3">
      <c r="A11" s="920" t="s">
        <v>922</v>
      </c>
      <c r="B11" s="928" t="s">
        <v>11</v>
      </c>
      <c r="C11" s="929"/>
      <c r="D11" s="929"/>
      <c r="E11" s="928" t="s">
        <v>982</v>
      </c>
      <c r="F11" s="929"/>
      <c r="G11" s="929"/>
      <c r="H11" s="928" t="s">
        <v>13</v>
      </c>
      <c r="I11" s="929"/>
      <c r="J11" s="929"/>
      <c r="K11" s="470"/>
      <c r="L11" s="470"/>
      <c r="M11" s="470"/>
      <c r="N11" s="470"/>
    </row>
    <row r="12" spans="1:14" ht="39.75" thickBot="1" x14ac:dyDescent="0.3">
      <c r="A12" s="920"/>
      <c r="B12" s="517" t="s">
        <v>973</v>
      </c>
      <c r="C12" s="537" t="s">
        <v>974</v>
      </c>
      <c r="D12" s="518" t="s">
        <v>975</v>
      </c>
      <c r="E12" s="517" t="s">
        <v>973</v>
      </c>
      <c r="F12" s="537" t="s">
        <v>974</v>
      </c>
      <c r="G12" s="518" t="s">
        <v>975</v>
      </c>
      <c r="H12" s="517" t="s">
        <v>973</v>
      </c>
      <c r="I12" s="537" t="s">
        <v>974</v>
      </c>
      <c r="J12" s="518" t="s">
        <v>975</v>
      </c>
      <c r="K12" s="512"/>
      <c r="L12" s="512"/>
      <c r="M12" s="512"/>
      <c r="N12" s="512"/>
    </row>
    <row r="13" spans="1:14" ht="15.75" customHeight="1" x14ac:dyDescent="0.25">
      <c r="A13" s="521">
        <v>1962</v>
      </c>
      <c r="B13" s="522">
        <v>4987.0105771015033</v>
      </c>
      <c r="C13" s="594">
        <v>203.51642234180738</v>
      </c>
      <c r="D13" s="543">
        <v>4.0809302325581394</v>
      </c>
      <c r="E13" s="522">
        <v>28084.392902053936</v>
      </c>
      <c r="F13" s="594">
        <v>1091.5187927902753</v>
      </c>
      <c r="G13" s="543">
        <v>3.886567164179104</v>
      </c>
      <c r="H13" s="593"/>
      <c r="I13" s="594"/>
      <c r="J13" s="543">
        <v>3.5958333333333337</v>
      </c>
    </row>
    <row r="14" spans="1:14" x14ac:dyDescent="0.25">
      <c r="A14" s="508">
        <v>1963</v>
      </c>
      <c r="B14" s="523">
        <v>5039.036311338913</v>
      </c>
      <c r="C14" s="544">
        <v>184.97372348017907</v>
      </c>
      <c r="D14" s="500">
        <v>3.6708154506437767</v>
      </c>
      <c r="E14" s="523">
        <v>34261.241970021416</v>
      </c>
      <c r="F14" s="544">
        <v>1151.3650963597431</v>
      </c>
      <c r="G14" s="500">
        <v>3.3605468749999998</v>
      </c>
      <c r="H14" s="524"/>
      <c r="I14" s="544"/>
      <c r="J14" s="500">
        <v>3.3592592592592592</v>
      </c>
    </row>
    <row r="15" spans="1:14" x14ac:dyDescent="0.25">
      <c r="A15" s="508">
        <v>1964</v>
      </c>
      <c r="B15" s="523">
        <v>5125.8154706430569</v>
      </c>
      <c r="C15" s="544">
        <v>177.51934843389117</v>
      </c>
      <c r="D15" s="500">
        <v>3.4632411067193676</v>
      </c>
      <c r="E15" s="523">
        <v>35754.752612363081</v>
      </c>
      <c r="F15" s="544">
        <v>1146.2923328717109</v>
      </c>
      <c r="G15" s="500">
        <v>3.205985915492958</v>
      </c>
      <c r="H15" s="524"/>
      <c r="I15" s="544"/>
      <c r="J15" s="500">
        <v>3.6999999999999997</v>
      </c>
    </row>
    <row r="16" spans="1:14" x14ac:dyDescent="0.25">
      <c r="A16" s="508">
        <v>1965</v>
      </c>
      <c r="B16" s="523">
        <v>5383.2400497512435</v>
      </c>
      <c r="C16" s="544">
        <v>190.24020522388059</v>
      </c>
      <c r="D16" s="500">
        <v>3.5339350180505416</v>
      </c>
      <c r="E16" s="523">
        <v>38518.518518518518</v>
      </c>
      <c r="F16" s="544">
        <v>1241.9753086419753</v>
      </c>
      <c r="G16" s="500">
        <v>3.224358974358974</v>
      </c>
      <c r="H16" s="524"/>
      <c r="I16" s="544"/>
      <c r="J16" s="500">
        <v>3.7111111111111108</v>
      </c>
    </row>
    <row r="17" spans="1:11" x14ac:dyDescent="0.25">
      <c r="A17" s="508">
        <v>1966</v>
      </c>
      <c r="B17" s="523">
        <v>5824.7947865203096</v>
      </c>
      <c r="C17" s="544">
        <v>202.7720640535189</v>
      </c>
      <c r="D17" s="500">
        <v>3.4811881188118816</v>
      </c>
      <c r="E17" s="523">
        <v>44019.728729963004</v>
      </c>
      <c r="F17" s="544">
        <v>1362.3921085080149</v>
      </c>
      <c r="G17" s="500">
        <v>3.0949579831932774</v>
      </c>
      <c r="H17" s="524"/>
      <c r="I17" s="544"/>
      <c r="J17" s="500">
        <v>3.591176470588235</v>
      </c>
    </row>
    <row r="18" spans="1:11" x14ac:dyDescent="0.25">
      <c r="A18" s="508">
        <v>1967</v>
      </c>
      <c r="B18" s="523">
        <v>6468.7621986356116</v>
      </c>
      <c r="C18" s="544">
        <v>218.19060542409426</v>
      </c>
      <c r="D18" s="500">
        <v>3.3729885057471263</v>
      </c>
      <c r="E18" s="523">
        <v>44911.55524925339</v>
      </c>
      <c r="F18" s="544">
        <v>1374.3395359522169</v>
      </c>
      <c r="G18" s="500">
        <v>3.0601023017902813</v>
      </c>
      <c r="H18" s="524"/>
      <c r="I18" s="544"/>
      <c r="J18" s="500">
        <v>3.1063829787234045</v>
      </c>
    </row>
    <row r="19" spans="1:11" x14ac:dyDescent="0.25">
      <c r="A19" s="508">
        <v>1968</v>
      </c>
      <c r="B19" s="523">
        <v>6547.171836428035</v>
      </c>
      <c r="C19" s="544">
        <v>219.75957926371152</v>
      </c>
      <c r="D19" s="500">
        <v>3.3565573770491803</v>
      </c>
      <c r="E19" s="523">
        <v>45374.254802384632</v>
      </c>
      <c r="F19" s="544">
        <v>1366.8580260543167</v>
      </c>
      <c r="G19" s="500">
        <v>3.0124087591240878</v>
      </c>
      <c r="H19" s="524"/>
      <c r="I19" s="544"/>
      <c r="J19" s="500">
        <v>2.8046875</v>
      </c>
      <c r="K19" s="519"/>
    </row>
    <row r="20" spans="1:11" x14ac:dyDescent="0.25">
      <c r="A20" s="508">
        <v>1969</v>
      </c>
      <c r="B20" s="523">
        <v>6953.8246035319426</v>
      </c>
      <c r="C20" s="544">
        <v>217.58633915320092</v>
      </c>
      <c r="D20" s="500">
        <v>3.1290167865707437</v>
      </c>
      <c r="E20" s="523">
        <v>49385.310497005354</v>
      </c>
      <c r="F20" s="544">
        <v>1391.6150047283809</v>
      </c>
      <c r="G20" s="500">
        <v>2.8178723404255321</v>
      </c>
      <c r="H20" s="524"/>
      <c r="I20" s="544"/>
      <c r="J20" s="500">
        <v>2.8217391304347825</v>
      </c>
      <c r="K20" s="519"/>
    </row>
    <row r="21" spans="1:11" x14ac:dyDescent="0.25">
      <c r="A21" s="508">
        <v>1970</v>
      </c>
      <c r="B21" s="523">
        <v>7266.0791299456214</v>
      </c>
      <c r="C21" s="544">
        <v>218.99806237889868</v>
      </c>
      <c r="D21" s="500">
        <v>3.0139784946236561</v>
      </c>
      <c r="E21" s="523">
        <v>51928.332827209233</v>
      </c>
      <c r="F21" s="544">
        <v>1476.9713533758477</v>
      </c>
      <c r="G21" s="500">
        <v>2.8442495126705656</v>
      </c>
      <c r="H21" s="524"/>
      <c r="I21" s="544"/>
      <c r="J21" s="500">
        <v>2.6960526315789473</v>
      </c>
      <c r="K21" s="519"/>
    </row>
    <row r="22" spans="1:11" x14ac:dyDescent="0.25">
      <c r="A22" s="508">
        <v>1971</v>
      </c>
      <c r="B22" s="523"/>
      <c r="C22" s="544"/>
      <c r="D22" s="508"/>
      <c r="E22" s="523"/>
      <c r="F22" s="544"/>
      <c r="G22" s="500"/>
      <c r="H22" s="524"/>
      <c r="I22" s="544"/>
      <c r="J22" s="508"/>
      <c r="K22" s="519"/>
    </row>
    <row r="23" spans="1:11" x14ac:dyDescent="0.25">
      <c r="A23" s="508">
        <v>1972</v>
      </c>
      <c r="B23" s="523"/>
      <c r="C23" s="544"/>
      <c r="D23" s="508"/>
      <c r="E23" s="523"/>
      <c r="F23" s="544"/>
      <c r="G23" s="508"/>
      <c r="H23" s="524"/>
      <c r="I23" s="544"/>
      <c r="J23" s="508"/>
      <c r="K23" s="519"/>
    </row>
    <row r="24" spans="1:11" x14ac:dyDescent="0.25">
      <c r="A24" s="508">
        <v>1973</v>
      </c>
      <c r="B24" s="523"/>
      <c r="C24" s="544"/>
      <c r="D24" s="508"/>
      <c r="E24" s="523"/>
      <c r="F24" s="544"/>
      <c r="G24" s="508"/>
      <c r="H24" s="524"/>
      <c r="I24" s="544"/>
      <c r="J24" s="508"/>
      <c r="K24" s="519"/>
    </row>
    <row r="25" spans="1:11" x14ac:dyDescent="0.25">
      <c r="A25" s="508">
        <v>1974</v>
      </c>
      <c r="B25" s="523"/>
      <c r="C25" s="544"/>
      <c r="D25" s="508"/>
      <c r="E25" s="523"/>
      <c r="F25" s="544"/>
      <c r="G25" s="508"/>
      <c r="H25" s="524"/>
      <c r="I25" s="544"/>
      <c r="J25" s="508"/>
      <c r="K25" s="519"/>
    </row>
    <row r="26" spans="1:11" x14ac:dyDescent="0.25">
      <c r="A26" s="508">
        <v>1975</v>
      </c>
      <c r="B26" s="523">
        <v>10149.324595425973</v>
      </c>
      <c r="C26" s="544">
        <v>343.15233382372611</v>
      </c>
      <c r="D26" s="508"/>
      <c r="E26" s="523"/>
      <c r="F26" s="544"/>
      <c r="G26" s="508"/>
      <c r="H26" s="524"/>
      <c r="I26" s="544"/>
      <c r="J26" s="508"/>
      <c r="K26" s="519"/>
    </row>
    <row r="27" spans="1:11" x14ac:dyDescent="0.25">
      <c r="A27" s="508">
        <v>1976</v>
      </c>
      <c r="B27" s="523">
        <v>10238.357693869264</v>
      </c>
      <c r="C27" s="544">
        <v>394.37677628907835</v>
      </c>
      <c r="D27" s="508">
        <v>3.8</v>
      </c>
      <c r="E27" s="523"/>
      <c r="F27" s="544"/>
      <c r="G27" s="508"/>
      <c r="H27" s="524"/>
      <c r="I27" s="544"/>
      <c r="J27" s="508"/>
      <c r="K27" s="519"/>
    </row>
    <row r="28" spans="1:11" x14ac:dyDescent="0.25">
      <c r="A28" s="508">
        <v>1977</v>
      </c>
      <c r="B28" s="523"/>
      <c r="C28" s="544"/>
      <c r="D28" s="508"/>
      <c r="E28" s="523"/>
      <c r="F28" s="544"/>
      <c r="G28" s="508"/>
      <c r="H28" s="524"/>
      <c r="I28" s="544"/>
      <c r="J28" s="508"/>
      <c r="K28" s="519"/>
    </row>
    <row r="29" spans="1:11" x14ac:dyDescent="0.25">
      <c r="A29" s="508">
        <v>1978</v>
      </c>
      <c r="B29" s="523"/>
      <c r="C29" s="544"/>
      <c r="D29" s="508"/>
      <c r="E29" s="523"/>
      <c r="F29" s="544"/>
      <c r="G29" s="508"/>
      <c r="H29" s="524"/>
      <c r="I29" s="544"/>
      <c r="J29" s="508"/>
      <c r="K29" s="519"/>
    </row>
    <row r="30" spans="1:11" x14ac:dyDescent="0.25">
      <c r="A30" s="508">
        <v>1979</v>
      </c>
      <c r="B30" s="523"/>
      <c r="C30" s="544"/>
      <c r="D30" s="508"/>
      <c r="E30" s="523"/>
      <c r="F30" s="544"/>
      <c r="G30" s="508"/>
      <c r="H30" s="524"/>
      <c r="I30" s="544"/>
      <c r="J30" s="508"/>
      <c r="K30" s="519"/>
    </row>
    <row r="31" spans="1:11" x14ac:dyDescent="0.25">
      <c r="A31" s="508">
        <v>1980</v>
      </c>
      <c r="B31" s="523">
        <v>10309.272442571875</v>
      </c>
      <c r="C31" s="544">
        <v>529.17009701841903</v>
      </c>
      <c r="D31" s="508">
        <v>5.0999999999999996</v>
      </c>
      <c r="E31" s="523">
        <v>77312.32935381979</v>
      </c>
      <c r="F31" s="544">
        <v>3830.8260613523207</v>
      </c>
      <c r="G31" s="508">
        <v>5</v>
      </c>
      <c r="H31" s="524"/>
      <c r="I31" s="544"/>
      <c r="J31" s="508"/>
      <c r="K31" s="519"/>
    </row>
    <row r="32" spans="1:11" x14ac:dyDescent="0.25">
      <c r="A32" s="508">
        <v>1981</v>
      </c>
      <c r="B32" s="523">
        <v>9943.4955121537805</v>
      </c>
      <c r="C32" s="544">
        <v>590.96267190569745</v>
      </c>
      <c r="D32" s="508">
        <v>5.9</v>
      </c>
      <c r="E32" s="523">
        <v>77705.590062111791</v>
      </c>
      <c r="F32" s="544">
        <v>4651.5010351966866</v>
      </c>
      <c r="G32" s="508">
        <v>6</v>
      </c>
      <c r="H32" s="524"/>
      <c r="I32" s="544"/>
      <c r="J32" s="508"/>
      <c r="K32" s="519"/>
    </row>
    <row r="33" spans="1:12" x14ac:dyDescent="0.25">
      <c r="A33" s="508">
        <v>1982</v>
      </c>
      <c r="B33" s="523">
        <v>10372.901704210444</v>
      </c>
      <c r="C33" s="544">
        <v>711.57712280402643</v>
      </c>
      <c r="D33" s="508">
        <v>6.9</v>
      </c>
      <c r="E33" s="523">
        <v>80722.280434368455</v>
      </c>
      <c r="F33" s="544">
        <v>5336.8260621070685</v>
      </c>
      <c r="G33" s="508">
        <v>6.6</v>
      </c>
      <c r="H33" s="524"/>
      <c r="I33" s="544"/>
      <c r="J33" s="508"/>
      <c r="K33" s="519"/>
    </row>
    <row r="34" spans="1:12" x14ac:dyDescent="0.25">
      <c r="A34" s="508">
        <v>1983</v>
      </c>
      <c r="B34" s="523">
        <v>9807.3189816281792</v>
      </c>
      <c r="C34" s="544">
        <v>786.92955852016632</v>
      </c>
      <c r="D34" s="545">
        <v>8</v>
      </c>
      <c r="E34" s="523">
        <v>80701.02856093306</v>
      </c>
      <c r="F34" s="544">
        <v>5793.8745523004873</v>
      </c>
      <c r="G34" s="508">
        <v>7.2</v>
      </c>
      <c r="H34" s="524"/>
      <c r="I34" s="544"/>
      <c r="J34" s="508"/>
      <c r="K34" s="519"/>
    </row>
    <row r="35" spans="1:12" x14ac:dyDescent="0.25">
      <c r="A35" s="508">
        <v>1984</v>
      </c>
      <c r="B35" s="523">
        <v>9319.9037953892184</v>
      </c>
      <c r="C35" s="544">
        <v>788.53170645861439</v>
      </c>
      <c r="D35" s="508">
        <v>8.5</v>
      </c>
      <c r="E35" s="523">
        <v>77067.955263797718</v>
      </c>
      <c r="F35" s="544">
        <v>5986.4251560094017</v>
      </c>
      <c r="G35" s="508">
        <v>7.8</v>
      </c>
      <c r="H35" s="524"/>
      <c r="I35" s="544"/>
      <c r="J35" s="508"/>
      <c r="K35" s="519"/>
    </row>
    <row r="36" spans="1:12" x14ac:dyDescent="0.25">
      <c r="A36" s="508">
        <v>1985</v>
      </c>
      <c r="B36" s="523">
        <v>9654.6375858839128</v>
      </c>
      <c r="C36" s="544">
        <v>828.7575121153767</v>
      </c>
      <c r="D36" s="508">
        <v>14.3</v>
      </c>
      <c r="E36" s="523">
        <v>73573</v>
      </c>
      <c r="F36" s="544">
        <v>5714</v>
      </c>
      <c r="G36" s="508">
        <v>9.1999999999999993</v>
      </c>
      <c r="H36" s="524"/>
      <c r="I36" s="544"/>
      <c r="J36" s="508"/>
      <c r="K36" s="519"/>
    </row>
    <row r="37" spans="1:12" x14ac:dyDescent="0.25">
      <c r="A37" s="508">
        <v>1986</v>
      </c>
      <c r="B37" s="523">
        <v>8460.9272010126006</v>
      </c>
      <c r="C37" s="544">
        <v>781.78160828987245</v>
      </c>
      <c r="D37" s="508">
        <v>14.8</v>
      </c>
      <c r="E37" s="523">
        <v>72749</v>
      </c>
      <c r="F37" s="544">
        <v>5776</v>
      </c>
      <c r="G37" s="508">
        <v>9.5</v>
      </c>
      <c r="H37" s="524">
        <v>64153.033652665188</v>
      </c>
      <c r="I37" s="544">
        <v>7495.4556619995083</v>
      </c>
      <c r="J37" s="508">
        <v>18.600000000000001</v>
      </c>
      <c r="K37" s="519"/>
    </row>
    <row r="38" spans="1:12" x14ac:dyDescent="0.25">
      <c r="A38" s="508">
        <v>1987</v>
      </c>
      <c r="B38" s="523">
        <v>8016.4913411363586</v>
      </c>
      <c r="C38" s="544">
        <v>784.78617908151591</v>
      </c>
      <c r="D38" s="508">
        <v>10.6</v>
      </c>
      <c r="E38" s="523">
        <v>72104.43992654774</v>
      </c>
      <c r="F38" s="544">
        <v>5901.4952780692556</v>
      </c>
      <c r="G38" s="508">
        <v>9.6999999999999993</v>
      </c>
      <c r="H38" s="524">
        <v>51530.947255113024</v>
      </c>
      <c r="I38" s="544">
        <v>6780.6781485468246</v>
      </c>
      <c r="J38" s="508">
        <v>18.100000000000001</v>
      </c>
      <c r="K38" s="519"/>
    </row>
    <row r="39" spans="1:12" x14ac:dyDescent="0.25">
      <c r="A39" s="508">
        <v>1988</v>
      </c>
      <c r="B39" s="523">
        <v>8236.5648050579566</v>
      </c>
      <c r="C39" s="544">
        <v>803.74338803743387</v>
      </c>
      <c r="D39" s="508">
        <v>10.6</v>
      </c>
      <c r="E39" s="523">
        <v>71538.648517258145</v>
      </c>
      <c r="F39" s="544">
        <v>5843.3641225085075</v>
      </c>
      <c r="G39" s="508">
        <v>9.6</v>
      </c>
      <c r="H39" s="524">
        <v>52191.627490485786</v>
      </c>
      <c r="I39" s="544">
        <v>7152.227445713007</v>
      </c>
      <c r="J39" s="508">
        <v>19.100000000000001</v>
      </c>
      <c r="K39" s="519"/>
    </row>
    <row r="40" spans="1:12" x14ac:dyDescent="0.25">
      <c r="A40" s="508">
        <v>1989</v>
      </c>
      <c r="B40" s="523">
        <v>8478.9631271951184</v>
      </c>
      <c r="C40" s="544">
        <v>826.55587903150604</v>
      </c>
      <c r="D40" s="508">
        <v>10.7</v>
      </c>
      <c r="E40" s="523">
        <v>71919.111739563581</v>
      </c>
      <c r="F40" s="544">
        <v>6050.968923739435</v>
      </c>
      <c r="G40" s="508">
        <v>9.9</v>
      </c>
      <c r="H40" s="524">
        <v>61323.924425221943</v>
      </c>
      <c r="I40" s="544">
        <v>7757.3412246756207</v>
      </c>
      <c r="J40" s="508">
        <v>16.3</v>
      </c>
      <c r="K40" s="519"/>
    </row>
    <row r="41" spans="1:12" x14ac:dyDescent="0.25">
      <c r="A41" s="508">
        <v>1990</v>
      </c>
      <c r="B41" s="523">
        <v>8512.1560356280661</v>
      </c>
      <c r="C41" s="544">
        <v>858.18044591946989</v>
      </c>
      <c r="D41" s="508">
        <v>10.1</v>
      </c>
      <c r="E41" s="523">
        <v>72537.731401452053</v>
      </c>
      <c r="F41" s="544">
        <v>6325.2349372976705</v>
      </c>
      <c r="G41" s="508">
        <v>8.6999999999999993</v>
      </c>
      <c r="H41" s="524">
        <v>60578.1755445331</v>
      </c>
      <c r="I41" s="544">
        <v>7501.4017683847314</v>
      </c>
      <c r="J41" s="508">
        <v>12.4</v>
      </c>
      <c r="K41" s="519"/>
      <c r="L41" s="581"/>
    </row>
    <row r="42" spans="1:12" x14ac:dyDescent="0.25">
      <c r="A42" s="508">
        <v>1991</v>
      </c>
      <c r="B42" s="523">
        <v>8235.9383692029751</v>
      </c>
      <c r="C42" s="544">
        <v>872.09415079028895</v>
      </c>
      <c r="D42" s="508">
        <v>10.6</v>
      </c>
      <c r="E42" s="523">
        <v>74150.574782927724</v>
      </c>
      <c r="F42" s="544">
        <v>6766.4791488320898</v>
      </c>
      <c r="G42" s="508">
        <v>9.1</v>
      </c>
      <c r="H42" s="524">
        <v>45022.550052687038</v>
      </c>
      <c r="I42" s="544">
        <v>5518.4404636459431</v>
      </c>
      <c r="J42" s="508">
        <v>12.2</v>
      </c>
      <c r="K42" s="519"/>
      <c r="L42" s="581"/>
    </row>
    <row r="43" spans="1:12" x14ac:dyDescent="0.25">
      <c r="A43" s="508">
        <v>1992</v>
      </c>
      <c r="B43" s="523">
        <v>8235.4529485570893</v>
      </c>
      <c r="C43" s="544">
        <v>891.27227101631115</v>
      </c>
      <c r="D43" s="508">
        <v>10.8</v>
      </c>
      <c r="E43" s="523">
        <v>73714.81912955163</v>
      </c>
      <c r="F43" s="544">
        <v>6778.8631000388323</v>
      </c>
      <c r="G43" s="508">
        <v>9.1999999999999993</v>
      </c>
      <c r="H43" s="524">
        <v>45377.165518680864</v>
      </c>
      <c r="I43" s="544">
        <v>5781.0477979544985</v>
      </c>
      <c r="J43" s="508">
        <v>12.7</v>
      </c>
      <c r="K43" s="519"/>
      <c r="L43" s="581"/>
    </row>
    <row r="44" spans="1:12" x14ac:dyDescent="0.25">
      <c r="A44" s="508">
        <v>1993</v>
      </c>
      <c r="B44" s="523">
        <v>8013.0451042722598</v>
      </c>
      <c r="C44" s="544">
        <v>889.43400683010361</v>
      </c>
      <c r="D44" s="500">
        <v>11.09982528809042</v>
      </c>
      <c r="E44" s="523">
        <v>73358.11318573328</v>
      </c>
      <c r="F44" s="544">
        <v>6897.4507196947807</v>
      </c>
      <c r="G44" s="500">
        <v>9.4024374675931544</v>
      </c>
      <c r="H44" s="524">
        <v>49047.896912229517</v>
      </c>
      <c r="I44" s="544">
        <v>5266.2290299051792</v>
      </c>
      <c r="J44" s="500">
        <v>10.736910981787899</v>
      </c>
      <c r="K44" s="519"/>
      <c r="L44" s="581"/>
    </row>
    <row r="45" spans="1:12" x14ac:dyDescent="0.25">
      <c r="A45" s="508">
        <v>1994</v>
      </c>
      <c r="B45" s="523">
        <v>8187.9929609897281</v>
      </c>
      <c r="C45" s="544">
        <v>927.85499251014403</v>
      </c>
      <c r="D45" s="508">
        <v>11.3</v>
      </c>
      <c r="E45" s="523">
        <v>75389.966249070421</v>
      </c>
      <c r="F45" s="544">
        <v>7100.9953663978031</v>
      </c>
      <c r="G45" s="508">
        <v>9.4</v>
      </c>
      <c r="H45" s="524">
        <v>56394.007490636701</v>
      </c>
      <c r="I45" s="544">
        <v>6575.0312109862671</v>
      </c>
      <c r="J45" s="508">
        <v>11.7</v>
      </c>
      <c r="K45" s="519"/>
      <c r="L45" s="581"/>
    </row>
    <row r="46" spans="1:12" x14ac:dyDescent="0.25">
      <c r="A46" s="508">
        <v>1995</v>
      </c>
      <c r="B46" s="523">
        <v>8117.6554275145827</v>
      </c>
      <c r="C46" s="544">
        <v>915.41233935600133</v>
      </c>
      <c r="D46" s="508">
        <v>11.3</v>
      </c>
      <c r="E46" s="523">
        <v>77279.283916723856</v>
      </c>
      <c r="F46" s="544">
        <v>7140.3568977350715</v>
      </c>
      <c r="G46" s="508">
        <v>9.1999999999999993</v>
      </c>
      <c r="H46" s="524">
        <v>44979.505726341165</v>
      </c>
      <c r="I46" s="544">
        <v>6062.6883664858351</v>
      </c>
      <c r="J46" s="508">
        <v>13.5</v>
      </c>
      <c r="K46" s="519"/>
      <c r="L46" s="581"/>
    </row>
    <row r="47" spans="1:12" x14ac:dyDescent="0.25">
      <c r="A47" s="508">
        <v>1996</v>
      </c>
      <c r="B47" s="523">
        <v>8187.6947040498444</v>
      </c>
      <c r="C47" s="544">
        <v>930.221777184394</v>
      </c>
      <c r="D47" s="500">
        <v>11.361217177825186</v>
      </c>
      <c r="E47" s="523">
        <v>78302.260043101065</v>
      </c>
      <c r="F47" s="544">
        <v>7319.2241808034478</v>
      </c>
      <c r="G47" s="500">
        <v>9.3473983723772722</v>
      </c>
      <c r="H47" s="524">
        <v>42722.420776745297</v>
      </c>
      <c r="I47" s="544">
        <v>5698.5942339766498</v>
      </c>
      <c r="J47" s="500">
        <v>13.338650128830047</v>
      </c>
      <c r="K47" s="519"/>
      <c r="L47" s="581"/>
    </row>
    <row r="48" spans="1:12" x14ac:dyDescent="0.25">
      <c r="A48" s="508">
        <v>1997</v>
      </c>
      <c r="B48" s="523">
        <v>8024.2983875467271</v>
      </c>
      <c r="C48" s="544">
        <v>918.08012051553862</v>
      </c>
      <c r="D48" s="500">
        <v>11.441251012553931</v>
      </c>
      <c r="E48" s="523">
        <v>83876.685329067637</v>
      </c>
      <c r="F48" s="544">
        <v>7537.1343692870205</v>
      </c>
      <c r="G48" s="500">
        <v>8.9859707017714125</v>
      </c>
      <c r="H48" s="524">
        <v>36343.998369675974</v>
      </c>
      <c r="I48" s="544">
        <v>5360.3016099449769</v>
      </c>
      <c r="J48" s="500">
        <v>14.748794437591117</v>
      </c>
      <c r="K48" s="519"/>
      <c r="L48" s="581"/>
    </row>
    <row r="49" spans="1:12" x14ac:dyDescent="0.25">
      <c r="A49" s="508">
        <v>1998</v>
      </c>
      <c r="B49" s="523">
        <v>7930.8114315448556</v>
      </c>
      <c r="C49" s="544">
        <v>911.8859536978473</v>
      </c>
      <c r="D49" s="500">
        <v>11.49801582812592</v>
      </c>
      <c r="E49" s="523">
        <v>84605.685664004326</v>
      </c>
      <c r="F49" s="544">
        <v>7505.5367537565999</v>
      </c>
      <c r="G49" s="500">
        <v>8.8711966516806395</v>
      </c>
      <c r="H49" s="524">
        <v>37888.596656021044</v>
      </c>
      <c r="I49" s="544">
        <v>5184.2945707307908</v>
      </c>
      <c r="J49" s="500">
        <v>13.682994431800715</v>
      </c>
      <c r="K49" s="519"/>
      <c r="L49" s="581"/>
    </row>
    <row r="50" spans="1:12" x14ac:dyDescent="0.25">
      <c r="A50" s="508">
        <v>1999</v>
      </c>
      <c r="B50" s="523">
        <v>8210.1985944808948</v>
      </c>
      <c r="C50" s="544">
        <v>916.09130153533386</v>
      </c>
      <c r="D50" s="500">
        <v>11.157967630054086</v>
      </c>
      <c r="E50" s="523">
        <v>87250.020265340863</v>
      </c>
      <c r="F50" s="544">
        <v>7598.6111486395203</v>
      </c>
      <c r="G50" s="500">
        <v>8.7090078896611871</v>
      </c>
      <c r="H50" s="524">
        <v>35486.278026905828</v>
      </c>
      <c r="I50" s="544">
        <v>5025.6502242152474</v>
      </c>
      <c r="J50" s="500">
        <v>14.162235386886108</v>
      </c>
      <c r="K50" s="487"/>
    </row>
    <row r="51" spans="1:12" x14ac:dyDescent="0.25">
      <c r="A51" s="508">
        <v>2000</v>
      </c>
      <c r="B51" s="523">
        <v>8046.3966269617495</v>
      </c>
      <c r="C51" s="544">
        <v>921.66014557505616</v>
      </c>
      <c r="D51" s="500">
        <v>11.454321583984198</v>
      </c>
      <c r="E51" s="523">
        <v>84080.969995889842</v>
      </c>
      <c r="F51" s="544">
        <v>7629.2129058775181</v>
      </c>
      <c r="G51" s="500">
        <v>9.0736499665149655</v>
      </c>
      <c r="H51" s="524">
        <v>44714.355948869226</v>
      </c>
      <c r="I51" s="544">
        <v>6337.7581120943951</v>
      </c>
      <c r="J51" s="500">
        <v>14.173877667703877</v>
      </c>
      <c r="K51" s="487"/>
    </row>
    <row r="52" spans="1:12" x14ac:dyDescent="0.25">
      <c r="A52" s="508">
        <v>2001</v>
      </c>
      <c r="B52" s="523">
        <v>7953.0373105152421</v>
      </c>
      <c r="C52" s="544">
        <v>932.99758213589382</v>
      </c>
      <c r="D52" s="500">
        <v>11.731336666839415</v>
      </c>
      <c r="E52" s="523">
        <v>87843.909669616318</v>
      </c>
      <c r="F52" s="544">
        <v>7976.5309044009255</v>
      </c>
      <c r="G52" s="500">
        <v>9.0803459618326485</v>
      </c>
      <c r="H52" s="524">
        <v>36372.231037041267</v>
      </c>
      <c r="I52" s="544">
        <v>5218.8674542929439</v>
      </c>
      <c r="J52" s="500">
        <v>14.348494182218516</v>
      </c>
      <c r="K52" s="487"/>
    </row>
    <row r="53" spans="1:12" x14ac:dyDescent="0.25">
      <c r="A53" s="546">
        <v>2002</v>
      </c>
      <c r="B53" s="480">
        <v>8056.879685766944</v>
      </c>
      <c r="C53" s="496">
        <v>970.59068809366943</v>
      </c>
      <c r="D53" s="497">
        <v>12.046731811178557</v>
      </c>
      <c r="E53" s="480">
        <v>84155.833312248564</v>
      </c>
      <c r="F53" s="496">
        <v>7843.8883687979151</v>
      </c>
      <c r="G53" s="497">
        <v>9.3206710219293463</v>
      </c>
      <c r="H53" s="480">
        <v>37834.36815193572</v>
      </c>
      <c r="I53" s="496">
        <v>5311.9065010956901</v>
      </c>
      <c r="J53" s="497">
        <v>14.039897480946612</v>
      </c>
      <c r="K53" s="487"/>
    </row>
    <row r="54" spans="1:12" x14ac:dyDescent="0.25">
      <c r="A54" s="546">
        <v>2003</v>
      </c>
      <c r="B54" s="480">
        <v>8047.1446333037693</v>
      </c>
      <c r="C54" s="496">
        <v>964.13427776495314</v>
      </c>
      <c r="D54" s="497">
        <v>11.981073060061629</v>
      </c>
      <c r="E54" s="480">
        <v>81434.234193210534</v>
      </c>
      <c r="F54" s="496">
        <v>7881.8332915917217</v>
      </c>
      <c r="G54" s="497">
        <v>9.6787713050647906</v>
      </c>
      <c r="H54" s="480"/>
      <c r="I54" s="496"/>
      <c r="J54" s="547"/>
      <c r="K54" s="487"/>
    </row>
    <row r="55" spans="1:12" x14ac:dyDescent="0.25">
      <c r="A55" s="546">
        <v>2004</v>
      </c>
      <c r="B55" s="480">
        <v>8208.2858939959715</v>
      </c>
      <c r="C55" s="496">
        <v>1020.9515999331205</v>
      </c>
      <c r="D55" s="497">
        <v>12.438060919392504</v>
      </c>
      <c r="E55" s="480">
        <v>82519.464127546496</v>
      </c>
      <c r="F55" s="496">
        <v>8404.4951284322415</v>
      </c>
      <c r="G55" s="497">
        <v>10.184863919428517</v>
      </c>
      <c r="H55" s="480"/>
      <c r="I55" s="496"/>
      <c r="J55" s="547"/>
      <c r="K55" s="487"/>
      <c r="L55" s="520"/>
    </row>
    <row r="56" spans="1:12" x14ac:dyDescent="0.25">
      <c r="A56" s="546">
        <v>2005</v>
      </c>
      <c r="B56" s="480">
        <v>8030.8355114776195</v>
      </c>
      <c r="C56" s="496">
        <v>1067.9152529828566</v>
      </c>
      <c r="D56" s="497">
        <v>13.297685545378171</v>
      </c>
      <c r="E56" s="480">
        <v>83793.959570903229</v>
      </c>
      <c r="F56" s="496">
        <v>9114.3895380464346</v>
      </c>
      <c r="G56" s="497">
        <v>10.877143871372002</v>
      </c>
      <c r="H56" s="480"/>
      <c r="I56" s="496"/>
      <c r="J56" s="547"/>
      <c r="K56" s="487"/>
      <c r="L56" s="520"/>
    </row>
    <row r="57" spans="1:12" x14ac:dyDescent="0.25">
      <c r="A57" s="546">
        <v>2006</v>
      </c>
      <c r="B57" s="480">
        <v>8107.9838777523692</v>
      </c>
      <c r="C57" s="496">
        <v>1202.2011303928841</v>
      </c>
      <c r="D57" s="497">
        <v>14.827374456079317</v>
      </c>
      <c r="E57" s="480">
        <v>86292.290697427394</v>
      </c>
      <c r="F57" s="496">
        <v>10190.257684872433</v>
      </c>
      <c r="G57" s="497">
        <v>11.809001247403705</v>
      </c>
      <c r="H57" s="480"/>
      <c r="I57" s="496"/>
      <c r="J57" s="547"/>
      <c r="K57" s="487"/>
      <c r="L57" s="520"/>
    </row>
    <row r="58" spans="1:12" x14ac:dyDescent="0.25">
      <c r="A58" s="546">
        <v>2007</v>
      </c>
      <c r="B58" s="480">
        <v>7965.5828426552744</v>
      </c>
      <c r="C58" s="496">
        <v>1209.1701230744889</v>
      </c>
      <c r="D58" s="497">
        <v>15.179932805411889</v>
      </c>
      <c r="E58" s="480">
        <v>88871.508144147185</v>
      </c>
      <c r="F58" s="496">
        <v>10960.798379610094</v>
      </c>
      <c r="G58" s="497">
        <v>12.333309750783092</v>
      </c>
      <c r="H58" s="480"/>
      <c r="I58" s="496"/>
      <c r="J58" s="547"/>
      <c r="K58" s="487"/>
      <c r="L58" s="520"/>
    </row>
    <row r="59" spans="1:12" x14ac:dyDescent="0.25">
      <c r="A59" s="546">
        <v>2008</v>
      </c>
      <c r="B59" s="480">
        <v>7926.268807838057</v>
      </c>
      <c r="C59" s="496">
        <v>1311.6666294418512</v>
      </c>
      <c r="D59" s="497">
        <v>16.548349056049958</v>
      </c>
      <c r="E59" s="480">
        <v>86717.332892398001</v>
      </c>
      <c r="F59" s="496">
        <v>11973.686494977472</v>
      </c>
      <c r="G59" s="497">
        <v>13.807719974315694</v>
      </c>
      <c r="H59" s="480"/>
      <c r="I59" s="496"/>
      <c r="J59" s="547"/>
      <c r="K59" s="487"/>
      <c r="L59" s="520"/>
    </row>
    <row r="60" spans="1:12" x14ac:dyDescent="0.25">
      <c r="A60" s="546">
        <v>2009</v>
      </c>
      <c r="B60" s="480">
        <v>7658</v>
      </c>
      <c r="C60" s="496">
        <v>1370</v>
      </c>
      <c r="D60" s="497">
        <v>16.2</v>
      </c>
      <c r="E60" s="480">
        <v>77034</v>
      </c>
      <c r="F60" s="496">
        <v>10236</v>
      </c>
      <c r="G60" s="497">
        <v>13.6</v>
      </c>
      <c r="H60" s="480">
        <v>31430</v>
      </c>
      <c r="I60" s="496">
        <v>12390</v>
      </c>
      <c r="J60" s="497">
        <v>41.64</v>
      </c>
      <c r="K60" s="487"/>
      <c r="L60" s="520"/>
    </row>
    <row r="61" spans="1:12" x14ac:dyDescent="0.25">
      <c r="A61" s="546">
        <v>2010</v>
      </c>
      <c r="B61" s="480">
        <v>7670.4</v>
      </c>
      <c r="C61" s="496">
        <v>1252.69</v>
      </c>
      <c r="D61" s="497">
        <v>16.329999999999998</v>
      </c>
      <c r="E61" s="480">
        <v>58995.31</v>
      </c>
      <c r="F61" s="496">
        <v>7964.14</v>
      </c>
      <c r="G61" s="497">
        <v>13.49</v>
      </c>
      <c r="H61" s="480">
        <v>308876.81784148538</v>
      </c>
      <c r="I61" s="496">
        <v>48702.811345418173</v>
      </c>
      <c r="J61" s="497">
        <v>15.76</v>
      </c>
      <c r="K61" s="548"/>
      <c r="L61" s="520"/>
    </row>
    <row r="62" spans="1:12" s="463" customFormat="1" ht="15.75" thickBot="1" x14ac:dyDescent="0.3">
      <c r="A62" s="576">
        <v>2011</v>
      </c>
      <c r="B62" s="577">
        <f>(GETPIVOTDATA("Sum of Sales (MWh)",'Summary PivotTables'!$A$90)/GETPIVOTDATA("Sum of Customers (Accounts)",'Summary PivotTables'!$A$122))*1000</f>
        <v>7778.9180362062916</v>
      </c>
      <c r="C62" s="578">
        <f>(GETPIVOTDATA("Sum of Revenue ($000)",'Summary PivotTables'!$A$106)/GETPIVOTDATA("Sum of Customers (Accounts)",'Summary PivotTables'!$A$122))*1000</f>
        <v>1380.9720239308028</v>
      </c>
      <c r="D62" s="579">
        <f>(GETPIVOTDATA("Sum of Revenue ($000)",'Summary PivotTables'!$A$106)/GETPIVOTDATA("Sum of Sales (MWh)",'Summary PivotTables'!$A$90))*100</f>
        <v>17.752751957318356</v>
      </c>
      <c r="E62" s="577">
        <f>(GETPIVOTDATA("Sum of Sales  (MWh)",'Summary PivotTables'!$A$90)/GETPIVOTDATA("Sum of Customers (Accounts)2",'Summary PivotTables'!$A$122))*1000</f>
        <v>59843.963512832823</v>
      </c>
      <c r="F62" s="577">
        <f>(GETPIVOTDATA("Sum of Revenue ($000)2",'Summary PivotTables'!$A$106)/GETPIVOTDATA("Sum of Customers (Accounts)2",'Summary PivotTables'!$A$122))*1000</f>
        <v>8782.5323480743009</v>
      </c>
      <c r="G62" s="579">
        <f>(GETPIVOTDATA("Sum of Revenue ($000)2",'Summary PivotTables'!$A$106)/GETPIVOTDATA("Sum of Sales  (MWh)",'Summary PivotTables'!$A$90))*100</f>
        <v>14.675719709291968</v>
      </c>
      <c r="H62" s="577">
        <f>(GETPIVOTDATA("Sum of Sales (MWh)2",'Summary PivotTables'!$A$90)/GETPIVOTDATA("Sum of Customers (Accounts)3",'Summary PivotTables'!$A$122))*1000</f>
        <v>310587.44343256799</v>
      </c>
      <c r="I62" s="577">
        <f>(GETPIVOTDATA("Sum of Revenue ($000)3",'Summary PivotTables'!$A$106)/GETPIVOTDATA("Sum of Customers (Accounts)3",'Summary PivotTables'!$A$122))*1000</f>
        <v>53903.05880727082</v>
      </c>
      <c r="J62" s="579">
        <f>(GETPIVOTDATA("Sum of Revenue ($000)4",'Summary PivotTables'!$A$106)/GETPIVOTDATA("Sum of Sales (MWh)3",'Summary PivotTables'!$A$90))*100</f>
        <v>16.313972442906831</v>
      </c>
      <c r="K62" s="549"/>
    </row>
    <row r="63" spans="1:12" x14ac:dyDescent="0.25">
      <c r="A63" s="330"/>
      <c r="B63" s="550"/>
      <c r="C63" s="550"/>
      <c r="D63" s="550"/>
      <c r="E63" s="550"/>
      <c r="F63" s="550"/>
      <c r="G63" s="550"/>
      <c r="H63" s="550"/>
      <c r="I63" s="550"/>
      <c r="J63" s="550"/>
    </row>
    <row r="64" spans="1:12" x14ac:dyDescent="0.25">
      <c r="B64" s="582"/>
      <c r="C64" s="582"/>
      <c r="D64" s="582"/>
      <c r="E64" s="582"/>
      <c r="F64" s="582"/>
      <c r="G64" s="582"/>
      <c r="H64" s="582"/>
      <c r="I64" s="582"/>
      <c r="J64" s="582"/>
    </row>
  </sheetData>
  <mergeCells count="5">
    <mergeCell ref="A10:J10"/>
    <mergeCell ref="A11:A12"/>
    <mergeCell ref="B11:D11"/>
    <mergeCell ref="E11:G11"/>
    <mergeCell ref="H11:J11"/>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sheetPr>
  <dimension ref="A1:T251"/>
  <sheetViews>
    <sheetView showGridLines="0" zoomScale="90" zoomScaleNormal="90" workbookViewId="0">
      <pane xSplit="3" ySplit="3" topLeftCell="D4" activePane="bottomRight" state="frozen"/>
      <selection activeCell="E175" sqref="E175"/>
      <selection pane="topRight" activeCell="E175" sqref="E175"/>
      <selection pane="bottomLeft" activeCell="E175" sqref="E175"/>
      <selection pane="bottomRight" activeCell="C78" sqref="C78"/>
    </sheetView>
  </sheetViews>
  <sheetFormatPr defaultRowHeight="15" x14ac:dyDescent="0.25"/>
  <cols>
    <col min="1" max="1" width="23.85546875" style="6" bestFit="1" customWidth="1"/>
    <col min="2" max="2" width="19" style="14" bestFit="1" customWidth="1"/>
    <col min="3" max="3" width="14.7109375" style="14" bestFit="1" customWidth="1"/>
    <col min="4" max="4" width="10.5703125" style="7" customWidth="1"/>
    <col min="5" max="5" width="9.140625" style="7" customWidth="1"/>
    <col min="6" max="6" width="15.42578125" style="13" bestFit="1" customWidth="1"/>
    <col min="7" max="7" width="10.85546875" style="13" customWidth="1"/>
    <col min="8" max="8" width="16.85546875" style="13" bestFit="1" customWidth="1"/>
    <col min="9" max="9" width="11.5703125" style="7" bestFit="1" customWidth="1"/>
    <col min="10" max="10" width="16.42578125" style="7" bestFit="1" customWidth="1"/>
    <col min="11" max="12" width="14.42578125" style="7" customWidth="1"/>
    <col min="13" max="13" width="8" style="12" bestFit="1" customWidth="1"/>
    <col min="14" max="14" width="13.140625" style="12" customWidth="1"/>
    <col min="15" max="15" width="10.42578125" style="12" bestFit="1" customWidth="1"/>
    <col min="16" max="16" width="16.140625" style="326" bestFit="1" customWidth="1"/>
    <col min="17" max="17" width="28.140625" style="326" customWidth="1"/>
    <col min="18" max="19" width="9.140625" style="326"/>
    <col min="20" max="20" width="31" style="326" customWidth="1"/>
    <col min="21" max="16384" width="9.140625" style="326"/>
  </cols>
  <sheetData>
    <row r="1" spans="1:20" s="330" customFormat="1" ht="30.75" customHeight="1" x14ac:dyDescent="0.2">
      <c r="A1" s="930" t="s">
        <v>1154</v>
      </c>
      <c r="B1" s="930"/>
      <c r="C1" s="930"/>
      <c r="D1" s="930"/>
      <c r="E1" s="930"/>
      <c r="F1" s="930"/>
      <c r="G1" s="930"/>
      <c r="H1" s="930"/>
      <c r="I1" s="930"/>
      <c r="J1" s="930"/>
      <c r="K1" s="930"/>
      <c r="L1" s="930"/>
      <c r="M1" s="930"/>
      <c r="N1" s="930"/>
      <c r="O1" s="930"/>
      <c r="P1" s="930"/>
      <c r="Q1" s="930"/>
    </row>
    <row r="2" spans="1:20" s="330" customFormat="1" ht="15.75" customHeight="1" thickBot="1" x14ac:dyDescent="0.3">
      <c r="A2" s="931" t="s">
        <v>1175</v>
      </c>
      <c r="B2" s="931"/>
      <c r="C2" s="931"/>
      <c r="D2" s="931"/>
      <c r="E2" s="931"/>
      <c r="F2" s="931"/>
      <c r="G2" s="931"/>
      <c r="H2" s="931"/>
      <c r="I2" s="931"/>
      <c r="J2" s="931"/>
      <c r="K2" s="931"/>
      <c r="L2" s="931"/>
      <c r="M2" s="931"/>
      <c r="N2" s="931"/>
      <c r="O2" s="931"/>
      <c r="P2" s="931"/>
      <c r="Q2" s="931"/>
    </row>
    <row r="3" spans="1:20" s="330" customFormat="1" ht="39" thickBot="1" x14ac:dyDescent="0.25">
      <c r="A3" s="309" t="s">
        <v>0</v>
      </c>
      <c r="B3" s="314" t="s">
        <v>1</v>
      </c>
      <c r="C3" s="314" t="s">
        <v>2</v>
      </c>
      <c r="D3" s="309" t="s">
        <v>677</v>
      </c>
      <c r="E3" s="309" t="s">
        <v>496</v>
      </c>
      <c r="F3" s="309" t="s">
        <v>727</v>
      </c>
      <c r="G3" s="309" t="s">
        <v>676</v>
      </c>
      <c r="H3" s="309" t="s">
        <v>356</v>
      </c>
      <c r="I3" s="309" t="s">
        <v>990</v>
      </c>
      <c r="J3" s="309" t="s">
        <v>5</v>
      </c>
      <c r="K3" s="309" t="s">
        <v>6</v>
      </c>
      <c r="L3" s="309" t="s">
        <v>552</v>
      </c>
      <c r="M3" s="309" t="s">
        <v>497</v>
      </c>
      <c r="N3" s="309" t="s">
        <v>516</v>
      </c>
      <c r="O3" s="309" t="s">
        <v>643</v>
      </c>
      <c r="P3" s="309" t="s">
        <v>517</v>
      </c>
      <c r="Q3" s="309" t="s">
        <v>20</v>
      </c>
    </row>
    <row r="4" spans="1:20" s="330" customFormat="1" ht="25.5" customHeight="1" x14ac:dyDescent="0.2">
      <c r="A4" s="317" t="s">
        <v>27</v>
      </c>
      <c r="B4" s="313" t="s">
        <v>28</v>
      </c>
      <c r="C4" s="308" t="s">
        <v>28</v>
      </c>
      <c r="D4" s="315" t="s">
        <v>987</v>
      </c>
      <c r="E4" s="315" t="s">
        <v>498</v>
      </c>
      <c r="F4" s="370" t="s">
        <v>728</v>
      </c>
      <c r="G4" s="306" t="s">
        <v>500</v>
      </c>
      <c r="H4" s="321" t="s">
        <v>674</v>
      </c>
      <c r="I4" s="306" t="s">
        <v>357</v>
      </c>
      <c r="J4" s="370" t="s">
        <v>222</v>
      </c>
      <c r="K4" s="370" t="s">
        <v>359</v>
      </c>
      <c r="L4" s="370" t="s">
        <v>360</v>
      </c>
      <c r="M4" s="370" t="s">
        <v>358</v>
      </c>
      <c r="N4" s="316">
        <v>1398007</v>
      </c>
      <c r="O4" s="316">
        <v>56.945555599999999</v>
      </c>
      <c r="P4" s="316">
        <v>-154.17027780000001</v>
      </c>
      <c r="Q4" s="311"/>
    </row>
    <row r="5" spans="1:20" s="330" customFormat="1" ht="25.5" customHeight="1" x14ac:dyDescent="0.2">
      <c r="A5" s="319" t="s">
        <v>29</v>
      </c>
      <c r="B5" s="307" t="s">
        <v>30</v>
      </c>
      <c r="C5" s="307" t="s">
        <v>30</v>
      </c>
      <c r="D5" s="319" t="s">
        <v>987</v>
      </c>
      <c r="E5" s="319" t="s">
        <v>498</v>
      </c>
      <c r="F5" s="323" t="s">
        <v>729</v>
      </c>
      <c r="G5" s="373" t="s">
        <v>500</v>
      </c>
      <c r="H5" s="310" t="s">
        <v>673</v>
      </c>
      <c r="I5" s="310" t="s">
        <v>361</v>
      </c>
      <c r="J5" s="323" t="s">
        <v>363</v>
      </c>
      <c r="K5" s="323" t="s">
        <v>364</v>
      </c>
      <c r="L5" s="323" t="s">
        <v>365</v>
      </c>
      <c r="M5" s="323" t="s">
        <v>362</v>
      </c>
      <c r="N5" s="312">
        <v>1398011</v>
      </c>
      <c r="O5" s="312">
        <v>60.909444399999998</v>
      </c>
      <c r="P5" s="312">
        <v>-161.4313889</v>
      </c>
      <c r="Q5" s="319"/>
    </row>
    <row r="6" spans="1:20" s="330" customFormat="1" ht="25.5" customHeight="1" x14ac:dyDescent="0.2">
      <c r="A6" s="319" t="s">
        <v>31</v>
      </c>
      <c r="B6" s="307" t="s">
        <v>32</v>
      </c>
      <c r="C6" s="307" t="s">
        <v>32</v>
      </c>
      <c r="D6" s="319" t="s">
        <v>987</v>
      </c>
      <c r="E6" s="319" t="s">
        <v>498</v>
      </c>
      <c r="F6" s="319" t="s">
        <v>728</v>
      </c>
      <c r="G6" s="310" t="s">
        <v>500</v>
      </c>
      <c r="H6" s="310" t="s">
        <v>673</v>
      </c>
      <c r="I6" s="310" t="s">
        <v>366</v>
      </c>
      <c r="J6" s="319" t="s">
        <v>363</v>
      </c>
      <c r="K6" s="323" t="s">
        <v>364</v>
      </c>
      <c r="L6" s="323" t="s">
        <v>365</v>
      </c>
      <c r="M6" s="323" t="s">
        <v>362</v>
      </c>
      <c r="N6" s="312">
        <v>1398012</v>
      </c>
      <c r="O6" s="312">
        <v>60.912222200000002</v>
      </c>
      <c r="P6" s="312">
        <v>-161.2138889</v>
      </c>
      <c r="Q6" s="319"/>
    </row>
    <row r="7" spans="1:20" s="330" customFormat="1" ht="25.5" customHeight="1" x14ac:dyDescent="0.2">
      <c r="A7" s="319" t="s">
        <v>33</v>
      </c>
      <c r="B7" s="307" t="s">
        <v>34</v>
      </c>
      <c r="C7" s="307" t="s">
        <v>34</v>
      </c>
      <c r="D7" s="319" t="s">
        <v>987</v>
      </c>
      <c r="E7" s="319" t="s">
        <v>498</v>
      </c>
      <c r="F7" s="319" t="s">
        <v>728</v>
      </c>
      <c r="G7" s="310" t="s">
        <v>500</v>
      </c>
      <c r="H7" s="310" t="s">
        <v>673</v>
      </c>
      <c r="I7" s="310" t="s">
        <v>367</v>
      </c>
      <c r="J7" s="319" t="s">
        <v>368</v>
      </c>
      <c r="K7" s="323" t="s">
        <v>369</v>
      </c>
      <c r="L7" s="323" t="s">
        <v>370</v>
      </c>
      <c r="M7" s="323" t="s">
        <v>362</v>
      </c>
      <c r="N7" s="312">
        <v>1418123</v>
      </c>
      <c r="O7" s="312">
        <v>54.135555600000004</v>
      </c>
      <c r="P7" s="312">
        <v>-165.77305559999999</v>
      </c>
      <c r="Q7" s="319"/>
    </row>
    <row r="8" spans="1:20" s="330" customFormat="1" ht="25.5" customHeight="1" x14ac:dyDescent="0.2">
      <c r="A8" s="319" t="s">
        <v>523</v>
      </c>
      <c r="B8" s="307" t="s">
        <v>35</v>
      </c>
      <c r="C8" s="307" t="s">
        <v>36</v>
      </c>
      <c r="D8" s="323" t="s">
        <v>988</v>
      </c>
      <c r="E8" s="319" t="s">
        <v>498</v>
      </c>
      <c r="F8" s="323" t="s">
        <v>729</v>
      </c>
      <c r="G8" s="373" t="s">
        <v>500</v>
      </c>
      <c r="H8" s="310" t="s">
        <v>675</v>
      </c>
      <c r="I8" s="310" t="s">
        <v>371</v>
      </c>
      <c r="J8" s="323" t="s">
        <v>373</v>
      </c>
      <c r="K8" s="323" t="s">
        <v>36</v>
      </c>
      <c r="L8" s="323" t="s">
        <v>374</v>
      </c>
      <c r="M8" s="323" t="s">
        <v>372</v>
      </c>
      <c r="N8" s="312">
        <v>1404263</v>
      </c>
      <c r="O8" s="312">
        <v>58.301944399999996</v>
      </c>
      <c r="P8" s="312">
        <v>-134.4197222</v>
      </c>
      <c r="Q8" s="319"/>
    </row>
    <row r="9" spans="1:20" s="330" customFormat="1" ht="25.5" customHeight="1" x14ac:dyDescent="0.2">
      <c r="A9" s="319" t="s">
        <v>523</v>
      </c>
      <c r="B9" s="307" t="s">
        <v>37</v>
      </c>
      <c r="C9" s="307" t="s">
        <v>36</v>
      </c>
      <c r="D9" s="323" t="s">
        <v>988</v>
      </c>
      <c r="E9" s="319" t="s">
        <v>498</v>
      </c>
      <c r="F9" s="323" t="s">
        <v>729</v>
      </c>
      <c r="G9" s="373" t="s">
        <v>500</v>
      </c>
      <c r="H9" s="310" t="s">
        <v>675</v>
      </c>
      <c r="I9" s="310" t="s">
        <v>371</v>
      </c>
      <c r="J9" s="323" t="s">
        <v>373</v>
      </c>
      <c r="K9" s="323" t="s">
        <v>36</v>
      </c>
      <c r="L9" s="323" t="s">
        <v>374</v>
      </c>
      <c r="M9" s="323" t="s">
        <v>372</v>
      </c>
      <c r="N9" s="312">
        <v>1404263</v>
      </c>
      <c r="O9" s="312">
        <v>58.301944399999996</v>
      </c>
      <c r="P9" s="312">
        <v>-134.4197222</v>
      </c>
      <c r="Q9" s="319"/>
    </row>
    <row r="10" spans="1:20" s="330" customFormat="1" ht="25.5" customHeight="1" x14ac:dyDescent="0.25">
      <c r="A10" s="319" t="s">
        <v>523</v>
      </c>
      <c r="B10" s="307" t="s">
        <v>38</v>
      </c>
      <c r="C10" s="307" t="s">
        <v>36</v>
      </c>
      <c r="D10" s="323" t="s">
        <v>988</v>
      </c>
      <c r="E10" s="319" t="s">
        <v>498</v>
      </c>
      <c r="F10" s="323" t="s">
        <v>729</v>
      </c>
      <c r="G10" s="373" t="s">
        <v>500</v>
      </c>
      <c r="H10" s="310" t="s">
        <v>675</v>
      </c>
      <c r="I10" s="310" t="s">
        <v>371</v>
      </c>
      <c r="J10" s="323" t="s">
        <v>373</v>
      </c>
      <c r="K10" s="323" t="s">
        <v>36</v>
      </c>
      <c r="L10" s="323" t="s">
        <v>374</v>
      </c>
      <c r="M10" s="323" t="s">
        <v>372</v>
      </c>
      <c r="N10" s="312">
        <v>1404263</v>
      </c>
      <c r="O10" s="312">
        <v>58.301944399999996</v>
      </c>
      <c r="P10" s="312">
        <v>-134.4197222</v>
      </c>
      <c r="Q10" s="319"/>
      <c r="S10" s="341"/>
      <c r="T10" s="348"/>
    </row>
    <row r="11" spans="1:20" s="330" customFormat="1" ht="25.5" customHeight="1" x14ac:dyDescent="0.25">
      <c r="A11" s="319" t="s">
        <v>523</v>
      </c>
      <c r="B11" s="307" t="s">
        <v>39</v>
      </c>
      <c r="C11" s="307" t="s">
        <v>36</v>
      </c>
      <c r="D11" s="323" t="s">
        <v>988</v>
      </c>
      <c r="E11" s="319" t="s">
        <v>498</v>
      </c>
      <c r="F11" s="323" t="s">
        <v>729</v>
      </c>
      <c r="G11" s="373" t="s">
        <v>500</v>
      </c>
      <c r="H11" s="310" t="s">
        <v>675</v>
      </c>
      <c r="I11" s="310" t="s">
        <v>371</v>
      </c>
      <c r="J11" s="323" t="s">
        <v>373</v>
      </c>
      <c r="K11" s="323" t="s">
        <v>36</v>
      </c>
      <c r="L11" s="323" t="s">
        <v>374</v>
      </c>
      <c r="M11" s="323" t="s">
        <v>372</v>
      </c>
      <c r="N11" s="312">
        <v>1404263</v>
      </c>
      <c r="O11" s="312">
        <v>58.301944399999996</v>
      </c>
      <c r="P11" s="312">
        <v>-134.4197222</v>
      </c>
      <c r="Q11" s="319"/>
      <c r="S11" s="341"/>
      <c r="T11" s="348"/>
    </row>
    <row r="12" spans="1:20" s="330" customFormat="1" ht="26.25" x14ac:dyDescent="0.25">
      <c r="A12" s="319" t="s">
        <v>523</v>
      </c>
      <c r="B12" s="307" t="s">
        <v>40</v>
      </c>
      <c r="C12" s="307" t="s">
        <v>36</v>
      </c>
      <c r="D12" s="323" t="s">
        <v>988</v>
      </c>
      <c r="E12" s="319" t="s">
        <v>498</v>
      </c>
      <c r="F12" s="323" t="s">
        <v>729</v>
      </c>
      <c r="G12" s="373" t="s">
        <v>500</v>
      </c>
      <c r="H12" s="310" t="s">
        <v>675</v>
      </c>
      <c r="I12" s="310" t="s">
        <v>371</v>
      </c>
      <c r="J12" s="323" t="s">
        <v>373</v>
      </c>
      <c r="K12" s="323" t="s">
        <v>36</v>
      </c>
      <c r="L12" s="323" t="s">
        <v>374</v>
      </c>
      <c r="M12" s="323" t="s">
        <v>372</v>
      </c>
      <c r="N12" s="312">
        <v>1404263</v>
      </c>
      <c r="O12" s="312">
        <v>58.301944399999996</v>
      </c>
      <c r="P12" s="312">
        <v>-134.4197222</v>
      </c>
      <c r="Q12" s="319"/>
      <c r="S12" s="341"/>
      <c r="T12" s="348"/>
    </row>
    <row r="13" spans="1:20" s="330" customFormat="1" ht="25.5" customHeight="1" x14ac:dyDescent="0.25">
      <c r="A13" s="319" t="s">
        <v>523</v>
      </c>
      <c r="B13" s="307" t="s">
        <v>41</v>
      </c>
      <c r="C13" s="307" t="s">
        <v>36</v>
      </c>
      <c r="D13" s="323" t="s">
        <v>988</v>
      </c>
      <c r="E13" s="319" t="s">
        <v>498</v>
      </c>
      <c r="F13" s="323" t="s">
        <v>729</v>
      </c>
      <c r="G13" s="373" t="s">
        <v>500</v>
      </c>
      <c r="H13" s="310" t="s">
        <v>675</v>
      </c>
      <c r="I13" s="310" t="s">
        <v>371</v>
      </c>
      <c r="J13" s="323" t="s">
        <v>373</v>
      </c>
      <c r="K13" s="323" t="s">
        <v>36</v>
      </c>
      <c r="L13" s="323" t="s">
        <v>374</v>
      </c>
      <c r="M13" s="323" t="s">
        <v>372</v>
      </c>
      <c r="N13" s="312">
        <v>1404263</v>
      </c>
      <c r="O13" s="312">
        <v>58.301944399999996</v>
      </c>
      <c r="P13" s="312">
        <v>-134.4197222</v>
      </c>
      <c r="Q13" s="319"/>
      <c r="S13" s="341"/>
      <c r="T13" s="348"/>
    </row>
    <row r="14" spans="1:20" s="330" customFormat="1" ht="66" customHeight="1" x14ac:dyDescent="0.25">
      <c r="A14" s="319" t="s">
        <v>523</v>
      </c>
      <c r="B14" s="307" t="s">
        <v>42</v>
      </c>
      <c r="C14" s="307" t="s">
        <v>36</v>
      </c>
      <c r="D14" s="323" t="s">
        <v>988</v>
      </c>
      <c r="E14" s="319" t="s">
        <v>498</v>
      </c>
      <c r="F14" s="323" t="s">
        <v>729</v>
      </c>
      <c r="G14" s="373" t="s">
        <v>500</v>
      </c>
      <c r="H14" s="310" t="s">
        <v>675</v>
      </c>
      <c r="I14" s="310" t="s">
        <v>371</v>
      </c>
      <c r="J14" s="323" t="s">
        <v>373</v>
      </c>
      <c r="K14" s="323" t="s">
        <v>36</v>
      </c>
      <c r="L14" s="323" t="s">
        <v>374</v>
      </c>
      <c r="M14" s="323" t="s">
        <v>372</v>
      </c>
      <c r="N14" s="312">
        <v>1404263</v>
      </c>
      <c r="O14" s="312">
        <v>58.301944399999996</v>
      </c>
      <c r="P14" s="312">
        <v>-134.4197222</v>
      </c>
      <c r="Q14" s="319"/>
      <c r="S14" s="341"/>
      <c r="T14" s="348"/>
    </row>
    <row r="15" spans="1:20" s="330" customFormat="1" ht="50.25" customHeight="1" x14ac:dyDescent="0.25">
      <c r="A15" s="307" t="s">
        <v>642</v>
      </c>
      <c r="B15" s="307" t="s">
        <v>666</v>
      </c>
      <c r="C15" s="307"/>
      <c r="D15" s="323" t="s">
        <v>988</v>
      </c>
      <c r="E15" s="323" t="s">
        <v>498</v>
      </c>
      <c r="F15" s="323" t="s">
        <v>764</v>
      </c>
      <c r="G15" s="373" t="s">
        <v>499</v>
      </c>
      <c r="H15" s="310" t="s">
        <v>675</v>
      </c>
      <c r="I15" s="310" t="s">
        <v>720</v>
      </c>
      <c r="J15" s="323" t="s">
        <v>158</v>
      </c>
      <c r="K15" s="323" t="s">
        <v>383</v>
      </c>
      <c r="L15" s="323" t="s">
        <v>378</v>
      </c>
      <c r="M15" s="323" t="s">
        <v>375</v>
      </c>
      <c r="N15" s="312"/>
      <c r="O15" s="312"/>
      <c r="P15" s="312"/>
      <c r="Q15" s="319" t="s">
        <v>667</v>
      </c>
      <c r="S15" s="341"/>
      <c r="T15" s="348"/>
    </row>
    <row r="16" spans="1:20" s="330" customFormat="1" ht="38.25" customHeight="1" x14ac:dyDescent="0.25">
      <c r="A16" s="319" t="s">
        <v>43</v>
      </c>
      <c r="B16" s="307" t="s">
        <v>44</v>
      </c>
      <c r="C16" s="307" t="s">
        <v>678</v>
      </c>
      <c r="D16" s="323" t="s">
        <v>988</v>
      </c>
      <c r="E16" s="319" t="s">
        <v>498</v>
      </c>
      <c r="F16" s="319" t="s">
        <v>729</v>
      </c>
      <c r="G16" s="310" t="s">
        <v>499</v>
      </c>
      <c r="H16" s="310" t="s">
        <v>673</v>
      </c>
      <c r="I16" s="310" t="s">
        <v>723</v>
      </c>
      <c r="J16" s="319" t="s">
        <v>376</v>
      </c>
      <c r="K16" s="323" t="s">
        <v>377</v>
      </c>
      <c r="L16" s="323" t="s">
        <v>378</v>
      </c>
      <c r="M16" s="323" t="s">
        <v>375</v>
      </c>
      <c r="N16" s="312"/>
      <c r="O16" s="312"/>
      <c r="P16" s="312"/>
      <c r="Q16" s="319" t="s">
        <v>573</v>
      </c>
      <c r="S16" s="341"/>
      <c r="T16" s="348"/>
    </row>
    <row r="17" spans="1:20" s="330" customFormat="1" ht="38.25" customHeight="1" x14ac:dyDescent="0.25">
      <c r="A17" s="319" t="s">
        <v>43</v>
      </c>
      <c r="B17" s="307" t="s">
        <v>45</v>
      </c>
      <c r="C17" s="307" t="s">
        <v>680</v>
      </c>
      <c r="D17" s="323" t="s">
        <v>988</v>
      </c>
      <c r="E17" s="319" t="s">
        <v>498</v>
      </c>
      <c r="F17" s="319" t="s">
        <v>729</v>
      </c>
      <c r="G17" s="310" t="s">
        <v>499</v>
      </c>
      <c r="H17" s="310" t="s">
        <v>673</v>
      </c>
      <c r="I17" s="310" t="s">
        <v>723</v>
      </c>
      <c r="J17" s="319" t="s">
        <v>376</v>
      </c>
      <c r="K17" s="323" t="s">
        <v>377</v>
      </c>
      <c r="L17" s="323" t="s">
        <v>378</v>
      </c>
      <c r="M17" s="323" t="s">
        <v>375</v>
      </c>
      <c r="N17" s="312"/>
      <c r="O17" s="312"/>
      <c r="P17" s="312"/>
      <c r="Q17" s="319" t="s">
        <v>574</v>
      </c>
      <c r="S17" s="341"/>
      <c r="T17" s="348"/>
    </row>
    <row r="18" spans="1:20" s="330" customFormat="1" ht="91.5" customHeight="1" x14ac:dyDescent="0.25">
      <c r="A18" s="319" t="s">
        <v>43</v>
      </c>
      <c r="B18" s="307" t="s">
        <v>58</v>
      </c>
      <c r="C18" s="307" t="s">
        <v>649</v>
      </c>
      <c r="D18" s="323" t="s">
        <v>988</v>
      </c>
      <c r="E18" s="319" t="s">
        <v>498</v>
      </c>
      <c r="F18" s="319" t="s">
        <v>729</v>
      </c>
      <c r="G18" s="310" t="s">
        <v>499</v>
      </c>
      <c r="H18" s="310" t="s">
        <v>673</v>
      </c>
      <c r="I18" s="310" t="s">
        <v>723</v>
      </c>
      <c r="J18" s="319" t="s">
        <v>373</v>
      </c>
      <c r="K18" s="323" t="s">
        <v>382</v>
      </c>
      <c r="L18" s="323" t="s">
        <v>374</v>
      </c>
      <c r="M18" s="323" t="s">
        <v>372</v>
      </c>
      <c r="N18" s="312"/>
      <c r="O18" s="312"/>
      <c r="P18" s="312"/>
      <c r="Q18" s="319" t="s">
        <v>580</v>
      </c>
      <c r="S18" s="341"/>
      <c r="T18" s="348"/>
    </row>
    <row r="19" spans="1:20" s="330" customFormat="1" ht="38.25" customHeight="1" x14ac:dyDescent="0.25">
      <c r="A19" s="319" t="s">
        <v>43</v>
      </c>
      <c r="B19" s="307" t="s">
        <v>47</v>
      </c>
      <c r="C19" s="307" t="s">
        <v>47</v>
      </c>
      <c r="D19" s="323" t="s">
        <v>988</v>
      </c>
      <c r="E19" s="319" t="s">
        <v>498</v>
      </c>
      <c r="F19" s="319" t="s">
        <v>729</v>
      </c>
      <c r="G19" s="310" t="s">
        <v>499</v>
      </c>
      <c r="H19" s="310" t="s">
        <v>673</v>
      </c>
      <c r="I19" s="310" t="s">
        <v>723</v>
      </c>
      <c r="J19" s="319" t="s">
        <v>373</v>
      </c>
      <c r="K19" s="323" t="s">
        <v>382</v>
      </c>
      <c r="L19" s="323" t="s">
        <v>374</v>
      </c>
      <c r="M19" s="323" t="s">
        <v>372</v>
      </c>
      <c r="N19" s="312">
        <v>1669437</v>
      </c>
      <c r="O19" s="312">
        <v>56.013888899999998</v>
      </c>
      <c r="P19" s="312">
        <v>-132.82777780000001</v>
      </c>
      <c r="Q19" s="319" t="s">
        <v>688</v>
      </c>
      <c r="S19" s="341"/>
      <c r="T19" s="348"/>
    </row>
    <row r="20" spans="1:20" s="330" customFormat="1" ht="79.5" customHeight="1" x14ac:dyDescent="0.25">
      <c r="A20" s="319" t="s">
        <v>43</v>
      </c>
      <c r="B20" s="307" t="s">
        <v>48</v>
      </c>
      <c r="C20" s="307" t="s">
        <v>991</v>
      </c>
      <c r="D20" s="323" t="s">
        <v>988</v>
      </c>
      <c r="E20" s="319" t="s">
        <v>498</v>
      </c>
      <c r="F20" s="319" t="s">
        <v>729</v>
      </c>
      <c r="G20" s="310" t="s">
        <v>499</v>
      </c>
      <c r="H20" s="310" t="s">
        <v>673</v>
      </c>
      <c r="I20" s="310" t="s">
        <v>723</v>
      </c>
      <c r="J20" s="319" t="s">
        <v>373</v>
      </c>
      <c r="K20" s="323" t="s">
        <v>382</v>
      </c>
      <c r="L20" s="323" t="s">
        <v>374</v>
      </c>
      <c r="M20" s="323" t="s">
        <v>372</v>
      </c>
      <c r="N20" s="312"/>
      <c r="O20" s="312"/>
      <c r="P20" s="312"/>
      <c r="Q20" s="319" t="s">
        <v>704</v>
      </c>
      <c r="S20" s="341"/>
      <c r="T20" s="348"/>
    </row>
    <row r="21" spans="1:20" s="330" customFormat="1" ht="38.25" customHeight="1" x14ac:dyDescent="0.25">
      <c r="A21" s="319" t="s">
        <v>43</v>
      </c>
      <c r="B21" s="307" t="s">
        <v>53</v>
      </c>
      <c r="C21" s="307" t="s">
        <v>53</v>
      </c>
      <c r="D21" s="323" t="s">
        <v>988</v>
      </c>
      <c r="E21" s="319" t="s">
        <v>498</v>
      </c>
      <c r="F21" s="319" t="s">
        <v>729</v>
      </c>
      <c r="G21" s="310" t="s">
        <v>499</v>
      </c>
      <c r="H21" s="310" t="s">
        <v>673</v>
      </c>
      <c r="I21" s="310" t="s">
        <v>723</v>
      </c>
      <c r="J21" s="319" t="s">
        <v>373</v>
      </c>
      <c r="K21" s="323" t="s">
        <v>382</v>
      </c>
      <c r="L21" s="323" t="s">
        <v>374</v>
      </c>
      <c r="M21" s="323" t="s">
        <v>372</v>
      </c>
      <c r="N21" s="312">
        <v>1422709</v>
      </c>
      <c r="O21" s="312">
        <v>55.208055600000002</v>
      </c>
      <c r="P21" s="312">
        <v>-132.8266667</v>
      </c>
      <c r="Q21" s="319" t="s">
        <v>691</v>
      </c>
      <c r="S21" s="341"/>
      <c r="T21" s="348"/>
    </row>
    <row r="22" spans="1:20" s="330" customFormat="1" ht="50.25" customHeight="1" x14ac:dyDescent="0.25">
      <c r="A22" s="319" t="s">
        <v>43</v>
      </c>
      <c r="B22" s="307" t="s">
        <v>48</v>
      </c>
      <c r="C22" s="307" t="s">
        <v>54</v>
      </c>
      <c r="D22" s="323" t="s">
        <v>988</v>
      </c>
      <c r="E22" s="319" t="s">
        <v>498</v>
      </c>
      <c r="F22" s="319" t="s">
        <v>729</v>
      </c>
      <c r="G22" s="310" t="s">
        <v>499</v>
      </c>
      <c r="H22" s="310" t="s">
        <v>673</v>
      </c>
      <c r="I22" s="310" t="s">
        <v>723</v>
      </c>
      <c r="J22" s="319" t="s">
        <v>373</v>
      </c>
      <c r="K22" s="323" t="s">
        <v>382</v>
      </c>
      <c r="L22" s="323" t="s">
        <v>374</v>
      </c>
      <c r="M22" s="323" t="s">
        <v>372</v>
      </c>
      <c r="N22" s="312">
        <v>1423100</v>
      </c>
      <c r="O22" s="312">
        <v>55.552222200000003</v>
      </c>
      <c r="P22" s="312">
        <v>-133.09583330000001</v>
      </c>
      <c r="Q22" s="382" t="s">
        <v>691</v>
      </c>
      <c r="S22" s="341"/>
      <c r="T22" s="348"/>
    </row>
    <row r="23" spans="1:20" s="330" customFormat="1" ht="39" x14ac:dyDescent="0.25">
      <c r="A23" s="319" t="s">
        <v>43</v>
      </c>
      <c r="B23" s="307" t="s">
        <v>493</v>
      </c>
      <c r="C23" s="307" t="s">
        <v>686</v>
      </c>
      <c r="D23" s="323" t="s">
        <v>988</v>
      </c>
      <c r="E23" s="319" t="s">
        <v>498</v>
      </c>
      <c r="F23" s="319" t="s">
        <v>729</v>
      </c>
      <c r="G23" s="310" t="s">
        <v>499</v>
      </c>
      <c r="H23" s="310" t="s">
        <v>673</v>
      </c>
      <c r="I23" s="310" t="s">
        <v>723</v>
      </c>
      <c r="J23" s="319" t="s">
        <v>376</v>
      </c>
      <c r="K23" s="323" t="s">
        <v>383</v>
      </c>
      <c r="L23" s="323" t="s">
        <v>378</v>
      </c>
      <c r="M23" s="323" t="s">
        <v>375</v>
      </c>
      <c r="N23" s="312"/>
      <c r="O23" s="312"/>
      <c r="P23" s="312"/>
      <c r="Q23" s="383" t="s">
        <v>576</v>
      </c>
      <c r="S23" s="341"/>
      <c r="T23" s="348"/>
    </row>
    <row r="24" spans="1:20" s="330" customFormat="1" ht="63.75" customHeight="1" x14ac:dyDescent="0.25">
      <c r="A24" s="319" t="s">
        <v>43</v>
      </c>
      <c r="B24" s="307" t="s">
        <v>63</v>
      </c>
      <c r="C24" s="307" t="s">
        <v>681</v>
      </c>
      <c r="D24" s="323" t="s">
        <v>988</v>
      </c>
      <c r="E24" s="319" t="s">
        <v>498</v>
      </c>
      <c r="F24" s="319" t="s">
        <v>729</v>
      </c>
      <c r="G24" s="310" t="s">
        <v>499</v>
      </c>
      <c r="H24" s="310" t="s">
        <v>673</v>
      </c>
      <c r="I24" s="310" t="s">
        <v>723</v>
      </c>
      <c r="J24" s="319" t="s">
        <v>373</v>
      </c>
      <c r="K24" s="323" t="s">
        <v>382</v>
      </c>
      <c r="L24" s="323" t="s">
        <v>374</v>
      </c>
      <c r="M24" s="323" t="s">
        <v>372</v>
      </c>
      <c r="N24" s="312"/>
      <c r="O24" s="312"/>
      <c r="P24" s="312"/>
      <c r="Q24" s="319" t="s">
        <v>700</v>
      </c>
      <c r="S24" s="341"/>
      <c r="T24" s="348"/>
    </row>
    <row r="25" spans="1:20" s="330" customFormat="1" ht="56.25" customHeight="1" x14ac:dyDescent="0.25">
      <c r="A25" s="319" t="s">
        <v>43</v>
      </c>
      <c r="B25" s="307" t="s">
        <v>518</v>
      </c>
      <c r="C25" s="307" t="s">
        <v>650</v>
      </c>
      <c r="D25" s="323" t="s">
        <v>988</v>
      </c>
      <c r="E25" s="319" t="s">
        <v>498</v>
      </c>
      <c r="F25" s="319" t="s">
        <v>729</v>
      </c>
      <c r="G25" s="310" t="s">
        <v>499</v>
      </c>
      <c r="H25" s="310" t="s">
        <v>673</v>
      </c>
      <c r="I25" s="310" t="s">
        <v>723</v>
      </c>
      <c r="J25" s="319" t="s">
        <v>373</v>
      </c>
      <c r="K25" s="323" t="s">
        <v>60</v>
      </c>
      <c r="L25" s="323" t="s">
        <v>374</v>
      </c>
      <c r="M25" s="323" t="s">
        <v>372</v>
      </c>
      <c r="N25" s="312"/>
      <c r="O25" s="312"/>
      <c r="P25" s="312"/>
      <c r="Q25" s="319" t="s">
        <v>690</v>
      </c>
      <c r="S25" s="341"/>
      <c r="T25" s="348"/>
    </row>
    <row r="26" spans="1:20" s="330" customFormat="1" ht="51.75" customHeight="1" x14ac:dyDescent="0.25">
      <c r="A26" s="319" t="s">
        <v>43</v>
      </c>
      <c r="B26" s="307" t="s">
        <v>50</v>
      </c>
      <c r="C26" s="307" t="s">
        <v>50</v>
      </c>
      <c r="D26" s="323" t="s">
        <v>988</v>
      </c>
      <c r="E26" s="319" t="s">
        <v>498</v>
      </c>
      <c r="F26" s="319" t="s">
        <v>729</v>
      </c>
      <c r="G26" s="310" t="s">
        <v>499</v>
      </c>
      <c r="H26" s="310" t="s">
        <v>673</v>
      </c>
      <c r="I26" s="310" t="s">
        <v>723</v>
      </c>
      <c r="J26" s="319" t="s">
        <v>373</v>
      </c>
      <c r="K26" s="323" t="s">
        <v>50</v>
      </c>
      <c r="L26" s="323" t="s">
        <v>374</v>
      </c>
      <c r="M26" s="323" t="s">
        <v>372</v>
      </c>
      <c r="N26" s="312"/>
      <c r="O26" s="312"/>
      <c r="P26" s="312"/>
      <c r="Q26" s="319" t="s">
        <v>706</v>
      </c>
      <c r="S26" s="341"/>
      <c r="T26" s="348"/>
    </row>
    <row r="27" spans="1:20" s="330" customFormat="1" ht="38.25" customHeight="1" x14ac:dyDescent="0.25">
      <c r="A27" s="319" t="s">
        <v>43</v>
      </c>
      <c r="B27" s="307" t="s">
        <v>51</v>
      </c>
      <c r="C27" s="307" t="s">
        <v>51</v>
      </c>
      <c r="D27" s="323" t="s">
        <v>988</v>
      </c>
      <c r="E27" s="319" t="s">
        <v>498</v>
      </c>
      <c r="F27" s="319" t="s">
        <v>729</v>
      </c>
      <c r="G27" s="310" t="s">
        <v>500</v>
      </c>
      <c r="H27" s="310" t="s">
        <v>673</v>
      </c>
      <c r="I27" s="310" t="s">
        <v>723</v>
      </c>
      <c r="J27" s="319" t="s">
        <v>376</v>
      </c>
      <c r="K27" s="323" t="s">
        <v>383</v>
      </c>
      <c r="L27" s="323" t="s">
        <v>378</v>
      </c>
      <c r="M27" s="323" t="s">
        <v>375</v>
      </c>
      <c r="N27" s="312">
        <v>2419534</v>
      </c>
      <c r="O27" s="312">
        <v>63.987230799999999</v>
      </c>
      <c r="P27" s="312">
        <v>-144.69983250000001</v>
      </c>
      <c r="Q27" s="319"/>
      <c r="S27" s="341"/>
      <c r="T27" s="348"/>
    </row>
    <row r="28" spans="1:20" s="330" customFormat="1" ht="38.25" customHeight="1" x14ac:dyDescent="0.25">
      <c r="A28" s="319" t="s">
        <v>43</v>
      </c>
      <c r="B28" s="307" t="s">
        <v>52</v>
      </c>
      <c r="C28" s="307" t="s">
        <v>52</v>
      </c>
      <c r="D28" s="323" t="s">
        <v>988</v>
      </c>
      <c r="E28" s="319" t="s">
        <v>498</v>
      </c>
      <c r="F28" s="319" t="s">
        <v>729</v>
      </c>
      <c r="G28" s="310" t="s">
        <v>499</v>
      </c>
      <c r="H28" s="310" t="s">
        <v>673</v>
      </c>
      <c r="I28" s="310" t="s">
        <v>723</v>
      </c>
      <c r="J28" s="319" t="s">
        <v>373</v>
      </c>
      <c r="K28" s="323" t="s">
        <v>382</v>
      </c>
      <c r="L28" s="323" t="s">
        <v>374</v>
      </c>
      <c r="M28" s="323" t="s">
        <v>372</v>
      </c>
      <c r="N28" s="312">
        <v>1866952</v>
      </c>
      <c r="O28" s="312">
        <v>55.556666700000001</v>
      </c>
      <c r="P28" s="312">
        <v>-132.63638889999999</v>
      </c>
      <c r="Q28" s="319" t="s">
        <v>691</v>
      </c>
      <c r="S28" s="341"/>
      <c r="T28" s="348"/>
    </row>
    <row r="29" spans="1:20" s="330" customFormat="1" ht="38.25" customHeight="1" x14ac:dyDescent="0.25">
      <c r="A29" s="319" t="s">
        <v>43</v>
      </c>
      <c r="B29" s="307" t="s">
        <v>519</v>
      </c>
      <c r="C29" s="307" t="s">
        <v>60</v>
      </c>
      <c r="D29" s="323" t="s">
        <v>988</v>
      </c>
      <c r="E29" s="319" t="s">
        <v>498</v>
      </c>
      <c r="F29" s="319" t="s">
        <v>729</v>
      </c>
      <c r="G29" s="310" t="s">
        <v>499</v>
      </c>
      <c r="H29" s="310" t="s">
        <v>673</v>
      </c>
      <c r="I29" s="310" t="s">
        <v>723</v>
      </c>
      <c r="J29" s="319" t="s">
        <v>373</v>
      </c>
      <c r="K29" s="323" t="s">
        <v>60</v>
      </c>
      <c r="L29" s="323" t="s">
        <v>374</v>
      </c>
      <c r="M29" s="323" t="s">
        <v>372</v>
      </c>
      <c r="N29" s="312">
        <v>1414754</v>
      </c>
      <c r="O29" s="312">
        <v>59.4583333</v>
      </c>
      <c r="P29" s="312">
        <v>-135.31388889999999</v>
      </c>
      <c r="Q29" s="319" t="s">
        <v>690</v>
      </c>
      <c r="S29" s="341"/>
      <c r="T29" s="348"/>
    </row>
    <row r="30" spans="1:20" s="330" customFormat="1" ht="51" customHeight="1" x14ac:dyDescent="0.25">
      <c r="A30" s="319" t="s">
        <v>43</v>
      </c>
      <c r="B30" s="307" t="s">
        <v>55</v>
      </c>
      <c r="C30" s="307" t="s">
        <v>55</v>
      </c>
      <c r="D30" s="323" t="s">
        <v>988</v>
      </c>
      <c r="E30" s="319" t="s">
        <v>498</v>
      </c>
      <c r="F30" s="319" t="s">
        <v>729</v>
      </c>
      <c r="G30" s="310" t="s">
        <v>500</v>
      </c>
      <c r="H30" s="310" t="s">
        <v>673</v>
      </c>
      <c r="I30" s="310" t="s">
        <v>723</v>
      </c>
      <c r="J30" s="319" t="s">
        <v>379</v>
      </c>
      <c r="K30" s="323" t="s">
        <v>380</v>
      </c>
      <c r="L30" s="323" t="s">
        <v>381</v>
      </c>
      <c r="M30" s="323" t="s">
        <v>375</v>
      </c>
      <c r="N30" s="312">
        <v>1406241</v>
      </c>
      <c r="O30" s="312">
        <v>62.921111099999997</v>
      </c>
      <c r="P30" s="312">
        <v>-143.7691667</v>
      </c>
      <c r="Q30" s="319"/>
      <c r="S30" s="341"/>
      <c r="T30" s="348"/>
    </row>
    <row r="31" spans="1:20" s="330" customFormat="1" ht="38.25" customHeight="1" x14ac:dyDescent="0.25">
      <c r="A31" s="319" t="s">
        <v>43</v>
      </c>
      <c r="B31" s="307" t="s">
        <v>56</v>
      </c>
      <c r="C31" s="307" t="s">
        <v>56</v>
      </c>
      <c r="D31" s="323" t="s">
        <v>988</v>
      </c>
      <c r="E31" s="319" t="s">
        <v>498</v>
      </c>
      <c r="F31" s="319" t="s">
        <v>729</v>
      </c>
      <c r="G31" s="310" t="s">
        <v>500</v>
      </c>
      <c r="H31" s="310" t="s">
        <v>673</v>
      </c>
      <c r="I31" s="310" t="s">
        <v>723</v>
      </c>
      <c r="J31" s="319" t="s">
        <v>373</v>
      </c>
      <c r="K31" s="323" t="s">
        <v>382</v>
      </c>
      <c r="L31" s="323" t="s">
        <v>374</v>
      </c>
      <c r="M31" s="323" t="s">
        <v>372</v>
      </c>
      <c r="N31" s="312">
        <v>1866964</v>
      </c>
      <c r="O31" s="312">
        <v>55.873611099999998</v>
      </c>
      <c r="P31" s="312">
        <v>-133.18472220000001</v>
      </c>
      <c r="Q31" s="319"/>
      <c r="S31" s="341"/>
      <c r="T31" s="348"/>
    </row>
    <row r="32" spans="1:20" s="330" customFormat="1" ht="38.25" customHeight="1" x14ac:dyDescent="0.25">
      <c r="A32" s="319" t="s">
        <v>43</v>
      </c>
      <c r="B32" s="307" t="s">
        <v>57</v>
      </c>
      <c r="C32" s="320" t="s">
        <v>683</v>
      </c>
      <c r="D32" s="323" t="s">
        <v>988</v>
      </c>
      <c r="E32" s="319" t="s">
        <v>498</v>
      </c>
      <c r="F32" s="319" t="s">
        <v>729</v>
      </c>
      <c r="G32" s="310" t="s">
        <v>499</v>
      </c>
      <c r="H32" s="310" t="s">
        <v>673</v>
      </c>
      <c r="I32" s="310" t="s">
        <v>723</v>
      </c>
      <c r="J32" s="319" t="s">
        <v>376</v>
      </c>
      <c r="K32" s="323" t="s">
        <v>383</v>
      </c>
      <c r="L32" s="323" t="s">
        <v>378</v>
      </c>
      <c r="M32" s="323" t="s">
        <v>375</v>
      </c>
      <c r="N32" s="312"/>
      <c r="O32" s="312"/>
      <c r="P32" s="312"/>
      <c r="Q32" s="319" t="s">
        <v>634</v>
      </c>
      <c r="S32" s="341"/>
      <c r="T32" s="348"/>
    </row>
    <row r="33" spans="1:20" s="330" customFormat="1" ht="65.25" customHeight="1" x14ac:dyDescent="0.25">
      <c r="A33" s="319" t="s">
        <v>43</v>
      </c>
      <c r="B33" s="307" t="s">
        <v>60</v>
      </c>
      <c r="C33" s="307" t="s">
        <v>60</v>
      </c>
      <c r="D33" s="323" t="s">
        <v>988</v>
      </c>
      <c r="E33" s="319" t="s">
        <v>498</v>
      </c>
      <c r="F33" s="319" t="s">
        <v>729</v>
      </c>
      <c r="G33" s="310" t="s">
        <v>499</v>
      </c>
      <c r="H33" s="310" t="s">
        <v>673</v>
      </c>
      <c r="I33" s="310" t="s">
        <v>723</v>
      </c>
      <c r="J33" s="319" t="s">
        <v>373</v>
      </c>
      <c r="K33" s="323" t="s">
        <v>60</v>
      </c>
      <c r="L33" s="323" t="s">
        <v>374</v>
      </c>
      <c r="M33" s="323" t="s">
        <v>372</v>
      </c>
      <c r="N33" s="312"/>
      <c r="O33" s="312"/>
      <c r="P33" s="312"/>
      <c r="Q33" s="319" t="s">
        <v>707</v>
      </c>
      <c r="S33" s="341"/>
      <c r="T33" s="348"/>
    </row>
    <row r="34" spans="1:20" s="330" customFormat="1" ht="51" customHeight="1" x14ac:dyDescent="0.25">
      <c r="A34" s="319" t="s">
        <v>43</v>
      </c>
      <c r="B34" s="307" t="s">
        <v>46</v>
      </c>
      <c r="C34" s="307" t="s">
        <v>46</v>
      </c>
      <c r="D34" s="323" t="s">
        <v>988</v>
      </c>
      <c r="E34" s="319" t="s">
        <v>498</v>
      </c>
      <c r="F34" s="319" t="s">
        <v>729</v>
      </c>
      <c r="G34" s="310" t="s">
        <v>499</v>
      </c>
      <c r="H34" s="310" t="s">
        <v>673</v>
      </c>
      <c r="I34" s="310" t="s">
        <v>723</v>
      </c>
      <c r="J34" s="319" t="s">
        <v>379</v>
      </c>
      <c r="K34" s="323" t="s">
        <v>380</v>
      </c>
      <c r="L34" s="323" t="s">
        <v>381</v>
      </c>
      <c r="M34" s="323" t="s">
        <v>375</v>
      </c>
      <c r="N34" s="312">
        <v>1400333</v>
      </c>
      <c r="O34" s="312">
        <v>62.571782800000001</v>
      </c>
      <c r="P34" s="312">
        <v>-144.6541704</v>
      </c>
      <c r="Q34" s="319" t="s">
        <v>572</v>
      </c>
      <c r="S34" s="341"/>
      <c r="T34" s="348"/>
    </row>
    <row r="35" spans="1:20" s="330" customFormat="1" ht="39" customHeight="1" x14ac:dyDescent="0.25">
      <c r="A35" s="319" t="s">
        <v>43</v>
      </c>
      <c r="B35" s="307" t="s">
        <v>61</v>
      </c>
      <c r="C35" s="307" t="s">
        <v>995</v>
      </c>
      <c r="D35" s="323" t="s">
        <v>988</v>
      </c>
      <c r="E35" s="319" t="s">
        <v>498</v>
      </c>
      <c r="F35" s="319" t="s">
        <v>729</v>
      </c>
      <c r="G35" s="310" t="s">
        <v>499</v>
      </c>
      <c r="H35" s="310" t="s">
        <v>673</v>
      </c>
      <c r="I35" s="310" t="s">
        <v>723</v>
      </c>
      <c r="J35" s="319" t="s">
        <v>379</v>
      </c>
      <c r="K35" s="323" t="s">
        <v>380</v>
      </c>
      <c r="L35" s="323" t="s">
        <v>381</v>
      </c>
      <c r="M35" s="323" t="s">
        <v>375</v>
      </c>
      <c r="N35" s="312"/>
      <c r="O35" s="312"/>
      <c r="P35" s="312"/>
      <c r="Q35" s="319" t="s">
        <v>709</v>
      </c>
      <c r="S35" s="341"/>
      <c r="T35" s="348"/>
    </row>
    <row r="36" spans="1:20" s="330" customFormat="1" ht="90" x14ac:dyDescent="0.25">
      <c r="A36" s="319" t="s">
        <v>43</v>
      </c>
      <c r="B36" s="307" t="s">
        <v>59</v>
      </c>
      <c r="C36" s="351" t="s">
        <v>649</v>
      </c>
      <c r="D36" s="323" t="s">
        <v>988</v>
      </c>
      <c r="E36" s="319" t="s">
        <v>498</v>
      </c>
      <c r="F36" s="319" t="s">
        <v>729</v>
      </c>
      <c r="G36" s="310" t="s">
        <v>499</v>
      </c>
      <c r="H36" s="310" t="s">
        <v>673</v>
      </c>
      <c r="I36" s="310" t="s">
        <v>723</v>
      </c>
      <c r="J36" s="319" t="s">
        <v>373</v>
      </c>
      <c r="K36" s="323" t="s">
        <v>382</v>
      </c>
      <c r="L36" s="323" t="s">
        <v>374</v>
      </c>
      <c r="M36" s="323" t="s">
        <v>372</v>
      </c>
      <c r="N36" s="312"/>
      <c r="O36" s="312"/>
      <c r="P36" s="312"/>
      <c r="Q36" s="319" t="s">
        <v>571</v>
      </c>
      <c r="S36" s="341"/>
      <c r="T36" s="348"/>
    </row>
    <row r="37" spans="1:20" s="330" customFormat="1" ht="30" customHeight="1" x14ac:dyDescent="0.25">
      <c r="A37" s="319" t="s">
        <v>43</v>
      </c>
      <c r="B37" s="307" t="s">
        <v>559</v>
      </c>
      <c r="C37" s="307" t="s">
        <v>681</v>
      </c>
      <c r="D37" s="323" t="s">
        <v>988</v>
      </c>
      <c r="E37" s="319" t="s">
        <v>498</v>
      </c>
      <c r="F37" s="319" t="s">
        <v>729</v>
      </c>
      <c r="G37" s="310" t="s">
        <v>499</v>
      </c>
      <c r="H37" s="310" t="s">
        <v>673</v>
      </c>
      <c r="I37" s="310" t="s">
        <v>723</v>
      </c>
      <c r="J37" s="319" t="s">
        <v>373</v>
      </c>
      <c r="K37" s="323" t="s">
        <v>382</v>
      </c>
      <c r="L37" s="323" t="s">
        <v>374</v>
      </c>
      <c r="M37" s="323" t="s">
        <v>372</v>
      </c>
      <c r="N37" s="312"/>
      <c r="O37" s="312"/>
      <c r="P37" s="312"/>
      <c r="Q37" s="319" t="s">
        <v>700</v>
      </c>
      <c r="S37" s="341"/>
      <c r="T37" s="348"/>
    </row>
    <row r="38" spans="1:20" s="330" customFormat="1" ht="38.25" customHeight="1" x14ac:dyDescent="0.25">
      <c r="A38" s="319" t="s">
        <v>43</v>
      </c>
      <c r="B38" s="307" t="s">
        <v>64</v>
      </c>
      <c r="C38" s="307" t="s">
        <v>684</v>
      </c>
      <c r="D38" s="323" t="s">
        <v>988</v>
      </c>
      <c r="E38" s="319" t="s">
        <v>498</v>
      </c>
      <c r="F38" s="319" t="s">
        <v>729</v>
      </c>
      <c r="G38" s="310" t="s">
        <v>499</v>
      </c>
      <c r="H38" s="310" t="s">
        <v>673</v>
      </c>
      <c r="I38" s="310" t="s">
        <v>723</v>
      </c>
      <c r="J38" s="319" t="s">
        <v>376</v>
      </c>
      <c r="K38" s="323" t="s">
        <v>383</v>
      </c>
      <c r="L38" s="323" t="s">
        <v>378</v>
      </c>
      <c r="M38" s="323" t="s">
        <v>375</v>
      </c>
      <c r="N38" s="312"/>
      <c r="O38" s="312"/>
      <c r="P38" s="312"/>
      <c r="Q38" s="319" t="s">
        <v>705</v>
      </c>
      <c r="S38" s="341"/>
      <c r="T38" s="348"/>
    </row>
    <row r="39" spans="1:20" s="330" customFormat="1" ht="38.25" customHeight="1" x14ac:dyDescent="0.25">
      <c r="A39" s="319" t="s">
        <v>43</v>
      </c>
      <c r="B39" s="307" t="s">
        <v>64</v>
      </c>
      <c r="C39" s="307" t="s">
        <v>62</v>
      </c>
      <c r="D39" s="323" t="s">
        <v>988</v>
      </c>
      <c r="E39" s="319" t="s">
        <v>498</v>
      </c>
      <c r="F39" s="319" t="s">
        <v>729</v>
      </c>
      <c r="G39" s="310" t="s">
        <v>499</v>
      </c>
      <c r="H39" s="310" t="s">
        <v>673</v>
      </c>
      <c r="I39" s="310" t="s">
        <v>723</v>
      </c>
      <c r="J39" s="319" t="s">
        <v>376</v>
      </c>
      <c r="K39" s="323" t="s">
        <v>383</v>
      </c>
      <c r="L39" s="323" t="s">
        <v>384</v>
      </c>
      <c r="M39" s="323" t="s">
        <v>375</v>
      </c>
      <c r="N39" s="312">
        <v>1410765</v>
      </c>
      <c r="O39" s="312">
        <v>63.135051199999999</v>
      </c>
      <c r="P39" s="312">
        <v>-142.52387959999999</v>
      </c>
      <c r="Q39" s="319" t="s">
        <v>689</v>
      </c>
      <c r="S39" s="341"/>
      <c r="T39" s="348"/>
    </row>
    <row r="40" spans="1:20" s="330" customFormat="1" ht="38.25" customHeight="1" x14ac:dyDescent="0.25">
      <c r="A40" s="319" t="s">
        <v>43</v>
      </c>
      <c r="B40" s="307" t="s">
        <v>64</v>
      </c>
      <c r="C40" s="307" t="s">
        <v>685</v>
      </c>
      <c r="D40" s="323" t="s">
        <v>988</v>
      </c>
      <c r="E40" s="319" t="s">
        <v>498</v>
      </c>
      <c r="F40" s="319" t="s">
        <v>729</v>
      </c>
      <c r="G40" s="310" t="s">
        <v>499</v>
      </c>
      <c r="H40" s="310" t="s">
        <v>673</v>
      </c>
      <c r="I40" s="310" t="s">
        <v>723</v>
      </c>
      <c r="J40" s="319" t="s">
        <v>376</v>
      </c>
      <c r="K40" s="323" t="s">
        <v>383</v>
      </c>
      <c r="L40" s="323" t="s">
        <v>378</v>
      </c>
      <c r="M40" s="323" t="s">
        <v>375</v>
      </c>
      <c r="N40" s="312"/>
      <c r="O40" s="312"/>
      <c r="P40" s="312"/>
      <c r="Q40" s="319" t="s">
        <v>701</v>
      </c>
      <c r="S40" s="341"/>
      <c r="T40" s="348"/>
    </row>
    <row r="41" spans="1:20" s="330" customFormat="1" ht="42.75" customHeight="1" x14ac:dyDescent="0.25">
      <c r="A41" s="319" t="s">
        <v>43</v>
      </c>
      <c r="B41" s="307" t="s">
        <v>49</v>
      </c>
      <c r="C41" s="307" t="s">
        <v>48</v>
      </c>
      <c r="D41" s="323" t="s">
        <v>988</v>
      </c>
      <c r="E41" s="319" t="s">
        <v>498</v>
      </c>
      <c r="F41" s="319" t="s">
        <v>729</v>
      </c>
      <c r="G41" s="310" t="s">
        <v>499</v>
      </c>
      <c r="H41" s="310" t="s">
        <v>673</v>
      </c>
      <c r="I41" s="310" t="s">
        <v>723</v>
      </c>
      <c r="J41" s="319" t="s">
        <v>373</v>
      </c>
      <c r="K41" s="323" t="s">
        <v>382</v>
      </c>
      <c r="L41" s="323" t="s">
        <v>374</v>
      </c>
      <c r="M41" s="323" t="s">
        <v>372</v>
      </c>
      <c r="N41" s="312">
        <v>1421260</v>
      </c>
      <c r="O41" s="312">
        <v>55.476388900000003</v>
      </c>
      <c r="P41" s="312">
        <v>-133.14833329999999</v>
      </c>
      <c r="Q41" s="319" t="s">
        <v>580</v>
      </c>
      <c r="S41" s="341"/>
      <c r="T41" s="348"/>
    </row>
    <row r="42" spans="1:20" s="330" customFormat="1" ht="38.25" customHeight="1" x14ac:dyDescent="0.25">
      <c r="A42" s="319" t="s">
        <v>43</v>
      </c>
      <c r="B42" s="307" t="s">
        <v>65</v>
      </c>
      <c r="C42" s="307" t="s">
        <v>65</v>
      </c>
      <c r="D42" s="323" t="s">
        <v>988</v>
      </c>
      <c r="E42" s="319" t="s">
        <v>498</v>
      </c>
      <c r="F42" s="319" t="s">
        <v>729</v>
      </c>
      <c r="G42" s="310" t="s">
        <v>500</v>
      </c>
      <c r="H42" s="310" t="s">
        <v>673</v>
      </c>
      <c r="I42" s="310" t="s">
        <v>723</v>
      </c>
      <c r="J42" s="319" t="s">
        <v>373</v>
      </c>
      <c r="K42" s="323" t="s">
        <v>382</v>
      </c>
      <c r="L42" s="323" t="s">
        <v>374</v>
      </c>
      <c r="M42" s="323" t="s">
        <v>372</v>
      </c>
      <c r="N42" s="312">
        <v>1744590</v>
      </c>
      <c r="O42" s="312">
        <v>56.115277800000001</v>
      </c>
      <c r="P42" s="312">
        <v>-133.12083329999999</v>
      </c>
      <c r="Q42" s="319"/>
      <c r="S42" s="341"/>
      <c r="T42" s="348"/>
    </row>
    <row r="43" spans="1:20" s="330" customFormat="1" ht="38.25" customHeight="1" x14ac:dyDescent="0.25">
      <c r="A43" s="319" t="s">
        <v>524</v>
      </c>
      <c r="B43" s="307" t="s">
        <v>66</v>
      </c>
      <c r="C43" s="307" t="s">
        <v>66</v>
      </c>
      <c r="D43" s="323" t="s">
        <v>987</v>
      </c>
      <c r="E43" s="319" t="s">
        <v>498</v>
      </c>
      <c r="F43" s="319" t="s">
        <v>730</v>
      </c>
      <c r="G43" s="310" t="s">
        <v>500</v>
      </c>
      <c r="H43" s="310" t="s">
        <v>673</v>
      </c>
      <c r="I43" s="310" t="s">
        <v>385</v>
      </c>
      <c r="J43" s="319" t="s">
        <v>363</v>
      </c>
      <c r="K43" s="323" t="s">
        <v>386</v>
      </c>
      <c r="L43" s="323" t="s">
        <v>365</v>
      </c>
      <c r="M43" s="323" t="s">
        <v>375</v>
      </c>
      <c r="N43" s="312">
        <v>1398042</v>
      </c>
      <c r="O43" s="312">
        <v>62.688888900000002</v>
      </c>
      <c r="P43" s="312">
        <v>-164.6152778</v>
      </c>
      <c r="Q43" s="319"/>
      <c r="S43" s="341"/>
      <c r="T43" s="348"/>
    </row>
    <row r="44" spans="1:20" s="330" customFormat="1" ht="38.25" customHeight="1" x14ac:dyDescent="0.25">
      <c r="A44" s="319" t="s">
        <v>524</v>
      </c>
      <c r="B44" s="307" t="s">
        <v>67</v>
      </c>
      <c r="C44" s="307" t="s">
        <v>67</v>
      </c>
      <c r="D44" s="323" t="s">
        <v>987</v>
      </c>
      <c r="E44" s="319" t="s">
        <v>498</v>
      </c>
      <c r="F44" s="319" t="s">
        <v>730</v>
      </c>
      <c r="G44" s="310" t="s">
        <v>500</v>
      </c>
      <c r="H44" s="310" t="s">
        <v>673</v>
      </c>
      <c r="I44" s="310" t="s">
        <v>385</v>
      </c>
      <c r="J44" s="319" t="s">
        <v>388</v>
      </c>
      <c r="K44" s="323" t="s">
        <v>388</v>
      </c>
      <c r="L44" s="323" t="s">
        <v>389</v>
      </c>
      <c r="M44" s="323" t="s">
        <v>387</v>
      </c>
      <c r="N44" s="312">
        <v>1412509</v>
      </c>
      <c r="O44" s="312">
        <v>67.086111099999997</v>
      </c>
      <c r="P44" s="312">
        <v>-157.85138889999999</v>
      </c>
      <c r="Q44" s="319"/>
      <c r="S44" s="341"/>
      <c r="T44" s="348"/>
    </row>
    <row r="45" spans="1:20" s="330" customFormat="1" ht="25.5" customHeight="1" x14ac:dyDescent="0.25">
      <c r="A45" s="319" t="s">
        <v>524</v>
      </c>
      <c r="B45" s="307" t="s">
        <v>68</v>
      </c>
      <c r="C45" s="307" t="s">
        <v>68</v>
      </c>
      <c r="D45" s="323" t="s">
        <v>987</v>
      </c>
      <c r="E45" s="319" t="s">
        <v>498</v>
      </c>
      <c r="F45" s="319" t="s">
        <v>730</v>
      </c>
      <c r="G45" s="310" t="s">
        <v>500</v>
      </c>
      <c r="H45" s="310" t="s">
        <v>673</v>
      </c>
      <c r="I45" s="310" t="s">
        <v>385</v>
      </c>
      <c r="J45" s="319" t="s">
        <v>376</v>
      </c>
      <c r="K45" s="323" t="s">
        <v>377</v>
      </c>
      <c r="L45" s="323" t="s">
        <v>378</v>
      </c>
      <c r="M45" s="323" t="s">
        <v>375</v>
      </c>
      <c r="N45" s="312">
        <v>1398335</v>
      </c>
      <c r="O45" s="312">
        <v>62.656111099999997</v>
      </c>
      <c r="P45" s="312">
        <v>-160.2066667</v>
      </c>
      <c r="Q45" s="319"/>
      <c r="S45" s="341"/>
      <c r="T45" s="348"/>
    </row>
    <row r="46" spans="1:20" s="330" customFormat="1" ht="51" customHeight="1" x14ac:dyDescent="0.25">
      <c r="A46" s="319" t="s">
        <v>524</v>
      </c>
      <c r="B46" s="307" t="s">
        <v>69</v>
      </c>
      <c r="C46" s="307" t="s">
        <v>69</v>
      </c>
      <c r="D46" s="323" t="s">
        <v>987</v>
      </c>
      <c r="E46" s="319" t="s">
        <v>498</v>
      </c>
      <c r="F46" s="319" t="s">
        <v>730</v>
      </c>
      <c r="G46" s="310" t="s">
        <v>500</v>
      </c>
      <c r="H46" s="310" t="s">
        <v>673</v>
      </c>
      <c r="I46" s="310" t="s">
        <v>385</v>
      </c>
      <c r="J46" s="319" t="s">
        <v>390</v>
      </c>
      <c r="K46" s="323" t="s">
        <v>391</v>
      </c>
      <c r="L46" s="323" t="s">
        <v>390</v>
      </c>
      <c r="M46" s="323" t="s">
        <v>387</v>
      </c>
      <c r="N46" s="312">
        <v>1420670</v>
      </c>
      <c r="O46" s="312">
        <v>65.334722200000002</v>
      </c>
      <c r="P46" s="312">
        <v>-166.4891667</v>
      </c>
      <c r="Q46" s="319"/>
      <c r="S46" s="341"/>
      <c r="T46" s="348"/>
    </row>
    <row r="47" spans="1:20" s="330" customFormat="1" ht="54" customHeight="1" x14ac:dyDescent="0.25">
      <c r="A47" s="319" t="s">
        <v>524</v>
      </c>
      <c r="B47" s="307" t="s">
        <v>70</v>
      </c>
      <c r="C47" s="307" t="s">
        <v>70</v>
      </c>
      <c r="D47" s="323" t="s">
        <v>987</v>
      </c>
      <c r="E47" s="319" t="s">
        <v>498</v>
      </c>
      <c r="F47" s="319" t="s">
        <v>730</v>
      </c>
      <c r="G47" s="310" t="s">
        <v>500</v>
      </c>
      <c r="H47" s="310" t="s">
        <v>673</v>
      </c>
      <c r="I47" s="310" t="s">
        <v>385</v>
      </c>
      <c r="J47" s="319" t="s">
        <v>363</v>
      </c>
      <c r="K47" s="323" t="s">
        <v>386</v>
      </c>
      <c r="L47" s="323" t="s">
        <v>365</v>
      </c>
      <c r="M47" s="323" t="s">
        <v>375</v>
      </c>
      <c r="N47" s="312">
        <v>1400219</v>
      </c>
      <c r="O47" s="312">
        <v>61.527777800000003</v>
      </c>
      <c r="P47" s="312">
        <v>-165.5863889</v>
      </c>
      <c r="Q47" s="319"/>
      <c r="S47" s="341"/>
      <c r="T47" s="348"/>
    </row>
    <row r="48" spans="1:20" s="330" customFormat="1" ht="25.5" customHeight="1" x14ac:dyDescent="0.25">
      <c r="A48" s="319" t="s">
        <v>524</v>
      </c>
      <c r="B48" s="307" t="s">
        <v>71</v>
      </c>
      <c r="C48" s="307" t="s">
        <v>71</v>
      </c>
      <c r="D48" s="323" t="s">
        <v>987</v>
      </c>
      <c r="E48" s="319" t="s">
        <v>498</v>
      </c>
      <c r="F48" s="319" t="s">
        <v>730</v>
      </c>
      <c r="G48" s="310" t="s">
        <v>500</v>
      </c>
      <c r="H48" s="310" t="s">
        <v>673</v>
      </c>
      <c r="I48" s="310" t="s">
        <v>385</v>
      </c>
      <c r="J48" s="319" t="s">
        <v>363</v>
      </c>
      <c r="K48" s="323" t="s">
        <v>364</v>
      </c>
      <c r="L48" s="323" t="s">
        <v>365</v>
      </c>
      <c r="M48" s="323" t="s">
        <v>362</v>
      </c>
      <c r="N48" s="312">
        <v>1401666</v>
      </c>
      <c r="O48" s="312">
        <v>60.218888900000003</v>
      </c>
      <c r="P48" s="312">
        <v>-162.02444439999999</v>
      </c>
      <c r="Q48" s="319"/>
      <c r="S48" s="341"/>
      <c r="T48" s="348"/>
    </row>
    <row r="49" spans="1:20" s="330" customFormat="1" ht="38.25" customHeight="1" x14ac:dyDescent="0.25">
      <c r="A49" s="319" t="s">
        <v>524</v>
      </c>
      <c r="B49" s="307" t="s">
        <v>173</v>
      </c>
      <c r="C49" s="307" t="s">
        <v>173</v>
      </c>
      <c r="D49" s="319" t="s">
        <v>987</v>
      </c>
      <c r="E49" s="319" t="s">
        <v>498</v>
      </c>
      <c r="F49" s="319" t="s">
        <v>730</v>
      </c>
      <c r="G49" s="310" t="s">
        <v>500</v>
      </c>
      <c r="H49" s="310" t="s">
        <v>673</v>
      </c>
      <c r="I49" s="310" t="s">
        <v>419</v>
      </c>
      <c r="J49" s="319" t="s">
        <v>392</v>
      </c>
      <c r="K49" s="323" t="s">
        <v>393</v>
      </c>
      <c r="L49" s="323" t="s">
        <v>392</v>
      </c>
      <c r="M49" s="323" t="s">
        <v>362</v>
      </c>
      <c r="N49" s="312">
        <v>1401738</v>
      </c>
      <c r="O49" s="312">
        <v>59.349722200000002</v>
      </c>
      <c r="P49" s="312">
        <v>-157.47527779999999</v>
      </c>
      <c r="Q49" s="319"/>
      <c r="S49" s="341"/>
      <c r="T49" s="348"/>
    </row>
    <row r="50" spans="1:20" s="330" customFormat="1" ht="25.5" customHeight="1" x14ac:dyDescent="0.25">
      <c r="A50" s="319" t="s">
        <v>524</v>
      </c>
      <c r="B50" s="307" t="s">
        <v>72</v>
      </c>
      <c r="C50" s="307" t="s">
        <v>72</v>
      </c>
      <c r="D50" s="323" t="s">
        <v>987</v>
      </c>
      <c r="E50" s="319" t="s">
        <v>498</v>
      </c>
      <c r="F50" s="319" t="s">
        <v>730</v>
      </c>
      <c r="G50" s="310" t="s">
        <v>500</v>
      </c>
      <c r="H50" s="310" t="s">
        <v>673</v>
      </c>
      <c r="I50" s="310" t="s">
        <v>385</v>
      </c>
      <c r="J50" s="319" t="s">
        <v>390</v>
      </c>
      <c r="K50" s="323" t="s">
        <v>391</v>
      </c>
      <c r="L50" s="323" t="s">
        <v>390</v>
      </c>
      <c r="M50" s="323" t="s">
        <v>387</v>
      </c>
      <c r="N50" s="312">
        <v>1401788</v>
      </c>
      <c r="O50" s="312">
        <v>64.617500000000007</v>
      </c>
      <c r="P50" s="312">
        <v>-162.2605556</v>
      </c>
      <c r="Q50" s="319"/>
      <c r="S50" s="341"/>
      <c r="T50" s="348"/>
    </row>
    <row r="51" spans="1:20" s="330" customFormat="1" ht="25.5" customHeight="1" x14ac:dyDescent="0.25">
      <c r="A51" s="319" t="s">
        <v>524</v>
      </c>
      <c r="B51" s="307" t="s">
        <v>73</v>
      </c>
      <c r="C51" s="307" t="s">
        <v>73</v>
      </c>
      <c r="D51" s="323" t="s">
        <v>987</v>
      </c>
      <c r="E51" s="319" t="s">
        <v>498</v>
      </c>
      <c r="F51" s="319" t="s">
        <v>730</v>
      </c>
      <c r="G51" s="310" t="s">
        <v>500</v>
      </c>
      <c r="H51" s="310" t="s">
        <v>673</v>
      </c>
      <c r="I51" s="310" t="s">
        <v>385</v>
      </c>
      <c r="J51" s="319" t="s">
        <v>363</v>
      </c>
      <c r="K51" s="323" t="s">
        <v>386</v>
      </c>
      <c r="L51" s="323" t="s">
        <v>365</v>
      </c>
      <c r="M51" s="323" t="s">
        <v>375</v>
      </c>
      <c r="N51" s="312">
        <v>1401837</v>
      </c>
      <c r="O51" s="312">
        <v>62.777777800000003</v>
      </c>
      <c r="P51" s="312">
        <v>-164.52305559999999</v>
      </c>
      <c r="Q51" s="319"/>
      <c r="S51" s="341"/>
      <c r="T51" s="348"/>
    </row>
    <row r="52" spans="1:20" s="330" customFormat="1" ht="38.25" customHeight="1" x14ac:dyDescent="0.25">
      <c r="A52" s="319" t="s">
        <v>524</v>
      </c>
      <c r="B52" s="307" t="s">
        <v>74</v>
      </c>
      <c r="C52" s="307" t="s">
        <v>74</v>
      </c>
      <c r="D52" s="323" t="s">
        <v>987</v>
      </c>
      <c r="E52" s="319" t="s">
        <v>498</v>
      </c>
      <c r="F52" s="319" t="s">
        <v>730</v>
      </c>
      <c r="G52" s="310" t="s">
        <v>500</v>
      </c>
      <c r="H52" s="310" t="s">
        <v>673</v>
      </c>
      <c r="I52" s="310" t="s">
        <v>385</v>
      </c>
      <c r="J52" s="319" t="s">
        <v>390</v>
      </c>
      <c r="K52" s="323" t="s">
        <v>391</v>
      </c>
      <c r="L52" s="323" t="s">
        <v>390</v>
      </c>
      <c r="M52" s="323" t="s">
        <v>387</v>
      </c>
      <c r="N52" s="312">
        <v>1402463</v>
      </c>
      <c r="O52" s="312">
        <v>63.779722200000002</v>
      </c>
      <c r="P52" s="312">
        <v>-171.74111110000001</v>
      </c>
      <c r="Q52" s="319"/>
      <c r="S52" s="341"/>
      <c r="T52" s="348"/>
    </row>
    <row r="53" spans="1:20" s="330" customFormat="1" ht="25.5" customHeight="1" x14ac:dyDescent="0.25">
      <c r="A53" s="319" t="s">
        <v>524</v>
      </c>
      <c r="B53" s="307" t="s">
        <v>75</v>
      </c>
      <c r="C53" s="307" t="s">
        <v>75</v>
      </c>
      <c r="D53" s="323" t="s">
        <v>987</v>
      </c>
      <c r="E53" s="319" t="s">
        <v>498</v>
      </c>
      <c r="F53" s="319" t="s">
        <v>730</v>
      </c>
      <c r="G53" s="310" t="s">
        <v>500</v>
      </c>
      <c r="H53" s="310" t="s">
        <v>673</v>
      </c>
      <c r="I53" s="310" t="s">
        <v>385</v>
      </c>
      <c r="J53" s="319" t="s">
        <v>363</v>
      </c>
      <c r="K53" s="323" t="s">
        <v>364</v>
      </c>
      <c r="L53" s="323" t="s">
        <v>365</v>
      </c>
      <c r="M53" s="323" t="s">
        <v>362</v>
      </c>
      <c r="N53" s="312">
        <v>1415910</v>
      </c>
      <c r="O53" s="312">
        <v>59.118888900000002</v>
      </c>
      <c r="P53" s="312">
        <v>-161.58750000000001</v>
      </c>
      <c r="Q53" s="319"/>
      <c r="S53" s="341"/>
      <c r="T53" s="348"/>
    </row>
    <row r="54" spans="1:20" s="330" customFormat="1" ht="25.5" customHeight="1" x14ac:dyDescent="0.25">
      <c r="A54" s="319" t="s">
        <v>524</v>
      </c>
      <c r="B54" s="307" t="s">
        <v>76</v>
      </c>
      <c r="C54" s="307" t="s">
        <v>76</v>
      </c>
      <c r="D54" s="323" t="s">
        <v>987</v>
      </c>
      <c r="E54" s="319" t="s">
        <v>498</v>
      </c>
      <c r="F54" s="319" t="s">
        <v>730</v>
      </c>
      <c r="G54" s="310" t="s">
        <v>500</v>
      </c>
      <c r="H54" s="310" t="s">
        <v>673</v>
      </c>
      <c r="I54" s="310" t="s">
        <v>385</v>
      </c>
      <c r="J54" s="319" t="s">
        <v>376</v>
      </c>
      <c r="K54" s="323" t="s">
        <v>377</v>
      </c>
      <c r="L54" s="323" t="s">
        <v>378</v>
      </c>
      <c r="M54" s="323" t="s">
        <v>375</v>
      </c>
      <c r="N54" s="312">
        <v>1402921</v>
      </c>
      <c r="O54" s="312">
        <v>62.903611099999999</v>
      </c>
      <c r="P54" s="312">
        <v>-160.06472220000001</v>
      </c>
      <c r="Q54" s="319"/>
      <c r="S54" s="341"/>
      <c r="T54" s="348"/>
    </row>
    <row r="55" spans="1:20" s="330" customFormat="1" ht="38.25" customHeight="1" x14ac:dyDescent="0.25">
      <c r="A55" s="319" t="s">
        <v>524</v>
      </c>
      <c r="B55" s="307" t="s">
        <v>77</v>
      </c>
      <c r="C55" s="307" t="s">
        <v>77</v>
      </c>
      <c r="D55" s="323" t="s">
        <v>987</v>
      </c>
      <c r="E55" s="319" t="s">
        <v>498</v>
      </c>
      <c r="F55" s="319" t="s">
        <v>730</v>
      </c>
      <c r="G55" s="310" t="s">
        <v>500</v>
      </c>
      <c r="H55" s="310" t="s">
        <v>673</v>
      </c>
      <c r="I55" s="310" t="s">
        <v>385</v>
      </c>
      <c r="J55" s="319" t="s">
        <v>376</v>
      </c>
      <c r="K55" s="323" t="s">
        <v>377</v>
      </c>
      <c r="L55" s="323" t="s">
        <v>378</v>
      </c>
      <c r="M55" s="323" t="s">
        <v>375</v>
      </c>
      <c r="N55" s="312">
        <v>1403447</v>
      </c>
      <c r="O55" s="312">
        <v>62.199444399999997</v>
      </c>
      <c r="P55" s="312">
        <v>-159.77138890000001</v>
      </c>
      <c r="Q55" s="319"/>
      <c r="S55" s="341"/>
      <c r="T55" s="348"/>
    </row>
    <row r="56" spans="1:20" s="330" customFormat="1" ht="38.25" customHeight="1" x14ac:dyDescent="0.25">
      <c r="A56" s="319" t="s">
        <v>524</v>
      </c>
      <c r="B56" s="307" t="s">
        <v>78</v>
      </c>
      <c r="C56" s="307" t="s">
        <v>78</v>
      </c>
      <c r="D56" s="323" t="s">
        <v>987</v>
      </c>
      <c r="E56" s="319" t="s">
        <v>498</v>
      </c>
      <c r="F56" s="319" t="s">
        <v>730</v>
      </c>
      <c r="G56" s="310" t="s">
        <v>500</v>
      </c>
      <c r="H56" s="310" t="s">
        <v>673</v>
      </c>
      <c r="I56" s="310" t="s">
        <v>385</v>
      </c>
      <c r="J56" s="319" t="s">
        <v>363</v>
      </c>
      <c r="K56" s="323" t="s">
        <v>386</v>
      </c>
      <c r="L56" s="323" t="s">
        <v>365</v>
      </c>
      <c r="M56" s="323" t="s">
        <v>375</v>
      </c>
      <c r="N56" s="312">
        <v>1403493</v>
      </c>
      <c r="O56" s="312">
        <v>61.531111099999997</v>
      </c>
      <c r="P56" s="312">
        <v>-166.09666669999999</v>
      </c>
      <c r="Q56" s="319"/>
      <c r="S56" s="341"/>
      <c r="T56" s="348"/>
    </row>
    <row r="57" spans="1:20" s="330" customFormat="1" ht="38.25" customHeight="1" x14ac:dyDescent="0.25">
      <c r="A57" s="319" t="s">
        <v>524</v>
      </c>
      <c r="B57" s="307" t="s">
        <v>79</v>
      </c>
      <c r="C57" s="307" t="s">
        <v>79</v>
      </c>
      <c r="D57" s="323" t="s">
        <v>987</v>
      </c>
      <c r="E57" s="319" t="s">
        <v>498</v>
      </c>
      <c r="F57" s="319" t="s">
        <v>730</v>
      </c>
      <c r="G57" s="310" t="s">
        <v>500</v>
      </c>
      <c r="H57" s="310" t="s">
        <v>673</v>
      </c>
      <c r="I57" s="310" t="s">
        <v>385</v>
      </c>
      <c r="J57" s="319" t="s">
        <v>376</v>
      </c>
      <c r="K57" s="323" t="s">
        <v>377</v>
      </c>
      <c r="L57" s="323" t="s">
        <v>378</v>
      </c>
      <c r="M57" s="323" t="s">
        <v>375</v>
      </c>
      <c r="N57" s="312">
        <v>1403644</v>
      </c>
      <c r="O57" s="312">
        <v>65.698611099999994</v>
      </c>
      <c r="P57" s="312">
        <v>-156.39972220000001</v>
      </c>
      <c r="Q57" s="319"/>
      <c r="S57" s="341"/>
      <c r="T57" s="348"/>
    </row>
    <row r="58" spans="1:20" s="330" customFormat="1" ht="38.25" customHeight="1" x14ac:dyDescent="0.25">
      <c r="A58" s="319" t="s">
        <v>524</v>
      </c>
      <c r="B58" s="307" t="s">
        <v>80</v>
      </c>
      <c r="C58" s="307" t="s">
        <v>80</v>
      </c>
      <c r="D58" s="323" t="s">
        <v>987</v>
      </c>
      <c r="E58" s="319" t="s">
        <v>498</v>
      </c>
      <c r="F58" s="319" t="s">
        <v>730</v>
      </c>
      <c r="G58" s="310" t="s">
        <v>500</v>
      </c>
      <c r="H58" s="310" t="s">
        <v>673</v>
      </c>
      <c r="I58" s="310" t="s">
        <v>385</v>
      </c>
      <c r="J58" s="319" t="s">
        <v>376</v>
      </c>
      <c r="K58" s="323" t="s">
        <v>377</v>
      </c>
      <c r="L58" s="323" t="s">
        <v>378</v>
      </c>
      <c r="M58" s="323" t="s">
        <v>375</v>
      </c>
      <c r="N58" s="312">
        <v>1404379</v>
      </c>
      <c r="O58" s="312">
        <v>64.327222199999994</v>
      </c>
      <c r="P58" s="312">
        <v>-158.72194440000001</v>
      </c>
      <c r="Q58" s="319"/>
      <c r="S58" s="341"/>
      <c r="T58" s="348"/>
    </row>
    <row r="59" spans="1:20" s="330" customFormat="1" ht="25.5" customHeight="1" x14ac:dyDescent="0.25">
      <c r="A59" s="319" t="s">
        <v>524</v>
      </c>
      <c r="B59" s="307" t="s">
        <v>81</v>
      </c>
      <c r="C59" s="307" t="s">
        <v>992</v>
      </c>
      <c r="D59" s="323" t="s">
        <v>987</v>
      </c>
      <c r="E59" s="319" t="s">
        <v>498</v>
      </c>
      <c r="F59" s="319" t="s">
        <v>730</v>
      </c>
      <c r="G59" s="310" t="s">
        <v>499</v>
      </c>
      <c r="H59" s="310" t="s">
        <v>673</v>
      </c>
      <c r="I59" s="310" t="s">
        <v>385</v>
      </c>
      <c r="J59" s="319" t="s">
        <v>363</v>
      </c>
      <c r="K59" s="323" t="s">
        <v>364</v>
      </c>
      <c r="L59" s="323" t="s">
        <v>365</v>
      </c>
      <c r="M59" s="323" t="s">
        <v>362</v>
      </c>
      <c r="N59" s="312"/>
      <c r="O59" s="312"/>
      <c r="P59" s="312"/>
      <c r="Q59" s="319" t="s">
        <v>692</v>
      </c>
      <c r="S59" s="341"/>
      <c r="T59" s="348"/>
    </row>
    <row r="60" spans="1:20" s="330" customFormat="1" ht="49.5" customHeight="1" x14ac:dyDescent="0.25">
      <c r="A60" s="319" t="s">
        <v>524</v>
      </c>
      <c r="B60" s="307" t="s">
        <v>96</v>
      </c>
      <c r="C60" s="307" t="s">
        <v>96</v>
      </c>
      <c r="D60" s="323" t="s">
        <v>987</v>
      </c>
      <c r="E60" s="319" t="s">
        <v>498</v>
      </c>
      <c r="F60" s="319" t="s">
        <v>730</v>
      </c>
      <c r="G60" s="310" t="s">
        <v>499</v>
      </c>
      <c r="H60" s="310" t="s">
        <v>673</v>
      </c>
      <c r="I60" s="310" t="s">
        <v>385</v>
      </c>
      <c r="J60" s="319" t="s">
        <v>363</v>
      </c>
      <c r="K60" s="323" t="s">
        <v>364</v>
      </c>
      <c r="L60" s="323" t="s">
        <v>365</v>
      </c>
      <c r="M60" s="323" t="s">
        <v>362</v>
      </c>
      <c r="N60" s="312">
        <v>1407339</v>
      </c>
      <c r="O60" s="312">
        <v>60.896944400000002</v>
      </c>
      <c r="P60" s="312">
        <v>-162.4594444</v>
      </c>
      <c r="Q60" s="319" t="s">
        <v>697</v>
      </c>
      <c r="S60" s="341"/>
      <c r="T60" s="348"/>
    </row>
    <row r="61" spans="1:20" s="330" customFormat="1" ht="49.5" customHeight="1" x14ac:dyDescent="0.25">
      <c r="A61" s="319" t="s">
        <v>524</v>
      </c>
      <c r="B61" s="307" t="s">
        <v>82</v>
      </c>
      <c r="C61" s="307" t="s">
        <v>82</v>
      </c>
      <c r="D61" s="323" t="s">
        <v>987</v>
      </c>
      <c r="E61" s="319" t="s">
        <v>498</v>
      </c>
      <c r="F61" s="319" t="s">
        <v>730</v>
      </c>
      <c r="G61" s="310" t="s">
        <v>500</v>
      </c>
      <c r="H61" s="310" t="s">
        <v>673</v>
      </c>
      <c r="I61" s="310" t="s">
        <v>385</v>
      </c>
      <c r="J61" s="319" t="s">
        <v>388</v>
      </c>
      <c r="K61" s="323" t="s">
        <v>388</v>
      </c>
      <c r="L61" s="323" t="s">
        <v>389</v>
      </c>
      <c r="M61" s="323" t="s">
        <v>387</v>
      </c>
      <c r="N61" s="312">
        <v>1413311</v>
      </c>
      <c r="O61" s="312">
        <v>66.974999999999994</v>
      </c>
      <c r="P61" s="312">
        <v>-160.42277780000001</v>
      </c>
      <c r="Q61" s="319"/>
      <c r="S61" s="341"/>
      <c r="T61" s="348"/>
    </row>
    <row r="62" spans="1:20" s="330" customFormat="1" ht="49.5" customHeight="1" x14ac:dyDescent="0.25">
      <c r="A62" s="319" t="s">
        <v>524</v>
      </c>
      <c r="B62" s="307" t="s">
        <v>83</v>
      </c>
      <c r="C62" s="307" t="s">
        <v>83</v>
      </c>
      <c r="D62" s="323" t="s">
        <v>987</v>
      </c>
      <c r="E62" s="319" t="s">
        <v>498</v>
      </c>
      <c r="F62" s="319" t="s">
        <v>730</v>
      </c>
      <c r="G62" s="310" t="s">
        <v>500</v>
      </c>
      <c r="H62" s="310" t="s">
        <v>673</v>
      </c>
      <c r="I62" s="310" t="s">
        <v>385</v>
      </c>
      <c r="J62" s="319" t="s">
        <v>388</v>
      </c>
      <c r="K62" s="323" t="s">
        <v>388</v>
      </c>
      <c r="L62" s="323" t="s">
        <v>389</v>
      </c>
      <c r="M62" s="323" t="s">
        <v>387</v>
      </c>
      <c r="N62" s="312">
        <v>1413348</v>
      </c>
      <c r="O62" s="312">
        <v>67.726944399999994</v>
      </c>
      <c r="P62" s="312">
        <v>-164.53333330000001</v>
      </c>
      <c r="Q62" s="319"/>
      <c r="S62" s="341"/>
      <c r="T62" s="348"/>
    </row>
    <row r="63" spans="1:20" s="330" customFormat="1" ht="38.25" customHeight="1" x14ac:dyDescent="0.25">
      <c r="A63" s="319" t="s">
        <v>524</v>
      </c>
      <c r="B63" s="307" t="s">
        <v>84</v>
      </c>
      <c r="C63" s="307" t="s">
        <v>84</v>
      </c>
      <c r="D63" s="323" t="s">
        <v>987</v>
      </c>
      <c r="E63" s="323" t="s">
        <v>498</v>
      </c>
      <c r="F63" s="323" t="s">
        <v>730</v>
      </c>
      <c r="G63" s="373" t="s">
        <v>500</v>
      </c>
      <c r="H63" s="310" t="s">
        <v>673</v>
      </c>
      <c r="I63" s="310" t="s">
        <v>385</v>
      </c>
      <c r="J63" s="323" t="s">
        <v>363</v>
      </c>
      <c r="K63" s="323" t="s">
        <v>386</v>
      </c>
      <c r="L63" s="323" t="s">
        <v>365</v>
      </c>
      <c r="M63" s="323" t="s">
        <v>375</v>
      </c>
      <c r="N63" s="312">
        <v>1404964</v>
      </c>
      <c r="O63" s="312">
        <v>63.0341667</v>
      </c>
      <c r="P63" s="312">
        <v>-163.55333329999999</v>
      </c>
      <c r="Q63" s="319"/>
      <c r="S63" s="341"/>
    </row>
    <row r="64" spans="1:20" s="330" customFormat="1" ht="25.5" customHeight="1" x14ac:dyDescent="0.25">
      <c r="A64" s="319" t="s">
        <v>524</v>
      </c>
      <c r="B64" s="307" t="s">
        <v>85</v>
      </c>
      <c r="C64" s="307" t="s">
        <v>85</v>
      </c>
      <c r="D64" s="323" t="s">
        <v>987</v>
      </c>
      <c r="E64" s="319" t="s">
        <v>498</v>
      </c>
      <c r="F64" s="319" t="s">
        <v>730</v>
      </c>
      <c r="G64" s="310" t="s">
        <v>500</v>
      </c>
      <c r="H64" s="310" t="s">
        <v>673</v>
      </c>
      <c r="I64" s="310" t="s">
        <v>385</v>
      </c>
      <c r="J64" s="319" t="s">
        <v>390</v>
      </c>
      <c r="K64" s="323" t="s">
        <v>391</v>
      </c>
      <c r="L64" s="323" t="s">
        <v>390</v>
      </c>
      <c r="M64" s="323" t="s">
        <v>387</v>
      </c>
      <c r="N64" s="312">
        <v>1404981</v>
      </c>
      <c r="O64" s="312">
        <v>64.931944400000006</v>
      </c>
      <c r="P64" s="312">
        <v>-161.15694439999999</v>
      </c>
      <c r="Q64" s="319"/>
      <c r="S64" s="341"/>
      <c r="T64" s="348"/>
    </row>
    <row r="65" spans="1:20" s="330" customFormat="1" ht="25.5" customHeight="1" x14ac:dyDescent="0.25">
      <c r="A65" s="319" t="s">
        <v>524</v>
      </c>
      <c r="B65" s="307" t="s">
        <v>87</v>
      </c>
      <c r="C65" s="307" t="s">
        <v>87</v>
      </c>
      <c r="D65" s="323" t="s">
        <v>987</v>
      </c>
      <c r="E65" s="319" t="s">
        <v>498</v>
      </c>
      <c r="F65" s="319" t="s">
        <v>730</v>
      </c>
      <c r="G65" s="310" t="s">
        <v>500</v>
      </c>
      <c r="H65" s="310" t="s">
        <v>673</v>
      </c>
      <c r="I65" s="310" t="s">
        <v>385</v>
      </c>
      <c r="J65" s="319" t="s">
        <v>363</v>
      </c>
      <c r="K65" s="323" t="s">
        <v>386</v>
      </c>
      <c r="L65" s="323" t="s">
        <v>365</v>
      </c>
      <c r="M65" s="323" t="s">
        <v>375</v>
      </c>
      <c r="N65" s="312">
        <v>1405984</v>
      </c>
      <c r="O65" s="312">
        <v>61.877777799999997</v>
      </c>
      <c r="P65" s="312">
        <v>-162.08111109999999</v>
      </c>
      <c r="Q65" s="319"/>
      <c r="S65" s="341"/>
      <c r="T65" s="348"/>
    </row>
    <row r="66" spans="1:20" s="330" customFormat="1" ht="38.25" customHeight="1" x14ac:dyDescent="0.25">
      <c r="A66" s="319" t="s">
        <v>524</v>
      </c>
      <c r="B66" s="307" t="s">
        <v>88</v>
      </c>
      <c r="C66" s="307" t="s">
        <v>88</v>
      </c>
      <c r="D66" s="323" t="s">
        <v>987</v>
      </c>
      <c r="E66" s="319" t="s">
        <v>498</v>
      </c>
      <c r="F66" s="319" t="s">
        <v>730</v>
      </c>
      <c r="G66" s="310" t="s">
        <v>500</v>
      </c>
      <c r="H66" s="310" t="s">
        <v>673</v>
      </c>
      <c r="I66" s="310" t="s">
        <v>385</v>
      </c>
      <c r="J66" s="319" t="s">
        <v>363</v>
      </c>
      <c r="K66" s="323" t="s">
        <v>364</v>
      </c>
      <c r="L66" s="323" t="s">
        <v>365</v>
      </c>
      <c r="M66" s="323" t="s">
        <v>362</v>
      </c>
      <c r="N66" s="312">
        <v>1406211</v>
      </c>
      <c r="O66" s="312">
        <v>60.388055600000001</v>
      </c>
      <c r="P66" s="312">
        <v>-166.185</v>
      </c>
      <c r="Q66" s="319"/>
      <c r="S66" s="341"/>
      <c r="T66" s="348"/>
    </row>
    <row r="67" spans="1:20" s="330" customFormat="1" ht="25.5" customHeight="1" x14ac:dyDescent="0.25">
      <c r="A67" s="319" t="s">
        <v>524</v>
      </c>
      <c r="B67" s="307" t="s">
        <v>89</v>
      </c>
      <c r="C67" s="307" t="s">
        <v>89</v>
      </c>
      <c r="D67" s="323" t="s">
        <v>987</v>
      </c>
      <c r="E67" s="319" t="s">
        <v>498</v>
      </c>
      <c r="F67" s="319" t="s">
        <v>730</v>
      </c>
      <c r="G67" s="310" t="s">
        <v>500</v>
      </c>
      <c r="H67" s="310" t="s">
        <v>673</v>
      </c>
      <c r="I67" s="310" t="s">
        <v>385</v>
      </c>
      <c r="J67" s="319" t="s">
        <v>376</v>
      </c>
      <c r="K67" s="323" t="s">
        <v>377</v>
      </c>
      <c r="L67" s="323" t="s">
        <v>378</v>
      </c>
      <c r="M67" s="323" t="s">
        <v>375</v>
      </c>
      <c r="N67" s="312">
        <v>1406419</v>
      </c>
      <c r="O67" s="312">
        <v>65.150411000000005</v>
      </c>
      <c r="P67" s="312">
        <v>-149.34970799999999</v>
      </c>
      <c r="Q67" s="319"/>
      <c r="S67" s="341"/>
      <c r="T67" s="348"/>
    </row>
    <row r="68" spans="1:20" s="330" customFormat="1" ht="38.25" customHeight="1" x14ac:dyDescent="0.25">
      <c r="A68" s="319" t="s">
        <v>524</v>
      </c>
      <c r="B68" s="307" t="s">
        <v>90</v>
      </c>
      <c r="C68" s="307" t="s">
        <v>90</v>
      </c>
      <c r="D68" s="323" t="s">
        <v>987</v>
      </c>
      <c r="E68" s="319" t="s">
        <v>498</v>
      </c>
      <c r="F68" s="319" t="s">
        <v>730</v>
      </c>
      <c r="G68" s="310" t="s">
        <v>500</v>
      </c>
      <c r="H68" s="310" t="s">
        <v>673</v>
      </c>
      <c r="I68" s="310" t="s">
        <v>385</v>
      </c>
      <c r="J68" s="319" t="s">
        <v>363</v>
      </c>
      <c r="K68" s="323" t="s">
        <v>386</v>
      </c>
      <c r="L68" s="323" t="s">
        <v>365</v>
      </c>
      <c r="M68" s="323" t="s">
        <v>375</v>
      </c>
      <c r="N68" s="312">
        <v>1406655</v>
      </c>
      <c r="O68" s="312">
        <v>62.085555599999999</v>
      </c>
      <c r="P68" s="312">
        <v>-163.72944440000001</v>
      </c>
      <c r="Q68" s="319"/>
      <c r="S68" s="341"/>
      <c r="T68" s="348"/>
    </row>
    <row r="69" spans="1:20" s="330" customFormat="1" ht="38.25" customHeight="1" x14ac:dyDescent="0.25">
      <c r="A69" s="319" t="s">
        <v>524</v>
      </c>
      <c r="B69" s="307" t="s">
        <v>91</v>
      </c>
      <c r="C69" s="307" t="s">
        <v>91</v>
      </c>
      <c r="D69" s="323" t="s">
        <v>987</v>
      </c>
      <c r="E69" s="319" t="s">
        <v>498</v>
      </c>
      <c r="F69" s="319" t="s">
        <v>730</v>
      </c>
      <c r="G69" s="310" t="s">
        <v>500</v>
      </c>
      <c r="H69" s="310" t="s">
        <v>673</v>
      </c>
      <c r="I69" s="310" t="s">
        <v>385</v>
      </c>
      <c r="J69" s="319" t="s">
        <v>392</v>
      </c>
      <c r="K69" s="323" t="s">
        <v>393</v>
      </c>
      <c r="L69" s="323" t="s">
        <v>392</v>
      </c>
      <c r="M69" s="323" t="s">
        <v>362</v>
      </c>
      <c r="N69" s="312">
        <v>1406972</v>
      </c>
      <c r="O69" s="312">
        <v>59.4527778</v>
      </c>
      <c r="P69" s="312">
        <v>-157.31194439999999</v>
      </c>
      <c r="Q69" s="319"/>
      <c r="S69" s="341"/>
      <c r="T69" s="348"/>
    </row>
    <row r="70" spans="1:20" s="330" customFormat="1" ht="25.5" customHeight="1" x14ac:dyDescent="0.25">
      <c r="A70" s="319" t="s">
        <v>524</v>
      </c>
      <c r="B70" s="307" t="s">
        <v>93</v>
      </c>
      <c r="C70" s="307" t="s">
        <v>93</v>
      </c>
      <c r="D70" s="323" t="s">
        <v>987</v>
      </c>
      <c r="E70" s="319" t="s">
        <v>498</v>
      </c>
      <c r="F70" s="319" t="s">
        <v>730</v>
      </c>
      <c r="G70" s="310" t="s">
        <v>500</v>
      </c>
      <c r="H70" s="310" t="s">
        <v>673</v>
      </c>
      <c r="I70" s="310" t="s">
        <v>385</v>
      </c>
      <c r="J70" s="319" t="s">
        <v>388</v>
      </c>
      <c r="K70" s="323" t="s">
        <v>388</v>
      </c>
      <c r="L70" s="323" t="s">
        <v>389</v>
      </c>
      <c r="M70" s="323" t="s">
        <v>387</v>
      </c>
      <c r="N70" s="312">
        <v>1413638</v>
      </c>
      <c r="O70" s="312">
        <v>67.571111099999996</v>
      </c>
      <c r="P70" s="312">
        <v>-162.9652778</v>
      </c>
      <c r="Q70" s="319"/>
      <c r="S70" s="341"/>
      <c r="T70" s="348"/>
    </row>
    <row r="71" spans="1:20" s="330" customFormat="1" ht="25.5" customHeight="1" x14ac:dyDescent="0.25">
      <c r="A71" s="319" t="s">
        <v>524</v>
      </c>
      <c r="B71" s="307" t="s">
        <v>94</v>
      </c>
      <c r="C71" s="307" t="s">
        <v>94</v>
      </c>
      <c r="D71" s="323" t="s">
        <v>987</v>
      </c>
      <c r="E71" s="319" t="s">
        <v>498</v>
      </c>
      <c r="F71" s="319" t="s">
        <v>730</v>
      </c>
      <c r="G71" s="310" t="s">
        <v>500</v>
      </c>
      <c r="H71" s="310" t="s">
        <v>673</v>
      </c>
      <c r="I71" s="310" t="s">
        <v>385</v>
      </c>
      <c r="J71" s="319" t="s">
        <v>388</v>
      </c>
      <c r="K71" s="323" t="s">
        <v>388</v>
      </c>
      <c r="L71" s="323" t="s">
        <v>389</v>
      </c>
      <c r="M71" s="323" t="s">
        <v>387</v>
      </c>
      <c r="N71" s="312">
        <v>1413646</v>
      </c>
      <c r="O71" s="312">
        <v>66.838333300000002</v>
      </c>
      <c r="P71" s="312">
        <v>-161.03277779999999</v>
      </c>
      <c r="Q71" s="319"/>
      <c r="S71" s="341"/>
      <c r="T71" s="348"/>
    </row>
    <row r="72" spans="1:20" s="330" customFormat="1" ht="25.5" customHeight="1" x14ac:dyDescent="0.25">
      <c r="A72" s="319" t="s">
        <v>524</v>
      </c>
      <c r="B72" s="307" t="s">
        <v>95</v>
      </c>
      <c r="C72" s="307" t="s">
        <v>95</v>
      </c>
      <c r="D72" s="323" t="s">
        <v>987</v>
      </c>
      <c r="E72" s="319" t="s">
        <v>498</v>
      </c>
      <c r="F72" s="319" t="s">
        <v>730</v>
      </c>
      <c r="G72" s="310" t="s">
        <v>500</v>
      </c>
      <c r="H72" s="310" t="s">
        <v>673</v>
      </c>
      <c r="I72" s="310" t="s">
        <v>385</v>
      </c>
      <c r="J72" s="319" t="s">
        <v>376</v>
      </c>
      <c r="K72" s="323" t="s">
        <v>377</v>
      </c>
      <c r="L72" s="323" t="s">
        <v>378</v>
      </c>
      <c r="M72" s="323" t="s">
        <v>375</v>
      </c>
      <c r="N72" s="312">
        <v>1407321</v>
      </c>
      <c r="O72" s="312">
        <v>64.7194444</v>
      </c>
      <c r="P72" s="312">
        <v>-158.1030556</v>
      </c>
      <c r="Q72" s="319"/>
      <c r="S72" s="341"/>
      <c r="T72" s="348"/>
    </row>
    <row r="73" spans="1:20" s="330" customFormat="1" ht="25.5" customHeight="1" x14ac:dyDescent="0.25">
      <c r="A73" s="319" t="s">
        <v>524</v>
      </c>
      <c r="B73" s="307" t="s">
        <v>97</v>
      </c>
      <c r="C73" s="307" t="s">
        <v>97</v>
      </c>
      <c r="D73" s="323" t="s">
        <v>987</v>
      </c>
      <c r="E73" s="319" t="s">
        <v>498</v>
      </c>
      <c r="F73" s="319" t="s">
        <v>730</v>
      </c>
      <c r="G73" s="310" t="s">
        <v>500</v>
      </c>
      <c r="H73" s="310" t="s">
        <v>673</v>
      </c>
      <c r="I73" s="310" t="s">
        <v>385</v>
      </c>
      <c r="J73" s="319" t="s">
        <v>222</v>
      </c>
      <c r="K73" s="323" t="s">
        <v>359</v>
      </c>
      <c r="L73" s="323" t="s">
        <v>360</v>
      </c>
      <c r="M73" s="323" t="s">
        <v>358</v>
      </c>
      <c r="N73" s="312">
        <v>1407483</v>
      </c>
      <c r="O73" s="312">
        <v>57.2027778</v>
      </c>
      <c r="P73" s="312">
        <v>-153.3038889</v>
      </c>
      <c r="Q73" s="319"/>
      <c r="S73" s="341"/>
      <c r="T73" s="348"/>
    </row>
    <row r="74" spans="1:20" s="330" customFormat="1" ht="38.25" customHeight="1" x14ac:dyDescent="0.25">
      <c r="A74" s="319" t="s">
        <v>524</v>
      </c>
      <c r="B74" s="307" t="s">
        <v>98</v>
      </c>
      <c r="C74" s="307" t="s">
        <v>98</v>
      </c>
      <c r="D74" s="323" t="s">
        <v>987</v>
      </c>
      <c r="E74" s="319" t="s">
        <v>498</v>
      </c>
      <c r="F74" s="319" t="s">
        <v>730</v>
      </c>
      <c r="G74" s="310" t="s">
        <v>500</v>
      </c>
      <c r="H74" s="310" t="s">
        <v>673</v>
      </c>
      <c r="I74" s="310" t="s">
        <v>385</v>
      </c>
      <c r="J74" s="319" t="s">
        <v>363</v>
      </c>
      <c r="K74" s="323" t="s">
        <v>386</v>
      </c>
      <c r="L74" s="323" t="s">
        <v>365</v>
      </c>
      <c r="M74" s="323" t="s">
        <v>375</v>
      </c>
      <c r="N74" s="312">
        <v>1407993</v>
      </c>
      <c r="O74" s="312">
        <v>61.938888900000002</v>
      </c>
      <c r="P74" s="312">
        <v>-162.875</v>
      </c>
      <c r="Q74" s="319"/>
      <c r="S74" s="341"/>
      <c r="T74" s="348"/>
    </row>
    <row r="75" spans="1:20" s="330" customFormat="1" ht="25.5" customHeight="1" x14ac:dyDescent="0.25">
      <c r="A75" s="319" t="s">
        <v>524</v>
      </c>
      <c r="B75" s="307" t="s">
        <v>100</v>
      </c>
      <c r="C75" s="307" t="s">
        <v>100</v>
      </c>
      <c r="D75" s="323" t="s">
        <v>987</v>
      </c>
      <c r="E75" s="319" t="s">
        <v>498</v>
      </c>
      <c r="F75" s="319" t="s">
        <v>730</v>
      </c>
      <c r="G75" s="310" t="s">
        <v>500</v>
      </c>
      <c r="H75" s="310" t="s">
        <v>673</v>
      </c>
      <c r="I75" s="310" t="s">
        <v>385</v>
      </c>
      <c r="J75" s="319" t="s">
        <v>363</v>
      </c>
      <c r="K75" s="323" t="s">
        <v>364</v>
      </c>
      <c r="L75" s="323" t="s">
        <v>365</v>
      </c>
      <c r="M75" s="323" t="s">
        <v>362</v>
      </c>
      <c r="N75" s="312">
        <v>1408462</v>
      </c>
      <c r="O75" s="312">
        <v>59.748888899999997</v>
      </c>
      <c r="P75" s="312">
        <v>-161.9158333</v>
      </c>
      <c r="Q75" s="319"/>
      <c r="S75" s="341"/>
      <c r="T75" s="348"/>
    </row>
    <row r="76" spans="1:20" s="330" customFormat="1" ht="25.5" customHeight="1" x14ac:dyDescent="0.25">
      <c r="A76" s="319" t="s">
        <v>524</v>
      </c>
      <c r="B76" s="307" t="s">
        <v>101</v>
      </c>
      <c r="C76" s="307" t="s">
        <v>101</v>
      </c>
      <c r="D76" s="323" t="s">
        <v>987</v>
      </c>
      <c r="E76" s="319" t="s">
        <v>498</v>
      </c>
      <c r="F76" s="319" t="s">
        <v>730</v>
      </c>
      <c r="G76" s="310" t="s">
        <v>500</v>
      </c>
      <c r="H76" s="310" t="s">
        <v>673</v>
      </c>
      <c r="I76" s="310" t="s">
        <v>385</v>
      </c>
      <c r="J76" s="319" t="s">
        <v>363</v>
      </c>
      <c r="K76" s="323" t="s">
        <v>386</v>
      </c>
      <c r="L76" s="323" t="s">
        <v>365</v>
      </c>
      <c r="M76" s="323" t="s">
        <v>375</v>
      </c>
      <c r="N76" s="312">
        <v>1408925</v>
      </c>
      <c r="O76" s="312">
        <v>61.784999999999997</v>
      </c>
      <c r="P76" s="312">
        <v>-161.32027780000001</v>
      </c>
      <c r="Q76" s="319"/>
      <c r="S76" s="341"/>
      <c r="T76" s="348"/>
    </row>
    <row r="77" spans="1:20" s="330" customFormat="1" ht="38.25" customHeight="1" x14ac:dyDescent="0.25">
      <c r="A77" s="319" t="s">
        <v>524</v>
      </c>
      <c r="B77" s="307" t="s">
        <v>538</v>
      </c>
      <c r="C77" s="307" t="s">
        <v>99</v>
      </c>
      <c r="D77" s="323" t="s">
        <v>987</v>
      </c>
      <c r="E77" s="319" t="s">
        <v>498</v>
      </c>
      <c r="F77" s="319" t="s">
        <v>730</v>
      </c>
      <c r="G77" s="310" t="s">
        <v>499</v>
      </c>
      <c r="H77" s="310" t="s">
        <v>673</v>
      </c>
      <c r="I77" s="310" t="s">
        <v>385</v>
      </c>
      <c r="J77" s="319" t="s">
        <v>363</v>
      </c>
      <c r="K77" s="323" t="s">
        <v>386</v>
      </c>
      <c r="L77" s="323" t="s">
        <v>365</v>
      </c>
      <c r="M77" s="323" t="s">
        <v>375</v>
      </c>
      <c r="N77" s="312">
        <v>1408054</v>
      </c>
      <c r="O77" s="312">
        <v>62.032777799999998</v>
      </c>
      <c r="P77" s="312">
        <v>-163.28777779999999</v>
      </c>
      <c r="Q77" s="319" t="s">
        <v>698</v>
      </c>
      <c r="S77" s="341"/>
      <c r="T77" s="348"/>
    </row>
    <row r="78" spans="1:20" s="330" customFormat="1" ht="38.25" customHeight="1" x14ac:dyDescent="0.25">
      <c r="A78" s="319" t="s">
        <v>524</v>
      </c>
      <c r="B78" s="307" t="s">
        <v>538</v>
      </c>
      <c r="C78" s="307" t="s">
        <v>993</v>
      </c>
      <c r="D78" s="323" t="s">
        <v>987</v>
      </c>
      <c r="E78" s="319" t="s">
        <v>498</v>
      </c>
      <c r="F78" s="319" t="s">
        <v>730</v>
      </c>
      <c r="G78" s="310" t="s">
        <v>499</v>
      </c>
      <c r="H78" s="310" t="s">
        <v>673</v>
      </c>
      <c r="I78" s="310" t="s">
        <v>385</v>
      </c>
      <c r="J78" s="319" t="s">
        <v>363</v>
      </c>
      <c r="K78" s="323" t="s">
        <v>386</v>
      </c>
      <c r="L78" s="323" t="s">
        <v>365</v>
      </c>
      <c r="M78" s="323" t="s">
        <v>375</v>
      </c>
      <c r="N78" s="312"/>
      <c r="O78" s="312"/>
      <c r="P78" s="312"/>
      <c r="Q78" s="319" t="s">
        <v>699</v>
      </c>
      <c r="S78" s="341"/>
      <c r="T78" s="348"/>
    </row>
    <row r="79" spans="1:20" s="330" customFormat="1" ht="25.5" customHeight="1" x14ac:dyDescent="0.25">
      <c r="A79" s="319" t="s">
        <v>524</v>
      </c>
      <c r="B79" s="307" t="s">
        <v>102</v>
      </c>
      <c r="C79" s="307" t="s">
        <v>102</v>
      </c>
      <c r="D79" s="323" t="s">
        <v>987</v>
      </c>
      <c r="E79" s="319" t="s">
        <v>498</v>
      </c>
      <c r="F79" s="319" t="s">
        <v>730</v>
      </c>
      <c r="G79" s="310" t="s">
        <v>500</v>
      </c>
      <c r="H79" s="310" t="s">
        <v>673</v>
      </c>
      <c r="I79" s="310" t="s">
        <v>385</v>
      </c>
      <c r="J79" s="319" t="s">
        <v>390</v>
      </c>
      <c r="K79" s="323" t="s">
        <v>391</v>
      </c>
      <c r="L79" s="323" t="s">
        <v>390</v>
      </c>
      <c r="M79" s="323" t="s">
        <v>387</v>
      </c>
      <c r="N79" s="312">
        <v>1408977</v>
      </c>
      <c r="O79" s="312">
        <v>63.478055599999998</v>
      </c>
      <c r="P79" s="312">
        <v>-162.03916670000001</v>
      </c>
      <c r="Q79" s="319"/>
      <c r="S79" s="341"/>
      <c r="T79" s="348"/>
    </row>
    <row r="80" spans="1:20" s="330" customFormat="1" ht="38.25" customHeight="1" x14ac:dyDescent="0.25">
      <c r="A80" s="319" t="s">
        <v>524</v>
      </c>
      <c r="B80" s="307" t="s">
        <v>103</v>
      </c>
      <c r="C80" s="307" t="s">
        <v>103</v>
      </c>
      <c r="D80" s="323" t="s">
        <v>987</v>
      </c>
      <c r="E80" s="319" t="s">
        <v>498</v>
      </c>
      <c r="F80" s="319" t="s">
        <v>730</v>
      </c>
      <c r="G80" s="310" t="s">
        <v>500</v>
      </c>
      <c r="H80" s="310" t="s">
        <v>673</v>
      </c>
      <c r="I80" s="310" t="s">
        <v>385</v>
      </c>
      <c r="J80" s="319" t="s">
        <v>390</v>
      </c>
      <c r="K80" s="323" t="s">
        <v>391</v>
      </c>
      <c r="L80" s="323" t="s">
        <v>390</v>
      </c>
      <c r="M80" s="323" t="s">
        <v>387</v>
      </c>
      <c r="N80" s="312">
        <v>1409106</v>
      </c>
      <c r="O80" s="312">
        <v>63.694166699999997</v>
      </c>
      <c r="P80" s="312">
        <v>-170.47888889999999</v>
      </c>
      <c r="Q80" s="319"/>
      <c r="S80" s="341"/>
      <c r="T80" s="348"/>
    </row>
    <row r="81" spans="1:20" s="330" customFormat="1" ht="51" customHeight="1" x14ac:dyDescent="0.25">
      <c r="A81" s="319" t="s">
        <v>524</v>
      </c>
      <c r="B81" s="307" t="s">
        <v>104</v>
      </c>
      <c r="C81" s="307" t="s">
        <v>104</v>
      </c>
      <c r="D81" s="323" t="s">
        <v>987</v>
      </c>
      <c r="E81" s="319" t="s">
        <v>498</v>
      </c>
      <c r="F81" s="319" t="s">
        <v>730</v>
      </c>
      <c r="G81" s="310" t="s">
        <v>500</v>
      </c>
      <c r="H81" s="310" t="s">
        <v>673</v>
      </c>
      <c r="I81" s="310" t="s">
        <v>385</v>
      </c>
      <c r="J81" s="319" t="s">
        <v>363</v>
      </c>
      <c r="K81" s="323" t="s">
        <v>386</v>
      </c>
      <c r="L81" s="323" t="s">
        <v>365</v>
      </c>
      <c r="M81" s="323" t="s">
        <v>375</v>
      </c>
      <c r="N81" s="312">
        <v>1409133</v>
      </c>
      <c r="O81" s="312">
        <v>61.8427778</v>
      </c>
      <c r="P81" s="312">
        <v>-165.5816667</v>
      </c>
      <c r="Q81" s="319"/>
      <c r="S81" s="341"/>
      <c r="T81" s="348"/>
    </row>
    <row r="82" spans="1:20" s="330" customFormat="1" ht="54.75" customHeight="1" x14ac:dyDescent="0.25">
      <c r="A82" s="319" t="s">
        <v>524</v>
      </c>
      <c r="B82" s="307" t="s">
        <v>105</v>
      </c>
      <c r="C82" s="307" t="s">
        <v>105</v>
      </c>
      <c r="D82" s="323" t="s">
        <v>987</v>
      </c>
      <c r="E82" s="319" t="s">
        <v>498</v>
      </c>
      <c r="F82" s="319" t="s">
        <v>730</v>
      </c>
      <c r="G82" s="310" t="s">
        <v>500</v>
      </c>
      <c r="H82" s="310" t="s">
        <v>673</v>
      </c>
      <c r="I82" s="310" t="s">
        <v>385</v>
      </c>
      <c r="J82" s="319" t="s">
        <v>388</v>
      </c>
      <c r="K82" s="323" t="s">
        <v>388</v>
      </c>
      <c r="L82" s="323" t="s">
        <v>389</v>
      </c>
      <c r="M82" s="323" t="s">
        <v>387</v>
      </c>
      <c r="N82" s="312">
        <v>1413930</v>
      </c>
      <c r="O82" s="312">
        <v>66.603888900000001</v>
      </c>
      <c r="P82" s="312">
        <v>-160.00694440000001</v>
      </c>
      <c r="Q82" s="319"/>
      <c r="S82" s="341"/>
      <c r="T82" s="348"/>
    </row>
    <row r="83" spans="1:20" s="330" customFormat="1" ht="25.5" customHeight="1" x14ac:dyDescent="0.25">
      <c r="A83" s="319" t="s">
        <v>524</v>
      </c>
      <c r="B83" s="307" t="s">
        <v>106</v>
      </c>
      <c r="C83" s="307" t="s">
        <v>106</v>
      </c>
      <c r="D83" s="323" t="s">
        <v>987</v>
      </c>
      <c r="E83" s="319" t="s">
        <v>498</v>
      </c>
      <c r="F83" s="319" t="s">
        <v>730</v>
      </c>
      <c r="G83" s="310" t="s">
        <v>500</v>
      </c>
      <c r="H83" s="310" t="s">
        <v>673</v>
      </c>
      <c r="I83" s="310" t="s">
        <v>385</v>
      </c>
      <c r="J83" s="319" t="s">
        <v>376</v>
      </c>
      <c r="K83" s="323" t="s">
        <v>377</v>
      </c>
      <c r="L83" s="323" t="s">
        <v>378</v>
      </c>
      <c r="M83" s="323" t="s">
        <v>375</v>
      </c>
      <c r="N83" s="312">
        <v>1409306</v>
      </c>
      <c r="O83" s="312">
        <v>62.682222199999998</v>
      </c>
      <c r="P83" s="312">
        <v>-159.56194439999999</v>
      </c>
      <c r="Q83" s="319"/>
      <c r="S83" s="341"/>
      <c r="T83" s="348"/>
    </row>
    <row r="84" spans="1:20" s="330" customFormat="1" ht="38.25" customHeight="1" x14ac:dyDescent="0.25">
      <c r="A84" s="319" t="s">
        <v>524</v>
      </c>
      <c r="B84" s="307" t="s">
        <v>107</v>
      </c>
      <c r="C84" s="307" t="s">
        <v>107</v>
      </c>
      <c r="D84" s="323" t="s">
        <v>987</v>
      </c>
      <c r="E84" s="319" t="s">
        <v>498</v>
      </c>
      <c r="F84" s="319" t="s">
        <v>730</v>
      </c>
      <c r="G84" s="310" t="s">
        <v>500</v>
      </c>
      <c r="H84" s="310" t="s">
        <v>673</v>
      </c>
      <c r="I84" s="310" t="s">
        <v>385</v>
      </c>
      <c r="J84" s="319" t="s">
        <v>390</v>
      </c>
      <c r="K84" s="323" t="s">
        <v>391</v>
      </c>
      <c r="L84" s="323" t="s">
        <v>390</v>
      </c>
      <c r="M84" s="323" t="s">
        <v>387</v>
      </c>
      <c r="N84" s="312">
        <v>1669434</v>
      </c>
      <c r="O84" s="312">
        <v>64.333888900000005</v>
      </c>
      <c r="P84" s="312">
        <v>-161.1538889</v>
      </c>
      <c r="Q84" s="319"/>
      <c r="S84" s="341"/>
      <c r="T84" s="348"/>
    </row>
    <row r="85" spans="1:20" s="330" customFormat="1" ht="25.5" customHeight="1" x14ac:dyDescent="0.25">
      <c r="A85" s="319" t="s">
        <v>524</v>
      </c>
      <c r="B85" s="307" t="s">
        <v>108</v>
      </c>
      <c r="C85" s="307" t="s">
        <v>108</v>
      </c>
      <c r="D85" s="323" t="s">
        <v>987</v>
      </c>
      <c r="E85" s="319" t="s">
        <v>498</v>
      </c>
      <c r="F85" s="319" t="s">
        <v>730</v>
      </c>
      <c r="G85" s="310" t="s">
        <v>500</v>
      </c>
      <c r="H85" s="310" t="s">
        <v>673</v>
      </c>
      <c r="I85" s="310" t="s">
        <v>385</v>
      </c>
      <c r="J85" s="319" t="s">
        <v>390</v>
      </c>
      <c r="K85" s="323" t="s">
        <v>391</v>
      </c>
      <c r="L85" s="323" t="s">
        <v>390</v>
      </c>
      <c r="M85" s="323" t="s">
        <v>387</v>
      </c>
      <c r="N85" s="312">
        <v>1409434</v>
      </c>
      <c r="O85" s="312">
        <v>66.256666699999997</v>
      </c>
      <c r="P85" s="312">
        <v>-166.07194440000001</v>
      </c>
      <c r="Q85" s="319"/>
      <c r="S85" s="341"/>
      <c r="T85" s="348"/>
    </row>
    <row r="86" spans="1:20" s="330" customFormat="1" ht="38.25" customHeight="1" x14ac:dyDescent="0.25">
      <c r="A86" s="319" t="s">
        <v>524</v>
      </c>
      <c r="B86" s="350" t="s">
        <v>109</v>
      </c>
      <c r="C86" s="307" t="s">
        <v>994</v>
      </c>
      <c r="D86" s="323" t="s">
        <v>987</v>
      </c>
      <c r="E86" s="319" t="s">
        <v>498</v>
      </c>
      <c r="F86" s="319" t="s">
        <v>730</v>
      </c>
      <c r="G86" s="310" t="s">
        <v>499</v>
      </c>
      <c r="H86" s="310" t="s">
        <v>673</v>
      </c>
      <c r="I86" s="310" t="s">
        <v>385</v>
      </c>
      <c r="J86" s="319" t="s">
        <v>388</v>
      </c>
      <c r="K86" s="323" t="s">
        <v>388</v>
      </c>
      <c r="L86" s="323" t="s">
        <v>389</v>
      </c>
      <c r="M86" s="323" t="s">
        <v>387</v>
      </c>
      <c r="N86" s="312"/>
      <c r="O86" s="312"/>
      <c r="P86" s="312"/>
      <c r="Q86" s="319" t="s">
        <v>1188</v>
      </c>
      <c r="S86" s="341"/>
      <c r="T86" s="348"/>
    </row>
    <row r="87" spans="1:20" s="330" customFormat="1" ht="25.5" customHeight="1" x14ac:dyDescent="0.25">
      <c r="A87" s="319" t="s">
        <v>524</v>
      </c>
      <c r="B87" s="307" t="s">
        <v>110</v>
      </c>
      <c r="C87" s="307" t="s">
        <v>110</v>
      </c>
      <c r="D87" s="323" t="s">
        <v>987</v>
      </c>
      <c r="E87" s="319" t="s">
        <v>498</v>
      </c>
      <c r="F87" s="319" t="s">
        <v>730</v>
      </c>
      <c r="G87" s="310" t="s">
        <v>500</v>
      </c>
      <c r="H87" s="310" t="s">
        <v>673</v>
      </c>
      <c r="I87" s="310" t="s">
        <v>385</v>
      </c>
      <c r="J87" s="319" t="s">
        <v>390</v>
      </c>
      <c r="K87" s="323" t="s">
        <v>391</v>
      </c>
      <c r="L87" s="323" t="s">
        <v>390</v>
      </c>
      <c r="M87" s="323" t="s">
        <v>387</v>
      </c>
      <c r="N87" s="312">
        <v>1410158</v>
      </c>
      <c r="O87" s="312">
        <v>63.522222200000002</v>
      </c>
      <c r="P87" s="312">
        <v>-162.28805560000001</v>
      </c>
      <c r="Q87" s="319"/>
      <c r="S87" s="341"/>
      <c r="T87" s="348"/>
    </row>
    <row r="88" spans="1:20" s="330" customFormat="1" ht="25.5" customHeight="1" x14ac:dyDescent="0.25">
      <c r="A88" s="319" t="s">
        <v>524</v>
      </c>
      <c r="B88" s="307" t="s">
        <v>111</v>
      </c>
      <c r="C88" s="307" t="s">
        <v>111</v>
      </c>
      <c r="D88" s="323" t="s">
        <v>987</v>
      </c>
      <c r="E88" s="319" t="s">
        <v>498</v>
      </c>
      <c r="F88" s="319" t="s">
        <v>730</v>
      </c>
      <c r="G88" s="310" t="s">
        <v>500</v>
      </c>
      <c r="H88" s="310" t="s">
        <v>673</v>
      </c>
      <c r="I88" s="310" t="s">
        <v>385</v>
      </c>
      <c r="J88" s="319" t="s">
        <v>390</v>
      </c>
      <c r="K88" s="323" t="s">
        <v>391</v>
      </c>
      <c r="L88" s="323" t="s">
        <v>390</v>
      </c>
      <c r="M88" s="323" t="s">
        <v>387</v>
      </c>
      <c r="N88" s="312">
        <v>1410730</v>
      </c>
      <c r="O88" s="312">
        <v>65.263611100000006</v>
      </c>
      <c r="P88" s="312">
        <v>-166.3608333</v>
      </c>
      <c r="Q88" s="319"/>
      <c r="S88" s="341"/>
      <c r="T88" s="348"/>
    </row>
    <row r="89" spans="1:20" s="330" customFormat="1" ht="25.5" customHeight="1" x14ac:dyDescent="0.25">
      <c r="A89" s="319" t="s">
        <v>524</v>
      </c>
      <c r="B89" s="307" t="s">
        <v>112</v>
      </c>
      <c r="C89" s="307" t="s">
        <v>112</v>
      </c>
      <c r="D89" s="323" t="s">
        <v>987</v>
      </c>
      <c r="E89" s="319" t="s">
        <v>498</v>
      </c>
      <c r="F89" s="319" t="s">
        <v>730</v>
      </c>
      <c r="G89" s="310" t="s">
        <v>500</v>
      </c>
      <c r="H89" s="310" t="s">
        <v>673</v>
      </c>
      <c r="I89" s="310" t="s">
        <v>385</v>
      </c>
      <c r="J89" s="319" t="s">
        <v>392</v>
      </c>
      <c r="K89" s="323" t="s">
        <v>393</v>
      </c>
      <c r="L89" s="323" t="s">
        <v>392</v>
      </c>
      <c r="M89" s="323" t="s">
        <v>362</v>
      </c>
      <c r="N89" s="312">
        <v>1411039</v>
      </c>
      <c r="O89" s="312">
        <v>59.061944400000002</v>
      </c>
      <c r="P89" s="312">
        <v>-160.37638889999999</v>
      </c>
      <c r="Q89" s="319"/>
      <c r="S89" s="341"/>
      <c r="T89" s="348"/>
    </row>
    <row r="90" spans="1:20" s="330" customFormat="1" ht="25.5" customHeight="1" x14ac:dyDescent="0.25">
      <c r="A90" s="319" t="s">
        <v>524</v>
      </c>
      <c r="B90" s="320" t="s">
        <v>92</v>
      </c>
      <c r="C90" s="307" t="s">
        <v>92</v>
      </c>
      <c r="D90" s="323" t="s">
        <v>987</v>
      </c>
      <c r="E90" s="319" t="s">
        <v>498</v>
      </c>
      <c r="F90" s="319" t="s">
        <v>730</v>
      </c>
      <c r="G90" s="310" t="s">
        <v>499</v>
      </c>
      <c r="H90" s="310" t="s">
        <v>673</v>
      </c>
      <c r="I90" s="310" t="s">
        <v>385</v>
      </c>
      <c r="J90" s="319" t="s">
        <v>363</v>
      </c>
      <c r="K90" s="323" t="s">
        <v>364</v>
      </c>
      <c r="L90" s="323" t="s">
        <v>365</v>
      </c>
      <c r="M90" s="323" t="s">
        <v>362</v>
      </c>
      <c r="N90" s="312">
        <v>1407008</v>
      </c>
      <c r="O90" s="312">
        <v>60.479444399999998</v>
      </c>
      <c r="P90" s="312">
        <v>-164.72388889999999</v>
      </c>
      <c r="Q90" s="319" t="s">
        <v>696</v>
      </c>
      <c r="S90" s="341"/>
      <c r="T90" s="348"/>
    </row>
    <row r="91" spans="1:20" s="330" customFormat="1" ht="25.5" customHeight="1" x14ac:dyDescent="0.25">
      <c r="A91" s="319" t="s">
        <v>524</v>
      </c>
      <c r="B91" s="307" t="s">
        <v>113</v>
      </c>
      <c r="C91" s="307" t="s">
        <v>996</v>
      </c>
      <c r="D91" s="323" t="s">
        <v>987</v>
      </c>
      <c r="E91" s="319" t="s">
        <v>498</v>
      </c>
      <c r="F91" s="319" t="s">
        <v>730</v>
      </c>
      <c r="G91" s="310" t="s">
        <v>499</v>
      </c>
      <c r="H91" s="310" t="s">
        <v>673</v>
      </c>
      <c r="I91" s="310" t="s">
        <v>385</v>
      </c>
      <c r="J91" s="319" t="s">
        <v>363</v>
      </c>
      <c r="K91" s="323" t="s">
        <v>364</v>
      </c>
      <c r="L91" s="323" t="s">
        <v>365</v>
      </c>
      <c r="M91" s="323" t="s">
        <v>362</v>
      </c>
      <c r="N91" s="312"/>
      <c r="O91" s="312"/>
      <c r="P91" s="312"/>
      <c r="Q91" s="319" t="s">
        <v>702</v>
      </c>
      <c r="S91" s="341"/>
      <c r="T91" s="348"/>
    </row>
    <row r="92" spans="1:20" s="330" customFormat="1" ht="25.5" customHeight="1" x14ac:dyDescent="0.25">
      <c r="A92" s="319" t="s">
        <v>524</v>
      </c>
      <c r="B92" s="307" t="s">
        <v>114</v>
      </c>
      <c r="C92" s="307" t="s">
        <v>114</v>
      </c>
      <c r="D92" s="323" t="s">
        <v>987</v>
      </c>
      <c r="E92" s="319" t="s">
        <v>498</v>
      </c>
      <c r="F92" s="319" t="s">
        <v>730</v>
      </c>
      <c r="G92" s="310" t="s">
        <v>499</v>
      </c>
      <c r="H92" s="310" t="s">
        <v>673</v>
      </c>
      <c r="I92" s="310" t="s">
        <v>385</v>
      </c>
      <c r="J92" s="319" t="s">
        <v>363</v>
      </c>
      <c r="K92" s="323" t="s">
        <v>364</v>
      </c>
      <c r="L92" s="323" t="s">
        <v>365</v>
      </c>
      <c r="M92" s="323" t="s">
        <v>362</v>
      </c>
      <c r="N92" s="312">
        <v>1410644</v>
      </c>
      <c r="O92" s="312">
        <v>60.585555599999999</v>
      </c>
      <c r="P92" s="312">
        <v>-165.25583330000001</v>
      </c>
      <c r="Q92" s="319" t="s">
        <v>696</v>
      </c>
      <c r="S92" s="341"/>
      <c r="T92" s="348"/>
    </row>
    <row r="93" spans="1:20" s="330" customFormat="1" ht="25.5" customHeight="1" x14ac:dyDescent="0.25">
      <c r="A93" s="319" t="s">
        <v>524</v>
      </c>
      <c r="B93" s="307" t="s">
        <v>115</v>
      </c>
      <c r="C93" s="307" t="s">
        <v>997</v>
      </c>
      <c r="D93" s="323" t="s">
        <v>987</v>
      </c>
      <c r="E93" s="319" t="s">
        <v>498</v>
      </c>
      <c r="F93" s="319" t="s">
        <v>730</v>
      </c>
      <c r="G93" s="310" t="s">
        <v>499</v>
      </c>
      <c r="H93" s="310" t="s">
        <v>673</v>
      </c>
      <c r="I93" s="310" t="s">
        <v>385</v>
      </c>
      <c r="J93" s="319" t="s">
        <v>363</v>
      </c>
      <c r="K93" s="323" t="s">
        <v>364</v>
      </c>
      <c r="L93" s="323" t="s">
        <v>365</v>
      </c>
      <c r="M93" s="323" t="s">
        <v>362</v>
      </c>
      <c r="N93" s="312"/>
      <c r="O93" s="312"/>
      <c r="P93" s="312"/>
      <c r="Q93" s="319" t="s">
        <v>998</v>
      </c>
      <c r="S93" s="341"/>
      <c r="T93" s="348"/>
    </row>
    <row r="94" spans="1:20" s="330" customFormat="1" ht="72" customHeight="1" x14ac:dyDescent="0.25">
      <c r="A94" s="319" t="s">
        <v>524</v>
      </c>
      <c r="B94" s="307" t="s">
        <v>115</v>
      </c>
      <c r="C94" s="307" t="s">
        <v>86</v>
      </c>
      <c r="D94" s="323" t="s">
        <v>987</v>
      </c>
      <c r="E94" s="319" t="s">
        <v>498</v>
      </c>
      <c r="F94" s="319" t="s">
        <v>730</v>
      </c>
      <c r="G94" s="310" t="s">
        <v>499</v>
      </c>
      <c r="H94" s="310" t="s">
        <v>673</v>
      </c>
      <c r="I94" s="310" t="s">
        <v>385</v>
      </c>
      <c r="J94" s="319" t="s">
        <v>363</v>
      </c>
      <c r="K94" s="323" t="s">
        <v>364</v>
      </c>
      <c r="L94" s="323" t="s">
        <v>365</v>
      </c>
      <c r="M94" s="323" t="s">
        <v>362</v>
      </c>
      <c r="N94" s="312">
        <v>1405763</v>
      </c>
      <c r="O94" s="312">
        <v>61.512222199999997</v>
      </c>
      <c r="P94" s="312">
        <v>-160.3580556</v>
      </c>
      <c r="Q94" s="319" t="s">
        <v>694</v>
      </c>
      <c r="S94" s="341"/>
      <c r="T94" s="348"/>
    </row>
    <row r="95" spans="1:20" s="330" customFormat="1" ht="25.5" customHeight="1" x14ac:dyDescent="0.25">
      <c r="A95" s="319" t="s">
        <v>524</v>
      </c>
      <c r="B95" s="307" t="s">
        <v>116</v>
      </c>
      <c r="C95" s="307" t="s">
        <v>116</v>
      </c>
      <c r="D95" s="323" t="s">
        <v>987</v>
      </c>
      <c r="E95" s="319" t="s">
        <v>498</v>
      </c>
      <c r="F95" s="319" t="s">
        <v>730</v>
      </c>
      <c r="G95" s="310" t="s">
        <v>500</v>
      </c>
      <c r="H95" s="310" t="s">
        <v>673</v>
      </c>
      <c r="I95" s="310" t="s">
        <v>385</v>
      </c>
      <c r="J95" s="319" t="s">
        <v>390</v>
      </c>
      <c r="K95" s="323" t="s">
        <v>391</v>
      </c>
      <c r="L95" s="323" t="s">
        <v>390</v>
      </c>
      <c r="M95" s="323" t="s">
        <v>387</v>
      </c>
      <c r="N95" s="312">
        <v>1404755</v>
      </c>
      <c r="O95" s="312">
        <v>65.609166700000003</v>
      </c>
      <c r="P95" s="312">
        <v>-168.08750000000001</v>
      </c>
      <c r="Q95" s="319"/>
      <c r="S95" s="341"/>
      <c r="T95" s="348"/>
    </row>
    <row r="96" spans="1:20" s="330" customFormat="1" ht="25.5" customHeight="1" x14ac:dyDescent="0.25">
      <c r="A96" s="319" t="s">
        <v>117</v>
      </c>
      <c r="B96" s="307" t="s">
        <v>118</v>
      </c>
      <c r="C96" s="307" t="s">
        <v>118</v>
      </c>
      <c r="D96" s="319" t="s">
        <v>989</v>
      </c>
      <c r="E96" s="319" t="s">
        <v>498</v>
      </c>
      <c r="F96" s="323" t="s">
        <v>729</v>
      </c>
      <c r="G96" s="373" t="s">
        <v>500</v>
      </c>
      <c r="H96" s="310" t="s">
        <v>673</v>
      </c>
      <c r="I96" s="310" t="s">
        <v>394</v>
      </c>
      <c r="J96" s="323" t="s">
        <v>222</v>
      </c>
      <c r="K96" s="323" t="s">
        <v>359</v>
      </c>
      <c r="L96" s="323" t="s">
        <v>360</v>
      </c>
      <c r="M96" s="323" t="s">
        <v>358</v>
      </c>
      <c r="N96" s="312">
        <v>1404456</v>
      </c>
      <c r="O96" s="312">
        <v>57.5719444</v>
      </c>
      <c r="P96" s="312">
        <v>-154.4555556</v>
      </c>
      <c r="Q96" s="319"/>
      <c r="S96" s="341"/>
      <c r="T96" s="348"/>
    </row>
    <row r="97" spans="1:20" s="330" customFormat="1" ht="25.5" customHeight="1" x14ac:dyDescent="0.25">
      <c r="A97" s="319" t="s">
        <v>119</v>
      </c>
      <c r="B97" s="307" t="s">
        <v>120</v>
      </c>
      <c r="C97" s="307" t="s">
        <v>121</v>
      </c>
      <c r="D97" s="323" t="s">
        <v>988</v>
      </c>
      <c r="E97" s="319" t="s">
        <v>498</v>
      </c>
      <c r="F97" s="323" t="s">
        <v>728</v>
      </c>
      <c r="G97" s="373" t="s">
        <v>499</v>
      </c>
      <c r="H97" s="310" t="s">
        <v>675</v>
      </c>
      <c r="I97" s="310" t="s">
        <v>395</v>
      </c>
      <c r="J97" s="323" t="s">
        <v>158</v>
      </c>
      <c r="K97" s="323" t="s">
        <v>121</v>
      </c>
      <c r="L97" s="323" t="s">
        <v>396</v>
      </c>
      <c r="M97" s="323" t="s">
        <v>358</v>
      </c>
      <c r="N97" s="312">
        <v>1398242</v>
      </c>
      <c r="O97" s="312">
        <v>61.2180556</v>
      </c>
      <c r="P97" s="312">
        <v>-149.9002778</v>
      </c>
      <c r="Q97" s="319"/>
      <c r="S97" s="341"/>
      <c r="T97" s="348"/>
    </row>
    <row r="98" spans="1:20" s="330" customFormat="1" ht="25.5" customHeight="1" x14ac:dyDescent="0.25">
      <c r="A98" s="319" t="s">
        <v>119</v>
      </c>
      <c r="B98" s="339" t="s">
        <v>655</v>
      </c>
      <c r="C98" s="307" t="s">
        <v>121</v>
      </c>
      <c r="D98" s="340" t="s">
        <v>988</v>
      </c>
      <c r="E98" s="319" t="s">
        <v>498</v>
      </c>
      <c r="F98" s="323" t="s">
        <v>728</v>
      </c>
      <c r="G98" s="373" t="s">
        <v>499</v>
      </c>
      <c r="H98" s="310" t="s">
        <v>675</v>
      </c>
      <c r="I98" s="310" t="s">
        <v>395</v>
      </c>
      <c r="J98" s="323" t="s">
        <v>158</v>
      </c>
      <c r="K98" s="323" t="s">
        <v>121</v>
      </c>
      <c r="L98" s="323" t="s">
        <v>396</v>
      </c>
      <c r="M98" s="323" t="s">
        <v>358</v>
      </c>
      <c r="N98" s="312">
        <v>1398242</v>
      </c>
      <c r="O98" s="312">
        <v>61.2180556</v>
      </c>
      <c r="P98" s="312">
        <v>-149.9002778</v>
      </c>
      <c r="Q98" s="304"/>
      <c r="S98" s="341"/>
      <c r="T98" s="348"/>
    </row>
    <row r="99" spans="1:20" s="330" customFormat="1" ht="25.5" customHeight="1" x14ac:dyDescent="0.25">
      <c r="A99" s="319" t="s">
        <v>119</v>
      </c>
      <c r="B99" s="307" t="s">
        <v>534</v>
      </c>
      <c r="C99" s="307" t="s">
        <v>121</v>
      </c>
      <c r="D99" s="323" t="s">
        <v>988</v>
      </c>
      <c r="E99" s="319" t="s">
        <v>498</v>
      </c>
      <c r="F99" s="323" t="s">
        <v>728</v>
      </c>
      <c r="G99" s="373" t="s">
        <v>499</v>
      </c>
      <c r="H99" s="310" t="s">
        <v>675</v>
      </c>
      <c r="I99" s="310" t="s">
        <v>395</v>
      </c>
      <c r="J99" s="323" t="s">
        <v>158</v>
      </c>
      <c r="K99" s="323" t="s">
        <v>121</v>
      </c>
      <c r="L99" s="323" t="s">
        <v>396</v>
      </c>
      <c r="M99" s="323" t="s">
        <v>358</v>
      </c>
      <c r="N99" s="312">
        <v>1398242</v>
      </c>
      <c r="O99" s="312">
        <v>61.2180556</v>
      </c>
      <c r="P99" s="312">
        <v>-149.9002778</v>
      </c>
      <c r="Q99" s="319"/>
      <c r="R99" s="341"/>
      <c r="S99" s="341"/>
      <c r="T99" s="348"/>
    </row>
    <row r="100" spans="1:20" s="330" customFormat="1" ht="38.25" customHeight="1" x14ac:dyDescent="0.25">
      <c r="A100" s="319" t="s">
        <v>119</v>
      </c>
      <c r="B100" s="307" t="s">
        <v>122</v>
      </c>
      <c r="C100" s="307" t="s">
        <v>121</v>
      </c>
      <c r="D100" s="323" t="s">
        <v>988</v>
      </c>
      <c r="E100" s="319" t="s">
        <v>498</v>
      </c>
      <c r="F100" s="323" t="s">
        <v>728</v>
      </c>
      <c r="G100" s="373" t="s">
        <v>499</v>
      </c>
      <c r="H100" s="310" t="s">
        <v>675</v>
      </c>
      <c r="I100" s="310" t="s">
        <v>395</v>
      </c>
      <c r="J100" s="323" t="s">
        <v>158</v>
      </c>
      <c r="K100" s="323" t="s">
        <v>121</v>
      </c>
      <c r="L100" s="323" t="s">
        <v>396</v>
      </c>
      <c r="M100" s="323" t="s">
        <v>358</v>
      </c>
      <c r="N100" s="312">
        <v>1398242</v>
      </c>
      <c r="O100" s="312">
        <v>61.2180556</v>
      </c>
      <c r="P100" s="312">
        <v>-149.9002778</v>
      </c>
      <c r="Q100" s="319"/>
      <c r="S100" s="341"/>
      <c r="T100" s="348"/>
    </row>
    <row r="101" spans="1:20" s="330" customFormat="1" ht="25.5" customHeight="1" x14ac:dyDescent="0.25">
      <c r="A101" s="319" t="s">
        <v>123</v>
      </c>
      <c r="B101" s="307" t="s">
        <v>124</v>
      </c>
      <c r="C101" s="307" t="s">
        <v>124</v>
      </c>
      <c r="D101" s="323" t="s">
        <v>988</v>
      </c>
      <c r="E101" s="319" t="s">
        <v>498</v>
      </c>
      <c r="F101" s="323" t="s">
        <v>729</v>
      </c>
      <c r="G101" s="373" t="s">
        <v>500</v>
      </c>
      <c r="H101" s="310" t="s">
        <v>673</v>
      </c>
      <c r="I101" s="310" t="s">
        <v>397</v>
      </c>
      <c r="J101" s="323" t="s">
        <v>363</v>
      </c>
      <c r="K101" s="323" t="s">
        <v>364</v>
      </c>
      <c r="L101" s="323" t="s">
        <v>365</v>
      </c>
      <c r="M101" s="323" t="s">
        <v>362</v>
      </c>
      <c r="N101" s="312">
        <v>1398286</v>
      </c>
      <c r="O101" s="312">
        <v>61.578333299999997</v>
      </c>
      <c r="P101" s="312">
        <v>-159.52222219999999</v>
      </c>
      <c r="Q101" s="319"/>
      <c r="S101" s="341"/>
      <c r="T101" s="348"/>
    </row>
    <row r="102" spans="1:20" s="330" customFormat="1" ht="25.5" customHeight="1" x14ac:dyDescent="0.25">
      <c r="A102" s="371" t="s">
        <v>125</v>
      </c>
      <c r="B102" s="324" t="s">
        <v>126</v>
      </c>
      <c r="C102" s="372" t="s">
        <v>126</v>
      </c>
      <c r="D102" s="323"/>
      <c r="E102" s="319" t="s">
        <v>498</v>
      </c>
      <c r="F102" s="323" t="s">
        <v>730</v>
      </c>
      <c r="G102" s="373" t="s">
        <v>500</v>
      </c>
      <c r="H102" s="310" t="s">
        <v>674</v>
      </c>
      <c r="I102" s="373"/>
      <c r="J102" s="323" t="s">
        <v>376</v>
      </c>
      <c r="K102" s="323" t="s">
        <v>377</v>
      </c>
      <c r="L102" s="323" t="s">
        <v>378</v>
      </c>
      <c r="M102" s="323" t="s">
        <v>375</v>
      </c>
      <c r="N102" s="374">
        <v>1398382</v>
      </c>
      <c r="O102" s="325">
        <v>68.126944399999999</v>
      </c>
      <c r="P102" s="325">
        <v>-145.53777779999999</v>
      </c>
      <c r="Q102" s="305"/>
      <c r="S102" s="341"/>
      <c r="T102" s="348"/>
    </row>
    <row r="103" spans="1:20" s="332" customFormat="1" ht="51" customHeight="1" x14ac:dyDescent="0.25">
      <c r="A103" s="319" t="s">
        <v>127</v>
      </c>
      <c r="B103" s="307" t="s">
        <v>128</v>
      </c>
      <c r="C103" s="307" t="s">
        <v>128</v>
      </c>
      <c r="D103" s="319" t="s">
        <v>987</v>
      </c>
      <c r="E103" s="319" t="s">
        <v>498</v>
      </c>
      <c r="F103" s="319" t="s">
        <v>728</v>
      </c>
      <c r="G103" s="310" t="s">
        <v>500</v>
      </c>
      <c r="H103" s="310" t="s">
        <v>673</v>
      </c>
      <c r="I103" s="310" t="s">
        <v>724</v>
      </c>
      <c r="J103" s="319" t="s">
        <v>368</v>
      </c>
      <c r="K103" s="323" t="s">
        <v>398</v>
      </c>
      <c r="L103" s="323" t="s">
        <v>370</v>
      </c>
      <c r="M103" s="323" t="s">
        <v>362</v>
      </c>
      <c r="N103" s="312">
        <v>1418170</v>
      </c>
      <c r="O103" s="312">
        <v>52.196111100000003</v>
      </c>
      <c r="P103" s="312">
        <v>-174.2005556</v>
      </c>
      <c r="Q103" s="319"/>
      <c r="R103" s="330"/>
      <c r="S103" s="341"/>
      <c r="T103" s="348"/>
    </row>
    <row r="104" spans="1:20" s="330" customFormat="1" ht="25.5" customHeight="1" x14ac:dyDescent="0.25">
      <c r="A104" s="319" t="s">
        <v>129</v>
      </c>
      <c r="B104" s="307" t="s">
        <v>130</v>
      </c>
      <c r="C104" s="307" t="s">
        <v>130</v>
      </c>
      <c r="D104" s="319" t="s">
        <v>987</v>
      </c>
      <c r="E104" s="319" t="s">
        <v>498</v>
      </c>
      <c r="F104" s="323" t="s">
        <v>729</v>
      </c>
      <c r="G104" s="373" t="s">
        <v>500</v>
      </c>
      <c r="H104" s="310" t="s">
        <v>673</v>
      </c>
      <c r="I104" s="310" t="s">
        <v>399</v>
      </c>
      <c r="J104" s="323" t="s">
        <v>363</v>
      </c>
      <c r="K104" s="323" t="s">
        <v>364</v>
      </c>
      <c r="L104" s="323" t="s">
        <v>365</v>
      </c>
      <c r="M104" s="323" t="s">
        <v>362</v>
      </c>
      <c r="N104" s="312">
        <v>1699811</v>
      </c>
      <c r="O104" s="312">
        <v>60.866944400000001</v>
      </c>
      <c r="P104" s="312">
        <v>-162.27305559999999</v>
      </c>
      <c r="Q104" s="319"/>
      <c r="S104" s="341"/>
      <c r="T104" s="348"/>
    </row>
    <row r="105" spans="1:20" s="330" customFormat="1" ht="38.25" customHeight="1" x14ac:dyDescent="0.25">
      <c r="A105" s="307" t="s">
        <v>131</v>
      </c>
      <c r="B105" s="307" t="s">
        <v>668</v>
      </c>
      <c r="C105" s="307" t="s">
        <v>132</v>
      </c>
      <c r="D105" s="323" t="s">
        <v>988</v>
      </c>
      <c r="E105" s="319" t="s">
        <v>498</v>
      </c>
      <c r="F105" s="323" t="s">
        <v>764</v>
      </c>
      <c r="G105" s="373" t="s">
        <v>499</v>
      </c>
      <c r="H105" s="310" t="s">
        <v>675</v>
      </c>
      <c r="I105" s="310" t="s">
        <v>525</v>
      </c>
      <c r="J105" s="323" t="s">
        <v>158</v>
      </c>
      <c r="K105" s="323" t="s">
        <v>400</v>
      </c>
      <c r="L105" s="323" t="s">
        <v>378</v>
      </c>
      <c r="M105" s="323" t="s">
        <v>375</v>
      </c>
      <c r="N105" s="312">
        <v>1401958</v>
      </c>
      <c r="O105" s="312">
        <v>64.837777799999998</v>
      </c>
      <c r="P105" s="312">
        <v>-147.7163889</v>
      </c>
      <c r="Q105" s="319" t="s">
        <v>669</v>
      </c>
      <c r="S105" s="341"/>
      <c r="T105" s="348"/>
    </row>
    <row r="106" spans="1:20" s="330" customFormat="1" ht="51" customHeight="1" x14ac:dyDescent="0.25">
      <c r="A106" s="323" t="s">
        <v>671</v>
      </c>
      <c r="B106" s="323" t="s">
        <v>639</v>
      </c>
      <c r="C106" s="323" t="s">
        <v>276</v>
      </c>
      <c r="D106" s="323"/>
      <c r="E106" s="323"/>
      <c r="F106" s="323" t="s">
        <v>764</v>
      </c>
      <c r="G106" s="373" t="s">
        <v>500</v>
      </c>
      <c r="H106" s="310" t="s">
        <v>673</v>
      </c>
      <c r="I106" s="310"/>
      <c r="J106" s="323" t="s">
        <v>390</v>
      </c>
      <c r="K106" s="323" t="s">
        <v>391</v>
      </c>
      <c r="L106" s="323" t="s">
        <v>390</v>
      </c>
      <c r="M106" s="323" t="s">
        <v>387</v>
      </c>
      <c r="N106" s="312">
        <v>1407125</v>
      </c>
      <c r="O106" s="312">
        <v>64.501111100000003</v>
      </c>
      <c r="P106" s="312">
        <v>-165.4063889</v>
      </c>
      <c r="Q106" s="319" t="s">
        <v>672</v>
      </c>
      <c r="S106" s="341"/>
      <c r="T106" s="348"/>
    </row>
    <row r="107" spans="1:20" s="330" customFormat="1" ht="54" customHeight="1" x14ac:dyDescent="0.25">
      <c r="A107" s="319" t="s">
        <v>570</v>
      </c>
      <c r="B107" s="307" t="s">
        <v>133</v>
      </c>
      <c r="C107" s="307" t="s">
        <v>133</v>
      </c>
      <c r="D107" s="323" t="s">
        <v>987</v>
      </c>
      <c r="E107" s="319" t="s">
        <v>498</v>
      </c>
      <c r="F107" s="323" t="s">
        <v>730</v>
      </c>
      <c r="G107" s="373" t="s">
        <v>500</v>
      </c>
      <c r="H107" s="310" t="s">
        <v>675</v>
      </c>
      <c r="I107" s="310"/>
      <c r="J107" s="323" t="s">
        <v>401</v>
      </c>
      <c r="K107" s="323" t="s">
        <v>401</v>
      </c>
      <c r="L107" s="323" t="s">
        <v>402</v>
      </c>
      <c r="M107" s="323" t="s">
        <v>387</v>
      </c>
      <c r="N107" s="312">
        <v>1398635</v>
      </c>
      <c r="O107" s="312">
        <v>71.290555600000005</v>
      </c>
      <c r="P107" s="312">
        <v>-156.7886111</v>
      </c>
      <c r="Q107" s="319"/>
      <c r="S107" s="341"/>
      <c r="T107" s="348"/>
    </row>
    <row r="108" spans="1:20" s="330" customFormat="1" ht="38.25" customHeight="1" x14ac:dyDescent="0.25">
      <c r="A108" s="319" t="s">
        <v>134</v>
      </c>
      <c r="B108" s="307" t="s">
        <v>135</v>
      </c>
      <c r="C108" s="307" t="s">
        <v>135</v>
      </c>
      <c r="D108" s="319" t="s">
        <v>987</v>
      </c>
      <c r="E108" s="319" t="s">
        <v>498</v>
      </c>
      <c r="F108" s="323" t="s">
        <v>729</v>
      </c>
      <c r="G108" s="373" t="s">
        <v>500</v>
      </c>
      <c r="H108" s="310" t="s">
        <v>673</v>
      </c>
      <c r="I108" s="310" t="s">
        <v>403</v>
      </c>
      <c r="J108" s="323" t="s">
        <v>376</v>
      </c>
      <c r="K108" s="323" t="s">
        <v>377</v>
      </c>
      <c r="L108" s="323" t="s">
        <v>378</v>
      </c>
      <c r="M108" s="323" t="s">
        <v>375</v>
      </c>
      <c r="N108" s="312">
        <v>1398776</v>
      </c>
      <c r="O108" s="312">
        <v>66.359444400000001</v>
      </c>
      <c r="P108" s="312">
        <v>-147.39638890000001</v>
      </c>
      <c r="Q108" s="319"/>
      <c r="S108" s="341"/>
      <c r="T108" s="348"/>
    </row>
    <row r="109" spans="1:20" s="330" customFormat="1" ht="70.5" customHeight="1" x14ac:dyDescent="0.25">
      <c r="A109" s="319" t="s">
        <v>502</v>
      </c>
      <c r="B109" s="307" t="s">
        <v>136</v>
      </c>
      <c r="C109" s="307" t="s">
        <v>679</v>
      </c>
      <c r="D109" s="323" t="s">
        <v>988</v>
      </c>
      <c r="E109" s="319" t="s">
        <v>498</v>
      </c>
      <c r="F109" s="323" t="s">
        <v>729</v>
      </c>
      <c r="G109" s="373" t="s">
        <v>499</v>
      </c>
      <c r="H109" s="310" t="s">
        <v>673</v>
      </c>
      <c r="I109" s="310" t="s">
        <v>404</v>
      </c>
      <c r="J109" s="323" t="s">
        <v>363</v>
      </c>
      <c r="K109" s="323" t="s">
        <v>364</v>
      </c>
      <c r="L109" s="323" t="s">
        <v>365</v>
      </c>
      <c r="M109" s="323" t="s">
        <v>362</v>
      </c>
      <c r="N109" s="312"/>
      <c r="O109" s="312"/>
      <c r="P109" s="312"/>
      <c r="Q109" s="319" t="s">
        <v>644</v>
      </c>
      <c r="S109" s="341"/>
      <c r="T109" s="348"/>
    </row>
    <row r="110" spans="1:20" s="330" customFormat="1" ht="70.5" customHeight="1" x14ac:dyDescent="0.25">
      <c r="A110" s="319" t="s">
        <v>137</v>
      </c>
      <c r="B110" s="307" t="s">
        <v>138</v>
      </c>
      <c r="C110" s="307" t="s">
        <v>138</v>
      </c>
      <c r="D110" s="323"/>
      <c r="E110" s="319"/>
      <c r="F110" s="323" t="s">
        <v>729</v>
      </c>
      <c r="G110" s="373" t="s">
        <v>500</v>
      </c>
      <c r="H110" s="310" t="s">
        <v>674</v>
      </c>
      <c r="I110" s="310"/>
      <c r="J110" s="323" t="s">
        <v>376</v>
      </c>
      <c r="K110" s="323" t="s">
        <v>377</v>
      </c>
      <c r="L110" s="323" t="s">
        <v>378</v>
      </c>
      <c r="M110" s="323" t="s">
        <v>375</v>
      </c>
      <c r="N110" s="312">
        <v>1399049</v>
      </c>
      <c r="O110" s="312">
        <v>66.259035499999996</v>
      </c>
      <c r="P110" s="312">
        <v>-145.81901680000001</v>
      </c>
      <c r="Q110" s="319"/>
      <c r="S110" s="341"/>
      <c r="T110" s="348"/>
    </row>
    <row r="111" spans="1:20" s="330" customFormat="1" ht="50.25" customHeight="1" x14ac:dyDescent="0.25">
      <c r="A111" s="319" t="s">
        <v>139</v>
      </c>
      <c r="B111" s="307" t="s">
        <v>140</v>
      </c>
      <c r="C111" s="307" t="s">
        <v>140</v>
      </c>
      <c r="D111" s="319" t="s">
        <v>987</v>
      </c>
      <c r="E111" s="319" t="s">
        <v>498</v>
      </c>
      <c r="F111" s="319" t="s">
        <v>728</v>
      </c>
      <c r="G111" s="310" t="s">
        <v>500</v>
      </c>
      <c r="H111" s="310" t="s">
        <v>673</v>
      </c>
      <c r="I111" s="310" t="s">
        <v>405</v>
      </c>
      <c r="J111" s="319" t="s">
        <v>388</v>
      </c>
      <c r="K111" s="323" t="s">
        <v>388</v>
      </c>
      <c r="L111" s="323" t="s">
        <v>389</v>
      </c>
      <c r="M111" s="323" t="s">
        <v>387</v>
      </c>
      <c r="N111" s="312">
        <v>1412684</v>
      </c>
      <c r="O111" s="312">
        <v>65.979722199999998</v>
      </c>
      <c r="P111" s="312">
        <v>-161.12305559999999</v>
      </c>
      <c r="Q111" s="319"/>
      <c r="S111" s="341"/>
      <c r="T111" s="348"/>
    </row>
    <row r="112" spans="1:20" s="330" customFormat="1" ht="25.5" customHeight="1" x14ac:dyDescent="0.25">
      <c r="A112" s="319" t="s">
        <v>141</v>
      </c>
      <c r="B112" s="307" t="s">
        <v>142</v>
      </c>
      <c r="C112" s="307" t="s">
        <v>142</v>
      </c>
      <c r="D112" s="319" t="s">
        <v>989</v>
      </c>
      <c r="E112" s="319" t="s">
        <v>498</v>
      </c>
      <c r="F112" s="323" t="s">
        <v>729</v>
      </c>
      <c r="G112" s="373" t="s">
        <v>500</v>
      </c>
      <c r="H112" s="310" t="s">
        <v>673</v>
      </c>
      <c r="I112" s="310" t="s">
        <v>406</v>
      </c>
      <c r="J112" s="323" t="s">
        <v>376</v>
      </c>
      <c r="K112" s="323" t="s">
        <v>377</v>
      </c>
      <c r="L112" s="323" t="s">
        <v>378</v>
      </c>
      <c r="M112" s="323" t="s">
        <v>375</v>
      </c>
      <c r="N112" s="312">
        <v>1400128</v>
      </c>
      <c r="O112" s="312">
        <v>66.654444400000003</v>
      </c>
      <c r="P112" s="312">
        <v>-143.7222222</v>
      </c>
      <c r="Q112" s="319"/>
      <c r="S112" s="341"/>
      <c r="T112" s="348"/>
    </row>
    <row r="113" spans="1:20" s="330" customFormat="1" ht="25.5" customHeight="1" x14ac:dyDescent="0.25">
      <c r="A113" s="319" t="s">
        <v>143</v>
      </c>
      <c r="B113" s="307" t="s">
        <v>144</v>
      </c>
      <c r="C113" s="307" t="s">
        <v>144</v>
      </c>
      <c r="D113" s="319" t="s">
        <v>989</v>
      </c>
      <c r="E113" s="319" t="s">
        <v>498</v>
      </c>
      <c r="F113" s="323" t="s">
        <v>729</v>
      </c>
      <c r="G113" s="373" t="s">
        <v>500</v>
      </c>
      <c r="H113" s="310" t="s">
        <v>673</v>
      </c>
      <c r="I113" s="310" t="s">
        <v>407</v>
      </c>
      <c r="J113" s="323" t="s">
        <v>379</v>
      </c>
      <c r="K113" s="323" t="s">
        <v>380</v>
      </c>
      <c r="L113" s="323" t="s">
        <v>408</v>
      </c>
      <c r="M113" s="323" t="s">
        <v>358</v>
      </c>
      <c r="N113" s="312">
        <v>1421254</v>
      </c>
      <c r="O113" s="312">
        <v>60.063333299999996</v>
      </c>
      <c r="P113" s="312">
        <v>-148.01138889999999</v>
      </c>
      <c r="Q113" s="319"/>
      <c r="S113" s="341"/>
      <c r="T113" s="348"/>
    </row>
    <row r="114" spans="1:20" s="330" customFormat="1" ht="25.5" customHeight="1" x14ac:dyDescent="0.25">
      <c r="A114" s="319" t="s">
        <v>145</v>
      </c>
      <c r="B114" s="307" t="s">
        <v>146</v>
      </c>
      <c r="C114" s="307" t="s">
        <v>146</v>
      </c>
      <c r="D114" s="319" t="s">
        <v>989</v>
      </c>
      <c r="E114" s="319" t="s">
        <v>498</v>
      </c>
      <c r="F114" s="323" t="s">
        <v>729</v>
      </c>
      <c r="G114" s="373" t="s">
        <v>500</v>
      </c>
      <c r="H114" s="310" t="s">
        <v>673</v>
      </c>
      <c r="I114" s="310" t="s">
        <v>409</v>
      </c>
      <c r="J114" s="323" t="s">
        <v>392</v>
      </c>
      <c r="K114" s="323" t="s">
        <v>410</v>
      </c>
      <c r="L114" s="323" t="s">
        <v>392</v>
      </c>
      <c r="M114" s="323" t="s">
        <v>362</v>
      </c>
      <c r="N114" s="312">
        <v>1400274</v>
      </c>
      <c r="O114" s="312">
        <v>56.308439300000003</v>
      </c>
      <c r="P114" s="312">
        <v>-158.53023909999999</v>
      </c>
      <c r="Q114" s="319"/>
      <c r="S114" s="341"/>
      <c r="T114" s="348"/>
    </row>
    <row r="115" spans="1:20" s="330" customFormat="1" ht="38.25" customHeight="1" x14ac:dyDescent="0.25">
      <c r="A115" s="319" t="s">
        <v>147</v>
      </c>
      <c r="B115" s="307" t="s">
        <v>148</v>
      </c>
      <c r="C115" s="307" t="s">
        <v>148</v>
      </c>
      <c r="D115" s="323" t="s">
        <v>987</v>
      </c>
      <c r="E115" s="323" t="s">
        <v>498</v>
      </c>
      <c r="F115" s="319" t="s">
        <v>729</v>
      </c>
      <c r="G115" s="310" t="s">
        <v>500</v>
      </c>
      <c r="H115" s="310" t="s">
        <v>673</v>
      </c>
      <c r="I115" s="310" t="s">
        <v>411</v>
      </c>
      <c r="J115" s="319" t="s">
        <v>392</v>
      </c>
      <c r="K115" s="323" t="s">
        <v>410</v>
      </c>
      <c r="L115" s="323" t="s">
        <v>392</v>
      </c>
      <c r="M115" s="323" t="s">
        <v>362</v>
      </c>
      <c r="N115" s="312">
        <v>1893911</v>
      </c>
      <c r="O115" s="312">
        <v>56.255555600000001</v>
      </c>
      <c r="P115" s="312">
        <v>-158.76249999999999</v>
      </c>
      <c r="Q115" s="319"/>
      <c r="S115" s="341"/>
      <c r="T115" s="348"/>
    </row>
    <row r="116" spans="1:20" s="330" customFormat="1" ht="12.75" customHeight="1" x14ac:dyDescent="0.25">
      <c r="A116" s="319" t="s">
        <v>149</v>
      </c>
      <c r="B116" s="307" t="s">
        <v>150</v>
      </c>
      <c r="C116" s="307" t="s">
        <v>150</v>
      </c>
      <c r="D116" s="319" t="s">
        <v>987</v>
      </c>
      <c r="E116" s="319" t="s">
        <v>498</v>
      </c>
      <c r="F116" s="319" t="s">
        <v>729</v>
      </c>
      <c r="G116" s="310" t="s">
        <v>500</v>
      </c>
      <c r="H116" s="310" t="s">
        <v>673</v>
      </c>
      <c r="I116" s="310" t="s">
        <v>412</v>
      </c>
      <c r="J116" s="319" t="s">
        <v>392</v>
      </c>
      <c r="K116" s="323" t="s">
        <v>410</v>
      </c>
      <c r="L116" s="323" t="s">
        <v>392</v>
      </c>
      <c r="M116" s="323" t="s">
        <v>362</v>
      </c>
      <c r="N116" s="312">
        <v>1400269</v>
      </c>
      <c r="O116" s="312">
        <v>56.295277800000001</v>
      </c>
      <c r="P116" s="312">
        <v>-158.40222220000001</v>
      </c>
      <c r="Q116" s="319"/>
      <c r="S116" s="341"/>
      <c r="T116" s="348"/>
    </row>
    <row r="117" spans="1:20" s="330" customFormat="1" ht="26.25" x14ac:dyDescent="0.25">
      <c r="A117" s="319" t="s">
        <v>151</v>
      </c>
      <c r="B117" s="307" t="s">
        <v>152</v>
      </c>
      <c r="C117" s="307" t="s">
        <v>152</v>
      </c>
      <c r="D117" s="319" t="s">
        <v>987</v>
      </c>
      <c r="E117" s="319" t="s">
        <v>498</v>
      </c>
      <c r="F117" s="319" t="s">
        <v>729</v>
      </c>
      <c r="G117" s="310" t="s">
        <v>500</v>
      </c>
      <c r="H117" s="310" t="s">
        <v>673</v>
      </c>
      <c r="I117" s="310" t="s">
        <v>413</v>
      </c>
      <c r="J117" s="319" t="s">
        <v>379</v>
      </c>
      <c r="K117" s="323" t="s">
        <v>380</v>
      </c>
      <c r="L117" s="323" t="s">
        <v>381</v>
      </c>
      <c r="M117" s="323" t="s">
        <v>358</v>
      </c>
      <c r="N117" s="312">
        <v>1400337</v>
      </c>
      <c r="O117" s="312">
        <v>61.515833299999997</v>
      </c>
      <c r="P117" s="312">
        <v>-144.43694439999999</v>
      </c>
      <c r="Q117" s="319"/>
      <c r="S117" s="341"/>
      <c r="T117" s="348"/>
    </row>
    <row r="118" spans="1:20" s="330" customFormat="1" ht="12.75" customHeight="1" x14ac:dyDescent="0.25">
      <c r="A118" s="319" t="s">
        <v>153</v>
      </c>
      <c r="B118" s="307" t="s">
        <v>157</v>
      </c>
      <c r="C118" s="307"/>
      <c r="D118" s="323" t="s">
        <v>988</v>
      </c>
      <c r="E118" s="319" t="s">
        <v>498</v>
      </c>
      <c r="F118" s="323" t="s">
        <v>730</v>
      </c>
      <c r="G118" s="373" t="s">
        <v>499</v>
      </c>
      <c r="H118" s="310" t="s">
        <v>675</v>
      </c>
      <c r="I118" s="310" t="s">
        <v>726</v>
      </c>
      <c r="J118" s="323" t="s">
        <v>158</v>
      </c>
      <c r="K118" s="323" t="s">
        <v>121</v>
      </c>
      <c r="L118" s="323" t="s">
        <v>396</v>
      </c>
      <c r="M118" s="323" t="s">
        <v>358</v>
      </c>
      <c r="N118" s="312"/>
      <c r="O118" s="312"/>
      <c r="P118" s="312"/>
      <c r="Q118" s="319"/>
      <c r="S118" s="341"/>
      <c r="T118" s="348"/>
    </row>
    <row r="119" spans="1:20" s="330" customFormat="1" ht="25.5" customHeight="1" x14ac:dyDescent="0.25">
      <c r="A119" s="319" t="s">
        <v>153</v>
      </c>
      <c r="B119" s="307" t="s">
        <v>155</v>
      </c>
      <c r="C119" s="307"/>
      <c r="D119" s="323" t="s">
        <v>988</v>
      </c>
      <c r="E119" s="319" t="s">
        <v>498</v>
      </c>
      <c r="F119" s="323" t="s">
        <v>730</v>
      </c>
      <c r="G119" s="373" t="s">
        <v>499</v>
      </c>
      <c r="H119" s="310" t="s">
        <v>675</v>
      </c>
      <c r="I119" s="310" t="s">
        <v>726</v>
      </c>
      <c r="J119" s="323" t="s">
        <v>158</v>
      </c>
      <c r="K119" s="323" t="s">
        <v>414</v>
      </c>
      <c r="L119" s="323" t="s">
        <v>396</v>
      </c>
      <c r="M119" s="323" t="s">
        <v>358</v>
      </c>
      <c r="N119" s="312"/>
      <c r="O119" s="312"/>
      <c r="P119" s="312"/>
      <c r="Q119" s="319"/>
      <c r="S119" s="341"/>
      <c r="T119" s="348"/>
    </row>
    <row r="120" spans="1:20" s="330" customFormat="1" ht="38.25" customHeight="1" x14ac:dyDescent="0.25">
      <c r="A120" s="319" t="s">
        <v>153</v>
      </c>
      <c r="B120" s="307" t="s">
        <v>159</v>
      </c>
      <c r="C120" s="307"/>
      <c r="D120" s="323" t="s">
        <v>988</v>
      </c>
      <c r="E120" s="319" t="s">
        <v>498</v>
      </c>
      <c r="F120" s="323" t="s">
        <v>730</v>
      </c>
      <c r="G120" s="373" t="s">
        <v>499</v>
      </c>
      <c r="H120" s="310" t="s">
        <v>675</v>
      </c>
      <c r="I120" s="310" t="s">
        <v>726</v>
      </c>
      <c r="J120" s="323" t="s">
        <v>158</v>
      </c>
      <c r="K120" s="323" t="s">
        <v>121</v>
      </c>
      <c r="L120" s="323" t="s">
        <v>396</v>
      </c>
      <c r="M120" s="323" t="s">
        <v>358</v>
      </c>
      <c r="N120" s="312"/>
      <c r="O120" s="312"/>
      <c r="P120" s="312"/>
      <c r="Q120" s="319"/>
      <c r="S120" s="341"/>
      <c r="T120" s="348"/>
    </row>
    <row r="121" spans="1:20" s="330" customFormat="1" ht="25.5" customHeight="1" x14ac:dyDescent="0.25">
      <c r="A121" s="319" t="s">
        <v>153</v>
      </c>
      <c r="B121" s="307" t="s">
        <v>154</v>
      </c>
      <c r="C121" s="307"/>
      <c r="D121" s="323" t="s">
        <v>988</v>
      </c>
      <c r="E121" s="319" t="s">
        <v>498</v>
      </c>
      <c r="F121" s="323" t="s">
        <v>730</v>
      </c>
      <c r="G121" s="373" t="s">
        <v>499</v>
      </c>
      <c r="H121" s="310" t="s">
        <v>675</v>
      </c>
      <c r="I121" s="310" t="s">
        <v>726</v>
      </c>
      <c r="J121" s="323" t="s">
        <v>158</v>
      </c>
      <c r="K121" s="323" t="s">
        <v>121</v>
      </c>
      <c r="L121" s="323" t="s">
        <v>396</v>
      </c>
      <c r="M121" s="323" t="s">
        <v>358</v>
      </c>
      <c r="N121" s="312"/>
      <c r="O121" s="312"/>
      <c r="P121" s="312"/>
      <c r="Q121" s="319"/>
      <c r="S121" s="341"/>
      <c r="T121" s="348"/>
    </row>
    <row r="122" spans="1:20" s="330" customFormat="1" ht="38.25" customHeight="1" x14ac:dyDescent="0.25">
      <c r="A122" s="319" t="s">
        <v>160</v>
      </c>
      <c r="B122" s="307" t="s">
        <v>161</v>
      </c>
      <c r="C122" s="307" t="s">
        <v>161</v>
      </c>
      <c r="D122" s="319" t="s">
        <v>987</v>
      </c>
      <c r="E122" s="319" t="s">
        <v>498</v>
      </c>
      <c r="F122" s="323" t="s">
        <v>729</v>
      </c>
      <c r="G122" s="373" t="s">
        <v>500</v>
      </c>
      <c r="H122" s="310" t="s">
        <v>673</v>
      </c>
      <c r="I122" s="310" t="s">
        <v>504</v>
      </c>
      <c r="J122" s="323" t="s">
        <v>376</v>
      </c>
      <c r="K122" s="323" t="s">
        <v>377</v>
      </c>
      <c r="L122" s="323" t="s">
        <v>378</v>
      </c>
      <c r="M122" s="323" t="s">
        <v>375</v>
      </c>
      <c r="N122" s="312">
        <v>1400404</v>
      </c>
      <c r="O122" s="312">
        <v>65.825555600000001</v>
      </c>
      <c r="P122" s="312">
        <v>-144.06055559999999</v>
      </c>
      <c r="Q122" s="319"/>
      <c r="S122" s="341"/>
      <c r="T122" s="348"/>
    </row>
    <row r="123" spans="1:20" s="330" customFormat="1" ht="38.25" customHeight="1" x14ac:dyDescent="0.25">
      <c r="A123" s="319" t="s">
        <v>162</v>
      </c>
      <c r="B123" s="307" t="s">
        <v>163</v>
      </c>
      <c r="C123" s="307" t="s">
        <v>163</v>
      </c>
      <c r="D123" s="319" t="s">
        <v>987</v>
      </c>
      <c r="E123" s="319" t="s">
        <v>498</v>
      </c>
      <c r="F123" s="319" t="s">
        <v>728</v>
      </c>
      <c r="G123" s="310" t="s">
        <v>500</v>
      </c>
      <c r="H123" s="310" t="s">
        <v>674</v>
      </c>
      <c r="I123" s="310" t="s">
        <v>526</v>
      </c>
      <c r="J123" s="319" t="s">
        <v>392</v>
      </c>
      <c r="K123" s="323" t="s">
        <v>393</v>
      </c>
      <c r="L123" s="323" t="s">
        <v>392</v>
      </c>
      <c r="M123" s="323" t="s">
        <v>375</v>
      </c>
      <c r="N123" s="312">
        <v>1400426</v>
      </c>
      <c r="O123" s="312">
        <v>58.844166700000002</v>
      </c>
      <c r="P123" s="312">
        <v>-158.55083329999999</v>
      </c>
      <c r="Q123" s="319"/>
      <c r="S123" s="341"/>
      <c r="T123" s="348"/>
    </row>
    <row r="124" spans="1:20" s="330" customFormat="1" ht="38.25" customHeight="1" x14ac:dyDescent="0.25">
      <c r="A124" s="319" t="s">
        <v>164</v>
      </c>
      <c r="B124" s="307" t="s">
        <v>165</v>
      </c>
      <c r="C124" s="307" t="s">
        <v>165</v>
      </c>
      <c r="D124" s="323" t="s">
        <v>987</v>
      </c>
      <c r="E124" s="323" t="s">
        <v>498</v>
      </c>
      <c r="F124" s="323" t="s">
        <v>729</v>
      </c>
      <c r="G124" s="373" t="s">
        <v>499</v>
      </c>
      <c r="H124" s="310" t="s">
        <v>675</v>
      </c>
      <c r="I124" s="310" t="s">
        <v>415</v>
      </c>
      <c r="J124" s="323" t="s">
        <v>379</v>
      </c>
      <c r="K124" s="323" t="s">
        <v>380</v>
      </c>
      <c r="L124" s="323" t="s">
        <v>381</v>
      </c>
      <c r="M124" s="323" t="s">
        <v>358</v>
      </c>
      <c r="N124" s="312">
        <v>1402643</v>
      </c>
      <c r="O124" s="312">
        <v>62.109166700000003</v>
      </c>
      <c r="P124" s="312">
        <v>-145.54638890000001</v>
      </c>
      <c r="Q124" s="319"/>
      <c r="S124" s="341"/>
      <c r="T124" s="348"/>
    </row>
    <row r="125" spans="1:20" s="330" customFormat="1" ht="38.25" customHeight="1" x14ac:dyDescent="0.25">
      <c r="A125" s="319" t="s">
        <v>164</v>
      </c>
      <c r="B125" s="307" t="s">
        <v>166</v>
      </c>
      <c r="C125" s="307" t="s">
        <v>656</v>
      </c>
      <c r="D125" s="323" t="s">
        <v>987</v>
      </c>
      <c r="E125" s="323" t="s">
        <v>498</v>
      </c>
      <c r="F125" s="323" t="s">
        <v>729</v>
      </c>
      <c r="G125" s="373" t="s">
        <v>499</v>
      </c>
      <c r="H125" s="310" t="s">
        <v>675</v>
      </c>
      <c r="I125" s="310" t="s">
        <v>415</v>
      </c>
      <c r="J125" s="323" t="s">
        <v>379</v>
      </c>
      <c r="K125" s="323" t="s">
        <v>380</v>
      </c>
      <c r="L125" s="323" t="s">
        <v>408</v>
      </c>
      <c r="M125" s="323" t="s">
        <v>358</v>
      </c>
      <c r="N125" s="312"/>
      <c r="O125" s="312"/>
      <c r="P125" s="312"/>
      <c r="Q125" s="319"/>
      <c r="S125" s="341"/>
      <c r="T125" s="348"/>
    </row>
    <row r="126" spans="1:20" s="330" customFormat="1" ht="38.25" customHeight="1" x14ac:dyDescent="0.25">
      <c r="A126" s="319" t="s">
        <v>164</v>
      </c>
      <c r="B126" s="307" t="s">
        <v>167</v>
      </c>
      <c r="C126" s="307" t="s">
        <v>167</v>
      </c>
      <c r="D126" s="323" t="s">
        <v>987</v>
      </c>
      <c r="E126" s="323" t="s">
        <v>498</v>
      </c>
      <c r="F126" s="323" t="s">
        <v>729</v>
      </c>
      <c r="G126" s="373" t="s">
        <v>499</v>
      </c>
      <c r="H126" s="310" t="s">
        <v>675</v>
      </c>
      <c r="I126" s="310" t="s">
        <v>415</v>
      </c>
      <c r="J126" s="323" t="s">
        <v>379</v>
      </c>
      <c r="K126" s="323" t="s">
        <v>380</v>
      </c>
      <c r="L126" s="323" t="s">
        <v>408</v>
      </c>
      <c r="M126" s="323" t="s">
        <v>358</v>
      </c>
      <c r="N126" s="312">
        <v>1412465</v>
      </c>
      <c r="O126" s="312">
        <v>61.130833299999999</v>
      </c>
      <c r="P126" s="312">
        <v>-146.34833330000001</v>
      </c>
      <c r="Q126" s="319"/>
      <c r="S126" s="341"/>
      <c r="T126" s="348"/>
    </row>
    <row r="127" spans="1:20" s="330" customFormat="1" ht="38.25" customHeight="1" x14ac:dyDescent="0.25">
      <c r="A127" s="319" t="s">
        <v>164</v>
      </c>
      <c r="B127" s="307" t="s">
        <v>168</v>
      </c>
      <c r="C127" s="307" t="s">
        <v>167</v>
      </c>
      <c r="D127" s="323" t="s">
        <v>987</v>
      </c>
      <c r="E127" s="323" t="s">
        <v>498</v>
      </c>
      <c r="F127" s="323" t="s">
        <v>729</v>
      </c>
      <c r="G127" s="373" t="s">
        <v>499</v>
      </c>
      <c r="H127" s="310" t="s">
        <v>675</v>
      </c>
      <c r="I127" s="310" t="s">
        <v>415</v>
      </c>
      <c r="J127" s="323" t="s">
        <v>379</v>
      </c>
      <c r="K127" s="323" t="s">
        <v>380</v>
      </c>
      <c r="L127" s="323" t="s">
        <v>408</v>
      </c>
      <c r="M127" s="323" t="s">
        <v>358</v>
      </c>
      <c r="N127" s="312">
        <v>1412465</v>
      </c>
      <c r="O127" s="312">
        <v>61.130833299999999</v>
      </c>
      <c r="P127" s="312">
        <v>-146.34833330000001</v>
      </c>
      <c r="Q127" s="319"/>
      <c r="S127" s="341"/>
      <c r="T127" s="348"/>
    </row>
    <row r="128" spans="1:20" s="330" customFormat="1" ht="28.5" customHeight="1" x14ac:dyDescent="0.25">
      <c r="A128" s="319" t="s">
        <v>533</v>
      </c>
      <c r="B128" s="324" t="s">
        <v>657</v>
      </c>
      <c r="C128" s="324" t="s">
        <v>1092</v>
      </c>
      <c r="D128" s="323" t="s">
        <v>987</v>
      </c>
      <c r="E128" s="323" t="s">
        <v>498</v>
      </c>
      <c r="F128" s="323" t="s">
        <v>730</v>
      </c>
      <c r="G128" s="373" t="s">
        <v>499</v>
      </c>
      <c r="H128" s="310" t="s">
        <v>673</v>
      </c>
      <c r="I128" s="310" t="s">
        <v>416</v>
      </c>
      <c r="J128" s="323" t="s">
        <v>379</v>
      </c>
      <c r="K128" s="323" t="s">
        <v>380</v>
      </c>
      <c r="L128" s="323" t="s">
        <v>408</v>
      </c>
      <c r="M128" s="323" t="s">
        <v>358</v>
      </c>
      <c r="N128" s="312">
        <v>1421215</v>
      </c>
      <c r="O128" s="312">
        <v>60.542777800000003</v>
      </c>
      <c r="P128" s="312">
        <v>-145.75749999999999</v>
      </c>
      <c r="Q128" s="335" t="s">
        <v>670</v>
      </c>
      <c r="S128" s="341"/>
      <c r="T128" s="348"/>
    </row>
    <row r="129" spans="1:20" s="330" customFormat="1" ht="25.5" customHeight="1" x14ac:dyDescent="0.25">
      <c r="A129" s="319" t="s">
        <v>533</v>
      </c>
      <c r="B129" s="307" t="s">
        <v>505</v>
      </c>
      <c r="C129" s="307" t="s">
        <v>1092</v>
      </c>
      <c r="D129" s="323" t="s">
        <v>987</v>
      </c>
      <c r="E129" s="323" t="s">
        <v>498</v>
      </c>
      <c r="F129" s="323" t="s">
        <v>730</v>
      </c>
      <c r="G129" s="373" t="s">
        <v>499</v>
      </c>
      <c r="H129" s="310" t="s">
        <v>673</v>
      </c>
      <c r="I129" s="310" t="s">
        <v>416</v>
      </c>
      <c r="J129" s="323" t="s">
        <v>379</v>
      </c>
      <c r="K129" s="323" t="s">
        <v>380</v>
      </c>
      <c r="L129" s="323" t="s">
        <v>408</v>
      </c>
      <c r="M129" s="323" t="s">
        <v>358</v>
      </c>
      <c r="N129" s="312">
        <v>1421215</v>
      </c>
      <c r="O129" s="312">
        <v>60.542777800000003</v>
      </c>
      <c r="P129" s="312">
        <v>-145.75749999999999</v>
      </c>
      <c r="Q129" s="319"/>
      <c r="S129" s="341"/>
      <c r="T129" s="348"/>
    </row>
    <row r="130" spans="1:20" s="330" customFormat="1" ht="25.5" customHeight="1" x14ac:dyDescent="0.25">
      <c r="A130" s="319" t="s">
        <v>533</v>
      </c>
      <c r="B130" s="307" t="s">
        <v>506</v>
      </c>
      <c r="C130" s="307" t="s">
        <v>1092</v>
      </c>
      <c r="D130" s="323" t="s">
        <v>987</v>
      </c>
      <c r="E130" s="323" t="s">
        <v>498</v>
      </c>
      <c r="F130" s="323" t="s">
        <v>730</v>
      </c>
      <c r="G130" s="373" t="s">
        <v>499</v>
      </c>
      <c r="H130" s="310" t="s">
        <v>673</v>
      </c>
      <c r="I130" s="310" t="s">
        <v>416</v>
      </c>
      <c r="J130" s="323" t="s">
        <v>379</v>
      </c>
      <c r="K130" s="323" t="s">
        <v>380</v>
      </c>
      <c r="L130" s="323" t="s">
        <v>408</v>
      </c>
      <c r="M130" s="323" t="s">
        <v>358</v>
      </c>
      <c r="N130" s="312">
        <v>1421215</v>
      </c>
      <c r="O130" s="312">
        <v>60.542777800000003</v>
      </c>
      <c r="P130" s="312">
        <v>-145.75749999999999</v>
      </c>
      <c r="Q130" s="319"/>
      <c r="S130" s="341"/>
      <c r="T130" s="348"/>
    </row>
    <row r="131" spans="1:20" s="330" customFormat="1" ht="38.25" customHeight="1" x14ac:dyDescent="0.25">
      <c r="A131" s="319" t="s">
        <v>640</v>
      </c>
      <c r="B131" s="307" t="s">
        <v>170</v>
      </c>
      <c r="C131" s="307" t="s">
        <v>170</v>
      </c>
      <c r="D131" s="319" t="s">
        <v>987</v>
      </c>
      <c r="E131" s="319" t="s">
        <v>498</v>
      </c>
      <c r="F131" s="323" t="s">
        <v>728</v>
      </c>
      <c r="G131" s="373" t="s">
        <v>500</v>
      </c>
      <c r="H131" s="310" t="s">
        <v>673</v>
      </c>
      <c r="I131" s="310" t="s">
        <v>417</v>
      </c>
      <c r="J131" s="323" t="s">
        <v>390</v>
      </c>
      <c r="K131" s="323" t="s">
        <v>391</v>
      </c>
      <c r="L131" s="323" t="s">
        <v>390</v>
      </c>
      <c r="M131" s="323" t="s">
        <v>387</v>
      </c>
      <c r="N131" s="312">
        <v>1401213</v>
      </c>
      <c r="O131" s="312">
        <v>65.753765200000004</v>
      </c>
      <c r="P131" s="312">
        <v>-168.92314999999999</v>
      </c>
      <c r="Q131" s="319"/>
      <c r="S131" s="341"/>
      <c r="T131" s="348"/>
    </row>
    <row r="132" spans="1:20" s="330" customFormat="1" ht="25.5" customHeight="1" x14ac:dyDescent="0.25">
      <c r="A132" s="319" t="s">
        <v>171</v>
      </c>
      <c r="B132" s="307" t="s">
        <v>172</v>
      </c>
      <c r="C132" s="307" t="s">
        <v>172</v>
      </c>
      <c r="D132" s="323" t="s">
        <v>987</v>
      </c>
      <c r="E132" s="323" t="s">
        <v>498</v>
      </c>
      <c r="F132" s="323" t="s">
        <v>728</v>
      </c>
      <c r="G132" s="373" t="s">
        <v>500</v>
      </c>
      <c r="H132" s="310" t="s">
        <v>673</v>
      </c>
      <c r="I132" s="310" t="s">
        <v>418</v>
      </c>
      <c r="J132" s="323" t="s">
        <v>392</v>
      </c>
      <c r="K132" s="323" t="s">
        <v>410</v>
      </c>
      <c r="L132" s="323" t="s">
        <v>392</v>
      </c>
      <c r="M132" s="323" t="s">
        <v>362</v>
      </c>
      <c r="N132" s="312">
        <v>1401686</v>
      </c>
      <c r="O132" s="312">
        <v>58.215555600000002</v>
      </c>
      <c r="P132" s="312">
        <v>-157.37583330000001</v>
      </c>
      <c r="Q132" s="319"/>
      <c r="S132" s="341"/>
      <c r="T132" s="348"/>
    </row>
    <row r="133" spans="1:20" s="330" customFormat="1" ht="38.25" customHeight="1" x14ac:dyDescent="0.25">
      <c r="A133" s="319" t="s">
        <v>174</v>
      </c>
      <c r="B133" s="307" t="s">
        <v>175</v>
      </c>
      <c r="C133" s="307" t="s">
        <v>175</v>
      </c>
      <c r="D133" s="319" t="s">
        <v>987</v>
      </c>
      <c r="E133" s="319" t="s">
        <v>498</v>
      </c>
      <c r="F133" s="323" t="s">
        <v>730</v>
      </c>
      <c r="G133" s="373" t="s">
        <v>500</v>
      </c>
      <c r="H133" s="310" t="s">
        <v>673</v>
      </c>
      <c r="I133" s="310" t="s">
        <v>420</v>
      </c>
      <c r="J133" s="323" t="s">
        <v>373</v>
      </c>
      <c r="K133" s="323" t="s">
        <v>421</v>
      </c>
      <c r="L133" s="323" t="s">
        <v>374</v>
      </c>
      <c r="M133" s="323" t="s">
        <v>372</v>
      </c>
      <c r="N133" s="312">
        <v>1401787</v>
      </c>
      <c r="O133" s="312">
        <v>58.194444400000002</v>
      </c>
      <c r="P133" s="312">
        <v>-136.34333330000001</v>
      </c>
      <c r="Q133" s="319"/>
      <c r="S133" s="341"/>
      <c r="T133" s="348"/>
    </row>
    <row r="134" spans="1:20" s="330" customFormat="1" ht="38.25" customHeight="1" x14ac:dyDescent="0.25">
      <c r="A134" s="319" t="s">
        <v>1079</v>
      </c>
      <c r="B134" s="307" t="s">
        <v>1023</v>
      </c>
      <c r="C134" s="307"/>
      <c r="D134" s="319"/>
      <c r="E134" s="319"/>
      <c r="F134" s="323" t="s">
        <v>764</v>
      </c>
      <c r="G134" s="373" t="s">
        <v>499</v>
      </c>
      <c r="H134" s="310" t="s">
        <v>675</v>
      </c>
      <c r="I134" s="310"/>
      <c r="J134" s="323" t="s">
        <v>158</v>
      </c>
      <c r="K134" s="323" t="s">
        <v>540</v>
      </c>
      <c r="L134" s="323" t="s">
        <v>396</v>
      </c>
      <c r="M134" s="323" t="s">
        <v>358</v>
      </c>
      <c r="N134" s="312"/>
      <c r="O134" s="312"/>
      <c r="P134" s="312"/>
      <c r="Q134" s="319" t="s">
        <v>1099</v>
      </c>
      <c r="S134" s="605"/>
      <c r="T134" s="348"/>
    </row>
    <row r="135" spans="1:20" s="330" customFormat="1" ht="38.25" customHeight="1" x14ac:dyDescent="0.25">
      <c r="A135" s="319" t="s">
        <v>176</v>
      </c>
      <c r="B135" s="307" t="s">
        <v>177</v>
      </c>
      <c r="C135" s="307" t="s">
        <v>177</v>
      </c>
      <c r="D135" s="319" t="s">
        <v>987</v>
      </c>
      <c r="E135" s="319" t="s">
        <v>498</v>
      </c>
      <c r="F135" s="323" t="s">
        <v>728</v>
      </c>
      <c r="G135" s="373" t="s">
        <v>500</v>
      </c>
      <c r="H135" s="310" t="s">
        <v>673</v>
      </c>
      <c r="I135" s="310" t="s">
        <v>422</v>
      </c>
      <c r="J135" s="323" t="s">
        <v>368</v>
      </c>
      <c r="K135" s="323" t="s">
        <v>369</v>
      </c>
      <c r="L135" s="323" t="s">
        <v>370</v>
      </c>
      <c r="M135" s="323" t="s">
        <v>362</v>
      </c>
      <c r="N135" s="312">
        <v>1418574</v>
      </c>
      <c r="O135" s="312">
        <v>54.850833299999998</v>
      </c>
      <c r="P135" s="312">
        <v>-163.41499999999999</v>
      </c>
      <c r="Q135" s="319"/>
      <c r="S135" s="341"/>
      <c r="T135" s="348"/>
    </row>
    <row r="136" spans="1:20" s="330" customFormat="1" ht="76.5" customHeight="1" x14ac:dyDescent="0.25">
      <c r="A136" s="319" t="s">
        <v>178</v>
      </c>
      <c r="B136" s="307" t="s">
        <v>179</v>
      </c>
      <c r="C136" s="307" t="s">
        <v>179</v>
      </c>
      <c r="D136" s="323" t="s">
        <v>988</v>
      </c>
      <c r="E136" s="323" t="s">
        <v>498</v>
      </c>
      <c r="F136" s="323" t="s">
        <v>729</v>
      </c>
      <c r="G136" s="373" t="s">
        <v>500</v>
      </c>
      <c r="H136" s="310" t="s">
        <v>673</v>
      </c>
      <c r="I136" s="310" t="s">
        <v>527</v>
      </c>
      <c r="J136" s="323" t="s">
        <v>368</v>
      </c>
      <c r="K136" s="323" t="s">
        <v>369</v>
      </c>
      <c r="L136" s="323" t="s">
        <v>370</v>
      </c>
      <c r="M136" s="323" t="s">
        <v>362</v>
      </c>
      <c r="N136" s="312">
        <v>1418448</v>
      </c>
      <c r="O136" s="312">
        <v>55.185833299999999</v>
      </c>
      <c r="P136" s="312">
        <v>-162.7211111</v>
      </c>
      <c r="Q136" s="319"/>
      <c r="S136" s="341"/>
      <c r="T136" s="348"/>
    </row>
    <row r="137" spans="1:20" s="330" customFormat="1" ht="25.5" customHeight="1" x14ac:dyDescent="0.25">
      <c r="A137" s="319" t="s">
        <v>180</v>
      </c>
      <c r="B137" s="307" t="s">
        <v>181</v>
      </c>
      <c r="C137" s="307" t="s">
        <v>181</v>
      </c>
      <c r="D137" s="323" t="s">
        <v>987</v>
      </c>
      <c r="E137" s="323" t="s">
        <v>498</v>
      </c>
      <c r="F137" s="319" t="s">
        <v>728</v>
      </c>
      <c r="G137" s="310" t="s">
        <v>500</v>
      </c>
      <c r="H137" s="310" t="s">
        <v>673</v>
      </c>
      <c r="I137" s="310" t="s">
        <v>423</v>
      </c>
      <c r="J137" s="319" t="s">
        <v>376</v>
      </c>
      <c r="K137" s="323" t="s">
        <v>377</v>
      </c>
      <c r="L137" s="323" t="s">
        <v>378</v>
      </c>
      <c r="M137" s="323" t="s">
        <v>375</v>
      </c>
      <c r="N137" s="312">
        <v>1402457</v>
      </c>
      <c r="O137" s="312">
        <v>64.733333299999998</v>
      </c>
      <c r="P137" s="312">
        <v>-156.92750000000001</v>
      </c>
      <c r="Q137" s="319"/>
      <c r="S137" s="341"/>
      <c r="T137" s="348"/>
    </row>
    <row r="138" spans="1:20" s="330" customFormat="1" ht="12.75" customHeight="1" x14ac:dyDescent="0.25">
      <c r="A138" s="319" t="s">
        <v>182</v>
      </c>
      <c r="B138" s="307" t="s">
        <v>183</v>
      </c>
      <c r="C138" s="307" t="s">
        <v>183</v>
      </c>
      <c r="D138" s="323" t="s">
        <v>988</v>
      </c>
      <c r="E138" s="319" t="s">
        <v>498</v>
      </c>
      <c r="F138" s="323" t="s">
        <v>729</v>
      </c>
      <c r="G138" s="373" t="s">
        <v>500</v>
      </c>
      <c r="H138" s="310" t="s">
        <v>673</v>
      </c>
      <c r="I138" s="310" t="s">
        <v>503</v>
      </c>
      <c r="J138" s="323" t="s">
        <v>376</v>
      </c>
      <c r="K138" s="323" t="s">
        <v>377</v>
      </c>
      <c r="L138" s="323" t="s">
        <v>378</v>
      </c>
      <c r="M138" s="323" t="s">
        <v>375</v>
      </c>
      <c r="N138" s="312">
        <v>1400106</v>
      </c>
      <c r="O138" s="312">
        <v>65.572500000000005</v>
      </c>
      <c r="P138" s="312">
        <v>-144.80305559999999</v>
      </c>
      <c r="Q138" s="319"/>
      <c r="S138" s="341"/>
      <c r="T138" s="348"/>
    </row>
    <row r="139" spans="1:20" s="330" customFormat="1" ht="25.5" customHeight="1" x14ac:dyDescent="0.25">
      <c r="A139" s="319" t="s">
        <v>184</v>
      </c>
      <c r="B139" s="324" t="s">
        <v>185</v>
      </c>
      <c r="C139" s="324"/>
      <c r="D139" s="323" t="s">
        <v>988</v>
      </c>
      <c r="E139" s="323" t="s">
        <v>498</v>
      </c>
      <c r="F139" s="323" t="s">
        <v>729</v>
      </c>
      <c r="G139" s="373" t="s">
        <v>499</v>
      </c>
      <c r="H139" s="310" t="s">
        <v>675</v>
      </c>
      <c r="I139" s="310" t="s">
        <v>424</v>
      </c>
      <c r="J139" s="323" t="s">
        <v>158</v>
      </c>
      <c r="K139" s="323" t="s">
        <v>400</v>
      </c>
      <c r="L139" s="323" t="s">
        <v>378</v>
      </c>
      <c r="M139" s="323" t="s">
        <v>375</v>
      </c>
      <c r="N139" s="375"/>
      <c r="O139" s="336"/>
      <c r="P139" s="335"/>
      <c r="Q139" s="335"/>
      <c r="S139" s="341"/>
      <c r="T139" s="348"/>
    </row>
    <row r="140" spans="1:20" s="330" customFormat="1" ht="12.75" customHeight="1" x14ac:dyDescent="0.25">
      <c r="A140" s="319" t="s">
        <v>184</v>
      </c>
      <c r="B140" s="307" t="s">
        <v>132</v>
      </c>
      <c r="C140" s="307"/>
      <c r="D140" s="323" t="s">
        <v>988</v>
      </c>
      <c r="E140" s="323" t="s">
        <v>498</v>
      </c>
      <c r="F140" s="323" t="s">
        <v>729</v>
      </c>
      <c r="G140" s="373" t="s">
        <v>499</v>
      </c>
      <c r="H140" s="310" t="s">
        <v>675</v>
      </c>
      <c r="I140" s="310" t="s">
        <v>424</v>
      </c>
      <c r="J140" s="323" t="s">
        <v>158</v>
      </c>
      <c r="K140" s="323" t="s">
        <v>400</v>
      </c>
      <c r="L140" s="323" t="s">
        <v>378</v>
      </c>
      <c r="M140" s="323" t="s">
        <v>375</v>
      </c>
      <c r="N140" s="312"/>
      <c r="O140" s="312"/>
      <c r="P140" s="312"/>
      <c r="Q140" s="319"/>
      <c r="S140" s="341"/>
      <c r="T140" s="348"/>
    </row>
    <row r="141" spans="1:20" s="330" customFormat="1" ht="38.25" customHeight="1" x14ac:dyDescent="0.25">
      <c r="A141" s="319" t="s">
        <v>184</v>
      </c>
      <c r="B141" s="307" t="s">
        <v>186</v>
      </c>
      <c r="C141" s="307"/>
      <c r="D141" s="323" t="s">
        <v>988</v>
      </c>
      <c r="E141" s="323" t="s">
        <v>498</v>
      </c>
      <c r="F141" s="323" t="s">
        <v>729</v>
      </c>
      <c r="G141" s="373" t="s">
        <v>499</v>
      </c>
      <c r="H141" s="310" t="s">
        <v>675</v>
      </c>
      <c r="I141" s="310" t="s">
        <v>424</v>
      </c>
      <c r="J141" s="323" t="s">
        <v>158</v>
      </c>
      <c r="K141" s="323" t="s">
        <v>425</v>
      </c>
      <c r="L141" s="323" t="s">
        <v>378</v>
      </c>
      <c r="M141" s="323" t="s">
        <v>375</v>
      </c>
      <c r="N141" s="312"/>
      <c r="O141" s="312"/>
      <c r="P141" s="312"/>
      <c r="Q141" s="319"/>
      <c r="S141" s="341"/>
      <c r="T141" s="348"/>
    </row>
    <row r="142" spans="1:20" s="330" customFormat="1" ht="38.25" customHeight="1" x14ac:dyDescent="0.25">
      <c r="A142" s="319" t="s">
        <v>184</v>
      </c>
      <c r="B142" s="307" t="s">
        <v>187</v>
      </c>
      <c r="C142" s="307"/>
      <c r="D142" s="323" t="s">
        <v>988</v>
      </c>
      <c r="E142" s="323" t="s">
        <v>498</v>
      </c>
      <c r="F142" s="323" t="s">
        <v>729</v>
      </c>
      <c r="G142" s="373" t="s">
        <v>499</v>
      </c>
      <c r="H142" s="310" t="s">
        <v>675</v>
      </c>
      <c r="I142" s="310" t="s">
        <v>424</v>
      </c>
      <c r="J142" s="323" t="s">
        <v>158</v>
      </c>
      <c r="K142" s="323" t="s">
        <v>400</v>
      </c>
      <c r="L142" s="323" t="s">
        <v>378</v>
      </c>
      <c r="M142" s="323" t="s">
        <v>375</v>
      </c>
      <c r="N142" s="312"/>
      <c r="O142" s="312"/>
      <c r="P142" s="312"/>
      <c r="Q142" s="319"/>
      <c r="S142" s="341"/>
      <c r="T142" s="348"/>
    </row>
    <row r="143" spans="1:20" s="330" customFormat="1" ht="38.25" customHeight="1" x14ac:dyDescent="0.25">
      <c r="A143" s="319" t="s">
        <v>188</v>
      </c>
      <c r="B143" s="307" t="s">
        <v>189</v>
      </c>
      <c r="C143" s="307" t="s">
        <v>189</v>
      </c>
      <c r="D143" s="319" t="s">
        <v>987</v>
      </c>
      <c r="E143" s="319" t="s">
        <v>498</v>
      </c>
      <c r="F143" s="319" t="s">
        <v>728</v>
      </c>
      <c r="G143" s="310" t="s">
        <v>500</v>
      </c>
      <c r="H143" s="310" t="s">
        <v>673</v>
      </c>
      <c r="I143" s="310" t="s">
        <v>426</v>
      </c>
      <c r="J143" s="319" t="s">
        <v>390</v>
      </c>
      <c r="K143" s="323" t="s">
        <v>391</v>
      </c>
      <c r="L143" s="323" t="s">
        <v>390</v>
      </c>
      <c r="M143" s="323" t="s">
        <v>387</v>
      </c>
      <c r="N143" s="312">
        <v>1402760</v>
      </c>
      <c r="O143" s="312">
        <v>64.5433333</v>
      </c>
      <c r="P143" s="312">
        <v>-163.02916669999999</v>
      </c>
      <c r="Q143" s="319"/>
      <c r="S143" s="341"/>
      <c r="T143" s="348"/>
    </row>
    <row r="144" spans="1:20" s="330" customFormat="1" ht="25.5" customHeight="1" x14ac:dyDescent="0.25">
      <c r="A144" s="319" t="s">
        <v>190</v>
      </c>
      <c r="B144" s="307" t="s">
        <v>520</v>
      </c>
      <c r="C144" s="307" t="s">
        <v>191</v>
      </c>
      <c r="D144" s="323" t="s">
        <v>988</v>
      </c>
      <c r="E144" s="323" t="s">
        <v>498</v>
      </c>
      <c r="F144" s="323" t="s">
        <v>729</v>
      </c>
      <c r="G144" s="373" t="s">
        <v>500</v>
      </c>
      <c r="H144" s="310" t="s">
        <v>673</v>
      </c>
      <c r="I144" s="310" t="s">
        <v>427</v>
      </c>
      <c r="J144" s="323" t="s">
        <v>373</v>
      </c>
      <c r="K144" s="323" t="s">
        <v>421</v>
      </c>
      <c r="L144" s="323" t="s">
        <v>374</v>
      </c>
      <c r="M144" s="323" t="s">
        <v>372</v>
      </c>
      <c r="N144" s="312">
        <v>1403078</v>
      </c>
      <c r="O144" s="312">
        <v>58.413333299999998</v>
      </c>
      <c r="P144" s="312">
        <v>-135.7369444</v>
      </c>
      <c r="Q144" s="319"/>
      <c r="S144" s="341"/>
      <c r="T144" s="348"/>
    </row>
    <row r="145" spans="1:20" s="330" customFormat="1" ht="12.75" customHeight="1" x14ac:dyDescent="0.25">
      <c r="A145" s="319" t="s">
        <v>190</v>
      </c>
      <c r="B145" s="307" t="s">
        <v>191</v>
      </c>
      <c r="C145" s="307" t="s">
        <v>191</v>
      </c>
      <c r="D145" s="323" t="s">
        <v>988</v>
      </c>
      <c r="E145" s="323" t="s">
        <v>498</v>
      </c>
      <c r="F145" s="323" t="s">
        <v>729</v>
      </c>
      <c r="G145" s="373" t="s">
        <v>500</v>
      </c>
      <c r="H145" s="310" t="s">
        <v>673</v>
      </c>
      <c r="I145" s="310" t="s">
        <v>427</v>
      </c>
      <c r="J145" s="323" t="s">
        <v>373</v>
      </c>
      <c r="K145" s="323" t="s">
        <v>421</v>
      </c>
      <c r="L145" s="323" t="s">
        <v>374</v>
      </c>
      <c r="M145" s="323" t="s">
        <v>372</v>
      </c>
      <c r="N145" s="312">
        <v>1403078</v>
      </c>
      <c r="O145" s="312">
        <v>58.413333299999998</v>
      </c>
      <c r="P145" s="312">
        <v>-135.7369444</v>
      </c>
      <c r="Q145" s="319"/>
      <c r="S145" s="341"/>
      <c r="T145" s="348"/>
    </row>
    <row r="146" spans="1:20" s="330" customFormat="1" ht="69.75" customHeight="1" x14ac:dyDescent="0.25">
      <c r="A146" s="319" t="s">
        <v>535</v>
      </c>
      <c r="B146" s="307" t="s">
        <v>192</v>
      </c>
      <c r="C146" s="307" t="s">
        <v>192</v>
      </c>
      <c r="D146" s="323" t="s">
        <v>988</v>
      </c>
      <c r="E146" s="323" t="s">
        <v>498</v>
      </c>
      <c r="F146" s="323" t="s">
        <v>729</v>
      </c>
      <c r="G146" s="373" t="s">
        <v>500</v>
      </c>
      <c r="H146" s="310" t="s">
        <v>673</v>
      </c>
      <c r="I146" s="310" t="s">
        <v>725</v>
      </c>
      <c r="J146" s="323" t="s">
        <v>376</v>
      </c>
      <c r="K146" s="323" t="s">
        <v>377</v>
      </c>
      <c r="L146" s="323" t="s">
        <v>378</v>
      </c>
      <c r="M146" s="323" t="s">
        <v>375</v>
      </c>
      <c r="N146" s="312">
        <v>1402276</v>
      </c>
      <c r="O146" s="312">
        <v>66.564722200000006</v>
      </c>
      <c r="P146" s="312">
        <v>-145.2738889</v>
      </c>
      <c r="Q146" s="319"/>
      <c r="S146" s="341"/>
      <c r="T146" s="348"/>
    </row>
    <row r="147" spans="1:20" s="330" customFormat="1" ht="76.5" customHeight="1" x14ac:dyDescent="0.25">
      <c r="A147" s="319" t="s">
        <v>193</v>
      </c>
      <c r="B147" s="307" t="s">
        <v>312</v>
      </c>
      <c r="C147" s="307"/>
      <c r="D147" s="323" t="s">
        <v>988</v>
      </c>
      <c r="E147" s="323" t="s">
        <v>498</v>
      </c>
      <c r="F147" s="323" t="s">
        <v>729</v>
      </c>
      <c r="G147" s="373" t="s">
        <v>499</v>
      </c>
      <c r="H147" s="310" t="s">
        <v>675</v>
      </c>
      <c r="I147" s="310" t="s">
        <v>428</v>
      </c>
      <c r="J147" s="323" t="s">
        <v>158</v>
      </c>
      <c r="K147" s="323" t="s">
        <v>121</v>
      </c>
      <c r="L147" s="323" t="s">
        <v>396</v>
      </c>
      <c r="M147" s="323" t="s">
        <v>358</v>
      </c>
      <c r="N147" s="312"/>
      <c r="O147" s="312"/>
      <c r="P147" s="312"/>
      <c r="Q147" s="319" t="s">
        <v>632</v>
      </c>
      <c r="S147" s="341"/>
      <c r="T147" s="348"/>
    </row>
    <row r="148" spans="1:20" s="330" customFormat="1" ht="76.5" customHeight="1" x14ac:dyDescent="0.25">
      <c r="A148" s="319" t="s">
        <v>193</v>
      </c>
      <c r="B148" s="307" t="s">
        <v>569</v>
      </c>
      <c r="C148" s="307"/>
      <c r="D148" s="323" t="s">
        <v>988</v>
      </c>
      <c r="E148" s="323" t="s">
        <v>498</v>
      </c>
      <c r="F148" s="323" t="s">
        <v>729</v>
      </c>
      <c r="G148" s="373" t="s">
        <v>499</v>
      </c>
      <c r="H148" s="310" t="s">
        <v>675</v>
      </c>
      <c r="I148" s="310" t="s">
        <v>428</v>
      </c>
      <c r="J148" s="323" t="s">
        <v>158</v>
      </c>
      <c r="K148" s="323" t="s">
        <v>414</v>
      </c>
      <c r="L148" s="323" t="s">
        <v>396</v>
      </c>
      <c r="M148" s="323" t="s">
        <v>358</v>
      </c>
      <c r="N148" s="332"/>
      <c r="O148" s="312"/>
      <c r="P148" s="312"/>
      <c r="Q148" s="319"/>
      <c r="S148" s="341"/>
      <c r="T148" s="348"/>
    </row>
    <row r="149" spans="1:20" s="330" customFormat="1" ht="89.25" customHeight="1" x14ac:dyDescent="0.25">
      <c r="A149" s="319" t="s">
        <v>193</v>
      </c>
      <c r="B149" s="307" t="s">
        <v>194</v>
      </c>
      <c r="C149" s="307"/>
      <c r="D149" s="323" t="s">
        <v>988</v>
      </c>
      <c r="E149" s="323" t="s">
        <v>498</v>
      </c>
      <c r="F149" s="323" t="s">
        <v>729</v>
      </c>
      <c r="G149" s="373" t="s">
        <v>499</v>
      </c>
      <c r="H149" s="310" t="s">
        <v>675</v>
      </c>
      <c r="I149" s="310" t="s">
        <v>428</v>
      </c>
      <c r="J149" s="323" t="s">
        <v>158</v>
      </c>
      <c r="K149" s="323" t="s">
        <v>414</v>
      </c>
      <c r="L149" s="323" t="s">
        <v>396</v>
      </c>
      <c r="M149" s="323" t="s">
        <v>358</v>
      </c>
      <c r="N149" s="312"/>
      <c r="O149" s="312"/>
      <c r="P149" s="312"/>
      <c r="Q149" s="319"/>
      <c r="S149" s="341"/>
      <c r="T149" s="348"/>
    </row>
    <row r="150" spans="1:20" s="330" customFormat="1" ht="26.25" x14ac:dyDescent="0.25">
      <c r="A150" s="319" t="s">
        <v>193</v>
      </c>
      <c r="B150" s="307" t="s">
        <v>195</v>
      </c>
      <c r="C150" s="307"/>
      <c r="D150" s="323" t="s">
        <v>988</v>
      </c>
      <c r="E150" s="323" t="s">
        <v>498</v>
      </c>
      <c r="F150" s="323" t="s">
        <v>729</v>
      </c>
      <c r="G150" s="373" t="s">
        <v>499</v>
      </c>
      <c r="H150" s="310" t="s">
        <v>675</v>
      </c>
      <c r="I150" s="310" t="s">
        <v>428</v>
      </c>
      <c r="J150" s="323" t="s">
        <v>158</v>
      </c>
      <c r="K150" s="323" t="s">
        <v>414</v>
      </c>
      <c r="L150" s="323" t="s">
        <v>396</v>
      </c>
      <c r="M150" s="323" t="s">
        <v>358</v>
      </c>
      <c r="N150" s="312"/>
      <c r="O150" s="312"/>
      <c r="P150" s="312"/>
      <c r="Q150" s="319"/>
      <c r="S150" s="341"/>
      <c r="T150" s="348"/>
    </row>
    <row r="151" spans="1:20" s="330" customFormat="1" ht="39" x14ac:dyDescent="0.25">
      <c r="A151" s="319" t="s">
        <v>196</v>
      </c>
      <c r="B151" s="307" t="s">
        <v>197</v>
      </c>
      <c r="C151" s="307" t="s">
        <v>197</v>
      </c>
      <c r="D151" s="319" t="s">
        <v>987</v>
      </c>
      <c r="E151" s="319" t="s">
        <v>498</v>
      </c>
      <c r="F151" s="323" t="s">
        <v>728</v>
      </c>
      <c r="G151" s="373" t="s">
        <v>500</v>
      </c>
      <c r="H151" s="310" t="s">
        <v>673</v>
      </c>
      <c r="I151" s="310" t="s">
        <v>429</v>
      </c>
      <c r="J151" s="323" t="s">
        <v>376</v>
      </c>
      <c r="K151" s="323" t="s">
        <v>377</v>
      </c>
      <c r="L151" s="323" t="s">
        <v>378</v>
      </c>
      <c r="M151" s="323" t="s">
        <v>375</v>
      </c>
      <c r="N151" s="312">
        <v>1403596</v>
      </c>
      <c r="O151" s="312">
        <v>66.048888899999994</v>
      </c>
      <c r="P151" s="312">
        <v>-154.25555560000001</v>
      </c>
      <c r="Q151" s="319"/>
      <c r="S151" s="341"/>
      <c r="T151" s="348"/>
    </row>
    <row r="152" spans="1:20" s="330" customFormat="1" ht="39" x14ac:dyDescent="0.25">
      <c r="A152" s="319" t="s">
        <v>198</v>
      </c>
      <c r="B152" s="307" t="s">
        <v>199</v>
      </c>
      <c r="C152" s="307" t="s">
        <v>199</v>
      </c>
      <c r="D152" s="319" t="s">
        <v>989</v>
      </c>
      <c r="E152" s="319" t="s">
        <v>498</v>
      </c>
      <c r="F152" s="319" t="s">
        <v>729</v>
      </c>
      <c r="G152" s="310" t="s">
        <v>500</v>
      </c>
      <c r="H152" s="310" t="s">
        <v>673</v>
      </c>
      <c r="I152" s="310" t="s">
        <v>430</v>
      </c>
      <c r="J152" s="319" t="s">
        <v>392</v>
      </c>
      <c r="K152" s="323" t="s">
        <v>410</v>
      </c>
      <c r="L152" s="323" t="s">
        <v>392</v>
      </c>
      <c r="M152" s="323" t="s">
        <v>362</v>
      </c>
      <c r="N152" s="312">
        <v>1403706</v>
      </c>
      <c r="O152" s="312">
        <v>59.3277778</v>
      </c>
      <c r="P152" s="312">
        <v>-155.89472219999999</v>
      </c>
      <c r="Q152" s="319"/>
      <c r="S152" s="341"/>
      <c r="T152" s="348"/>
    </row>
    <row r="153" spans="1:20" s="330" customFormat="1" ht="90" x14ac:dyDescent="0.25">
      <c r="A153" s="319" t="s">
        <v>200</v>
      </c>
      <c r="B153" s="307" t="s">
        <v>494</v>
      </c>
      <c r="C153" s="307" t="s">
        <v>658</v>
      </c>
      <c r="D153" s="319" t="s">
        <v>987</v>
      </c>
      <c r="E153" s="319" t="s">
        <v>498</v>
      </c>
      <c r="F153" s="319" t="s">
        <v>730</v>
      </c>
      <c r="G153" s="310" t="s">
        <v>499</v>
      </c>
      <c r="H153" s="310" t="s">
        <v>673</v>
      </c>
      <c r="I153" s="310" t="s">
        <v>514</v>
      </c>
      <c r="J153" s="319" t="s">
        <v>392</v>
      </c>
      <c r="K153" s="323" t="s">
        <v>410</v>
      </c>
      <c r="L153" s="323" t="s">
        <v>392</v>
      </c>
      <c r="M153" s="323" t="s">
        <v>362</v>
      </c>
      <c r="N153" s="312"/>
      <c r="O153" s="312"/>
      <c r="P153" s="312"/>
      <c r="Q153" s="319" t="s">
        <v>577</v>
      </c>
      <c r="S153" s="341"/>
      <c r="T153" s="348"/>
    </row>
    <row r="154" spans="1:20" s="330" customFormat="1" ht="111" customHeight="1" x14ac:dyDescent="0.25">
      <c r="A154" s="319" t="s">
        <v>200</v>
      </c>
      <c r="B154" s="307" t="s">
        <v>495</v>
      </c>
      <c r="C154" s="307" t="s">
        <v>658</v>
      </c>
      <c r="D154" s="319" t="s">
        <v>987</v>
      </c>
      <c r="E154" s="319" t="s">
        <v>498</v>
      </c>
      <c r="F154" s="319" t="s">
        <v>730</v>
      </c>
      <c r="G154" s="310" t="s">
        <v>499</v>
      </c>
      <c r="H154" s="310" t="s">
        <v>673</v>
      </c>
      <c r="I154" s="310" t="s">
        <v>514</v>
      </c>
      <c r="J154" s="319" t="s">
        <v>392</v>
      </c>
      <c r="K154" s="323" t="s">
        <v>410</v>
      </c>
      <c r="L154" s="323" t="s">
        <v>392</v>
      </c>
      <c r="M154" s="323" t="s">
        <v>362</v>
      </c>
      <c r="N154" s="312"/>
      <c r="O154" s="312"/>
      <c r="P154" s="312"/>
      <c r="Q154" s="319" t="s">
        <v>578</v>
      </c>
      <c r="S154" s="341"/>
      <c r="T154" s="348"/>
    </row>
    <row r="155" spans="1:20" s="330" customFormat="1" ht="128.25" x14ac:dyDescent="0.25">
      <c r="A155" s="319" t="s">
        <v>201</v>
      </c>
      <c r="B155" s="307" t="s">
        <v>319</v>
      </c>
      <c r="C155" s="307" t="s">
        <v>651</v>
      </c>
      <c r="D155" s="323" t="s">
        <v>988</v>
      </c>
      <c r="E155" s="323" t="s">
        <v>498</v>
      </c>
      <c r="F155" s="323" t="s">
        <v>730</v>
      </c>
      <c r="G155" s="373" t="s">
        <v>499</v>
      </c>
      <c r="H155" s="310" t="s">
        <v>675</v>
      </c>
      <c r="I155" s="310"/>
      <c r="J155" s="323" t="s">
        <v>373</v>
      </c>
      <c r="K155" s="323" t="s">
        <v>50</v>
      </c>
      <c r="L155" s="323" t="s">
        <v>374</v>
      </c>
      <c r="M155" s="323" t="s">
        <v>372</v>
      </c>
      <c r="N155" s="312"/>
      <c r="O155" s="312"/>
      <c r="P155" s="312"/>
      <c r="Q155" s="319" t="s">
        <v>708</v>
      </c>
      <c r="S155" s="341"/>
      <c r="T155" s="348"/>
    </row>
    <row r="156" spans="1:20" s="330" customFormat="1" ht="25.5" customHeight="1" x14ac:dyDescent="0.25">
      <c r="A156" s="319" t="s">
        <v>201</v>
      </c>
      <c r="B156" s="307" t="s">
        <v>202</v>
      </c>
      <c r="C156" s="307" t="s">
        <v>202</v>
      </c>
      <c r="D156" s="323" t="s">
        <v>988</v>
      </c>
      <c r="E156" s="323" t="s">
        <v>498</v>
      </c>
      <c r="F156" s="323" t="s">
        <v>730</v>
      </c>
      <c r="G156" s="373" t="s">
        <v>500</v>
      </c>
      <c r="H156" s="310" t="s">
        <v>673</v>
      </c>
      <c r="I156" s="310" t="s">
        <v>431</v>
      </c>
      <c r="J156" s="323" t="s">
        <v>373</v>
      </c>
      <c r="K156" s="323" t="s">
        <v>421</v>
      </c>
      <c r="L156" s="323" t="s">
        <v>374</v>
      </c>
      <c r="M156" s="323" t="s">
        <v>372</v>
      </c>
      <c r="N156" s="312">
        <v>1420113</v>
      </c>
      <c r="O156" s="312">
        <v>57.503333300000001</v>
      </c>
      <c r="P156" s="312">
        <v>-134.58388890000001</v>
      </c>
      <c r="Q156" s="319"/>
      <c r="S156" s="341"/>
      <c r="T156" s="348"/>
    </row>
    <row r="157" spans="1:20" s="330" customFormat="1" ht="25.5" customHeight="1" x14ac:dyDescent="0.25">
      <c r="A157" s="319" t="s">
        <v>201</v>
      </c>
      <c r="B157" s="307" t="s">
        <v>203</v>
      </c>
      <c r="C157" s="307" t="s">
        <v>203</v>
      </c>
      <c r="D157" s="323" t="s">
        <v>988</v>
      </c>
      <c r="E157" s="323" t="s">
        <v>498</v>
      </c>
      <c r="F157" s="323" t="s">
        <v>730</v>
      </c>
      <c r="G157" s="373" t="s">
        <v>499</v>
      </c>
      <c r="H157" s="310" t="s">
        <v>673</v>
      </c>
      <c r="I157" s="310" t="s">
        <v>431</v>
      </c>
      <c r="J157" s="323" t="s">
        <v>373</v>
      </c>
      <c r="K157" s="323" t="s">
        <v>50</v>
      </c>
      <c r="L157" s="323" t="s">
        <v>374</v>
      </c>
      <c r="M157" s="323" t="s">
        <v>372</v>
      </c>
      <c r="N157" s="312">
        <v>1421022</v>
      </c>
      <c r="O157" s="312">
        <v>59.399701999999998</v>
      </c>
      <c r="P157" s="312">
        <v>-135.89640890000001</v>
      </c>
      <c r="Q157" s="319" t="s">
        <v>703</v>
      </c>
      <c r="S157" s="341"/>
      <c r="T157" s="348"/>
    </row>
    <row r="158" spans="1:20" s="330" customFormat="1" ht="25.5" customHeight="1" x14ac:dyDescent="0.25">
      <c r="A158" s="319" t="s">
        <v>201</v>
      </c>
      <c r="B158" s="307" t="s">
        <v>204</v>
      </c>
      <c r="C158" s="307" t="s">
        <v>204</v>
      </c>
      <c r="D158" s="323" t="s">
        <v>988</v>
      </c>
      <c r="E158" s="323" t="s">
        <v>498</v>
      </c>
      <c r="F158" s="323" t="s">
        <v>730</v>
      </c>
      <c r="G158" s="373" t="s">
        <v>500</v>
      </c>
      <c r="H158" s="310" t="s">
        <v>673</v>
      </c>
      <c r="I158" s="310" t="s">
        <v>431</v>
      </c>
      <c r="J158" s="323" t="s">
        <v>373</v>
      </c>
      <c r="K158" s="323" t="s">
        <v>421</v>
      </c>
      <c r="L158" s="323" t="s">
        <v>374</v>
      </c>
      <c r="M158" s="323" t="s">
        <v>372</v>
      </c>
      <c r="N158" s="312">
        <v>1403488</v>
      </c>
      <c r="O158" s="312">
        <v>58.11</v>
      </c>
      <c r="P158" s="312">
        <v>-135.4436111</v>
      </c>
      <c r="Q158" s="319"/>
      <c r="S158" s="341"/>
      <c r="T158" s="348"/>
    </row>
    <row r="159" spans="1:20" s="330" customFormat="1" ht="25.5" customHeight="1" x14ac:dyDescent="0.25">
      <c r="A159" s="319" t="s">
        <v>201</v>
      </c>
      <c r="B159" s="307" t="s">
        <v>205</v>
      </c>
      <c r="C159" s="307" t="s">
        <v>205</v>
      </c>
      <c r="D159" s="323" t="s">
        <v>988</v>
      </c>
      <c r="E159" s="323" t="s">
        <v>498</v>
      </c>
      <c r="F159" s="323" t="s">
        <v>730</v>
      </c>
      <c r="G159" s="373" t="s">
        <v>500</v>
      </c>
      <c r="H159" s="310" t="s">
        <v>673</v>
      </c>
      <c r="I159" s="310" t="s">
        <v>431</v>
      </c>
      <c r="J159" s="323" t="s">
        <v>373</v>
      </c>
      <c r="K159" s="323" t="s">
        <v>432</v>
      </c>
      <c r="L159" s="323" t="s">
        <v>374</v>
      </c>
      <c r="M159" s="323" t="s">
        <v>372</v>
      </c>
      <c r="N159" s="312">
        <v>1422926</v>
      </c>
      <c r="O159" s="312">
        <v>56.975833299999998</v>
      </c>
      <c r="P159" s="312">
        <v>-133.9472222</v>
      </c>
      <c r="Q159" s="319"/>
      <c r="S159" s="341"/>
      <c r="T159" s="348"/>
    </row>
    <row r="160" spans="1:20" s="330" customFormat="1" ht="25.5" customHeight="1" x14ac:dyDescent="0.25">
      <c r="A160" s="319" t="s">
        <v>201</v>
      </c>
      <c r="B160" s="307" t="s">
        <v>206</v>
      </c>
      <c r="C160" s="307" t="s">
        <v>206</v>
      </c>
      <c r="D160" s="319" t="s">
        <v>988</v>
      </c>
      <c r="E160" s="319" t="s">
        <v>498</v>
      </c>
      <c r="F160" s="323" t="s">
        <v>730</v>
      </c>
      <c r="G160" s="373" t="s">
        <v>499</v>
      </c>
      <c r="H160" s="310" t="s">
        <v>673</v>
      </c>
      <c r="I160" s="310" t="s">
        <v>431</v>
      </c>
      <c r="J160" s="323" t="s">
        <v>373</v>
      </c>
      <c r="K160" s="323" t="s">
        <v>421</v>
      </c>
      <c r="L160" s="323" t="s">
        <v>374</v>
      </c>
      <c r="M160" s="323" t="s">
        <v>372</v>
      </c>
      <c r="N160" s="312">
        <v>1866956</v>
      </c>
      <c r="O160" s="312">
        <v>59.403888899999998</v>
      </c>
      <c r="P160" s="312">
        <v>-135.88444440000001</v>
      </c>
      <c r="Q160" s="319" t="s">
        <v>693</v>
      </c>
      <c r="R160" s="332"/>
      <c r="S160" s="341"/>
      <c r="T160" s="348"/>
    </row>
    <row r="161" spans="1:20" s="330" customFormat="1" ht="58.5" customHeight="1" x14ac:dyDescent="0.25">
      <c r="A161" s="319" t="s">
        <v>207</v>
      </c>
      <c r="B161" s="307" t="s">
        <v>208</v>
      </c>
      <c r="C161" s="307" t="s">
        <v>208</v>
      </c>
      <c r="D161" s="319" t="s">
        <v>987</v>
      </c>
      <c r="E161" s="319" t="s">
        <v>498</v>
      </c>
      <c r="F161" s="319" t="s">
        <v>729</v>
      </c>
      <c r="G161" s="310" t="s">
        <v>500</v>
      </c>
      <c r="H161" s="310" t="s">
        <v>673</v>
      </c>
      <c r="I161" s="310" t="s">
        <v>507</v>
      </c>
      <c r="J161" s="319" t="s">
        <v>388</v>
      </c>
      <c r="K161" s="323" t="s">
        <v>388</v>
      </c>
      <c r="L161" s="323" t="s">
        <v>389</v>
      </c>
      <c r="M161" s="323" t="s">
        <v>387</v>
      </c>
      <c r="N161" s="312">
        <v>1412894</v>
      </c>
      <c r="O161" s="312">
        <v>66.075555600000001</v>
      </c>
      <c r="P161" s="312">
        <v>-162.71722220000001</v>
      </c>
      <c r="Q161" s="319"/>
      <c r="S161" s="341"/>
      <c r="T161" s="348"/>
    </row>
    <row r="162" spans="1:20" s="330" customFormat="1" ht="25.5" customHeight="1" x14ac:dyDescent="0.2">
      <c r="A162" s="319" t="s">
        <v>209</v>
      </c>
      <c r="B162" s="307" t="s">
        <v>210</v>
      </c>
      <c r="C162" s="307" t="s">
        <v>211</v>
      </c>
      <c r="D162" s="323" t="s">
        <v>987</v>
      </c>
      <c r="E162" s="323" t="s">
        <v>498</v>
      </c>
      <c r="F162" s="323" t="s">
        <v>728</v>
      </c>
      <c r="G162" s="373" t="s">
        <v>499</v>
      </c>
      <c r="H162" s="310" t="s">
        <v>675</v>
      </c>
      <c r="I162" s="310" t="s">
        <v>433</v>
      </c>
      <c r="J162" s="323" t="s">
        <v>373</v>
      </c>
      <c r="K162" s="323" t="s">
        <v>434</v>
      </c>
      <c r="L162" s="323" t="s">
        <v>374</v>
      </c>
      <c r="M162" s="323" t="s">
        <v>372</v>
      </c>
      <c r="N162" s="312">
        <v>1423039</v>
      </c>
      <c r="O162" s="312">
        <v>55.342222200000002</v>
      </c>
      <c r="P162" s="312">
        <v>-131.64611110000001</v>
      </c>
      <c r="Q162" s="319"/>
    </row>
    <row r="163" spans="1:20" s="330" customFormat="1" ht="25.5" customHeight="1" x14ac:dyDescent="0.2">
      <c r="A163" s="319" t="s">
        <v>209</v>
      </c>
      <c r="B163" s="307" t="s">
        <v>211</v>
      </c>
      <c r="C163" s="307" t="s">
        <v>211</v>
      </c>
      <c r="D163" s="323" t="s">
        <v>987</v>
      </c>
      <c r="E163" s="323" t="s">
        <v>498</v>
      </c>
      <c r="F163" s="323" t="s">
        <v>728</v>
      </c>
      <c r="G163" s="373" t="s">
        <v>499</v>
      </c>
      <c r="H163" s="310" t="s">
        <v>675</v>
      </c>
      <c r="I163" s="310" t="s">
        <v>433</v>
      </c>
      <c r="J163" s="323" t="s">
        <v>373</v>
      </c>
      <c r="K163" s="323" t="s">
        <v>434</v>
      </c>
      <c r="L163" s="323" t="s">
        <v>374</v>
      </c>
      <c r="M163" s="323" t="s">
        <v>372</v>
      </c>
      <c r="N163" s="312">
        <v>1423039</v>
      </c>
      <c r="O163" s="312">
        <v>55.342222200000002</v>
      </c>
      <c r="P163" s="312">
        <v>-131.64611110000001</v>
      </c>
      <c r="Q163" s="319"/>
    </row>
    <row r="164" spans="1:20" s="330" customFormat="1" ht="25.5" customHeight="1" x14ac:dyDescent="0.2">
      <c r="A164" s="319" t="s">
        <v>209</v>
      </c>
      <c r="B164" s="307" t="s">
        <v>212</v>
      </c>
      <c r="C164" s="307" t="s">
        <v>211</v>
      </c>
      <c r="D164" s="323" t="s">
        <v>987</v>
      </c>
      <c r="E164" s="323" t="s">
        <v>498</v>
      </c>
      <c r="F164" s="323" t="s">
        <v>728</v>
      </c>
      <c r="G164" s="373" t="s">
        <v>499</v>
      </c>
      <c r="H164" s="310" t="s">
        <v>675</v>
      </c>
      <c r="I164" s="310" t="s">
        <v>433</v>
      </c>
      <c r="J164" s="323" t="s">
        <v>373</v>
      </c>
      <c r="K164" s="323" t="s">
        <v>434</v>
      </c>
      <c r="L164" s="323" t="s">
        <v>374</v>
      </c>
      <c r="M164" s="323" t="s">
        <v>372</v>
      </c>
      <c r="N164" s="312">
        <v>1423039</v>
      </c>
      <c r="O164" s="312">
        <v>55.342222200000002</v>
      </c>
      <c r="P164" s="312">
        <v>-131.64611110000001</v>
      </c>
      <c r="Q164" s="319"/>
    </row>
    <row r="165" spans="1:20" s="330" customFormat="1" ht="25.5" customHeight="1" x14ac:dyDescent="0.2">
      <c r="A165" s="319" t="s">
        <v>209</v>
      </c>
      <c r="B165" s="307" t="s">
        <v>213</v>
      </c>
      <c r="C165" s="307" t="s">
        <v>211</v>
      </c>
      <c r="D165" s="323" t="s">
        <v>987</v>
      </c>
      <c r="E165" s="323" t="s">
        <v>498</v>
      </c>
      <c r="F165" s="323" t="s">
        <v>728</v>
      </c>
      <c r="G165" s="373" t="s">
        <v>499</v>
      </c>
      <c r="H165" s="310" t="s">
        <v>675</v>
      </c>
      <c r="I165" s="310" t="s">
        <v>433</v>
      </c>
      <c r="J165" s="323" t="s">
        <v>373</v>
      </c>
      <c r="K165" s="323" t="s">
        <v>434</v>
      </c>
      <c r="L165" s="323" t="s">
        <v>374</v>
      </c>
      <c r="M165" s="323" t="s">
        <v>372</v>
      </c>
      <c r="N165" s="312">
        <v>1423039</v>
      </c>
      <c r="O165" s="312">
        <v>55.342222200000002</v>
      </c>
      <c r="P165" s="312">
        <v>-131.64611110000001</v>
      </c>
      <c r="Q165" s="319"/>
    </row>
    <row r="166" spans="1:20" s="330" customFormat="1" ht="41.25" customHeight="1" x14ac:dyDescent="0.2">
      <c r="A166" s="319" t="s">
        <v>209</v>
      </c>
      <c r="B166" s="307" t="s">
        <v>214</v>
      </c>
      <c r="C166" s="307" t="s">
        <v>659</v>
      </c>
      <c r="D166" s="323" t="s">
        <v>987</v>
      </c>
      <c r="E166" s="323" t="s">
        <v>498</v>
      </c>
      <c r="F166" s="323" t="s">
        <v>728</v>
      </c>
      <c r="G166" s="373" t="s">
        <v>499</v>
      </c>
      <c r="H166" s="310" t="s">
        <v>675</v>
      </c>
      <c r="I166" s="310" t="s">
        <v>433</v>
      </c>
      <c r="J166" s="323" t="s">
        <v>373</v>
      </c>
      <c r="K166" s="323" t="s">
        <v>434</v>
      </c>
      <c r="L166" s="323" t="s">
        <v>374</v>
      </c>
      <c r="M166" s="323" t="s">
        <v>372</v>
      </c>
      <c r="N166" s="312"/>
      <c r="O166" s="312"/>
      <c r="P166" s="312"/>
      <c r="Q166" s="319"/>
    </row>
    <row r="167" spans="1:20" s="330" customFormat="1" ht="25.5" customHeight="1" x14ac:dyDescent="0.2">
      <c r="A167" s="319" t="s">
        <v>215</v>
      </c>
      <c r="B167" s="307" t="s">
        <v>216</v>
      </c>
      <c r="C167" s="307" t="s">
        <v>216</v>
      </c>
      <c r="D167" s="323" t="s">
        <v>987</v>
      </c>
      <c r="E167" s="323" t="s">
        <v>498</v>
      </c>
      <c r="F167" s="319" t="s">
        <v>728</v>
      </c>
      <c r="G167" s="310" t="s">
        <v>500</v>
      </c>
      <c r="H167" s="310" t="s">
        <v>673</v>
      </c>
      <c r="I167" s="310" t="s">
        <v>435</v>
      </c>
      <c r="J167" s="319" t="s">
        <v>368</v>
      </c>
      <c r="K167" s="323" t="s">
        <v>369</v>
      </c>
      <c r="L167" s="323" t="s">
        <v>370</v>
      </c>
      <c r="M167" s="323" t="s">
        <v>362</v>
      </c>
      <c r="N167" s="312">
        <v>1418792</v>
      </c>
      <c r="O167" s="312">
        <v>55.061666700000004</v>
      </c>
      <c r="P167" s="312">
        <v>-162.31027779999999</v>
      </c>
      <c r="Q167" s="319"/>
    </row>
    <row r="168" spans="1:20" s="330" customFormat="1" ht="25.5" customHeight="1" x14ac:dyDescent="0.2">
      <c r="A168" s="319" t="s">
        <v>217</v>
      </c>
      <c r="B168" s="307" t="s">
        <v>218</v>
      </c>
      <c r="C168" s="307" t="s">
        <v>218</v>
      </c>
      <c r="D168" s="323" t="s">
        <v>988</v>
      </c>
      <c r="E168" s="323" t="s">
        <v>498</v>
      </c>
      <c r="F168" s="323" t="s">
        <v>729</v>
      </c>
      <c r="G168" s="373" t="s">
        <v>500</v>
      </c>
      <c r="H168" s="310" t="s">
        <v>673</v>
      </c>
      <c r="I168" s="310" t="s">
        <v>436</v>
      </c>
      <c r="J168" s="323" t="s">
        <v>363</v>
      </c>
      <c r="K168" s="323" t="s">
        <v>364</v>
      </c>
      <c r="L168" s="323" t="s">
        <v>365</v>
      </c>
      <c r="M168" s="323" t="s">
        <v>362</v>
      </c>
      <c r="N168" s="312">
        <v>1404781</v>
      </c>
      <c r="O168" s="312">
        <v>59.938888900000002</v>
      </c>
      <c r="P168" s="312">
        <v>-164.04138889999999</v>
      </c>
      <c r="Q168" s="319"/>
    </row>
    <row r="169" spans="1:20" s="330" customFormat="1" ht="63.75" x14ac:dyDescent="0.2">
      <c r="A169" s="319" t="s">
        <v>219</v>
      </c>
      <c r="B169" s="307" t="s">
        <v>220</v>
      </c>
      <c r="C169" s="307" t="s">
        <v>220</v>
      </c>
      <c r="D169" s="319"/>
      <c r="E169" s="319" t="s">
        <v>498</v>
      </c>
      <c r="F169" s="323" t="s">
        <v>730</v>
      </c>
      <c r="G169" s="373" t="s">
        <v>499</v>
      </c>
      <c r="H169" s="310" t="s">
        <v>673</v>
      </c>
      <c r="I169" s="310" t="s">
        <v>437</v>
      </c>
      <c r="J169" s="323" t="s">
        <v>388</v>
      </c>
      <c r="K169" s="323" t="s">
        <v>388</v>
      </c>
      <c r="L169" s="323" t="s">
        <v>389</v>
      </c>
      <c r="M169" s="323" t="s">
        <v>387</v>
      </c>
      <c r="N169" s="312">
        <v>1413362</v>
      </c>
      <c r="O169" s="312">
        <v>66.907222200000007</v>
      </c>
      <c r="P169" s="312">
        <v>-156.8811111</v>
      </c>
      <c r="Q169" s="319" t="s">
        <v>782</v>
      </c>
    </row>
    <row r="170" spans="1:20" s="330" customFormat="1" ht="38.25" customHeight="1" x14ac:dyDescent="0.2">
      <c r="A170" s="319" t="s">
        <v>221</v>
      </c>
      <c r="B170" s="307" t="s">
        <v>222</v>
      </c>
      <c r="C170" s="307" t="s">
        <v>222</v>
      </c>
      <c r="D170" s="319" t="s">
        <v>988</v>
      </c>
      <c r="E170" s="323" t="s">
        <v>498</v>
      </c>
      <c r="F170" s="323" t="s">
        <v>730</v>
      </c>
      <c r="G170" s="373" t="s">
        <v>499</v>
      </c>
      <c r="H170" s="310" t="s">
        <v>675</v>
      </c>
      <c r="I170" s="310" t="s">
        <v>438</v>
      </c>
      <c r="J170" s="323" t="s">
        <v>222</v>
      </c>
      <c r="K170" s="323" t="s">
        <v>359</v>
      </c>
      <c r="L170" s="323" t="s">
        <v>360</v>
      </c>
      <c r="M170" s="323" t="s">
        <v>358</v>
      </c>
      <c r="N170" s="312">
        <v>1404875</v>
      </c>
      <c r="O170" s="312">
        <v>57.79</v>
      </c>
      <c r="P170" s="312">
        <v>-152.40722220000001</v>
      </c>
      <c r="Q170" s="319"/>
    </row>
    <row r="171" spans="1:20" s="330" customFormat="1" ht="25.5" customHeight="1" x14ac:dyDescent="0.2">
      <c r="A171" s="319" t="s">
        <v>221</v>
      </c>
      <c r="B171" s="307" t="s">
        <v>223</v>
      </c>
      <c r="C171" s="307" t="s">
        <v>222</v>
      </c>
      <c r="D171" s="319" t="s">
        <v>988</v>
      </c>
      <c r="E171" s="323" t="s">
        <v>498</v>
      </c>
      <c r="F171" s="323" t="s">
        <v>730</v>
      </c>
      <c r="G171" s="373" t="s">
        <v>499</v>
      </c>
      <c r="H171" s="310" t="s">
        <v>675</v>
      </c>
      <c r="I171" s="310" t="s">
        <v>438</v>
      </c>
      <c r="J171" s="323" t="s">
        <v>222</v>
      </c>
      <c r="K171" s="323" t="s">
        <v>359</v>
      </c>
      <c r="L171" s="323" t="s">
        <v>360</v>
      </c>
      <c r="M171" s="323" t="s">
        <v>358</v>
      </c>
      <c r="N171" s="312">
        <v>1404875</v>
      </c>
      <c r="O171" s="312">
        <v>57.79</v>
      </c>
      <c r="P171" s="312">
        <v>-152.40722220000001</v>
      </c>
      <c r="Q171" s="319"/>
    </row>
    <row r="172" spans="1:20" s="330" customFormat="1" ht="25.5" customHeight="1" x14ac:dyDescent="0.2">
      <c r="A172" s="319" t="s">
        <v>221</v>
      </c>
      <c r="B172" s="307" t="s">
        <v>224</v>
      </c>
      <c r="C172" s="307" t="s">
        <v>222</v>
      </c>
      <c r="D172" s="319" t="s">
        <v>988</v>
      </c>
      <c r="E172" s="323" t="s">
        <v>498</v>
      </c>
      <c r="F172" s="323" t="s">
        <v>730</v>
      </c>
      <c r="G172" s="373" t="s">
        <v>499</v>
      </c>
      <c r="H172" s="310" t="s">
        <v>675</v>
      </c>
      <c r="I172" s="310" t="s">
        <v>438</v>
      </c>
      <c r="J172" s="323" t="s">
        <v>222</v>
      </c>
      <c r="K172" s="323" t="s">
        <v>359</v>
      </c>
      <c r="L172" s="323" t="s">
        <v>360</v>
      </c>
      <c r="M172" s="323" t="s">
        <v>358</v>
      </c>
      <c r="N172" s="312">
        <v>1404875</v>
      </c>
      <c r="O172" s="312">
        <v>57.79</v>
      </c>
      <c r="P172" s="312">
        <v>-152.40722220000001</v>
      </c>
      <c r="Q172" s="319"/>
    </row>
    <row r="173" spans="1:20" s="330" customFormat="1" ht="25.5" customHeight="1" x14ac:dyDescent="0.2">
      <c r="A173" s="319" t="s">
        <v>221</v>
      </c>
      <c r="B173" s="307" t="s">
        <v>226</v>
      </c>
      <c r="C173" s="307" t="s">
        <v>222</v>
      </c>
      <c r="D173" s="319" t="s">
        <v>988</v>
      </c>
      <c r="E173" s="323" t="s">
        <v>498</v>
      </c>
      <c r="F173" s="323" t="s">
        <v>730</v>
      </c>
      <c r="G173" s="373" t="s">
        <v>499</v>
      </c>
      <c r="H173" s="310" t="s">
        <v>675</v>
      </c>
      <c r="I173" s="310" t="s">
        <v>438</v>
      </c>
      <c r="J173" s="323" t="s">
        <v>222</v>
      </c>
      <c r="K173" s="323" t="s">
        <v>359</v>
      </c>
      <c r="L173" s="323" t="s">
        <v>360</v>
      </c>
      <c r="M173" s="323" t="s">
        <v>358</v>
      </c>
      <c r="N173" s="312">
        <v>1404875</v>
      </c>
      <c r="O173" s="312">
        <v>57.79</v>
      </c>
      <c r="P173" s="312">
        <v>-152.40722220000001</v>
      </c>
      <c r="Q173" s="319"/>
    </row>
    <row r="174" spans="1:20" s="330" customFormat="1" ht="25.5" customHeight="1" x14ac:dyDescent="0.2">
      <c r="A174" s="319" t="s">
        <v>221</v>
      </c>
      <c r="B174" s="307" t="s">
        <v>225</v>
      </c>
      <c r="C174" s="307" t="s">
        <v>222</v>
      </c>
      <c r="D174" s="319" t="s">
        <v>988</v>
      </c>
      <c r="E174" s="323" t="s">
        <v>498</v>
      </c>
      <c r="F174" s="323" t="s">
        <v>730</v>
      </c>
      <c r="G174" s="373" t="s">
        <v>499</v>
      </c>
      <c r="H174" s="310" t="s">
        <v>675</v>
      </c>
      <c r="I174" s="310" t="s">
        <v>438</v>
      </c>
      <c r="J174" s="323" t="s">
        <v>222</v>
      </c>
      <c r="K174" s="323" t="s">
        <v>359</v>
      </c>
      <c r="L174" s="323" t="s">
        <v>360</v>
      </c>
      <c r="M174" s="323" t="s">
        <v>358</v>
      </c>
      <c r="N174" s="312">
        <v>1404875</v>
      </c>
      <c r="O174" s="312">
        <v>57.79</v>
      </c>
      <c r="P174" s="312">
        <v>-152.40722220000001</v>
      </c>
      <c r="Q174" s="319"/>
    </row>
    <row r="175" spans="1:20" s="330" customFormat="1" ht="25.5" customHeight="1" x14ac:dyDescent="0.2">
      <c r="A175" s="319" t="s">
        <v>227</v>
      </c>
      <c r="B175" s="307" t="s">
        <v>228</v>
      </c>
      <c r="C175" s="307" t="s">
        <v>228</v>
      </c>
      <c r="D175" s="319" t="s">
        <v>989</v>
      </c>
      <c r="E175" s="319" t="s">
        <v>498</v>
      </c>
      <c r="F175" s="319" t="s">
        <v>728</v>
      </c>
      <c r="G175" s="310" t="s">
        <v>500</v>
      </c>
      <c r="H175" s="310" t="s">
        <v>673</v>
      </c>
      <c r="I175" s="310" t="s">
        <v>439</v>
      </c>
      <c r="J175" s="319" t="s">
        <v>392</v>
      </c>
      <c r="K175" s="323" t="s">
        <v>410</v>
      </c>
      <c r="L175" s="323" t="s">
        <v>392</v>
      </c>
      <c r="M175" s="323" t="s">
        <v>362</v>
      </c>
      <c r="N175" s="312">
        <v>1404333</v>
      </c>
      <c r="O175" s="312">
        <v>59.439444399999999</v>
      </c>
      <c r="P175" s="312">
        <v>-154.77611110000001</v>
      </c>
      <c r="Q175" s="319"/>
    </row>
    <row r="176" spans="1:20" s="330" customFormat="1" ht="25.5" customHeight="1" x14ac:dyDescent="0.2">
      <c r="A176" s="319" t="s">
        <v>229</v>
      </c>
      <c r="B176" s="307" t="s">
        <v>230</v>
      </c>
      <c r="C176" s="307" t="s">
        <v>230</v>
      </c>
      <c r="D176" s="323" t="s">
        <v>987</v>
      </c>
      <c r="E176" s="323" t="s">
        <v>498</v>
      </c>
      <c r="F176" s="323" t="s">
        <v>730</v>
      </c>
      <c r="G176" s="373" t="s">
        <v>500</v>
      </c>
      <c r="H176" s="310" t="s">
        <v>673</v>
      </c>
      <c r="I176" s="310" t="s">
        <v>440</v>
      </c>
      <c r="J176" s="323" t="s">
        <v>388</v>
      </c>
      <c r="K176" s="323" t="s">
        <v>388</v>
      </c>
      <c r="L176" s="323" t="s">
        <v>389</v>
      </c>
      <c r="M176" s="323" t="s">
        <v>387</v>
      </c>
      <c r="N176" s="312">
        <v>1413378</v>
      </c>
      <c r="O176" s="312">
        <v>66.898333300000004</v>
      </c>
      <c r="P176" s="312">
        <v>-162.59666669999999</v>
      </c>
      <c r="Q176" s="319"/>
    </row>
    <row r="177" spans="1:17" s="330" customFormat="1" ht="25.5" customHeight="1" x14ac:dyDescent="0.2">
      <c r="A177" s="319" t="s">
        <v>231</v>
      </c>
      <c r="B177" s="307" t="s">
        <v>232</v>
      </c>
      <c r="C177" s="307" t="s">
        <v>232</v>
      </c>
      <c r="D177" s="319" t="s">
        <v>987</v>
      </c>
      <c r="E177" s="319" t="s">
        <v>498</v>
      </c>
      <c r="F177" s="319" t="s">
        <v>728</v>
      </c>
      <c r="G177" s="310" t="s">
        <v>500</v>
      </c>
      <c r="H177" s="310" t="s">
        <v>673</v>
      </c>
      <c r="I177" s="310" t="s">
        <v>441</v>
      </c>
      <c r="J177" s="319" t="s">
        <v>376</v>
      </c>
      <c r="K177" s="323" t="s">
        <v>377</v>
      </c>
      <c r="L177" s="323" t="s">
        <v>378</v>
      </c>
      <c r="M177" s="323" t="s">
        <v>375</v>
      </c>
      <c r="N177" s="312">
        <v>1404984</v>
      </c>
      <c r="O177" s="312">
        <v>64.880277800000002</v>
      </c>
      <c r="P177" s="312">
        <v>-157.7008333</v>
      </c>
      <c r="Q177" s="319"/>
    </row>
    <row r="178" spans="1:17" s="330" customFormat="1" ht="38.25" customHeight="1" x14ac:dyDescent="0.2">
      <c r="A178" s="319" t="s">
        <v>233</v>
      </c>
      <c r="B178" s="307" t="s">
        <v>234</v>
      </c>
      <c r="C178" s="307" t="s">
        <v>234</v>
      </c>
      <c r="D178" s="319" t="s">
        <v>987</v>
      </c>
      <c r="E178" s="319" t="s">
        <v>498</v>
      </c>
      <c r="F178" s="323" t="s">
        <v>729</v>
      </c>
      <c r="G178" s="373" t="s">
        <v>500</v>
      </c>
      <c r="H178" s="310" t="s">
        <v>673</v>
      </c>
      <c r="I178" s="310" t="s">
        <v>442</v>
      </c>
      <c r="J178" s="323" t="s">
        <v>363</v>
      </c>
      <c r="K178" s="323" t="s">
        <v>364</v>
      </c>
      <c r="L178" s="323" t="s">
        <v>365</v>
      </c>
      <c r="M178" s="323" t="s">
        <v>362</v>
      </c>
      <c r="N178" s="312">
        <v>1405119</v>
      </c>
      <c r="O178" s="312">
        <v>60.812222200000001</v>
      </c>
      <c r="P178" s="312">
        <v>-161.43583330000001</v>
      </c>
      <c r="Q178" s="319"/>
    </row>
    <row r="179" spans="1:17" s="330" customFormat="1" ht="38.25" customHeight="1" x14ac:dyDescent="0.2">
      <c r="A179" s="319" t="s">
        <v>641</v>
      </c>
      <c r="B179" s="307" t="s">
        <v>235</v>
      </c>
      <c r="C179" s="307" t="s">
        <v>235</v>
      </c>
      <c r="D179" s="319" t="s">
        <v>987</v>
      </c>
      <c r="E179" s="319" t="s">
        <v>498</v>
      </c>
      <c r="F179" s="319" t="s">
        <v>729</v>
      </c>
      <c r="G179" s="310" t="s">
        <v>500</v>
      </c>
      <c r="H179" s="310" t="s">
        <v>673</v>
      </c>
      <c r="I179" s="310" t="s">
        <v>443</v>
      </c>
      <c r="J179" s="319" t="s">
        <v>363</v>
      </c>
      <c r="K179" s="323" t="s">
        <v>364</v>
      </c>
      <c r="L179" s="323" t="s">
        <v>365</v>
      </c>
      <c r="M179" s="323" t="s">
        <v>362</v>
      </c>
      <c r="N179" s="312">
        <v>1405122</v>
      </c>
      <c r="O179" s="312">
        <v>59.864444399999996</v>
      </c>
      <c r="P179" s="312">
        <v>-163.13416670000001</v>
      </c>
      <c r="Q179" s="319"/>
    </row>
    <row r="180" spans="1:17" s="330" customFormat="1" ht="38.25" customHeight="1" x14ac:dyDescent="0.2">
      <c r="A180" s="319" t="s">
        <v>236</v>
      </c>
      <c r="B180" s="307" t="s">
        <v>237</v>
      </c>
      <c r="C180" s="307" t="s">
        <v>237</v>
      </c>
      <c r="D180" s="319" t="s">
        <v>987</v>
      </c>
      <c r="E180" s="319" t="s">
        <v>498</v>
      </c>
      <c r="F180" s="319" t="s">
        <v>728</v>
      </c>
      <c r="G180" s="310" t="s">
        <v>500</v>
      </c>
      <c r="H180" s="310" t="s">
        <v>673</v>
      </c>
      <c r="I180" s="310" t="s">
        <v>444</v>
      </c>
      <c r="J180" s="319" t="s">
        <v>222</v>
      </c>
      <c r="K180" s="323" t="s">
        <v>359</v>
      </c>
      <c r="L180" s="323" t="s">
        <v>360</v>
      </c>
      <c r="M180" s="323" t="s">
        <v>358</v>
      </c>
      <c r="N180" s="312">
        <v>1405216</v>
      </c>
      <c r="O180" s="312">
        <v>57.54</v>
      </c>
      <c r="P180" s="312">
        <v>-153.97861109999999</v>
      </c>
      <c r="Q180" s="319"/>
    </row>
    <row r="181" spans="1:17" s="330" customFormat="1" ht="38.25" customHeight="1" x14ac:dyDescent="0.2">
      <c r="A181" s="319" t="s">
        <v>238</v>
      </c>
      <c r="B181" s="307" t="s">
        <v>239</v>
      </c>
      <c r="C181" s="307" t="s">
        <v>239</v>
      </c>
      <c r="D181" s="319" t="s">
        <v>987</v>
      </c>
      <c r="E181" s="319" t="s">
        <v>498</v>
      </c>
      <c r="F181" s="323" t="s">
        <v>730</v>
      </c>
      <c r="G181" s="373" t="s">
        <v>500</v>
      </c>
      <c r="H181" s="310" t="s">
        <v>673</v>
      </c>
      <c r="I181" s="310" t="s">
        <v>445</v>
      </c>
      <c r="J181" s="323" t="s">
        <v>392</v>
      </c>
      <c r="K181" s="323" t="s">
        <v>410</v>
      </c>
      <c r="L181" s="323" t="s">
        <v>392</v>
      </c>
      <c r="M181" s="323" t="s">
        <v>362</v>
      </c>
      <c r="N181" s="312">
        <v>1405300</v>
      </c>
      <c r="O181" s="312">
        <v>59.114166699999998</v>
      </c>
      <c r="P181" s="312">
        <v>-156.85888890000001</v>
      </c>
      <c r="Q181" s="319"/>
    </row>
    <row r="182" spans="1:17" s="330" customFormat="1" ht="25.5" customHeight="1" x14ac:dyDescent="0.2">
      <c r="A182" s="319" t="s">
        <v>240</v>
      </c>
      <c r="B182" s="307" t="s">
        <v>241</v>
      </c>
      <c r="C182" s="307" t="s">
        <v>241</v>
      </c>
      <c r="D182" s="323" t="s">
        <v>987</v>
      </c>
      <c r="E182" s="323" t="s">
        <v>498</v>
      </c>
      <c r="F182" s="323" t="s">
        <v>728</v>
      </c>
      <c r="G182" s="373" t="s">
        <v>500</v>
      </c>
      <c r="H182" s="310" t="s">
        <v>673</v>
      </c>
      <c r="I182" s="310" t="s">
        <v>446</v>
      </c>
      <c r="J182" s="323" t="s">
        <v>363</v>
      </c>
      <c r="K182" s="323" t="s">
        <v>364</v>
      </c>
      <c r="L182" s="323" t="s">
        <v>365</v>
      </c>
      <c r="M182" s="323" t="s">
        <v>362</v>
      </c>
      <c r="N182" s="312">
        <v>1405351</v>
      </c>
      <c r="O182" s="312">
        <v>61.356388899999999</v>
      </c>
      <c r="P182" s="312">
        <v>-155.43555559999999</v>
      </c>
      <c r="Q182" s="319"/>
    </row>
    <row r="183" spans="1:17" s="330" customFormat="1" ht="25.5" customHeight="1" x14ac:dyDescent="0.2">
      <c r="A183" s="319" t="s">
        <v>242</v>
      </c>
      <c r="B183" s="307" t="s">
        <v>243</v>
      </c>
      <c r="C183" s="307" t="s">
        <v>243</v>
      </c>
      <c r="D183" s="319" t="s">
        <v>987</v>
      </c>
      <c r="E183" s="319" t="s">
        <v>498</v>
      </c>
      <c r="F183" s="319" t="s">
        <v>729</v>
      </c>
      <c r="G183" s="310" t="s">
        <v>500</v>
      </c>
      <c r="H183" s="310" t="s">
        <v>673</v>
      </c>
      <c r="I183" s="310" t="s">
        <v>447</v>
      </c>
      <c r="J183" s="319" t="s">
        <v>392</v>
      </c>
      <c r="K183" s="323" t="s">
        <v>393</v>
      </c>
      <c r="L183" s="323" t="s">
        <v>392</v>
      </c>
      <c r="M183" s="323" t="s">
        <v>362</v>
      </c>
      <c r="N183" s="312">
        <v>1405927</v>
      </c>
      <c r="O183" s="312">
        <v>58.981388899999999</v>
      </c>
      <c r="P183" s="312">
        <v>-159.05833329999999</v>
      </c>
      <c r="Q183" s="319"/>
    </row>
    <row r="184" spans="1:17" s="330" customFormat="1" ht="25.5" customHeight="1" x14ac:dyDescent="0.2">
      <c r="A184" s="319" t="s">
        <v>487</v>
      </c>
      <c r="B184" s="307" t="s">
        <v>513</v>
      </c>
      <c r="C184" s="307"/>
      <c r="D184" s="319" t="s">
        <v>988</v>
      </c>
      <c r="E184" s="319" t="s">
        <v>498</v>
      </c>
      <c r="F184" s="319" t="s">
        <v>730</v>
      </c>
      <c r="G184" s="310" t="s">
        <v>499</v>
      </c>
      <c r="H184" s="310" t="s">
        <v>675</v>
      </c>
      <c r="I184" s="310" t="s">
        <v>489</v>
      </c>
      <c r="J184" s="319" t="s">
        <v>158</v>
      </c>
      <c r="K184" s="323" t="s">
        <v>540</v>
      </c>
      <c r="L184" s="323" t="s">
        <v>396</v>
      </c>
      <c r="M184" s="323" t="s">
        <v>358</v>
      </c>
      <c r="N184" s="312"/>
      <c r="O184" s="312"/>
      <c r="P184" s="312"/>
      <c r="Q184" s="319"/>
    </row>
    <row r="185" spans="1:17" s="330" customFormat="1" ht="25.5" customHeight="1" x14ac:dyDescent="0.2">
      <c r="A185" s="319" t="s">
        <v>509</v>
      </c>
      <c r="B185" s="307" t="s">
        <v>244</v>
      </c>
      <c r="C185" s="307" t="s">
        <v>244</v>
      </c>
      <c r="D185" s="323" t="s">
        <v>988</v>
      </c>
      <c r="E185" s="323" t="s">
        <v>498</v>
      </c>
      <c r="F185" s="323" t="s">
        <v>729</v>
      </c>
      <c r="G185" s="373" t="s">
        <v>500</v>
      </c>
      <c r="H185" s="310" t="s">
        <v>673</v>
      </c>
      <c r="I185" s="310" t="s">
        <v>448</v>
      </c>
      <c r="J185" s="323" t="s">
        <v>376</v>
      </c>
      <c r="K185" s="323" t="s">
        <v>377</v>
      </c>
      <c r="L185" s="323" t="s">
        <v>378</v>
      </c>
      <c r="M185" s="323" t="s">
        <v>362</v>
      </c>
      <c r="N185" s="312">
        <v>1406131</v>
      </c>
      <c r="O185" s="312">
        <v>62.9563889</v>
      </c>
      <c r="P185" s="312">
        <v>-155.59583330000001</v>
      </c>
      <c r="Q185" s="319"/>
    </row>
    <row r="186" spans="1:17" s="330" customFormat="1" ht="25.5" customHeight="1" x14ac:dyDescent="0.2">
      <c r="A186" s="319" t="s">
        <v>245</v>
      </c>
      <c r="B186" s="307" t="s">
        <v>246</v>
      </c>
      <c r="C186" s="307" t="s">
        <v>247</v>
      </c>
      <c r="D186" s="323" t="s">
        <v>988</v>
      </c>
      <c r="E186" s="323" t="s">
        <v>498</v>
      </c>
      <c r="F186" s="323" t="s">
        <v>729</v>
      </c>
      <c r="G186" s="373" t="s">
        <v>500</v>
      </c>
      <c r="H186" s="310" t="s">
        <v>675</v>
      </c>
      <c r="I186" s="310" t="s">
        <v>449</v>
      </c>
      <c r="J186" s="323" t="s">
        <v>373</v>
      </c>
      <c r="K186" s="323" t="s">
        <v>382</v>
      </c>
      <c r="L186" s="323" t="s">
        <v>374</v>
      </c>
      <c r="M186" s="323" t="s">
        <v>372</v>
      </c>
      <c r="N186" s="312">
        <v>1423661</v>
      </c>
      <c r="O186" s="312">
        <v>55.129166699999999</v>
      </c>
      <c r="P186" s="312">
        <v>-131.5722222</v>
      </c>
      <c r="Q186" s="319"/>
    </row>
    <row r="187" spans="1:17" s="330" customFormat="1" ht="38.25" customHeight="1" x14ac:dyDescent="0.2">
      <c r="A187" s="319" t="s">
        <v>245</v>
      </c>
      <c r="B187" s="307" t="s">
        <v>248</v>
      </c>
      <c r="C187" s="307" t="s">
        <v>247</v>
      </c>
      <c r="D187" s="323" t="s">
        <v>988</v>
      </c>
      <c r="E187" s="323" t="s">
        <v>498</v>
      </c>
      <c r="F187" s="323" t="s">
        <v>729</v>
      </c>
      <c r="G187" s="373" t="s">
        <v>500</v>
      </c>
      <c r="H187" s="310" t="s">
        <v>675</v>
      </c>
      <c r="I187" s="310" t="s">
        <v>449</v>
      </c>
      <c r="J187" s="323" t="s">
        <v>373</v>
      </c>
      <c r="K187" s="323" t="s">
        <v>382</v>
      </c>
      <c r="L187" s="323" t="s">
        <v>374</v>
      </c>
      <c r="M187" s="323" t="s">
        <v>372</v>
      </c>
      <c r="N187" s="312">
        <v>1423661</v>
      </c>
      <c r="O187" s="312">
        <v>55.129166699999999</v>
      </c>
      <c r="P187" s="312">
        <v>-131.5722222</v>
      </c>
      <c r="Q187" s="319"/>
    </row>
    <row r="188" spans="1:17" s="330" customFormat="1" ht="51" customHeight="1" x14ac:dyDescent="0.2">
      <c r="A188" s="319" t="s">
        <v>245</v>
      </c>
      <c r="B188" s="307" t="s">
        <v>249</v>
      </c>
      <c r="C188" s="307" t="s">
        <v>247</v>
      </c>
      <c r="D188" s="323" t="s">
        <v>988</v>
      </c>
      <c r="E188" s="323" t="s">
        <v>498</v>
      </c>
      <c r="F188" s="323" t="s">
        <v>729</v>
      </c>
      <c r="G188" s="373" t="s">
        <v>500</v>
      </c>
      <c r="H188" s="310" t="s">
        <v>675</v>
      </c>
      <c r="I188" s="310" t="s">
        <v>449</v>
      </c>
      <c r="J188" s="323" t="s">
        <v>373</v>
      </c>
      <c r="K188" s="323" t="s">
        <v>382</v>
      </c>
      <c r="L188" s="323" t="s">
        <v>374</v>
      </c>
      <c r="M188" s="323" t="s">
        <v>372</v>
      </c>
      <c r="N188" s="312">
        <v>1423661</v>
      </c>
      <c r="O188" s="312">
        <v>55.129166699999999</v>
      </c>
      <c r="P188" s="312">
        <v>-131.5722222</v>
      </c>
      <c r="Q188" s="319"/>
    </row>
    <row r="189" spans="1:17" s="330" customFormat="1" ht="51" customHeight="1" x14ac:dyDescent="0.2">
      <c r="A189" s="319" t="s">
        <v>250</v>
      </c>
      <c r="B189" s="307" t="s">
        <v>251</v>
      </c>
      <c r="C189" s="307" t="s">
        <v>251</v>
      </c>
      <c r="D189" s="323" t="s">
        <v>988</v>
      </c>
      <c r="E189" s="323" t="s">
        <v>498</v>
      </c>
      <c r="F189" s="319" t="s">
        <v>730</v>
      </c>
      <c r="G189" s="310" t="s">
        <v>500</v>
      </c>
      <c r="H189" s="310" t="s">
        <v>673</v>
      </c>
      <c r="I189" s="310" t="s">
        <v>450</v>
      </c>
      <c r="J189" s="319" t="s">
        <v>363</v>
      </c>
      <c r="K189" s="323" t="s">
        <v>364</v>
      </c>
      <c r="L189" s="323" t="s">
        <v>365</v>
      </c>
      <c r="M189" s="323" t="s">
        <v>362</v>
      </c>
      <c r="N189" s="312">
        <v>1400376</v>
      </c>
      <c r="O189" s="312">
        <v>61.5719444</v>
      </c>
      <c r="P189" s="312">
        <v>-159.245</v>
      </c>
      <c r="Q189" s="319"/>
    </row>
    <row r="190" spans="1:17" s="330" customFormat="1" ht="51" customHeight="1" x14ac:dyDescent="0.2">
      <c r="A190" s="319" t="s">
        <v>250</v>
      </c>
      <c r="B190" s="307" t="s">
        <v>252</v>
      </c>
      <c r="C190" s="307" t="s">
        <v>252</v>
      </c>
      <c r="D190" s="323" t="s">
        <v>988</v>
      </c>
      <c r="E190" s="323" t="s">
        <v>498</v>
      </c>
      <c r="F190" s="319" t="s">
        <v>730</v>
      </c>
      <c r="G190" s="310" t="s">
        <v>500</v>
      </c>
      <c r="H190" s="310" t="s">
        <v>673</v>
      </c>
      <c r="I190" s="310" t="s">
        <v>450</v>
      </c>
      <c r="J190" s="319" t="s">
        <v>363</v>
      </c>
      <c r="K190" s="323" t="s">
        <v>364</v>
      </c>
      <c r="L190" s="323" t="s">
        <v>365</v>
      </c>
      <c r="M190" s="323" t="s">
        <v>362</v>
      </c>
      <c r="N190" s="312">
        <v>1400824</v>
      </c>
      <c r="O190" s="312">
        <v>61.87</v>
      </c>
      <c r="P190" s="312">
        <v>-158.1108333</v>
      </c>
      <c r="Q190" s="319"/>
    </row>
    <row r="191" spans="1:17" s="330" customFormat="1" ht="50.25" customHeight="1" x14ac:dyDescent="0.2">
      <c r="A191" s="319" t="s">
        <v>250</v>
      </c>
      <c r="B191" s="307" t="s">
        <v>253</v>
      </c>
      <c r="C191" s="307" t="s">
        <v>253</v>
      </c>
      <c r="D191" s="323" t="s">
        <v>988</v>
      </c>
      <c r="E191" s="323" t="s">
        <v>498</v>
      </c>
      <c r="F191" s="319" t="s">
        <v>730</v>
      </c>
      <c r="G191" s="310" t="s">
        <v>500</v>
      </c>
      <c r="H191" s="310" t="s">
        <v>673</v>
      </c>
      <c r="I191" s="310" t="s">
        <v>450</v>
      </c>
      <c r="J191" s="319" t="s">
        <v>363</v>
      </c>
      <c r="K191" s="323" t="s">
        <v>364</v>
      </c>
      <c r="L191" s="323" t="s">
        <v>365</v>
      </c>
      <c r="M191" s="323" t="s">
        <v>362</v>
      </c>
      <c r="N191" s="312">
        <v>1408580</v>
      </c>
      <c r="O191" s="312">
        <v>61.761111100000001</v>
      </c>
      <c r="P191" s="312">
        <v>-157.3125</v>
      </c>
      <c r="Q191" s="319"/>
    </row>
    <row r="192" spans="1:17" s="330" customFormat="1" ht="50.25" customHeight="1" x14ac:dyDescent="0.2">
      <c r="A192" s="319" t="s">
        <v>250</v>
      </c>
      <c r="B192" s="307" t="s">
        <v>254</v>
      </c>
      <c r="C192" s="307" t="s">
        <v>254</v>
      </c>
      <c r="D192" s="323" t="s">
        <v>988</v>
      </c>
      <c r="E192" s="323" t="s">
        <v>498</v>
      </c>
      <c r="F192" s="319" t="s">
        <v>730</v>
      </c>
      <c r="G192" s="310" t="s">
        <v>500</v>
      </c>
      <c r="H192" s="310" t="s">
        <v>673</v>
      </c>
      <c r="I192" s="310" t="s">
        <v>450</v>
      </c>
      <c r="J192" s="319" t="s">
        <v>363</v>
      </c>
      <c r="K192" s="323" t="s">
        <v>364</v>
      </c>
      <c r="L192" s="323" t="s">
        <v>365</v>
      </c>
      <c r="M192" s="323" t="s">
        <v>362</v>
      </c>
      <c r="N192" s="312">
        <v>1409747</v>
      </c>
      <c r="O192" s="312">
        <v>61.702500000000001</v>
      </c>
      <c r="P192" s="312">
        <v>-157.1697222</v>
      </c>
      <c r="Q192" s="319"/>
    </row>
    <row r="193" spans="1:17" s="330" customFormat="1" ht="57" customHeight="1" x14ac:dyDescent="0.2">
      <c r="A193" s="319" t="s">
        <v>250</v>
      </c>
      <c r="B193" s="307" t="s">
        <v>255</v>
      </c>
      <c r="C193" s="307" t="s">
        <v>255</v>
      </c>
      <c r="D193" s="323" t="s">
        <v>988</v>
      </c>
      <c r="E193" s="323" t="s">
        <v>498</v>
      </c>
      <c r="F193" s="319" t="s">
        <v>730</v>
      </c>
      <c r="G193" s="310" t="s">
        <v>500</v>
      </c>
      <c r="H193" s="310" t="s">
        <v>673</v>
      </c>
      <c r="I193" s="310" t="s">
        <v>450</v>
      </c>
      <c r="J193" s="319" t="s">
        <v>363</v>
      </c>
      <c r="K193" s="323" t="s">
        <v>364</v>
      </c>
      <c r="L193" s="323" t="s">
        <v>365</v>
      </c>
      <c r="M193" s="323" t="s">
        <v>362</v>
      </c>
      <c r="N193" s="312">
        <v>1410241</v>
      </c>
      <c r="O193" s="312">
        <v>61.783055599999997</v>
      </c>
      <c r="P193" s="312">
        <v>-156.58805559999999</v>
      </c>
      <c r="Q193" s="319"/>
    </row>
    <row r="194" spans="1:17" s="330" customFormat="1" ht="71.25" customHeight="1" x14ac:dyDescent="0.2">
      <c r="A194" s="319" t="s">
        <v>256</v>
      </c>
      <c r="B194" s="307" t="s">
        <v>257</v>
      </c>
      <c r="C194" s="307" t="s">
        <v>257</v>
      </c>
      <c r="D194" s="323" t="s">
        <v>987</v>
      </c>
      <c r="E194" s="323"/>
      <c r="F194" s="319" t="s">
        <v>729</v>
      </c>
      <c r="G194" s="310" t="s">
        <v>500</v>
      </c>
      <c r="H194" s="310" t="s">
        <v>675</v>
      </c>
      <c r="I194" s="310"/>
      <c r="J194" s="319" t="s">
        <v>376</v>
      </c>
      <c r="K194" s="323" t="s">
        <v>377</v>
      </c>
      <c r="L194" s="323" t="s">
        <v>378</v>
      </c>
      <c r="M194" s="323" t="s">
        <v>362</v>
      </c>
      <c r="N194" s="312">
        <v>1405185</v>
      </c>
      <c r="O194" s="312">
        <v>63.8827778</v>
      </c>
      <c r="P194" s="312">
        <v>-152.31222220000001</v>
      </c>
      <c r="Q194" s="319"/>
    </row>
    <row r="195" spans="1:17" s="330" customFormat="1" ht="56.25" customHeight="1" x14ac:dyDescent="0.2">
      <c r="A195" s="319" t="s">
        <v>258</v>
      </c>
      <c r="B195" s="307" t="s">
        <v>259</v>
      </c>
      <c r="C195" s="307" t="s">
        <v>682</v>
      </c>
      <c r="D195" s="323" t="s">
        <v>987</v>
      </c>
      <c r="E195" s="323" t="s">
        <v>498</v>
      </c>
      <c r="F195" s="323" t="s">
        <v>730</v>
      </c>
      <c r="G195" s="373" t="s">
        <v>499</v>
      </c>
      <c r="H195" s="310" t="s">
        <v>673</v>
      </c>
      <c r="I195" s="310" t="s">
        <v>451</v>
      </c>
      <c r="J195" s="323" t="s">
        <v>392</v>
      </c>
      <c r="K195" s="323" t="s">
        <v>392</v>
      </c>
      <c r="L195" s="323" t="s">
        <v>392</v>
      </c>
      <c r="M195" s="323" t="s">
        <v>362</v>
      </c>
      <c r="N195" s="312"/>
      <c r="O195" s="312"/>
      <c r="P195" s="312"/>
      <c r="Q195" s="319" t="s">
        <v>579</v>
      </c>
    </row>
    <row r="196" spans="1:17" s="330" customFormat="1" ht="25.5" x14ac:dyDescent="0.2">
      <c r="A196" s="319" t="s">
        <v>260</v>
      </c>
      <c r="B196" s="307" t="s">
        <v>261</v>
      </c>
      <c r="C196" s="307" t="s">
        <v>261</v>
      </c>
      <c r="D196" s="323" t="s">
        <v>987</v>
      </c>
      <c r="E196" s="323" t="s">
        <v>498</v>
      </c>
      <c r="F196" s="323" t="s">
        <v>729</v>
      </c>
      <c r="G196" s="373" t="s">
        <v>499</v>
      </c>
      <c r="H196" s="310" t="s">
        <v>673</v>
      </c>
      <c r="I196" s="310" t="s">
        <v>452</v>
      </c>
      <c r="J196" s="323" t="s">
        <v>363</v>
      </c>
      <c r="K196" s="323" t="s">
        <v>364</v>
      </c>
      <c r="L196" s="323" t="s">
        <v>365</v>
      </c>
      <c r="M196" s="323" t="s">
        <v>362</v>
      </c>
      <c r="N196" s="312">
        <v>1406829</v>
      </c>
      <c r="O196" s="312">
        <v>60.696666700000002</v>
      </c>
      <c r="P196" s="312">
        <v>-161.9519444</v>
      </c>
      <c r="Q196" s="319" t="s">
        <v>695</v>
      </c>
    </row>
    <row r="197" spans="1:17" s="330" customFormat="1" ht="25.5" x14ac:dyDescent="0.2">
      <c r="A197" s="319" t="s">
        <v>262</v>
      </c>
      <c r="B197" s="307" t="s">
        <v>263</v>
      </c>
      <c r="C197" s="307" t="s">
        <v>263</v>
      </c>
      <c r="D197" s="319" t="s">
        <v>987</v>
      </c>
      <c r="E197" s="319" t="s">
        <v>498</v>
      </c>
      <c r="F197" s="323" t="s">
        <v>729</v>
      </c>
      <c r="G197" s="373" t="s">
        <v>500</v>
      </c>
      <c r="H197" s="310" t="s">
        <v>673</v>
      </c>
      <c r="I197" s="310" t="s">
        <v>453</v>
      </c>
      <c r="J197" s="323" t="s">
        <v>363</v>
      </c>
      <c r="K197" s="323" t="s">
        <v>364</v>
      </c>
      <c r="L197" s="323" t="s">
        <v>365</v>
      </c>
      <c r="M197" s="323" t="s">
        <v>362</v>
      </c>
      <c r="N197" s="312">
        <v>1406834</v>
      </c>
      <c r="O197" s="312">
        <v>60.708055600000002</v>
      </c>
      <c r="P197" s="312">
        <v>-161.76611109999999</v>
      </c>
      <c r="Q197" s="319"/>
    </row>
    <row r="198" spans="1:17" s="330" customFormat="1" ht="25.5" x14ac:dyDescent="0.2">
      <c r="A198" s="319" t="s">
        <v>264</v>
      </c>
      <c r="B198" s="307" t="s">
        <v>265</v>
      </c>
      <c r="C198" s="307" t="s">
        <v>265</v>
      </c>
      <c r="D198" s="319" t="s">
        <v>987</v>
      </c>
      <c r="E198" s="319" t="s">
        <v>498</v>
      </c>
      <c r="F198" s="323" t="s">
        <v>729</v>
      </c>
      <c r="G198" s="373" t="s">
        <v>500</v>
      </c>
      <c r="H198" s="310" t="s">
        <v>673</v>
      </c>
      <c r="I198" s="310" t="s">
        <v>454</v>
      </c>
      <c r="J198" s="323" t="s">
        <v>363</v>
      </c>
      <c r="K198" s="323" t="s">
        <v>364</v>
      </c>
      <c r="L198" s="323" t="s">
        <v>365</v>
      </c>
      <c r="M198" s="323" t="s">
        <v>362</v>
      </c>
      <c r="N198" s="312">
        <v>1400188</v>
      </c>
      <c r="O198" s="312">
        <v>60.16</v>
      </c>
      <c r="P198" s="312">
        <v>-164.2658333</v>
      </c>
      <c r="Q198" s="319"/>
    </row>
    <row r="199" spans="1:17" s="330" customFormat="1" ht="25.5" customHeight="1" x14ac:dyDescent="0.2">
      <c r="A199" s="319" t="s">
        <v>266</v>
      </c>
      <c r="B199" s="307" t="s">
        <v>267</v>
      </c>
      <c r="C199" s="307" t="s">
        <v>267</v>
      </c>
      <c r="D199" s="319" t="s">
        <v>989</v>
      </c>
      <c r="E199" s="319" t="s">
        <v>498</v>
      </c>
      <c r="F199" s="323" t="s">
        <v>729</v>
      </c>
      <c r="G199" s="373" t="s">
        <v>500</v>
      </c>
      <c r="H199" s="310" t="s">
        <v>673</v>
      </c>
      <c r="I199" s="310" t="s">
        <v>455</v>
      </c>
      <c r="J199" s="323" t="s">
        <v>392</v>
      </c>
      <c r="K199" s="323" t="s">
        <v>410</v>
      </c>
      <c r="L199" s="323" t="s">
        <v>392</v>
      </c>
      <c r="M199" s="323" t="s">
        <v>362</v>
      </c>
      <c r="N199" s="312">
        <v>1407902</v>
      </c>
      <c r="O199" s="312">
        <v>55.913984599999999</v>
      </c>
      <c r="P199" s="312">
        <v>-159.16327670000001</v>
      </c>
      <c r="Q199" s="319"/>
    </row>
    <row r="200" spans="1:17" s="330" customFormat="1" ht="25.5" customHeight="1" x14ac:dyDescent="0.2">
      <c r="A200" s="319" t="s">
        <v>268</v>
      </c>
      <c r="B200" s="307" t="s">
        <v>269</v>
      </c>
      <c r="C200" s="307" t="s">
        <v>269</v>
      </c>
      <c r="D200" s="319" t="s">
        <v>987</v>
      </c>
      <c r="E200" s="319" t="s">
        <v>498</v>
      </c>
      <c r="F200" s="319" t="s">
        <v>730</v>
      </c>
      <c r="G200" s="310" t="s">
        <v>500</v>
      </c>
      <c r="H200" s="310" t="s">
        <v>673</v>
      </c>
      <c r="I200" s="310" t="s">
        <v>456</v>
      </c>
      <c r="J200" s="319" t="s">
        <v>368</v>
      </c>
      <c r="K200" s="323" t="s">
        <v>369</v>
      </c>
      <c r="L200" s="323" t="s">
        <v>370</v>
      </c>
      <c r="M200" s="323" t="s">
        <v>362</v>
      </c>
      <c r="N200" s="312">
        <v>1418948</v>
      </c>
      <c r="O200" s="312">
        <v>56.000615199999999</v>
      </c>
      <c r="P200" s="312">
        <v>-161.206974</v>
      </c>
      <c r="Q200" s="319"/>
    </row>
    <row r="201" spans="1:17" s="330" customFormat="1" ht="25.5" customHeight="1" x14ac:dyDescent="0.2">
      <c r="A201" s="319" t="s">
        <v>270</v>
      </c>
      <c r="B201" s="307" t="s">
        <v>271</v>
      </c>
      <c r="C201" s="307" t="s">
        <v>271</v>
      </c>
      <c r="D201" s="319" t="s">
        <v>989</v>
      </c>
      <c r="E201" s="319" t="s">
        <v>498</v>
      </c>
      <c r="F201" s="319" t="s">
        <v>729</v>
      </c>
      <c r="G201" s="310" t="s">
        <v>500</v>
      </c>
      <c r="H201" s="310" t="s">
        <v>673</v>
      </c>
      <c r="I201" s="310" t="s">
        <v>457</v>
      </c>
      <c r="J201" s="319" t="s">
        <v>392</v>
      </c>
      <c r="K201" s="323" t="s">
        <v>393</v>
      </c>
      <c r="L201" s="323" t="s">
        <v>392</v>
      </c>
      <c r="M201" s="323" t="s">
        <v>362</v>
      </c>
      <c r="N201" s="312">
        <v>1404914</v>
      </c>
      <c r="O201" s="312">
        <v>59.728611100000002</v>
      </c>
      <c r="P201" s="312">
        <v>-157.28444440000001</v>
      </c>
      <c r="Q201" s="319"/>
    </row>
    <row r="202" spans="1:17" s="330" customFormat="1" ht="25.5" customHeight="1" x14ac:dyDescent="0.2">
      <c r="A202" s="319" t="s">
        <v>272</v>
      </c>
      <c r="B202" s="307" t="s">
        <v>273</v>
      </c>
      <c r="C202" s="307" t="s">
        <v>273</v>
      </c>
      <c r="D202" s="319" t="s">
        <v>987</v>
      </c>
      <c r="E202" s="319" t="s">
        <v>498</v>
      </c>
      <c r="F202" s="319" t="s">
        <v>728</v>
      </c>
      <c r="G202" s="310" t="s">
        <v>500</v>
      </c>
      <c r="H202" s="310" t="s">
        <v>673</v>
      </c>
      <c r="I202" s="310" t="s">
        <v>458</v>
      </c>
      <c r="J202" s="319" t="s">
        <v>376</v>
      </c>
      <c r="K202" s="323" t="s">
        <v>377</v>
      </c>
      <c r="L202" s="323" t="s">
        <v>378</v>
      </c>
      <c r="M202" s="323" t="s">
        <v>362</v>
      </c>
      <c r="N202" s="312">
        <v>1407022</v>
      </c>
      <c r="O202" s="312">
        <v>63.013333299999999</v>
      </c>
      <c r="P202" s="312">
        <v>-154.375</v>
      </c>
      <c r="Q202" s="319"/>
    </row>
    <row r="203" spans="1:17" s="330" customFormat="1" ht="25.5" x14ac:dyDescent="0.2">
      <c r="A203" s="319" t="s">
        <v>274</v>
      </c>
      <c r="B203" s="307" t="s">
        <v>275</v>
      </c>
      <c r="C203" s="307" t="s">
        <v>276</v>
      </c>
      <c r="D203" s="323" t="s">
        <v>987</v>
      </c>
      <c r="E203" s="323" t="s">
        <v>498</v>
      </c>
      <c r="F203" s="323" t="s">
        <v>729</v>
      </c>
      <c r="G203" s="373" t="s">
        <v>500</v>
      </c>
      <c r="H203" s="310" t="s">
        <v>673</v>
      </c>
      <c r="I203" s="310" t="s">
        <v>528</v>
      </c>
      <c r="J203" s="323" t="s">
        <v>390</v>
      </c>
      <c r="K203" s="323" t="s">
        <v>391</v>
      </c>
      <c r="L203" s="323" t="s">
        <v>390</v>
      </c>
      <c r="M203" s="323" t="s">
        <v>387</v>
      </c>
      <c r="N203" s="312">
        <v>1407125</v>
      </c>
      <c r="O203" s="312">
        <v>64.501111100000003</v>
      </c>
      <c r="P203" s="312">
        <v>-165.4063889</v>
      </c>
      <c r="Q203" s="319"/>
    </row>
    <row r="204" spans="1:17" s="330" customFormat="1" ht="25.5" customHeight="1" x14ac:dyDescent="0.2">
      <c r="A204" s="319" t="s">
        <v>277</v>
      </c>
      <c r="B204" s="307" t="s">
        <v>278</v>
      </c>
      <c r="C204" s="307" t="s">
        <v>278</v>
      </c>
      <c r="D204" s="323" t="s">
        <v>987</v>
      </c>
      <c r="E204" s="323" t="s">
        <v>498</v>
      </c>
      <c r="F204" s="323" t="s">
        <v>728</v>
      </c>
      <c r="G204" s="373" t="s">
        <v>500</v>
      </c>
      <c r="H204" s="310" t="s">
        <v>673</v>
      </c>
      <c r="I204" s="310" t="s">
        <v>459</v>
      </c>
      <c r="J204" s="323" t="s">
        <v>401</v>
      </c>
      <c r="K204" s="323" t="s">
        <v>401</v>
      </c>
      <c r="L204" s="323" t="s">
        <v>402</v>
      </c>
      <c r="M204" s="323" t="s">
        <v>387</v>
      </c>
      <c r="N204" s="312">
        <v>1398235</v>
      </c>
      <c r="O204" s="312">
        <v>68.143333299999995</v>
      </c>
      <c r="P204" s="312">
        <v>-151.7358333</v>
      </c>
      <c r="Q204" s="319"/>
    </row>
    <row r="205" spans="1:17" s="330" customFormat="1" ht="25.5" customHeight="1" x14ac:dyDescent="0.2">
      <c r="A205" s="319" t="s">
        <v>277</v>
      </c>
      <c r="B205" s="307" t="s">
        <v>279</v>
      </c>
      <c r="C205" s="307" t="s">
        <v>279</v>
      </c>
      <c r="D205" s="323" t="s">
        <v>987</v>
      </c>
      <c r="E205" s="323" t="s">
        <v>498</v>
      </c>
      <c r="F205" s="323" t="s">
        <v>728</v>
      </c>
      <c r="G205" s="373" t="s">
        <v>500</v>
      </c>
      <c r="H205" s="310" t="s">
        <v>673</v>
      </c>
      <c r="I205" s="310" t="s">
        <v>459</v>
      </c>
      <c r="J205" s="323" t="s">
        <v>401</v>
      </c>
      <c r="K205" s="323" t="s">
        <v>401</v>
      </c>
      <c r="L205" s="323" t="s">
        <v>402</v>
      </c>
      <c r="M205" s="323" t="s">
        <v>387</v>
      </c>
      <c r="N205" s="312">
        <v>1406178</v>
      </c>
      <c r="O205" s="312">
        <v>70.469166700000002</v>
      </c>
      <c r="P205" s="312">
        <v>-157.39944439999999</v>
      </c>
      <c r="Q205" s="319"/>
    </row>
    <row r="206" spans="1:17" s="330" customFormat="1" ht="38.25" customHeight="1" x14ac:dyDescent="0.2">
      <c r="A206" s="319" t="s">
        <v>277</v>
      </c>
      <c r="B206" s="307" t="s">
        <v>280</v>
      </c>
      <c r="C206" s="307" t="s">
        <v>280</v>
      </c>
      <c r="D206" s="323" t="s">
        <v>987</v>
      </c>
      <c r="E206" s="323" t="s">
        <v>498</v>
      </c>
      <c r="F206" s="323" t="s">
        <v>728</v>
      </c>
      <c r="G206" s="373" t="s">
        <v>500</v>
      </c>
      <c r="H206" s="310" t="s">
        <v>673</v>
      </c>
      <c r="I206" s="310" t="s">
        <v>459</v>
      </c>
      <c r="J206" s="323" t="s">
        <v>401</v>
      </c>
      <c r="K206" s="323" t="s">
        <v>401</v>
      </c>
      <c r="L206" s="323" t="s">
        <v>402</v>
      </c>
      <c r="M206" s="323" t="s">
        <v>387</v>
      </c>
      <c r="N206" s="312">
        <v>1404349</v>
      </c>
      <c r="O206" s="312">
        <v>70.131944399999995</v>
      </c>
      <c r="P206" s="312">
        <v>-143.6238889</v>
      </c>
      <c r="Q206" s="319"/>
    </row>
    <row r="207" spans="1:17" s="330" customFormat="1" ht="51" customHeight="1" x14ac:dyDescent="0.2">
      <c r="A207" s="319" t="s">
        <v>277</v>
      </c>
      <c r="B207" s="307" t="s">
        <v>281</v>
      </c>
      <c r="C207" s="307" t="s">
        <v>281</v>
      </c>
      <c r="D207" s="323" t="s">
        <v>987</v>
      </c>
      <c r="E207" s="323" t="s">
        <v>498</v>
      </c>
      <c r="F207" s="323" t="s">
        <v>728</v>
      </c>
      <c r="G207" s="373" t="s">
        <v>500</v>
      </c>
      <c r="H207" s="310" t="s">
        <v>673</v>
      </c>
      <c r="I207" s="310" t="s">
        <v>459</v>
      </c>
      <c r="J207" s="323" t="s">
        <v>401</v>
      </c>
      <c r="K207" s="323" t="s">
        <v>401</v>
      </c>
      <c r="L207" s="323" t="s">
        <v>402</v>
      </c>
      <c r="M207" s="323" t="s">
        <v>387</v>
      </c>
      <c r="N207" s="312">
        <v>1416680</v>
      </c>
      <c r="O207" s="312">
        <v>70.217500000000001</v>
      </c>
      <c r="P207" s="312">
        <v>-150.97638889999999</v>
      </c>
      <c r="Q207" s="319"/>
    </row>
    <row r="208" spans="1:17" s="330" customFormat="1" ht="38.25" customHeight="1" x14ac:dyDescent="0.2">
      <c r="A208" s="319" t="s">
        <v>277</v>
      </c>
      <c r="B208" s="307" t="s">
        <v>282</v>
      </c>
      <c r="C208" s="307" t="s">
        <v>282</v>
      </c>
      <c r="D208" s="323" t="s">
        <v>987</v>
      </c>
      <c r="E208" s="323" t="s">
        <v>498</v>
      </c>
      <c r="F208" s="323" t="s">
        <v>728</v>
      </c>
      <c r="G208" s="373" t="s">
        <v>500</v>
      </c>
      <c r="H208" s="310" t="s">
        <v>673</v>
      </c>
      <c r="I208" s="310" t="s">
        <v>459</v>
      </c>
      <c r="J208" s="323" t="s">
        <v>401</v>
      </c>
      <c r="K208" s="323" t="s">
        <v>401</v>
      </c>
      <c r="L208" s="323" t="s">
        <v>402</v>
      </c>
      <c r="M208" s="323" t="s">
        <v>387</v>
      </c>
      <c r="N208" s="312">
        <v>1408110</v>
      </c>
      <c r="O208" s="312">
        <v>68.348611099999999</v>
      </c>
      <c r="P208" s="312">
        <v>-166.73472219999999</v>
      </c>
      <c r="Q208" s="319"/>
    </row>
    <row r="209" spans="1:20" s="330" customFormat="1" ht="25.5" customHeight="1" x14ac:dyDescent="0.2">
      <c r="A209" s="319" t="s">
        <v>277</v>
      </c>
      <c r="B209" s="307" t="s">
        <v>283</v>
      </c>
      <c r="C209" s="307" t="s">
        <v>283</v>
      </c>
      <c r="D209" s="323" t="s">
        <v>987</v>
      </c>
      <c r="E209" s="323" t="s">
        <v>498</v>
      </c>
      <c r="F209" s="323" t="s">
        <v>728</v>
      </c>
      <c r="G209" s="373" t="s">
        <v>500</v>
      </c>
      <c r="H209" s="310" t="s">
        <v>673</v>
      </c>
      <c r="I209" s="310" t="s">
        <v>459</v>
      </c>
      <c r="J209" s="323" t="s">
        <v>401</v>
      </c>
      <c r="K209" s="323" t="s">
        <v>401</v>
      </c>
      <c r="L209" s="323" t="s">
        <v>402</v>
      </c>
      <c r="M209" s="323" t="s">
        <v>387</v>
      </c>
      <c r="N209" s="312">
        <v>1408115</v>
      </c>
      <c r="O209" s="312">
        <v>69.743857000000006</v>
      </c>
      <c r="P209" s="312">
        <v>-163.008442</v>
      </c>
      <c r="Q209" s="319"/>
    </row>
    <row r="210" spans="1:20" s="330" customFormat="1" ht="25.5" customHeight="1" x14ac:dyDescent="0.2">
      <c r="A210" s="319" t="s">
        <v>277</v>
      </c>
      <c r="B210" s="307" t="s">
        <v>284</v>
      </c>
      <c r="C210" s="307" t="s">
        <v>284</v>
      </c>
      <c r="D210" s="323" t="s">
        <v>987</v>
      </c>
      <c r="E210" s="323" t="s">
        <v>498</v>
      </c>
      <c r="F210" s="323" t="s">
        <v>728</v>
      </c>
      <c r="G210" s="373" t="s">
        <v>500</v>
      </c>
      <c r="H210" s="310" t="s">
        <v>673</v>
      </c>
      <c r="I210" s="310" t="s">
        <v>459</v>
      </c>
      <c r="J210" s="323" t="s">
        <v>401</v>
      </c>
      <c r="K210" s="323" t="s">
        <v>401</v>
      </c>
      <c r="L210" s="323" t="s">
        <v>402</v>
      </c>
      <c r="M210" s="323" t="s">
        <v>387</v>
      </c>
      <c r="N210" s="312">
        <v>1411728</v>
      </c>
      <c r="O210" s="312">
        <v>70.636944400000004</v>
      </c>
      <c r="P210" s="312">
        <v>-160.03833330000001</v>
      </c>
      <c r="Q210" s="319"/>
    </row>
    <row r="211" spans="1:20" s="330" customFormat="1" ht="38.25" customHeight="1" x14ac:dyDescent="0.2">
      <c r="A211" s="319" t="s">
        <v>285</v>
      </c>
      <c r="B211" s="307" t="s">
        <v>521</v>
      </c>
      <c r="C211" s="307" t="s">
        <v>286</v>
      </c>
      <c r="D211" s="323" t="s">
        <v>987</v>
      </c>
      <c r="E211" s="323" t="s">
        <v>498</v>
      </c>
      <c r="F211" s="323" t="s">
        <v>728</v>
      </c>
      <c r="G211" s="373" t="s">
        <v>500</v>
      </c>
      <c r="H211" s="310" t="s">
        <v>673</v>
      </c>
      <c r="I211" s="310" t="s">
        <v>460</v>
      </c>
      <c r="J211" s="323" t="s">
        <v>363</v>
      </c>
      <c r="K211" s="323" t="s">
        <v>386</v>
      </c>
      <c r="L211" s="323" t="s">
        <v>365</v>
      </c>
      <c r="M211" s="323" t="s">
        <v>375</v>
      </c>
      <c r="N211" s="312">
        <v>1409405</v>
      </c>
      <c r="O211" s="312">
        <v>62.533611100000002</v>
      </c>
      <c r="P211" s="312">
        <v>-164.84111110000001</v>
      </c>
      <c r="Q211" s="319"/>
    </row>
    <row r="212" spans="1:20" s="330" customFormat="1" ht="48" customHeight="1" x14ac:dyDescent="0.2">
      <c r="A212" s="319" t="s">
        <v>536</v>
      </c>
      <c r="B212" s="307" t="s">
        <v>287</v>
      </c>
      <c r="C212" s="307" t="s">
        <v>687</v>
      </c>
      <c r="D212" s="323" t="s">
        <v>987</v>
      </c>
      <c r="E212" s="323" t="s">
        <v>498</v>
      </c>
      <c r="F212" s="323" t="s">
        <v>730</v>
      </c>
      <c r="G212" s="373" t="s">
        <v>499</v>
      </c>
      <c r="H212" s="310" t="s">
        <v>673</v>
      </c>
      <c r="I212" s="310" t="s">
        <v>529</v>
      </c>
      <c r="J212" s="323" t="s">
        <v>392</v>
      </c>
      <c r="K212" s="323" t="s">
        <v>393</v>
      </c>
      <c r="L212" s="323" t="s">
        <v>392</v>
      </c>
      <c r="M212" s="323" t="s">
        <v>362</v>
      </c>
      <c r="N212" s="312"/>
      <c r="O212" s="312"/>
      <c r="P212" s="312"/>
      <c r="Q212" s="319" t="s">
        <v>575</v>
      </c>
    </row>
    <row r="213" spans="1:20" s="330" customFormat="1" ht="48" customHeight="1" x14ac:dyDescent="0.2">
      <c r="A213" s="319" t="s">
        <v>288</v>
      </c>
      <c r="B213" s="307" t="s">
        <v>289</v>
      </c>
      <c r="C213" s="307" t="s">
        <v>289</v>
      </c>
      <c r="D213" s="319" t="s">
        <v>987</v>
      </c>
      <c r="E213" s="319" t="s">
        <v>498</v>
      </c>
      <c r="F213" s="319" t="s">
        <v>728</v>
      </c>
      <c r="G213" s="310" t="s">
        <v>500</v>
      </c>
      <c r="H213" s="310" t="s">
        <v>673</v>
      </c>
      <c r="I213" s="310" t="s">
        <v>461</v>
      </c>
      <c r="J213" s="319" t="s">
        <v>222</v>
      </c>
      <c r="K213" s="323" t="s">
        <v>359</v>
      </c>
      <c r="L213" s="323" t="s">
        <v>360</v>
      </c>
      <c r="M213" s="323" t="s">
        <v>358</v>
      </c>
      <c r="N213" s="312">
        <v>1407684</v>
      </c>
      <c r="O213" s="312">
        <v>57.923611100000002</v>
      </c>
      <c r="P213" s="312">
        <v>-152.50222220000001</v>
      </c>
      <c r="Q213" s="319"/>
    </row>
    <row r="214" spans="1:20" s="330" customFormat="1" ht="25.5" customHeight="1" x14ac:dyDescent="0.2">
      <c r="A214" s="319" t="s">
        <v>290</v>
      </c>
      <c r="B214" s="307" t="s">
        <v>291</v>
      </c>
      <c r="C214" s="307" t="s">
        <v>291</v>
      </c>
      <c r="D214" s="319" t="s">
        <v>989</v>
      </c>
      <c r="E214" s="319" t="s">
        <v>498</v>
      </c>
      <c r="F214" s="319" t="s">
        <v>729</v>
      </c>
      <c r="G214" s="310" t="s">
        <v>500</v>
      </c>
      <c r="H214" s="310" t="s">
        <v>673</v>
      </c>
      <c r="I214" s="310" t="s">
        <v>462</v>
      </c>
      <c r="J214" s="319" t="s">
        <v>392</v>
      </c>
      <c r="K214" s="323" t="s">
        <v>410</v>
      </c>
      <c r="L214" s="323" t="s">
        <v>392</v>
      </c>
      <c r="M214" s="323" t="s">
        <v>362</v>
      </c>
      <c r="N214" s="312">
        <v>1407862</v>
      </c>
      <c r="O214" s="312">
        <v>59.787222200000002</v>
      </c>
      <c r="P214" s="312">
        <v>-154.10611109999999</v>
      </c>
      <c r="Q214" s="319"/>
    </row>
    <row r="215" spans="1:20" s="330" customFormat="1" ht="25.5" customHeight="1" x14ac:dyDescent="0.2">
      <c r="A215" s="319" t="s">
        <v>292</v>
      </c>
      <c r="B215" s="307" t="s">
        <v>293</v>
      </c>
      <c r="C215" s="307" t="s">
        <v>293</v>
      </c>
      <c r="D215" s="323" t="s">
        <v>987</v>
      </c>
      <c r="E215" s="323" t="s">
        <v>498</v>
      </c>
      <c r="F215" s="323" t="s">
        <v>728</v>
      </c>
      <c r="G215" s="373" t="s">
        <v>500</v>
      </c>
      <c r="H215" s="310" t="s">
        <v>673</v>
      </c>
      <c r="I215" s="310"/>
      <c r="J215" s="323" t="s">
        <v>373</v>
      </c>
      <c r="K215" s="323" t="s">
        <v>421</v>
      </c>
      <c r="L215" s="323" t="s">
        <v>374</v>
      </c>
      <c r="M215" s="323" t="s">
        <v>372</v>
      </c>
      <c r="N215" s="312">
        <v>1424201</v>
      </c>
      <c r="O215" s="312">
        <v>57.960833299999997</v>
      </c>
      <c r="P215" s="312">
        <v>-136.22749999999999</v>
      </c>
      <c r="Q215" s="319"/>
    </row>
    <row r="216" spans="1:20" s="330" customFormat="1" ht="38.25" customHeight="1" x14ac:dyDescent="0.2">
      <c r="A216" s="319" t="s">
        <v>294</v>
      </c>
      <c r="B216" s="307" t="s">
        <v>522</v>
      </c>
      <c r="C216" s="307" t="s">
        <v>295</v>
      </c>
      <c r="D216" s="323" t="s">
        <v>987</v>
      </c>
      <c r="E216" s="323" t="s">
        <v>498</v>
      </c>
      <c r="F216" s="319" t="s">
        <v>728</v>
      </c>
      <c r="G216" s="310" t="s">
        <v>499</v>
      </c>
      <c r="H216" s="310" t="s">
        <v>675</v>
      </c>
      <c r="I216" s="310" t="s">
        <v>463</v>
      </c>
      <c r="J216" s="319" t="s">
        <v>373</v>
      </c>
      <c r="K216" s="323" t="s">
        <v>432</v>
      </c>
      <c r="L216" s="323" t="s">
        <v>374</v>
      </c>
      <c r="M216" s="323" t="s">
        <v>372</v>
      </c>
      <c r="N216" s="312">
        <v>1424228</v>
      </c>
      <c r="O216" s="312">
        <v>56.811266699999997</v>
      </c>
      <c r="P216" s="312">
        <v>-132.95124250000001</v>
      </c>
      <c r="Q216" s="319"/>
    </row>
    <row r="217" spans="1:20" s="330" customFormat="1" ht="38.25" customHeight="1" x14ac:dyDescent="0.2">
      <c r="A217" s="319" t="s">
        <v>296</v>
      </c>
      <c r="B217" s="307" t="s">
        <v>297</v>
      </c>
      <c r="C217" s="307" t="s">
        <v>297</v>
      </c>
      <c r="D217" s="319" t="s">
        <v>987</v>
      </c>
      <c r="E217" s="319" t="s">
        <v>498</v>
      </c>
      <c r="F217" s="323" t="s">
        <v>728</v>
      </c>
      <c r="G217" s="373" t="s">
        <v>500</v>
      </c>
      <c r="H217" s="310" t="s">
        <v>673</v>
      </c>
      <c r="I217" s="310" t="s">
        <v>464</v>
      </c>
      <c r="J217" s="323" t="s">
        <v>392</v>
      </c>
      <c r="K217" s="323" t="s">
        <v>410</v>
      </c>
      <c r="L217" s="323" t="s">
        <v>392</v>
      </c>
      <c r="M217" s="323" t="s">
        <v>362</v>
      </c>
      <c r="N217" s="312">
        <v>1407992</v>
      </c>
      <c r="O217" s="312">
        <v>57.564166700000001</v>
      </c>
      <c r="P217" s="312">
        <v>-157.5791667</v>
      </c>
      <c r="Q217" s="319"/>
    </row>
    <row r="218" spans="1:20" s="330" customFormat="1" ht="25.5" customHeight="1" x14ac:dyDescent="0.2">
      <c r="A218" s="319" t="s">
        <v>298</v>
      </c>
      <c r="B218" s="307" t="s">
        <v>299</v>
      </c>
      <c r="C218" s="307" t="s">
        <v>299</v>
      </c>
      <c r="D218" s="319" t="s">
        <v>987</v>
      </c>
      <c r="E218" s="319" t="s">
        <v>498</v>
      </c>
      <c r="F218" s="319" t="s">
        <v>728</v>
      </c>
      <c r="G218" s="310" t="s">
        <v>500</v>
      </c>
      <c r="H218" s="310" t="s">
        <v>674</v>
      </c>
      <c r="I218" s="310" t="s">
        <v>465</v>
      </c>
      <c r="J218" s="319" t="s">
        <v>363</v>
      </c>
      <c r="K218" s="323" t="s">
        <v>364</v>
      </c>
      <c r="L218" s="323" t="s">
        <v>365</v>
      </c>
      <c r="M218" s="323" t="s">
        <v>362</v>
      </c>
      <c r="N218" s="312">
        <v>1408072</v>
      </c>
      <c r="O218" s="312">
        <v>59.013055600000001</v>
      </c>
      <c r="P218" s="312">
        <v>-161.81638889999999</v>
      </c>
      <c r="Q218" s="319"/>
    </row>
    <row r="219" spans="1:20" s="330" customFormat="1" ht="25.5" customHeight="1" x14ac:dyDescent="0.2">
      <c r="A219" s="319" t="s">
        <v>300</v>
      </c>
      <c r="B219" s="307" t="s">
        <v>301</v>
      </c>
      <c r="C219" s="307" t="s">
        <v>301</v>
      </c>
      <c r="D219" s="319" t="s">
        <v>987</v>
      </c>
      <c r="E219" s="319" t="s">
        <v>498</v>
      </c>
      <c r="F219" s="319" t="s">
        <v>728</v>
      </c>
      <c r="G219" s="310" t="s">
        <v>500</v>
      </c>
      <c r="H219" s="310" t="s">
        <v>673</v>
      </c>
      <c r="I219" s="310" t="s">
        <v>512</v>
      </c>
      <c r="J219" s="319" t="s">
        <v>392</v>
      </c>
      <c r="K219" s="323" t="s">
        <v>410</v>
      </c>
      <c r="L219" s="323" t="s">
        <v>392</v>
      </c>
      <c r="M219" s="323" t="s">
        <v>362</v>
      </c>
      <c r="N219" s="312">
        <v>1419072</v>
      </c>
      <c r="O219" s="312">
        <v>56.932561399999997</v>
      </c>
      <c r="P219" s="312">
        <v>-158.6249699</v>
      </c>
      <c r="Q219" s="319"/>
    </row>
    <row r="220" spans="1:20" s="330" customFormat="1" ht="25.5" customHeight="1" x14ac:dyDescent="0.25">
      <c r="A220" s="319" t="s">
        <v>302</v>
      </c>
      <c r="B220" s="307" t="s">
        <v>303</v>
      </c>
      <c r="C220" s="307" t="s">
        <v>303</v>
      </c>
      <c r="D220" s="319" t="s">
        <v>989</v>
      </c>
      <c r="E220" s="319" t="s">
        <v>498</v>
      </c>
      <c r="F220" s="323" t="s">
        <v>729</v>
      </c>
      <c r="G220" s="373" t="s">
        <v>500</v>
      </c>
      <c r="H220" s="310" t="s">
        <v>673</v>
      </c>
      <c r="I220" s="310" t="s">
        <v>466</v>
      </c>
      <c r="J220" s="323" t="s">
        <v>363</v>
      </c>
      <c r="K220" s="323" t="s">
        <v>364</v>
      </c>
      <c r="L220" s="323" t="s">
        <v>365</v>
      </c>
      <c r="M220" s="323" t="s">
        <v>362</v>
      </c>
      <c r="N220" s="312">
        <v>1404934</v>
      </c>
      <c r="O220" s="312">
        <v>59.953273099999997</v>
      </c>
      <c r="P220" s="312">
        <v>-162.8951327</v>
      </c>
      <c r="Q220" s="319"/>
      <c r="S220" s="326"/>
      <c r="T220" s="326"/>
    </row>
    <row r="221" spans="1:20" s="330" customFormat="1" ht="28.5" customHeight="1" x14ac:dyDescent="0.2">
      <c r="A221" s="319" t="s">
        <v>304</v>
      </c>
      <c r="B221" s="307" t="s">
        <v>305</v>
      </c>
      <c r="C221" s="307" t="s">
        <v>305</v>
      </c>
      <c r="D221" s="319" t="s">
        <v>987</v>
      </c>
      <c r="E221" s="319"/>
      <c r="F221" s="323" t="s">
        <v>728</v>
      </c>
      <c r="G221" s="373" t="s">
        <v>500</v>
      </c>
      <c r="H221" s="310" t="s">
        <v>674</v>
      </c>
      <c r="I221" s="310"/>
      <c r="J221" s="323" t="s">
        <v>376</v>
      </c>
      <c r="K221" s="323" t="s">
        <v>377</v>
      </c>
      <c r="L221" s="323" t="s">
        <v>378</v>
      </c>
      <c r="M221" s="323" t="s">
        <v>375</v>
      </c>
      <c r="N221" s="312">
        <v>1408519</v>
      </c>
      <c r="O221" s="312">
        <v>65.504999999999995</v>
      </c>
      <c r="P221" s="312">
        <v>-150.16999999999999</v>
      </c>
      <c r="Q221" s="319"/>
    </row>
    <row r="222" spans="1:20" s="330" customFormat="1" ht="12.75" customHeight="1" x14ac:dyDescent="0.2">
      <c r="A222" s="319" t="s">
        <v>306</v>
      </c>
      <c r="B222" s="307" t="s">
        <v>307</v>
      </c>
      <c r="C222" s="307" t="s">
        <v>307</v>
      </c>
      <c r="D222" s="319" t="s">
        <v>987</v>
      </c>
      <c r="E222" s="319" t="s">
        <v>498</v>
      </c>
      <c r="F222" s="319" t="s">
        <v>728</v>
      </c>
      <c r="G222" s="310" t="s">
        <v>500</v>
      </c>
      <c r="H222" s="310" t="s">
        <v>673</v>
      </c>
      <c r="I222" s="310" t="s">
        <v>467</v>
      </c>
      <c r="J222" s="319" t="s">
        <v>376</v>
      </c>
      <c r="K222" s="323" t="s">
        <v>377</v>
      </c>
      <c r="L222" s="323" t="s">
        <v>378</v>
      </c>
      <c r="M222" s="323" t="s">
        <v>375</v>
      </c>
      <c r="N222" s="312">
        <v>1408878</v>
      </c>
      <c r="O222" s="312">
        <v>64.739444399999996</v>
      </c>
      <c r="P222" s="312">
        <v>-155.4869444</v>
      </c>
      <c r="Q222" s="319"/>
    </row>
    <row r="223" spans="1:20" s="330" customFormat="1" ht="12.75" customHeight="1" x14ac:dyDescent="0.25">
      <c r="A223" s="319" t="s">
        <v>308</v>
      </c>
      <c r="B223" s="307" t="s">
        <v>309</v>
      </c>
      <c r="C223" s="307" t="s">
        <v>309</v>
      </c>
      <c r="D223" s="319" t="s">
        <v>987</v>
      </c>
      <c r="E223" s="319" t="s">
        <v>498</v>
      </c>
      <c r="F223" s="319" t="s">
        <v>728</v>
      </c>
      <c r="G223" s="310" t="s">
        <v>500</v>
      </c>
      <c r="H223" s="310" t="s">
        <v>674</v>
      </c>
      <c r="I223" s="310" t="s">
        <v>530</v>
      </c>
      <c r="J223" s="319" t="s">
        <v>368</v>
      </c>
      <c r="K223" s="323" t="s">
        <v>398</v>
      </c>
      <c r="L223" s="323" t="s">
        <v>370</v>
      </c>
      <c r="M223" s="323" t="s">
        <v>362</v>
      </c>
      <c r="N223" s="312">
        <v>1419161</v>
      </c>
      <c r="O223" s="312">
        <v>56.6</v>
      </c>
      <c r="P223" s="312">
        <v>-169.54166670000001</v>
      </c>
      <c r="Q223" s="319"/>
      <c r="S223" s="326"/>
      <c r="T223" s="326"/>
    </row>
    <row r="224" spans="1:20" s="330" customFormat="1" ht="25.5" customHeight="1" x14ac:dyDescent="0.2">
      <c r="A224" s="319" t="s">
        <v>633</v>
      </c>
      <c r="B224" s="307" t="s">
        <v>320</v>
      </c>
      <c r="C224" s="307" t="s">
        <v>320</v>
      </c>
      <c r="D224" s="319" t="s">
        <v>987</v>
      </c>
      <c r="E224" s="319" t="s">
        <v>498</v>
      </c>
      <c r="F224" s="323" t="s">
        <v>728</v>
      </c>
      <c r="G224" s="373" t="s">
        <v>500</v>
      </c>
      <c r="H224" s="310" t="s">
        <v>673</v>
      </c>
      <c r="I224" s="310" t="s">
        <v>470</v>
      </c>
      <c r="J224" s="323" t="s">
        <v>368</v>
      </c>
      <c r="K224" s="323" t="s">
        <v>398</v>
      </c>
      <c r="L224" s="323" t="s">
        <v>370</v>
      </c>
      <c r="M224" s="323" t="s">
        <v>362</v>
      </c>
      <c r="N224" s="312">
        <v>1419163</v>
      </c>
      <c r="O224" s="312">
        <v>57.122222200000003</v>
      </c>
      <c r="P224" s="312">
        <v>-170.27500000000001</v>
      </c>
      <c r="Q224" s="319"/>
    </row>
    <row r="225" spans="1:20" s="330" customFormat="1" ht="26.25" x14ac:dyDescent="0.25">
      <c r="A225" s="319" t="s">
        <v>310</v>
      </c>
      <c r="B225" s="307" t="s">
        <v>311</v>
      </c>
      <c r="C225" s="307" t="s">
        <v>311</v>
      </c>
      <c r="D225" s="319" t="s">
        <v>987</v>
      </c>
      <c r="E225" s="319" t="s">
        <v>498</v>
      </c>
      <c r="F225" s="319" t="s">
        <v>728</v>
      </c>
      <c r="G225" s="310" t="s">
        <v>499</v>
      </c>
      <c r="H225" s="310" t="s">
        <v>675</v>
      </c>
      <c r="I225" s="310" t="s">
        <v>468</v>
      </c>
      <c r="J225" s="319" t="s">
        <v>158</v>
      </c>
      <c r="K225" s="323" t="s">
        <v>414</v>
      </c>
      <c r="L225" s="323" t="s">
        <v>408</v>
      </c>
      <c r="M225" s="323" t="s">
        <v>358</v>
      </c>
      <c r="N225" s="312">
        <v>1414598</v>
      </c>
      <c r="O225" s="312">
        <v>60.1041667</v>
      </c>
      <c r="P225" s="312">
        <v>-149.4422222</v>
      </c>
      <c r="Q225" s="319"/>
      <c r="S225" s="326"/>
      <c r="T225" s="326"/>
    </row>
    <row r="226" spans="1:20" s="330" customFormat="1" ht="38.25" customHeight="1" x14ac:dyDescent="0.25">
      <c r="A226" s="319" t="s">
        <v>638</v>
      </c>
      <c r="B226" s="307" t="s">
        <v>313</v>
      </c>
      <c r="C226" s="307" t="s">
        <v>314</v>
      </c>
      <c r="D226" s="323" t="s">
        <v>987</v>
      </c>
      <c r="E226" s="323" t="s">
        <v>498</v>
      </c>
      <c r="F226" s="323" t="s">
        <v>728</v>
      </c>
      <c r="G226" s="373" t="s">
        <v>500</v>
      </c>
      <c r="H226" s="310" t="s">
        <v>675</v>
      </c>
      <c r="I226" s="310" t="s">
        <v>469</v>
      </c>
      <c r="J226" s="323" t="s">
        <v>373</v>
      </c>
      <c r="K226" s="323" t="s">
        <v>314</v>
      </c>
      <c r="L226" s="323" t="s">
        <v>374</v>
      </c>
      <c r="M226" s="323" t="s">
        <v>372</v>
      </c>
      <c r="N226" s="312">
        <v>1414736</v>
      </c>
      <c r="O226" s="312">
        <v>57.0530556</v>
      </c>
      <c r="P226" s="312">
        <v>-135.33000000000001</v>
      </c>
      <c r="Q226" s="319"/>
      <c r="S226" s="326"/>
      <c r="T226" s="326"/>
    </row>
    <row r="227" spans="1:20" s="330" customFormat="1" ht="63.75" customHeight="1" x14ac:dyDescent="0.25">
      <c r="A227" s="319" t="s">
        <v>638</v>
      </c>
      <c r="B227" s="307" t="s">
        <v>315</v>
      </c>
      <c r="C227" s="307" t="s">
        <v>314</v>
      </c>
      <c r="D227" s="323" t="s">
        <v>987</v>
      </c>
      <c r="E227" s="323" t="s">
        <v>498</v>
      </c>
      <c r="F227" s="323" t="s">
        <v>728</v>
      </c>
      <c r="G227" s="373" t="s">
        <v>500</v>
      </c>
      <c r="H227" s="310" t="s">
        <v>675</v>
      </c>
      <c r="I227" s="310" t="s">
        <v>469</v>
      </c>
      <c r="J227" s="323" t="s">
        <v>373</v>
      </c>
      <c r="K227" s="323" t="s">
        <v>314</v>
      </c>
      <c r="L227" s="323" t="s">
        <v>374</v>
      </c>
      <c r="M227" s="323" t="s">
        <v>372</v>
      </c>
      <c r="N227" s="312">
        <v>1414736</v>
      </c>
      <c r="O227" s="312">
        <v>57.0530556</v>
      </c>
      <c r="P227" s="312">
        <v>-135.33000000000001</v>
      </c>
      <c r="Q227" s="319"/>
      <c r="S227" s="326"/>
      <c r="T227" s="326"/>
    </row>
    <row r="228" spans="1:20" s="330" customFormat="1" ht="63.75" customHeight="1" x14ac:dyDescent="0.25">
      <c r="A228" s="319" t="s">
        <v>638</v>
      </c>
      <c r="B228" s="307" t="s">
        <v>316</v>
      </c>
      <c r="C228" s="307" t="s">
        <v>314</v>
      </c>
      <c r="D228" s="323" t="s">
        <v>987</v>
      </c>
      <c r="E228" s="323" t="s">
        <v>498</v>
      </c>
      <c r="F228" s="323" t="s">
        <v>728</v>
      </c>
      <c r="G228" s="373" t="s">
        <v>500</v>
      </c>
      <c r="H228" s="310" t="s">
        <v>675</v>
      </c>
      <c r="I228" s="310" t="s">
        <v>469</v>
      </c>
      <c r="J228" s="323" t="s">
        <v>373</v>
      </c>
      <c r="K228" s="323" t="s">
        <v>314</v>
      </c>
      <c r="L228" s="323" t="s">
        <v>374</v>
      </c>
      <c r="M228" s="323" t="s">
        <v>372</v>
      </c>
      <c r="N228" s="312">
        <v>1414736</v>
      </c>
      <c r="O228" s="312">
        <v>57.0530556</v>
      </c>
      <c r="P228" s="312">
        <v>-135.33000000000001</v>
      </c>
      <c r="Q228" s="319"/>
      <c r="S228" s="326"/>
      <c r="T228" s="326"/>
    </row>
    <row r="229" spans="1:20" s="330" customFormat="1" ht="63.75" customHeight="1" x14ac:dyDescent="0.25">
      <c r="A229" s="319" t="s">
        <v>317</v>
      </c>
      <c r="B229" s="307" t="s">
        <v>318</v>
      </c>
      <c r="C229" s="307" t="s">
        <v>659</v>
      </c>
      <c r="D229" s="323"/>
      <c r="E229" s="323"/>
      <c r="F229" s="323" t="s">
        <v>764</v>
      </c>
      <c r="G229" s="373" t="s">
        <v>499</v>
      </c>
      <c r="H229" s="310" t="s">
        <v>675</v>
      </c>
      <c r="I229" s="310"/>
      <c r="J229" s="323" t="s">
        <v>373</v>
      </c>
      <c r="K229" s="323" t="s">
        <v>434</v>
      </c>
      <c r="L229" s="323" t="s">
        <v>374</v>
      </c>
      <c r="M229" s="323" t="s">
        <v>372</v>
      </c>
      <c r="N229" s="312"/>
      <c r="O229" s="312"/>
      <c r="P229" s="312"/>
      <c r="Q229" s="319"/>
      <c r="S229" s="326"/>
      <c r="T229" s="326"/>
    </row>
    <row r="230" spans="1:20" s="330" customFormat="1" ht="63.75" customHeight="1" x14ac:dyDescent="0.25">
      <c r="A230" s="319" t="s">
        <v>321</v>
      </c>
      <c r="B230" s="307" t="s">
        <v>322</v>
      </c>
      <c r="C230" s="307" t="s">
        <v>322</v>
      </c>
      <c r="D230" s="319" t="s">
        <v>987</v>
      </c>
      <c r="E230" s="319" t="s">
        <v>498</v>
      </c>
      <c r="F230" s="323" t="s">
        <v>728</v>
      </c>
      <c r="G230" s="373" t="s">
        <v>500</v>
      </c>
      <c r="H230" s="310" t="s">
        <v>674</v>
      </c>
      <c r="I230" s="310" t="s">
        <v>471</v>
      </c>
      <c r="J230" s="323" t="s">
        <v>376</v>
      </c>
      <c r="K230" s="323" t="s">
        <v>377</v>
      </c>
      <c r="L230" s="323" t="s">
        <v>378</v>
      </c>
      <c r="M230" s="323" t="s">
        <v>375</v>
      </c>
      <c r="N230" s="312">
        <v>1410198</v>
      </c>
      <c r="O230" s="312">
        <v>66.006388900000005</v>
      </c>
      <c r="P230" s="312">
        <v>-149.09083330000001</v>
      </c>
      <c r="Q230" s="319"/>
      <c r="S230" s="326"/>
      <c r="T230" s="326"/>
    </row>
    <row r="231" spans="1:20" s="330" customFormat="1" ht="63.75" customHeight="1" x14ac:dyDescent="0.25">
      <c r="A231" s="319" t="s">
        <v>323</v>
      </c>
      <c r="B231" s="307" t="s">
        <v>324</v>
      </c>
      <c r="C231" s="307" t="s">
        <v>324</v>
      </c>
      <c r="D231" s="319" t="s">
        <v>987</v>
      </c>
      <c r="E231" s="319" t="s">
        <v>498</v>
      </c>
      <c r="F231" s="323" t="s">
        <v>728</v>
      </c>
      <c r="G231" s="373" t="s">
        <v>500</v>
      </c>
      <c r="H231" s="310" t="s">
        <v>673</v>
      </c>
      <c r="I231" s="310" t="s">
        <v>472</v>
      </c>
      <c r="J231" s="323" t="s">
        <v>376</v>
      </c>
      <c r="K231" s="323" t="s">
        <v>377</v>
      </c>
      <c r="L231" s="323" t="s">
        <v>378</v>
      </c>
      <c r="M231" s="323" t="s">
        <v>362</v>
      </c>
      <c r="N231" s="312">
        <v>1410562</v>
      </c>
      <c r="O231" s="312">
        <v>62.9886111</v>
      </c>
      <c r="P231" s="312">
        <v>-156.06416669999999</v>
      </c>
      <c r="Q231" s="319"/>
      <c r="S231" s="326"/>
      <c r="T231" s="326"/>
    </row>
    <row r="232" spans="1:20" s="330" customFormat="1" ht="63.75" customHeight="1" x14ac:dyDescent="0.25">
      <c r="A232" s="319" t="s">
        <v>325</v>
      </c>
      <c r="B232" s="307" t="s">
        <v>326</v>
      </c>
      <c r="C232" s="307" t="s">
        <v>326</v>
      </c>
      <c r="D232" s="319" t="s">
        <v>987</v>
      </c>
      <c r="E232" s="319" t="s">
        <v>498</v>
      </c>
      <c r="F232" s="319" t="s">
        <v>728</v>
      </c>
      <c r="G232" s="310" t="s">
        <v>500</v>
      </c>
      <c r="H232" s="310" t="s">
        <v>673</v>
      </c>
      <c r="I232" s="310" t="s">
        <v>473</v>
      </c>
      <c r="J232" s="319" t="s">
        <v>392</v>
      </c>
      <c r="K232" s="323" t="s">
        <v>410</v>
      </c>
      <c r="L232" s="323" t="s">
        <v>396</v>
      </c>
      <c r="M232" s="323" t="s">
        <v>362</v>
      </c>
      <c r="N232" s="312">
        <v>1408208</v>
      </c>
      <c r="O232" s="312">
        <v>60.202500000000001</v>
      </c>
      <c r="P232" s="312">
        <v>-154.31277779999999</v>
      </c>
      <c r="Q232" s="319"/>
      <c r="S232" s="326"/>
      <c r="T232" s="326"/>
    </row>
    <row r="233" spans="1:20" s="330" customFormat="1" ht="25.5" customHeight="1" x14ac:dyDescent="0.25">
      <c r="A233" s="319" t="s">
        <v>510</v>
      </c>
      <c r="B233" s="307" t="s">
        <v>327</v>
      </c>
      <c r="C233" s="307" t="s">
        <v>327</v>
      </c>
      <c r="D233" s="323" t="s">
        <v>988</v>
      </c>
      <c r="E233" s="323" t="s">
        <v>498</v>
      </c>
      <c r="F233" s="323" t="s">
        <v>729</v>
      </c>
      <c r="G233" s="373" t="s">
        <v>500</v>
      </c>
      <c r="H233" s="310" t="s">
        <v>673</v>
      </c>
      <c r="I233" s="310" t="s">
        <v>531</v>
      </c>
      <c r="J233" s="323" t="s">
        <v>376</v>
      </c>
      <c r="K233" s="323" t="s">
        <v>377</v>
      </c>
      <c r="L233" s="323" t="s">
        <v>378</v>
      </c>
      <c r="M233" s="323" t="s">
        <v>375</v>
      </c>
      <c r="N233" s="312">
        <v>1410629</v>
      </c>
      <c r="O233" s="312">
        <v>65.171944400000001</v>
      </c>
      <c r="P233" s="312">
        <v>-152.07888890000001</v>
      </c>
      <c r="Q233" s="319"/>
      <c r="S233" s="326"/>
      <c r="T233" s="326"/>
    </row>
    <row r="234" spans="1:20" s="330" customFormat="1" ht="38.25" customHeight="1" x14ac:dyDescent="0.25">
      <c r="A234" s="319" t="s">
        <v>328</v>
      </c>
      <c r="B234" s="307" t="s">
        <v>329</v>
      </c>
      <c r="C234" s="307" t="s">
        <v>329</v>
      </c>
      <c r="D234" s="319" t="s">
        <v>988</v>
      </c>
      <c r="E234" s="319" t="s">
        <v>498</v>
      </c>
      <c r="F234" s="323" t="s">
        <v>729</v>
      </c>
      <c r="G234" s="373" t="s">
        <v>500</v>
      </c>
      <c r="H234" s="310" t="s">
        <v>673</v>
      </c>
      <c r="I234" s="310" t="s">
        <v>474</v>
      </c>
      <c r="J234" s="323" t="s">
        <v>379</v>
      </c>
      <c r="K234" s="323" t="s">
        <v>380</v>
      </c>
      <c r="L234" s="323" t="s">
        <v>408</v>
      </c>
      <c r="M234" s="323" t="s">
        <v>358</v>
      </c>
      <c r="N234" s="312">
        <v>1415193</v>
      </c>
      <c r="O234" s="312">
        <v>60.864722200000003</v>
      </c>
      <c r="P234" s="312">
        <v>-146.67861110000001</v>
      </c>
      <c r="Q234" s="319"/>
      <c r="S234" s="326"/>
      <c r="T234" s="326"/>
    </row>
    <row r="235" spans="1:20" s="330" customFormat="1" ht="25.5" customHeight="1" x14ac:dyDescent="0.25">
      <c r="A235" s="319" t="s">
        <v>1080</v>
      </c>
      <c r="B235" s="307" t="s">
        <v>330</v>
      </c>
      <c r="C235" s="307" t="s">
        <v>330</v>
      </c>
      <c r="D235" s="323" t="s">
        <v>988</v>
      </c>
      <c r="E235" s="319" t="s">
        <v>498</v>
      </c>
      <c r="F235" s="323" t="s">
        <v>728</v>
      </c>
      <c r="G235" s="373" t="s">
        <v>500</v>
      </c>
      <c r="H235" s="310" t="s">
        <v>673</v>
      </c>
      <c r="I235" s="310" t="s">
        <v>475</v>
      </c>
      <c r="J235" s="323" t="s">
        <v>368</v>
      </c>
      <c r="K235" s="323" t="s">
        <v>398</v>
      </c>
      <c r="L235" s="323" t="s">
        <v>370</v>
      </c>
      <c r="M235" s="323" t="s">
        <v>362</v>
      </c>
      <c r="N235" s="312">
        <v>1418109</v>
      </c>
      <c r="O235" s="312">
        <v>51.88</v>
      </c>
      <c r="P235" s="312">
        <v>-176.65805560000001</v>
      </c>
      <c r="Q235" s="319"/>
      <c r="S235" s="326"/>
      <c r="T235" s="326"/>
    </row>
    <row r="236" spans="1:20" s="330" customFormat="1" ht="25.5" customHeight="1" x14ac:dyDescent="0.25">
      <c r="A236" s="319" t="s">
        <v>331</v>
      </c>
      <c r="B236" s="307" t="s">
        <v>332</v>
      </c>
      <c r="C236" s="307" t="s">
        <v>332</v>
      </c>
      <c r="D236" s="323" t="s">
        <v>988</v>
      </c>
      <c r="E236" s="323" t="s">
        <v>498</v>
      </c>
      <c r="F236" s="323" t="s">
        <v>729</v>
      </c>
      <c r="G236" s="373" t="s">
        <v>500</v>
      </c>
      <c r="H236" s="310" t="s">
        <v>673</v>
      </c>
      <c r="I236" s="310" t="s">
        <v>476</v>
      </c>
      <c r="J236" s="323" t="s">
        <v>368</v>
      </c>
      <c r="K236" s="323" t="s">
        <v>369</v>
      </c>
      <c r="L236" s="323" t="s">
        <v>370</v>
      </c>
      <c r="M236" s="323" t="s">
        <v>362</v>
      </c>
      <c r="N236" s="312">
        <v>1419182</v>
      </c>
      <c r="O236" s="312">
        <v>55.339722199999997</v>
      </c>
      <c r="P236" s="312">
        <v>-160.49722220000001</v>
      </c>
      <c r="Q236" s="319"/>
      <c r="S236" s="326"/>
      <c r="T236" s="326"/>
    </row>
    <row r="237" spans="1:20" s="330" customFormat="1" ht="25.5" customHeight="1" x14ac:dyDescent="0.25">
      <c r="A237" s="319" t="s">
        <v>333</v>
      </c>
      <c r="B237" s="307" t="s">
        <v>334</v>
      </c>
      <c r="C237" s="307" t="s">
        <v>334</v>
      </c>
      <c r="D237" s="323" t="s">
        <v>988</v>
      </c>
      <c r="E237" s="323" t="s">
        <v>498</v>
      </c>
      <c r="F237" s="323" t="s">
        <v>729</v>
      </c>
      <c r="G237" s="373" t="s">
        <v>500</v>
      </c>
      <c r="H237" s="310" t="s">
        <v>673</v>
      </c>
      <c r="I237" s="310" t="s">
        <v>508</v>
      </c>
      <c r="J237" s="323" t="s">
        <v>376</v>
      </c>
      <c r="K237" s="323" t="s">
        <v>377</v>
      </c>
      <c r="L237" s="323" t="s">
        <v>378</v>
      </c>
      <c r="M237" s="323" t="s">
        <v>375</v>
      </c>
      <c r="N237" s="312">
        <v>1405922</v>
      </c>
      <c r="O237" s="312">
        <v>65.001111100000003</v>
      </c>
      <c r="P237" s="312">
        <v>-150.63388889999999</v>
      </c>
      <c r="Q237" s="319"/>
      <c r="S237" s="326"/>
      <c r="T237" s="326"/>
    </row>
    <row r="238" spans="1:20" s="330" customFormat="1" ht="25.5" customHeight="1" x14ac:dyDescent="0.25">
      <c r="A238" s="319" t="s">
        <v>539</v>
      </c>
      <c r="B238" s="307" t="s">
        <v>488</v>
      </c>
      <c r="C238" s="307" t="s">
        <v>488</v>
      </c>
      <c r="D238" s="323" t="s">
        <v>988</v>
      </c>
      <c r="E238" s="323" t="s">
        <v>498</v>
      </c>
      <c r="F238" s="323" t="s">
        <v>728</v>
      </c>
      <c r="G238" s="373" t="s">
        <v>500</v>
      </c>
      <c r="H238" s="310" t="s">
        <v>675</v>
      </c>
      <c r="I238" s="310"/>
      <c r="J238" s="323" t="s">
        <v>401</v>
      </c>
      <c r="K238" s="323" t="s">
        <v>388</v>
      </c>
      <c r="L238" s="323" t="s">
        <v>389</v>
      </c>
      <c r="M238" s="323" t="s">
        <v>358</v>
      </c>
      <c r="N238" s="312">
        <v>1866941</v>
      </c>
      <c r="O238" s="312">
        <v>70.205555599999997</v>
      </c>
      <c r="P238" s="312">
        <v>-148.51166670000001</v>
      </c>
      <c r="Q238" s="319"/>
      <c r="S238" s="326"/>
      <c r="T238" s="326"/>
    </row>
    <row r="239" spans="1:20" s="330" customFormat="1" ht="25.5" customHeight="1" x14ac:dyDescent="0.25">
      <c r="A239" s="319" t="s">
        <v>335</v>
      </c>
      <c r="B239" s="307" t="s">
        <v>336</v>
      </c>
      <c r="C239" s="307" t="s">
        <v>336</v>
      </c>
      <c r="D239" s="319" t="s">
        <v>987</v>
      </c>
      <c r="E239" s="319" t="s">
        <v>498</v>
      </c>
      <c r="F239" s="319" t="s">
        <v>728</v>
      </c>
      <c r="G239" s="310" t="s">
        <v>500</v>
      </c>
      <c r="H239" s="310" t="s">
        <v>673</v>
      </c>
      <c r="I239" s="310" t="s">
        <v>477</v>
      </c>
      <c r="J239" s="319" t="s">
        <v>373</v>
      </c>
      <c r="K239" s="323" t="s">
        <v>421</v>
      </c>
      <c r="L239" s="323" t="s">
        <v>374</v>
      </c>
      <c r="M239" s="323" t="s">
        <v>372</v>
      </c>
      <c r="N239" s="312">
        <v>1415210</v>
      </c>
      <c r="O239" s="312">
        <v>57.780833299999998</v>
      </c>
      <c r="P239" s="312">
        <v>-135.2188889</v>
      </c>
      <c r="Q239" s="319"/>
      <c r="S239" s="326"/>
      <c r="T239" s="326"/>
    </row>
    <row r="240" spans="1:20" s="330" customFormat="1" ht="25.5" customHeight="1" x14ac:dyDescent="0.25">
      <c r="A240" s="319" t="s">
        <v>337</v>
      </c>
      <c r="B240" s="307" t="s">
        <v>338</v>
      </c>
      <c r="C240" s="307" t="s">
        <v>338</v>
      </c>
      <c r="D240" s="319" t="s">
        <v>989</v>
      </c>
      <c r="E240" s="319" t="s">
        <v>498</v>
      </c>
      <c r="F240" s="323" t="s">
        <v>729</v>
      </c>
      <c r="G240" s="373" t="s">
        <v>500</v>
      </c>
      <c r="H240" s="310" t="s">
        <v>673</v>
      </c>
      <c r="I240" s="310" t="s">
        <v>478</v>
      </c>
      <c r="J240" s="323" t="s">
        <v>363</v>
      </c>
      <c r="K240" s="323" t="s">
        <v>364</v>
      </c>
      <c r="L240" s="323" t="s">
        <v>365</v>
      </c>
      <c r="M240" s="323" t="s">
        <v>362</v>
      </c>
      <c r="N240" s="312">
        <v>1411295</v>
      </c>
      <c r="O240" s="312">
        <v>61.102499999999999</v>
      </c>
      <c r="P240" s="312">
        <v>-160.96166669999999</v>
      </c>
      <c r="Q240" s="319"/>
      <c r="S240" s="326"/>
      <c r="T240" s="326"/>
    </row>
    <row r="241" spans="1:20" s="330" customFormat="1" ht="25.5" customHeight="1" x14ac:dyDescent="0.25">
      <c r="A241" s="319" t="s">
        <v>339</v>
      </c>
      <c r="B241" s="307" t="s">
        <v>340</v>
      </c>
      <c r="C241" s="307" t="s">
        <v>340</v>
      </c>
      <c r="D241" s="319" t="s">
        <v>989</v>
      </c>
      <c r="E241" s="319" t="s">
        <v>498</v>
      </c>
      <c r="F241" s="323" t="s">
        <v>730</v>
      </c>
      <c r="G241" s="373" t="s">
        <v>500</v>
      </c>
      <c r="H241" s="310" t="s">
        <v>673</v>
      </c>
      <c r="I241" s="310" t="s">
        <v>479</v>
      </c>
      <c r="J241" s="323" t="s">
        <v>363</v>
      </c>
      <c r="K241" s="323" t="s">
        <v>364</v>
      </c>
      <c r="L241" s="323" t="s">
        <v>365</v>
      </c>
      <c r="M241" s="323" t="s">
        <v>362</v>
      </c>
      <c r="N241" s="312">
        <v>1411324</v>
      </c>
      <c r="O241" s="312">
        <v>60.3430556</v>
      </c>
      <c r="P241" s="312">
        <v>-162.66305560000001</v>
      </c>
      <c r="Q241" s="319"/>
      <c r="S241" s="326"/>
      <c r="T241" s="326"/>
    </row>
    <row r="242" spans="1:20" s="330" customFormat="1" ht="25.5" customHeight="1" x14ac:dyDescent="0.25">
      <c r="A242" s="319" t="s">
        <v>341</v>
      </c>
      <c r="B242" s="307" t="s">
        <v>342</v>
      </c>
      <c r="C242" s="307" t="s">
        <v>342</v>
      </c>
      <c r="D242" s="319" t="s">
        <v>987</v>
      </c>
      <c r="E242" s="319" t="s">
        <v>498</v>
      </c>
      <c r="F242" s="323" t="s">
        <v>729</v>
      </c>
      <c r="G242" s="373" t="s">
        <v>500</v>
      </c>
      <c r="H242" s="310" t="s">
        <v>673</v>
      </c>
      <c r="I242" s="310" t="s">
        <v>480</v>
      </c>
      <c r="J242" s="323" t="s">
        <v>392</v>
      </c>
      <c r="K242" s="323" t="s">
        <v>393</v>
      </c>
      <c r="L242" s="323" t="s">
        <v>392</v>
      </c>
      <c r="M242" s="323" t="s">
        <v>362</v>
      </c>
      <c r="N242" s="312">
        <v>1416737</v>
      </c>
      <c r="O242" s="312">
        <v>59.079166700000002</v>
      </c>
      <c r="P242" s="312">
        <v>-160.27500000000001</v>
      </c>
      <c r="Q242" s="319"/>
      <c r="S242" s="326"/>
      <c r="T242" s="326"/>
    </row>
    <row r="243" spans="1:20" s="330" customFormat="1" ht="38.25" customHeight="1" x14ac:dyDescent="0.25">
      <c r="A243" s="319" t="s">
        <v>343</v>
      </c>
      <c r="B243" s="307" t="s">
        <v>344</v>
      </c>
      <c r="C243" s="307" t="s">
        <v>344</v>
      </c>
      <c r="D243" s="319" t="s">
        <v>987</v>
      </c>
      <c r="E243" s="319" t="s">
        <v>498</v>
      </c>
      <c r="F243" s="323" t="s">
        <v>729</v>
      </c>
      <c r="G243" s="373" t="s">
        <v>500</v>
      </c>
      <c r="H243" s="310" t="s">
        <v>673</v>
      </c>
      <c r="I243" s="310" t="s">
        <v>481</v>
      </c>
      <c r="J243" s="323" t="s">
        <v>368</v>
      </c>
      <c r="K243" s="323" t="s">
        <v>398</v>
      </c>
      <c r="L243" s="323" t="s">
        <v>370</v>
      </c>
      <c r="M243" s="323" t="s">
        <v>362</v>
      </c>
      <c r="N243" s="312">
        <v>1418954</v>
      </c>
      <c r="O243" s="312">
        <v>52.938055599999998</v>
      </c>
      <c r="P243" s="312">
        <v>-168.8677778</v>
      </c>
      <c r="Q243" s="319"/>
      <c r="S243" s="326"/>
      <c r="T243" s="326"/>
    </row>
    <row r="244" spans="1:20" s="330" customFormat="1" ht="12.75" customHeight="1" x14ac:dyDescent="0.25">
      <c r="A244" s="319" t="s">
        <v>537</v>
      </c>
      <c r="B244" s="307" t="s">
        <v>345</v>
      </c>
      <c r="C244" s="307" t="s">
        <v>345</v>
      </c>
      <c r="D244" s="323" t="s">
        <v>988</v>
      </c>
      <c r="E244" s="323" t="s">
        <v>498</v>
      </c>
      <c r="F244" s="323" t="s">
        <v>730</v>
      </c>
      <c r="G244" s="373" t="s">
        <v>500</v>
      </c>
      <c r="H244" s="310" t="s">
        <v>673</v>
      </c>
      <c r="I244" s="310" t="s">
        <v>532</v>
      </c>
      <c r="J244" s="323" t="s">
        <v>390</v>
      </c>
      <c r="K244" s="323" t="s">
        <v>391</v>
      </c>
      <c r="L244" s="323" t="s">
        <v>390</v>
      </c>
      <c r="M244" s="323" t="s">
        <v>387</v>
      </c>
      <c r="N244" s="312">
        <v>1411517</v>
      </c>
      <c r="O244" s="312">
        <v>63.873055600000001</v>
      </c>
      <c r="P244" s="312">
        <v>-160.78805560000001</v>
      </c>
      <c r="Q244" s="319"/>
      <c r="S244" s="326"/>
      <c r="T244" s="326"/>
    </row>
    <row r="245" spans="1:20" s="330" customFormat="1" ht="12.75" customHeight="1" x14ac:dyDescent="0.25">
      <c r="A245" s="319" t="s">
        <v>637</v>
      </c>
      <c r="B245" s="307" t="s">
        <v>490</v>
      </c>
      <c r="C245" s="307" t="s">
        <v>490</v>
      </c>
      <c r="D245" s="323" t="s">
        <v>987</v>
      </c>
      <c r="E245" s="323" t="s">
        <v>498</v>
      </c>
      <c r="F245" s="319" t="s">
        <v>728</v>
      </c>
      <c r="G245" s="310" t="s">
        <v>500</v>
      </c>
      <c r="H245" s="310" t="s">
        <v>673</v>
      </c>
      <c r="I245" s="310" t="s">
        <v>515</v>
      </c>
      <c r="J245" s="319" t="s">
        <v>368</v>
      </c>
      <c r="K245" s="323" t="s">
        <v>398</v>
      </c>
      <c r="L245" s="323" t="s">
        <v>370</v>
      </c>
      <c r="M245" s="323" t="s">
        <v>362</v>
      </c>
      <c r="N245" s="312">
        <v>1419726</v>
      </c>
      <c r="O245" s="312">
        <v>53.889800000000001</v>
      </c>
      <c r="P245" s="312">
        <v>-166.54220000000001</v>
      </c>
      <c r="Q245" s="319"/>
      <c r="S245" s="326"/>
      <c r="T245" s="326"/>
    </row>
    <row r="246" spans="1:20" s="330" customFormat="1" ht="12.75" customHeight="1" x14ac:dyDescent="0.25">
      <c r="A246" s="319" t="s">
        <v>637</v>
      </c>
      <c r="B246" s="307" t="s">
        <v>491</v>
      </c>
      <c r="C246" s="307" t="s">
        <v>492</v>
      </c>
      <c r="D246" s="323" t="s">
        <v>987</v>
      </c>
      <c r="E246" s="323" t="s">
        <v>498</v>
      </c>
      <c r="F246" s="319" t="s">
        <v>728</v>
      </c>
      <c r="G246" s="310" t="s">
        <v>500</v>
      </c>
      <c r="H246" s="310" t="s">
        <v>673</v>
      </c>
      <c r="I246" s="310" t="s">
        <v>515</v>
      </c>
      <c r="J246" s="319" t="s">
        <v>368</v>
      </c>
      <c r="K246" s="323" t="s">
        <v>398</v>
      </c>
      <c r="L246" s="323" t="s">
        <v>370</v>
      </c>
      <c r="M246" s="323" t="s">
        <v>362</v>
      </c>
      <c r="N246" s="312">
        <v>1419424</v>
      </c>
      <c r="O246" s="312">
        <v>53.873611099999998</v>
      </c>
      <c r="P246" s="312">
        <v>-166.53666670000001</v>
      </c>
      <c r="Q246" s="319"/>
      <c r="S246" s="326"/>
      <c r="T246" s="326"/>
    </row>
    <row r="247" spans="1:20" ht="26.25" x14ac:dyDescent="0.25">
      <c r="A247" s="319" t="s">
        <v>346</v>
      </c>
      <c r="B247" s="307" t="s">
        <v>347</v>
      </c>
      <c r="C247" s="307" t="s">
        <v>347</v>
      </c>
      <c r="D247" s="319" t="s">
        <v>987</v>
      </c>
      <c r="E247" s="319" t="s">
        <v>498</v>
      </c>
      <c r="F247" s="323" t="s">
        <v>729</v>
      </c>
      <c r="G247" s="373" t="s">
        <v>500</v>
      </c>
      <c r="H247" s="310" t="s">
        <v>673</v>
      </c>
      <c r="I247" s="310" t="s">
        <v>482</v>
      </c>
      <c r="J247" s="323" t="s">
        <v>363</v>
      </c>
      <c r="K247" s="323" t="s">
        <v>364</v>
      </c>
      <c r="L247" s="323" t="s">
        <v>365</v>
      </c>
      <c r="M247" s="323" t="s">
        <v>362</v>
      </c>
      <c r="N247" s="312">
        <v>1406985</v>
      </c>
      <c r="O247" s="312">
        <v>60.942777800000002</v>
      </c>
      <c r="P247" s="312">
        <v>-164.62944440000001</v>
      </c>
      <c r="Q247" s="319"/>
      <c r="R247" s="330"/>
    </row>
    <row r="248" spans="1:20" s="330" customFormat="1" ht="39" x14ac:dyDescent="0.25">
      <c r="A248" s="319" t="s">
        <v>348</v>
      </c>
      <c r="B248" s="307" t="s">
        <v>349</v>
      </c>
      <c r="C248" s="307" t="s">
        <v>349</v>
      </c>
      <c r="D248" s="319" t="s">
        <v>989</v>
      </c>
      <c r="E248" s="319" t="s">
        <v>498</v>
      </c>
      <c r="F248" s="318" t="s">
        <v>729</v>
      </c>
      <c r="G248" s="580" t="s">
        <v>500</v>
      </c>
      <c r="H248" s="310" t="s">
        <v>674</v>
      </c>
      <c r="I248" s="310" t="s">
        <v>483</v>
      </c>
      <c r="J248" s="318" t="s">
        <v>376</v>
      </c>
      <c r="K248" s="318" t="s">
        <v>377</v>
      </c>
      <c r="L248" s="318" t="s">
        <v>378</v>
      </c>
      <c r="M248" s="318" t="s">
        <v>375</v>
      </c>
      <c r="N248" s="312">
        <v>1411644</v>
      </c>
      <c r="O248" s="312">
        <v>67.013888899999998</v>
      </c>
      <c r="P248" s="312">
        <v>-146.41861109999999</v>
      </c>
      <c r="Q248" s="319"/>
      <c r="S248" s="326"/>
      <c r="T248" s="326"/>
    </row>
    <row r="249" spans="1:20" s="330" customFormat="1" ht="33.75" customHeight="1" x14ac:dyDescent="0.25">
      <c r="A249" s="319" t="s">
        <v>350</v>
      </c>
      <c r="B249" s="307" t="s">
        <v>351</v>
      </c>
      <c r="C249" s="307" t="s">
        <v>351</v>
      </c>
      <c r="D249" s="319" t="s">
        <v>987</v>
      </c>
      <c r="E249" s="319" t="s">
        <v>498</v>
      </c>
      <c r="F249" s="319" t="s">
        <v>728</v>
      </c>
      <c r="G249" s="310" t="s">
        <v>500</v>
      </c>
      <c r="H249" s="310" t="s">
        <v>673</v>
      </c>
      <c r="I249" s="310" t="s">
        <v>484</v>
      </c>
      <c r="J249" s="319" t="s">
        <v>390</v>
      </c>
      <c r="K249" s="318" t="s">
        <v>391</v>
      </c>
      <c r="L249" s="318" t="s">
        <v>390</v>
      </c>
      <c r="M249" s="318" t="s">
        <v>387</v>
      </c>
      <c r="N249" s="312">
        <v>1411989</v>
      </c>
      <c r="O249" s="312">
        <v>64.681388900000002</v>
      </c>
      <c r="P249" s="312">
        <v>-163.40555560000001</v>
      </c>
      <c r="Q249" s="319"/>
      <c r="R249" s="341"/>
      <c r="S249" s="326"/>
      <c r="T249" s="326"/>
    </row>
    <row r="250" spans="1:20" ht="26.25" x14ac:dyDescent="0.25">
      <c r="A250" s="319" t="s">
        <v>352</v>
      </c>
      <c r="B250" s="307" t="s">
        <v>353</v>
      </c>
      <c r="C250" s="307" t="s">
        <v>353</v>
      </c>
      <c r="D250" s="318" t="s">
        <v>987</v>
      </c>
      <c r="E250" s="318" t="s">
        <v>498</v>
      </c>
      <c r="F250" s="318" t="s">
        <v>728</v>
      </c>
      <c r="G250" s="373" t="s">
        <v>499</v>
      </c>
      <c r="H250" s="310" t="s">
        <v>675</v>
      </c>
      <c r="I250" s="310" t="s">
        <v>485</v>
      </c>
      <c r="J250" s="318" t="s">
        <v>373</v>
      </c>
      <c r="K250" s="318" t="s">
        <v>353</v>
      </c>
      <c r="L250" s="318" t="s">
        <v>374</v>
      </c>
      <c r="M250" s="318" t="s">
        <v>372</v>
      </c>
      <c r="N250" s="312">
        <v>1415843</v>
      </c>
      <c r="O250" s="312">
        <v>56.470833300000002</v>
      </c>
      <c r="P250" s="312">
        <v>-132.37666669999999</v>
      </c>
      <c r="Q250" s="319"/>
      <c r="R250" s="330"/>
    </row>
    <row r="251" spans="1:20" s="330" customFormat="1" ht="26.25" x14ac:dyDescent="0.25">
      <c r="A251" s="319" t="s">
        <v>354</v>
      </c>
      <c r="B251" s="307" t="s">
        <v>355</v>
      </c>
      <c r="C251" s="307" t="s">
        <v>355</v>
      </c>
      <c r="D251" s="319" t="s">
        <v>987</v>
      </c>
      <c r="E251" s="319" t="s">
        <v>498</v>
      </c>
      <c r="F251" s="319" t="s">
        <v>728</v>
      </c>
      <c r="G251" s="310" t="s">
        <v>500</v>
      </c>
      <c r="H251" s="310" t="s">
        <v>673</v>
      </c>
      <c r="I251" s="310" t="s">
        <v>486</v>
      </c>
      <c r="J251" s="319" t="s">
        <v>373</v>
      </c>
      <c r="K251" s="318" t="s">
        <v>355</v>
      </c>
      <c r="L251" s="318" t="s">
        <v>374</v>
      </c>
      <c r="M251" s="318" t="s">
        <v>372</v>
      </c>
      <c r="N251" s="312">
        <v>1415858</v>
      </c>
      <c r="O251" s="312">
        <v>59.546944400000001</v>
      </c>
      <c r="P251" s="312">
        <v>-139.7272222</v>
      </c>
      <c r="Q251" s="319"/>
      <c r="S251" s="326"/>
      <c r="T251" s="326"/>
    </row>
  </sheetData>
  <autoFilter ref="A3:Q251"/>
  <sortState ref="A6:Q263">
    <sortCondition ref="A6:A263"/>
    <sortCondition ref="C6:C263"/>
    <sortCondition ref="B6:B263"/>
  </sortState>
  <mergeCells count="2">
    <mergeCell ref="A1:Q1"/>
    <mergeCell ref="A2:Q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P403"/>
  <sheetViews>
    <sheetView showGridLines="0" zoomScale="90" zoomScaleNormal="90" workbookViewId="0">
      <pane xSplit="1" ySplit="3" topLeftCell="B4" activePane="bottomRight" state="frozen"/>
      <selection activeCell="E175" sqref="E175"/>
      <selection pane="topRight" activeCell="E175" sqref="E175"/>
      <selection pane="bottomLeft" activeCell="E175" sqref="E175"/>
      <selection pane="bottomRight" activeCell="D8" sqref="D8"/>
    </sheetView>
  </sheetViews>
  <sheetFormatPr defaultRowHeight="15" x14ac:dyDescent="0.25"/>
  <cols>
    <col min="1" max="1" width="20.5703125" style="14" bestFit="1" customWidth="1"/>
    <col min="2" max="2" width="49" style="7" bestFit="1" customWidth="1"/>
    <col min="3" max="3" width="19" style="13" bestFit="1" customWidth="1"/>
    <col min="4" max="4" width="28.28515625" style="7" bestFit="1" customWidth="1"/>
    <col min="5" max="5" width="25.5703125" style="7" bestFit="1" customWidth="1"/>
    <col min="6" max="6" width="27.140625" style="7" bestFit="1" customWidth="1"/>
    <col min="7" max="7" width="11.5703125" style="12" bestFit="1" customWidth="1"/>
    <col min="8" max="8" width="10.140625" style="12" bestFit="1" customWidth="1"/>
    <col min="9" max="9" width="12.7109375" style="12" bestFit="1" customWidth="1"/>
    <col min="10" max="10" width="16.140625" style="12" bestFit="1" customWidth="1"/>
    <col min="11" max="16384" width="9.140625" style="341"/>
  </cols>
  <sheetData>
    <row r="1" spans="1:16" s="330" customFormat="1" ht="15.75" customHeight="1" thickBot="1" x14ac:dyDescent="0.25">
      <c r="A1" s="932" t="s">
        <v>511</v>
      </c>
      <c r="B1" s="932"/>
      <c r="C1" s="932"/>
      <c r="D1" s="932"/>
      <c r="E1" s="932"/>
      <c r="F1" s="932"/>
      <c r="G1" s="932"/>
      <c r="H1" s="932"/>
      <c r="I1" s="932"/>
      <c r="J1" s="932"/>
    </row>
    <row r="2" spans="1:16" s="330" customFormat="1" ht="15.75" customHeight="1" thickBot="1" x14ac:dyDescent="0.3">
      <c r="A2" s="933" t="s">
        <v>1176</v>
      </c>
      <c r="B2" s="933"/>
      <c r="C2" s="933"/>
      <c r="D2" s="933"/>
      <c r="E2" s="933"/>
      <c r="F2" s="933"/>
      <c r="G2" s="933"/>
      <c r="H2" s="933"/>
      <c r="I2" s="933"/>
      <c r="J2" s="933"/>
    </row>
    <row r="3" spans="1:16" s="330" customFormat="1" ht="26.25" thickBot="1" x14ac:dyDescent="0.25">
      <c r="A3" s="314" t="s">
        <v>604</v>
      </c>
      <c r="B3" s="309" t="s">
        <v>0</v>
      </c>
      <c r="C3" s="309" t="s">
        <v>356</v>
      </c>
      <c r="D3" s="309" t="s">
        <v>5</v>
      </c>
      <c r="E3" s="309" t="s">
        <v>6</v>
      </c>
      <c r="F3" s="309" t="s">
        <v>552</v>
      </c>
      <c r="G3" s="309" t="s">
        <v>497</v>
      </c>
      <c r="H3" s="584" t="s">
        <v>516</v>
      </c>
      <c r="I3" s="584" t="s">
        <v>643</v>
      </c>
      <c r="J3" s="584" t="s">
        <v>517</v>
      </c>
      <c r="L3" s="784"/>
      <c r="M3" s="787"/>
      <c r="N3" s="787"/>
      <c r="O3" s="787"/>
      <c r="P3" s="787"/>
    </row>
    <row r="4" spans="1:16" s="330" customFormat="1" ht="25.5" customHeight="1" x14ac:dyDescent="0.25">
      <c r="A4" s="783" t="s">
        <v>820</v>
      </c>
      <c r="B4" s="455" t="s">
        <v>1100</v>
      </c>
      <c r="C4" s="782" t="s">
        <v>675</v>
      </c>
      <c r="D4" s="454" t="s">
        <v>158</v>
      </c>
      <c r="E4" s="785" t="s">
        <v>400</v>
      </c>
      <c r="F4" s="454" t="s">
        <v>378</v>
      </c>
      <c r="G4" s="782" t="s">
        <v>358</v>
      </c>
      <c r="H4" s="786">
        <v>1397658</v>
      </c>
      <c r="I4" s="483">
        <v>64.847222200000004</v>
      </c>
      <c r="J4" s="483">
        <v>-148.0144444</v>
      </c>
      <c r="L4" s="784"/>
      <c r="M4" s="787"/>
      <c r="N4" s="787"/>
      <c r="O4" s="787"/>
      <c r="P4" s="787"/>
    </row>
    <row r="5" spans="1:16" s="330" customFormat="1" ht="25.5" customHeight="1" x14ac:dyDescent="0.25">
      <c r="A5" s="457" t="s">
        <v>833</v>
      </c>
      <c r="B5" s="455" t="s">
        <v>1100</v>
      </c>
      <c r="C5" s="458" t="s">
        <v>675</v>
      </c>
      <c r="D5" s="452" t="s">
        <v>158</v>
      </c>
      <c r="E5" s="452" t="s">
        <v>400</v>
      </c>
      <c r="F5" s="452" t="s">
        <v>378</v>
      </c>
      <c r="G5" s="458" t="s">
        <v>358</v>
      </c>
      <c r="H5" s="515">
        <v>1397685</v>
      </c>
      <c r="I5" s="483">
        <v>64.872222199999996</v>
      </c>
      <c r="J5" s="483">
        <v>-147.03833330000001</v>
      </c>
      <c r="L5" s="784"/>
      <c r="M5" s="787"/>
      <c r="N5" s="787"/>
      <c r="O5" s="787"/>
      <c r="P5" s="787"/>
    </row>
    <row r="6" spans="1:16" s="330" customFormat="1" ht="25.5" customHeight="1" x14ac:dyDescent="0.25">
      <c r="A6" s="451" t="s">
        <v>28</v>
      </c>
      <c r="B6" s="452" t="s">
        <v>27</v>
      </c>
      <c r="C6" s="455" t="s">
        <v>674</v>
      </c>
      <c r="D6" s="452" t="s">
        <v>222</v>
      </c>
      <c r="E6" s="452" t="s">
        <v>359</v>
      </c>
      <c r="F6" s="452" t="s">
        <v>360</v>
      </c>
      <c r="G6" s="452" t="s">
        <v>358</v>
      </c>
      <c r="H6" s="598">
        <v>1398007</v>
      </c>
      <c r="I6" s="483">
        <v>56.945555599999999</v>
      </c>
      <c r="J6" s="483">
        <v>-154.17027780000001</v>
      </c>
      <c r="L6" s="784"/>
      <c r="M6" s="787"/>
      <c r="N6" s="787"/>
      <c r="O6" s="787"/>
      <c r="P6" s="787"/>
    </row>
    <row r="7" spans="1:16" s="330" customFormat="1" ht="25.5" customHeight="1" x14ac:dyDescent="0.25">
      <c r="A7" s="456" t="s">
        <v>30</v>
      </c>
      <c r="B7" s="455" t="s">
        <v>29</v>
      </c>
      <c r="C7" s="455" t="s">
        <v>673</v>
      </c>
      <c r="D7" s="452" t="s">
        <v>363</v>
      </c>
      <c r="E7" s="452" t="s">
        <v>364</v>
      </c>
      <c r="F7" s="452" t="s">
        <v>365</v>
      </c>
      <c r="G7" s="452" t="s">
        <v>362</v>
      </c>
      <c r="H7" s="483">
        <v>1398011</v>
      </c>
      <c r="I7" s="483">
        <v>60.909444399999998</v>
      </c>
      <c r="J7" s="483">
        <v>-161.4313889</v>
      </c>
      <c r="L7" s="784"/>
      <c r="M7" s="787"/>
      <c r="N7" s="787"/>
      <c r="O7" s="787"/>
      <c r="P7" s="787"/>
    </row>
    <row r="8" spans="1:16" s="330" customFormat="1" ht="25.5" customHeight="1" x14ac:dyDescent="0.25">
      <c r="A8" s="456" t="s">
        <v>32</v>
      </c>
      <c r="B8" s="455" t="s">
        <v>31</v>
      </c>
      <c r="C8" s="455" t="s">
        <v>673</v>
      </c>
      <c r="D8" s="455" t="s">
        <v>363</v>
      </c>
      <c r="E8" s="452" t="s">
        <v>364</v>
      </c>
      <c r="F8" s="452" t="s">
        <v>365</v>
      </c>
      <c r="G8" s="452" t="s">
        <v>362</v>
      </c>
      <c r="H8" s="483">
        <v>1398012</v>
      </c>
      <c r="I8" s="483">
        <v>60.912222200000002</v>
      </c>
      <c r="J8" s="483">
        <v>-161.2138889</v>
      </c>
      <c r="L8" s="784"/>
      <c r="M8" s="787"/>
      <c r="N8" s="787"/>
      <c r="O8" s="787"/>
      <c r="P8" s="787"/>
    </row>
    <row r="9" spans="1:16" s="330" customFormat="1" ht="25.5" customHeight="1" x14ac:dyDescent="0.25">
      <c r="A9" s="456" t="s">
        <v>66</v>
      </c>
      <c r="B9" s="455" t="s">
        <v>524</v>
      </c>
      <c r="C9" s="455" t="s">
        <v>673</v>
      </c>
      <c r="D9" s="455" t="s">
        <v>363</v>
      </c>
      <c r="E9" s="452" t="s">
        <v>386</v>
      </c>
      <c r="F9" s="452" t="s">
        <v>365</v>
      </c>
      <c r="G9" s="452" t="s">
        <v>375</v>
      </c>
      <c r="H9" s="483">
        <v>1398042</v>
      </c>
      <c r="I9" s="483">
        <v>62.688888900000002</v>
      </c>
      <c r="J9" s="483">
        <v>-164.6152778</v>
      </c>
      <c r="L9" s="784"/>
      <c r="M9" s="787"/>
      <c r="N9" s="787"/>
      <c r="O9" s="787"/>
      <c r="P9" s="787"/>
    </row>
    <row r="10" spans="1:16" s="330" customFormat="1" x14ac:dyDescent="0.25">
      <c r="A10" s="457" t="s">
        <v>887</v>
      </c>
      <c r="B10" s="455" t="s">
        <v>536</v>
      </c>
      <c r="C10" s="455" t="s">
        <v>673</v>
      </c>
      <c r="D10" s="452" t="s">
        <v>392</v>
      </c>
      <c r="E10" s="452" t="s">
        <v>393</v>
      </c>
      <c r="F10" s="452" t="s">
        <v>392</v>
      </c>
      <c r="G10" s="452" t="s">
        <v>362</v>
      </c>
      <c r="H10" s="515">
        <v>1398091</v>
      </c>
      <c r="I10" s="483">
        <v>59.273055599999999</v>
      </c>
      <c r="J10" s="515">
        <v>-158.6177778</v>
      </c>
      <c r="L10" s="784"/>
      <c r="M10" s="787"/>
      <c r="N10" s="787"/>
      <c r="O10" s="787"/>
      <c r="P10" s="787"/>
    </row>
    <row r="11" spans="1:16" s="330" customFormat="1" x14ac:dyDescent="0.25">
      <c r="A11" s="456" t="s">
        <v>44</v>
      </c>
      <c r="B11" s="455" t="s">
        <v>43</v>
      </c>
      <c r="C11" s="455" t="s">
        <v>673</v>
      </c>
      <c r="D11" s="455" t="s">
        <v>376</v>
      </c>
      <c r="E11" s="452" t="s">
        <v>377</v>
      </c>
      <c r="F11" s="452" t="s">
        <v>378</v>
      </c>
      <c r="G11" s="452" t="s">
        <v>375</v>
      </c>
      <c r="H11" s="483">
        <v>1398129</v>
      </c>
      <c r="I11" s="483">
        <v>66.565555599999996</v>
      </c>
      <c r="J11" s="780">
        <v>-152.64555559999999</v>
      </c>
      <c r="L11" s="784"/>
      <c r="M11" s="787"/>
      <c r="N11" s="787"/>
      <c r="O11" s="787"/>
      <c r="P11" s="787"/>
    </row>
    <row r="12" spans="1:16" s="330" customFormat="1" x14ac:dyDescent="0.25">
      <c r="A12" s="456" t="s">
        <v>278</v>
      </c>
      <c r="B12" s="455" t="s">
        <v>277</v>
      </c>
      <c r="C12" s="455" t="s">
        <v>673</v>
      </c>
      <c r="D12" s="452" t="s">
        <v>401</v>
      </c>
      <c r="E12" s="452" t="s">
        <v>401</v>
      </c>
      <c r="F12" s="452" t="s">
        <v>402</v>
      </c>
      <c r="G12" s="452" t="s">
        <v>387</v>
      </c>
      <c r="H12" s="483">
        <v>1398235</v>
      </c>
      <c r="I12" s="483">
        <v>68.143333299999995</v>
      </c>
      <c r="J12" s="483">
        <v>-151.7358333</v>
      </c>
      <c r="L12" s="784"/>
      <c r="M12" s="787"/>
      <c r="N12" s="787"/>
      <c r="O12" s="787"/>
      <c r="P12" s="787"/>
    </row>
    <row r="13" spans="1:16" s="330" customFormat="1" ht="30" x14ac:dyDescent="0.25">
      <c r="A13" s="456" t="s">
        <v>121</v>
      </c>
      <c r="B13" s="455" t="s">
        <v>893</v>
      </c>
      <c r="C13" s="455" t="s">
        <v>675</v>
      </c>
      <c r="D13" s="452" t="s">
        <v>158</v>
      </c>
      <c r="E13" s="452" t="s">
        <v>121</v>
      </c>
      <c r="F13" s="452" t="s">
        <v>396</v>
      </c>
      <c r="G13" s="452" t="s">
        <v>358</v>
      </c>
      <c r="H13" s="483">
        <v>1398242</v>
      </c>
      <c r="I13" s="483">
        <v>61.2180556</v>
      </c>
      <c r="J13" s="483">
        <v>-149.9002778</v>
      </c>
      <c r="L13" s="784"/>
      <c r="M13" s="787"/>
      <c r="N13" s="787"/>
      <c r="O13" s="787"/>
      <c r="P13" s="787"/>
    </row>
    <row r="14" spans="1:16" s="330" customFormat="1" ht="30" x14ac:dyDescent="0.25">
      <c r="A14" s="457" t="s">
        <v>812</v>
      </c>
      <c r="B14" s="455" t="s">
        <v>1100</v>
      </c>
      <c r="C14" s="458" t="s">
        <v>675</v>
      </c>
      <c r="D14" s="452" t="s">
        <v>158</v>
      </c>
      <c r="E14" s="304" t="s">
        <v>425</v>
      </c>
      <c r="F14" s="452" t="s">
        <v>378</v>
      </c>
      <c r="G14" s="452" t="s">
        <v>375</v>
      </c>
      <c r="H14" s="515">
        <v>1398245</v>
      </c>
      <c r="I14" s="483">
        <v>64.344166700000002</v>
      </c>
      <c r="J14" s="515">
        <v>-149.18694439999999</v>
      </c>
      <c r="L14" s="784"/>
      <c r="M14" s="787"/>
      <c r="N14" s="787"/>
      <c r="O14" s="787"/>
      <c r="P14" s="787"/>
    </row>
    <row r="15" spans="1:16" s="330" customFormat="1" x14ac:dyDescent="0.25">
      <c r="A15" s="456" t="s">
        <v>538</v>
      </c>
      <c r="B15" s="455" t="s">
        <v>524</v>
      </c>
      <c r="C15" s="455" t="s">
        <v>673</v>
      </c>
      <c r="D15" s="455" t="s">
        <v>363</v>
      </c>
      <c r="E15" s="452" t="s">
        <v>386</v>
      </c>
      <c r="F15" s="452" t="s">
        <v>365</v>
      </c>
      <c r="G15" s="452" t="s">
        <v>375</v>
      </c>
      <c r="H15" s="483">
        <v>1398261</v>
      </c>
      <c r="I15" s="483">
        <v>62.0530556</v>
      </c>
      <c r="J15" s="779">
        <v>-163.1658333</v>
      </c>
      <c r="L15" s="784"/>
      <c r="M15" s="787"/>
      <c r="N15" s="787"/>
      <c r="O15" s="787"/>
      <c r="P15" s="787"/>
    </row>
    <row r="16" spans="1:16" s="330" customFormat="1" x14ac:dyDescent="0.25">
      <c r="A16" s="456" t="s">
        <v>124</v>
      </c>
      <c r="B16" s="455" t="s">
        <v>123</v>
      </c>
      <c r="C16" s="455" t="s">
        <v>673</v>
      </c>
      <c r="D16" s="452" t="s">
        <v>363</v>
      </c>
      <c r="E16" s="452" t="s">
        <v>364</v>
      </c>
      <c r="F16" s="452" t="s">
        <v>365</v>
      </c>
      <c r="G16" s="452" t="s">
        <v>362</v>
      </c>
      <c r="H16" s="483">
        <v>1398286</v>
      </c>
      <c r="I16" s="483">
        <v>61.578333299999997</v>
      </c>
      <c r="J16" s="483">
        <v>-159.52222219999999</v>
      </c>
      <c r="L16" s="784"/>
      <c r="M16" s="787"/>
      <c r="N16" s="787"/>
      <c r="O16" s="787"/>
      <c r="P16" s="787"/>
    </row>
    <row r="17" spans="1:16" s="330" customFormat="1" x14ac:dyDescent="0.25">
      <c r="A17" s="456" t="s">
        <v>68</v>
      </c>
      <c r="B17" s="455" t="s">
        <v>524</v>
      </c>
      <c r="C17" s="455" t="s">
        <v>673</v>
      </c>
      <c r="D17" s="455" t="s">
        <v>376</v>
      </c>
      <c r="E17" s="452" t="s">
        <v>377</v>
      </c>
      <c r="F17" s="452" t="s">
        <v>378</v>
      </c>
      <c r="G17" s="452" t="s">
        <v>375</v>
      </c>
      <c r="H17" s="483">
        <v>1398335</v>
      </c>
      <c r="I17" s="483">
        <v>62.656111099999997</v>
      </c>
      <c r="J17" s="483">
        <v>-160.2066667</v>
      </c>
      <c r="L17" s="784"/>
      <c r="M17" s="787"/>
      <c r="N17" s="787"/>
      <c r="O17" s="787"/>
      <c r="P17" s="787"/>
    </row>
    <row r="18" spans="1:16" s="330" customFormat="1" ht="25.5" customHeight="1" x14ac:dyDescent="0.25">
      <c r="A18" s="453" t="s">
        <v>126</v>
      </c>
      <c r="B18" s="452" t="s">
        <v>125</v>
      </c>
      <c r="C18" s="455" t="s">
        <v>674</v>
      </c>
      <c r="D18" s="452" t="s">
        <v>376</v>
      </c>
      <c r="E18" s="452" t="s">
        <v>377</v>
      </c>
      <c r="F18" s="452" t="s">
        <v>378</v>
      </c>
      <c r="G18" s="452" t="s">
        <v>375</v>
      </c>
      <c r="H18" s="598">
        <v>1398382</v>
      </c>
      <c r="I18" s="483">
        <v>68.126944399999999</v>
      </c>
      <c r="J18" s="514">
        <v>-145.53777779999999</v>
      </c>
      <c r="L18" s="784"/>
      <c r="M18" s="787"/>
      <c r="N18" s="787"/>
      <c r="O18" s="787"/>
      <c r="P18" s="787"/>
    </row>
    <row r="19" spans="1:16" s="330" customFormat="1" ht="66" customHeight="1" x14ac:dyDescent="0.25">
      <c r="A19" s="456" t="s">
        <v>133</v>
      </c>
      <c r="B19" s="455" t="s">
        <v>570</v>
      </c>
      <c r="C19" s="455" t="s">
        <v>675</v>
      </c>
      <c r="D19" s="452" t="s">
        <v>401</v>
      </c>
      <c r="E19" s="452" t="s">
        <v>401</v>
      </c>
      <c r="F19" s="452" t="s">
        <v>402</v>
      </c>
      <c r="G19" s="452" t="s">
        <v>387</v>
      </c>
      <c r="H19" s="483">
        <v>1398635</v>
      </c>
      <c r="I19" s="483">
        <v>71.290555600000005</v>
      </c>
      <c r="J19" s="483">
        <v>-156.7886111</v>
      </c>
      <c r="L19" s="784"/>
      <c r="M19" s="787"/>
      <c r="N19" s="787"/>
      <c r="O19" s="787"/>
      <c r="P19" s="787"/>
    </row>
    <row r="20" spans="1:16" s="330" customFormat="1" ht="66" customHeight="1" x14ac:dyDescent="0.25">
      <c r="A20" s="456" t="s">
        <v>135</v>
      </c>
      <c r="B20" s="455" t="s">
        <v>134</v>
      </c>
      <c r="C20" s="455" t="s">
        <v>673</v>
      </c>
      <c r="D20" s="452" t="s">
        <v>376</v>
      </c>
      <c r="E20" s="452" t="s">
        <v>377</v>
      </c>
      <c r="F20" s="452" t="s">
        <v>378</v>
      </c>
      <c r="G20" s="452" t="s">
        <v>375</v>
      </c>
      <c r="H20" s="483">
        <v>1398776</v>
      </c>
      <c r="I20" s="483">
        <v>66.359444400000001</v>
      </c>
      <c r="J20" s="483">
        <v>-147.39638890000001</v>
      </c>
      <c r="L20" s="784"/>
      <c r="M20" s="787"/>
      <c r="N20" s="787"/>
      <c r="O20" s="787"/>
      <c r="P20" s="787"/>
    </row>
    <row r="21" spans="1:16" s="330" customFormat="1" ht="66" customHeight="1" x14ac:dyDescent="0.25">
      <c r="A21" s="456" t="s">
        <v>136</v>
      </c>
      <c r="B21" s="455" t="s">
        <v>502</v>
      </c>
      <c r="C21" s="455" t="s">
        <v>673</v>
      </c>
      <c r="D21" s="452" t="s">
        <v>363</v>
      </c>
      <c r="E21" s="452" t="s">
        <v>364</v>
      </c>
      <c r="F21" s="452" t="s">
        <v>365</v>
      </c>
      <c r="G21" s="452" t="s">
        <v>362</v>
      </c>
      <c r="H21" s="483">
        <v>1398908</v>
      </c>
      <c r="I21" s="483">
        <v>60.792222199999998</v>
      </c>
      <c r="J21" s="483">
        <v>-161.75583330000001</v>
      </c>
      <c r="L21" s="784"/>
      <c r="M21" s="787"/>
      <c r="N21" s="787"/>
      <c r="O21" s="787"/>
      <c r="P21" s="787"/>
    </row>
    <row r="22" spans="1:16" s="330" customFormat="1" ht="90.75" customHeight="1" x14ac:dyDescent="0.25">
      <c r="A22" s="457" t="s">
        <v>814</v>
      </c>
      <c r="B22" s="455" t="s">
        <v>1100</v>
      </c>
      <c r="C22" s="458" t="s">
        <v>675</v>
      </c>
      <c r="D22" s="452" t="s">
        <v>158</v>
      </c>
      <c r="E22" s="452" t="s">
        <v>383</v>
      </c>
      <c r="F22" s="452" t="s">
        <v>378</v>
      </c>
      <c r="G22" s="452" t="s">
        <v>375</v>
      </c>
      <c r="H22" s="515">
        <v>1398949</v>
      </c>
      <c r="I22" s="483">
        <v>64.152500000000003</v>
      </c>
      <c r="J22" s="515">
        <v>-145.84222220000001</v>
      </c>
      <c r="L22" s="784"/>
      <c r="M22" s="787"/>
      <c r="N22" s="787"/>
      <c r="O22" s="787"/>
      <c r="P22" s="787"/>
    </row>
    <row r="23" spans="1:16" s="330" customFormat="1" ht="90.75" customHeight="1" x14ac:dyDescent="0.25">
      <c r="A23" s="456" t="s">
        <v>138</v>
      </c>
      <c r="B23" s="455" t="s">
        <v>137</v>
      </c>
      <c r="C23" s="455" t="s">
        <v>674</v>
      </c>
      <c r="D23" s="452" t="s">
        <v>376</v>
      </c>
      <c r="E23" s="452" t="s">
        <v>377</v>
      </c>
      <c r="F23" s="452" t="s">
        <v>378</v>
      </c>
      <c r="G23" s="452" t="s">
        <v>375</v>
      </c>
      <c r="H23" s="483">
        <v>1399049</v>
      </c>
      <c r="I23" s="483">
        <v>66.259035499999996</v>
      </c>
      <c r="J23" s="483">
        <v>-145.81901680000001</v>
      </c>
      <c r="L23" s="784"/>
      <c r="M23" s="787"/>
      <c r="N23" s="787"/>
      <c r="O23" s="787"/>
      <c r="P23" s="787"/>
    </row>
    <row r="24" spans="1:16" s="330" customFormat="1" ht="38.25" customHeight="1" x14ac:dyDescent="0.25">
      <c r="A24" s="457" t="s">
        <v>815</v>
      </c>
      <c r="B24" s="455" t="s">
        <v>1100</v>
      </c>
      <c r="C24" s="458" t="s">
        <v>675</v>
      </c>
      <c r="D24" s="452" t="s">
        <v>158</v>
      </c>
      <c r="E24" s="304" t="s">
        <v>425</v>
      </c>
      <c r="F24" s="452" t="s">
        <v>378</v>
      </c>
      <c r="G24" s="452" t="s">
        <v>375</v>
      </c>
      <c r="H24" s="515">
        <v>1399788</v>
      </c>
      <c r="I24" s="483">
        <v>63.391666700000002</v>
      </c>
      <c r="J24" s="515">
        <v>-148.9508333</v>
      </c>
      <c r="L24" s="784"/>
      <c r="M24" s="787"/>
      <c r="N24" s="787"/>
      <c r="O24" s="787"/>
      <c r="P24" s="787"/>
    </row>
    <row r="25" spans="1:16" s="330" customFormat="1" ht="38.25" customHeight="1" x14ac:dyDescent="0.25">
      <c r="A25" s="456" t="s">
        <v>183</v>
      </c>
      <c r="B25" s="455" t="s">
        <v>182</v>
      </c>
      <c r="C25" s="455" t="s">
        <v>673</v>
      </c>
      <c r="D25" s="452" t="s">
        <v>376</v>
      </c>
      <c r="E25" s="452" t="s">
        <v>377</v>
      </c>
      <c r="F25" s="452" t="s">
        <v>378</v>
      </c>
      <c r="G25" s="452" t="s">
        <v>375</v>
      </c>
      <c r="H25" s="483">
        <v>1400106</v>
      </c>
      <c r="I25" s="483">
        <v>65.572500000000005</v>
      </c>
      <c r="J25" s="483">
        <v>-144.80305559999999</v>
      </c>
      <c r="L25" s="784"/>
      <c r="M25" s="787"/>
      <c r="N25" s="787"/>
      <c r="O25" s="787"/>
      <c r="P25" s="787"/>
    </row>
    <row r="26" spans="1:16" s="330" customFormat="1" ht="38.25" customHeight="1" x14ac:dyDescent="0.25">
      <c r="A26" s="456" t="s">
        <v>142</v>
      </c>
      <c r="B26" s="455" t="s">
        <v>141</v>
      </c>
      <c r="C26" s="455" t="s">
        <v>673</v>
      </c>
      <c r="D26" s="452" t="s">
        <v>376</v>
      </c>
      <c r="E26" s="452" t="s">
        <v>377</v>
      </c>
      <c r="F26" s="452" t="s">
        <v>378</v>
      </c>
      <c r="G26" s="452" t="s">
        <v>375</v>
      </c>
      <c r="H26" s="483">
        <v>1400128</v>
      </c>
      <c r="I26" s="483">
        <v>66.654444400000003</v>
      </c>
      <c r="J26" s="483">
        <v>-143.7222222</v>
      </c>
      <c r="L26" s="784"/>
      <c r="M26" s="787"/>
      <c r="N26" s="787"/>
      <c r="O26" s="787"/>
      <c r="P26" s="787"/>
    </row>
    <row r="27" spans="1:16" s="330" customFormat="1" ht="38.25" customHeight="1" x14ac:dyDescent="0.25">
      <c r="A27" s="456" t="s">
        <v>265</v>
      </c>
      <c r="B27" s="455" t="s">
        <v>264</v>
      </c>
      <c r="C27" s="455" t="s">
        <v>673</v>
      </c>
      <c r="D27" s="452" t="s">
        <v>363</v>
      </c>
      <c r="E27" s="452" t="s">
        <v>364</v>
      </c>
      <c r="F27" s="452" t="s">
        <v>365</v>
      </c>
      <c r="G27" s="452" t="s">
        <v>362</v>
      </c>
      <c r="H27" s="483">
        <v>1400188</v>
      </c>
      <c r="I27" s="483">
        <v>60.16</v>
      </c>
      <c r="J27" s="483">
        <v>-164.2658333</v>
      </c>
      <c r="L27" s="784"/>
      <c r="M27" s="787"/>
      <c r="N27" s="787"/>
      <c r="O27" s="787"/>
      <c r="P27" s="787"/>
    </row>
    <row r="28" spans="1:16" s="330" customFormat="1" ht="79.5" customHeight="1" x14ac:dyDescent="0.25">
      <c r="A28" s="456" t="s">
        <v>70</v>
      </c>
      <c r="B28" s="455" t="s">
        <v>524</v>
      </c>
      <c r="C28" s="455" t="s">
        <v>673</v>
      </c>
      <c r="D28" s="455" t="s">
        <v>363</v>
      </c>
      <c r="E28" s="452" t="s">
        <v>386</v>
      </c>
      <c r="F28" s="452" t="s">
        <v>365</v>
      </c>
      <c r="G28" s="452" t="s">
        <v>375</v>
      </c>
      <c r="H28" s="483">
        <v>1400219</v>
      </c>
      <c r="I28" s="483">
        <v>61.527777800000003</v>
      </c>
      <c r="J28" s="483">
        <v>-165.5863889</v>
      </c>
      <c r="L28" s="784"/>
      <c r="M28" s="787"/>
      <c r="N28" s="787"/>
      <c r="O28" s="787"/>
      <c r="P28" s="787"/>
    </row>
    <row r="29" spans="1:16" s="330" customFormat="1" ht="38.25" customHeight="1" x14ac:dyDescent="0.25">
      <c r="A29" s="457" t="s">
        <v>860</v>
      </c>
      <c r="B29" s="455" t="s">
        <v>1101</v>
      </c>
      <c r="C29" s="452" t="s">
        <v>675</v>
      </c>
      <c r="D29" s="459" t="s">
        <v>158</v>
      </c>
      <c r="E29" s="459" t="s">
        <v>918</v>
      </c>
      <c r="F29" s="452" t="s">
        <v>396</v>
      </c>
      <c r="G29" s="458" t="s">
        <v>358</v>
      </c>
      <c r="H29" s="515">
        <v>1400239</v>
      </c>
      <c r="I29" s="483">
        <v>61.796666700000003</v>
      </c>
      <c r="J29" s="515">
        <v>-148.4627778</v>
      </c>
      <c r="L29" s="784"/>
      <c r="M29" s="787"/>
      <c r="N29" s="787"/>
      <c r="O29" s="787"/>
      <c r="P29" s="787"/>
    </row>
    <row r="30" spans="1:16" s="330" customFormat="1" ht="50.25" customHeight="1" x14ac:dyDescent="0.25">
      <c r="A30" s="456" t="s">
        <v>150</v>
      </c>
      <c r="B30" s="455" t="s">
        <v>149</v>
      </c>
      <c r="C30" s="455" t="s">
        <v>673</v>
      </c>
      <c r="D30" s="455" t="s">
        <v>392</v>
      </c>
      <c r="E30" s="452" t="s">
        <v>410</v>
      </c>
      <c r="F30" s="452" t="s">
        <v>392</v>
      </c>
      <c r="G30" s="452" t="s">
        <v>362</v>
      </c>
      <c r="H30" s="483">
        <v>1400269</v>
      </c>
      <c r="I30" s="483">
        <v>56.295277800000001</v>
      </c>
      <c r="J30" s="483">
        <v>-158.40222220000001</v>
      </c>
      <c r="L30" s="784"/>
      <c r="M30" s="787"/>
      <c r="N30" s="787"/>
      <c r="O30" s="787"/>
      <c r="P30" s="787"/>
    </row>
    <row r="31" spans="1:16" s="330" customFormat="1" x14ac:dyDescent="0.25">
      <c r="A31" s="456" t="s">
        <v>146</v>
      </c>
      <c r="B31" s="455" t="s">
        <v>145</v>
      </c>
      <c r="C31" s="455" t="s">
        <v>673</v>
      </c>
      <c r="D31" s="452" t="s">
        <v>392</v>
      </c>
      <c r="E31" s="452" t="s">
        <v>410</v>
      </c>
      <c r="F31" s="452" t="s">
        <v>392</v>
      </c>
      <c r="G31" s="452" t="s">
        <v>362</v>
      </c>
      <c r="H31" s="483">
        <v>1400274</v>
      </c>
      <c r="I31" s="483">
        <v>56.308439300000003</v>
      </c>
      <c r="J31" s="483">
        <v>-158.53023909999999</v>
      </c>
      <c r="L31" s="784"/>
      <c r="M31" s="787"/>
      <c r="N31" s="787"/>
      <c r="O31" s="787"/>
      <c r="P31" s="787"/>
    </row>
    <row r="32" spans="1:16" s="330" customFormat="1" ht="63.75" customHeight="1" x14ac:dyDescent="0.25">
      <c r="A32" s="456" t="s">
        <v>46</v>
      </c>
      <c r="B32" s="455" t="s">
        <v>43</v>
      </c>
      <c r="C32" s="455" t="s">
        <v>673</v>
      </c>
      <c r="D32" s="455" t="s">
        <v>379</v>
      </c>
      <c r="E32" s="452" t="s">
        <v>380</v>
      </c>
      <c r="F32" s="452" t="s">
        <v>381</v>
      </c>
      <c r="G32" s="452" t="s">
        <v>375</v>
      </c>
      <c r="H32" s="483">
        <v>1400333</v>
      </c>
      <c r="I32" s="483">
        <v>62.571782800000001</v>
      </c>
      <c r="J32" s="483">
        <v>-144.6541704</v>
      </c>
      <c r="L32" s="784"/>
      <c r="M32" s="787"/>
      <c r="N32" s="787"/>
      <c r="O32" s="787"/>
      <c r="P32" s="787"/>
    </row>
    <row r="33" spans="1:16" s="330" customFormat="1" ht="56.25" customHeight="1" x14ac:dyDescent="0.25">
      <c r="A33" s="456" t="s">
        <v>152</v>
      </c>
      <c r="B33" s="455" t="s">
        <v>151</v>
      </c>
      <c r="C33" s="455" t="s">
        <v>673</v>
      </c>
      <c r="D33" s="455" t="s">
        <v>379</v>
      </c>
      <c r="E33" s="452" t="s">
        <v>380</v>
      </c>
      <c r="F33" s="452" t="s">
        <v>381</v>
      </c>
      <c r="G33" s="452" t="s">
        <v>358</v>
      </c>
      <c r="H33" s="483">
        <v>1400337</v>
      </c>
      <c r="I33" s="483">
        <v>61.515833299999997</v>
      </c>
      <c r="J33" s="483">
        <v>-144.43694439999999</v>
      </c>
      <c r="L33" s="784"/>
      <c r="M33" s="787"/>
      <c r="N33" s="787"/>
      <c r="O33" s="787"/>
      <c r="P33" s="787"/>
    </row>
    <row r="34" spans="1:16" s="330" customFormat="1" ht="51.75" customHeight="1" x14ac:dyDescent="0.25">
      <c r="A34" s="456" t="s">
        <v>251</v>
      </c>
      <c r="B34" s="455" t="s">
        <v>250</v>
      </c>
      <c r="C34" s="455" t="s">
        <v>673</v>
      </c>
      <c r="D34" s="455" t="s">
        <v>363</v>
      </c>
      <c r="E34" s="452" t="s">
        <v>364</v>
      </c>
      <c r="F34" s="452" t="s">
        <v>365</v>
      </c>
      <c r="G34" s="452" t="s">
        <v>362</v>
      </c>
      <c r="H34" s="483">
        <v>1400376</v>
      </c>
      <c r="I34" s="483">
        <v>61.5719444</v>
      </c>
      <c r="J34" s="483">
        <v>-159.245</v>
      </c>
      <c r="L34" s="784"/>
      <c r="M34" s="787"/>
      <c r="N34" s="787"/>
      <c r="O34" s="787"/>
      <c r="P34" s="787"/>
    </row>
    <row r="35" spans="1:16" s="330" customFormat="1" ht="51.75" customHeight="1" x14ac:dyDescent="0.25">
      <c r="A35" s="457" t="s">
        <v>889</v>
      </c>
      <c r="B35" s="455" t="s">
        <v>1101</v>
      </c>
      <c r="C35" s="452" t="s">
        <v>675</v>
      </c>
      <c r="D35" s="459" t="s">
        <v>158</v>
      </c>
      <c r="E35" s="459" t="s">
        <v>918</v>
      </c>
      <c r="F35" s="452" t="s">
        <v>396</v>
      </c>
      <c r="G35" s="458" t="s">
        <v>358</v>
      </c>
      <c r="H35" s="515">
        <v>1400378</v>
      </c>
      <c r="I35" s="483">
        <v>61.388888899999998</v>
      </c>
      <c r="J35" s="515">
        <v>-149.4819444</v>
      </c>
      <c r="L35" s="784"/>
      <c r="M35" s="787"/>
      <c r="N35" s="787"/>
      <c r="O35" s="787"/>
      <c r="P35" s="787"/>
    </row>
    <row r="36" spans="1:16" s="330" customFormat="1" ht="51.75" customHeight="1" x14ac:dyDescent="0.25">
      <c r="A36" s="456" t="s">
        <v>161</v>
      </c>
      <c r="B36" s="455" t="s">
        <v>160</v>
      </c>
      <c r="C36" s="455" t="s">
        <v>673</v>
      </c>
      <c r="D36" s="452" t="s">
        <v>376</v>
      </c>
      <c r="E36" s="452" t="s">
        <v>377</v>
      </c>
      <c r="F36" s="452" t="s">
        <v>378</v>
      </c>
      <c r="G36" s="452" t="s">
        <v>375</v>
      </c>
      <c r="H36" s="483">
        <v>1400404</v>
      </c>
      <c r="I36" s="483">
        <v>65.825555600000001</v>
      </c>
      <c r="J36" s="483">
        <v>-144.06055559999999</v>
      </c>
      <c r="L36" s="784"/>
      <c r="M36" s="787"/>
      <c r="N36" s="787"/>
      <c r="O36" s="787"/>
      <c r="P36" s="787"/>
    </row>
    <row r="37" spans="1:16" s="330" customFormat="1" ht="38.25" customHeight="1" x14ac:dyDescent="0.25">
      <c r="A37" s="456" t="s">
        <v>163</v>
      </c>
      <c r="B37" s="455" t="s">
        <v>162</v>
      </c>
      <c r="C37" s="455" t="s">
        <v>674</v>
      </c>
      <c r="D37" s="455" t="s">
        <v>392</v>
      </c>
      <c r="E37" s="452" t="s">
        <v>393</v>
      </c>
      <c r="F37" s="452" t="s">
        <v>392</v>
      </c>
      <c r="G37" s="452" t="s">
        <v>375</v>
      </c>
      <c r="H37" s="483">
        <v>1400426</v>
      </c>
      <c r="I37" s="483">
        <v>58.844166700000002</v>
      </c>
      <c r="J37" s="779">
        <v>-158.55083329999999</v>
      </c>
      <c r="L37" s="784"/>
      <c r="M37" s="787"/>
      <c r="N37" s="787"/>
      <c r="O37" s="787"/>
      <c r="P37" s="787"/>
    </row>
    <row r="38" spans="1:16" s="330" customFormat="1" ht="38.25" customHeight="1" x14ac:dyDescent="0.25">
      <c r="A38" s="457" t="s">
        <v>817</v>
      </c>
      <c r="B38" s="455" t="s">
        <v>1100</v>
      </c>
      <c r="C38" s="458" t="s">
        <v>675</v>
      </c>
      <c r="D38" s="452" t="s">
        <v>158</v>
      </c>
      <c r="E38" s="459" t="s">
        <v>400</v>
      </c>
      <c r="F38" s="452" t="s">
        <v>378</v>
      </c>
      <c r="G38" s="458" t="s">
        <v>358</v>
      </c>
      <c r="H38" s="515">
        <v>1400578</v>
      </c>
      <c r="I38" s="483">
        <v>64.856944400000003</v>
      </c>
      <c r="J38" s="515">
        <v>-147.8027778</v>
      </c>
      <c r="L38" s="784"/>
      <c r="M38" s="787"/>
      <c r="N38" s="787"/>
      <c r="O38" s="787"/>
      <c r="P38" s="787"/>
    </row>
    <row r="39" spans="1:16" s="330" customFormat="1" ht="38.25" customHeight="1" x14ac:dyDescent="0.25">
      <c r="A39" s="457" t="s">
        <v>798</v>
      </c>
      <c r="B39" s="455" t="s">
        <v>164</v>
      </c>
      <c r="C39" s="455" t="s">
        <v>675</v>
      </c>
      <c r="D39" s="452" t="s">
        <v>379</v>
      </c>
      <c r="E39" s="458" t="s">
        <v>380</v>
      </c>
      <c r="F39" s="452" t="s">
        <v>408</v>
      </c>
      <c r="G39" s="458" t="s">
        <v>358</v>
      </c>
      <c r="H39" s="515">
        <v>1400669</v>
      </c>
      <c r="I39" s="483">
        <v>61.976959800000003</v>
      </c>
      <c r="J39" s="515">
        <v>-145.32972939999999</v>
      </c>
      <c r="L39" s="784"/>
      <c r="M39" s="787"/>
      <c r="N39" s="787"/>
      <c r="O39" s="787"/>
      <c r="P39" s="787"/>
    </row>
    <row r="40" spans="1:16" s="330" customFormat="1" ht="38.25" customHeight="1" x14ac:dyDescent="0.25">
      <c r="A40" s="456" t="s">
        <v>252</v>
      </c>
      <c r="B40" s="455" t="s">
        <v>250</v>
      </c>
      <c r="C40" s="455" t="s">
        <v>673</v>
      </c>
      <c r="D40" s="455" t="s">
        <v>363</v>
      </c>
      <c r="E40" s="452" t="s">
        <v>364</v>
      </c>
      <c r="F40" s="452" t="s">
        <v>365</v>
      </c>
      <c r="G40" s="452" t="s">
        <v>362</v>
      </c>
      <c r="H40" s="483">
        <v>1400824</v>
      </c>
      <c r="I40" s="483">
        <v>61.87</v>
      </c>
      <c r="J40" s="483">
        <v>-158.1108333</v>
      </c>
      <c r="L40" s="784"/>
      <c r="M40" s="787"/>
      <c r="N40" s="787"/>
      <c r="O40" s="787"/>
      <c r="P40" s="787"/>
    </row>
    <row r="41" spans="1:16" s="330" customFormat="1" ht="38.25" customHeight="1" x14ac:dyDescent="0.25">
      <c r="A41" s="457" t="s">
        <v>818</v>
      </c>
      <c r="B41" s="455" t="s">
        <v>1100</v>
      </c>
      <c r="C41" s="458" t="s">
        <v>675</v>
      </c>
      <c r="D41" s="452" t="s">
        <v>158</v>
      </c>
      <c r="E41" s="459" t="s">
        <v>383</v>
      </c>
      <c r="F41" s="452" t="s">
        <v>378</v>
      </c>
      <c r="G41" s="458" t="s">
        <v>358</v>
      </c>
      <c r="H41" s="515">
        <v>1401104</v>
      </c>
      <c r="I41" s="483">
        <v>64.037777800000001</v>
      </c>
      <c r="J41" s="515">
        <v>-145.7322222</v>
      </c>
      <c r="L41" s="784"/>
      <c r="M41" s="787"/>
      <c r="N41" s="787"/>
      <c r="O41" s="787"/>
      <c r="P41" s="787"/>
    </row>
    <row r="42" spans="1:16" s="330" customFormat="1" ht="38.25" customHeight="1" x14ac:dyDescent="0.25">
      <c r="A42" s="457" t="s">
        <v>287</v>
      </c>
      <c r="B42" s="455" t="s">
        <v>536</v>
      </c>
      <c r="C42" s="455" t="s">
        <v>673</v>
      </c>
      <c r="D42" s="452" t="s">
        <v>392</v>
      </c>
      <c r="E42" s="452" t="s">
        <v>393</v>
      </c>
      <c r="F42" s="452" t="s">
        <v>392</v>
      </c>
      <c r="G42" s="452" t="s">
        <v>362</v>
      </c>
      <c r="H42" s="515">
        <v>1401203</v>
      </c>
      <c r="I42" s="483">
        <v>59.0397222</v>
      </c>
      <c r="J42" s="515">
        <v>-158.45750000000001</v>
      </c>
      <c r="L42" s="784"/>
      <c r="M42" s="787"/>
      <c r="N42" s="787"/>
      <c r="O42" s="787"/>
      <c r="P42" s="787"/>
    </row>
    <row r="43" spans="1:16" s="330" customFormat="1" ht="65.25" customHeight="1" x14ac:dyDescent="0.25">
      <c r="A43" s="456" t="s">
        <v>170</v>
      </c>
      <c r="B43" s="455" t="s">
        <v>640</v>
      </c>
      <c r="C43" s="455" t="s">
        <v>673</v>
      </c>
      <c r="D43" s="452" t="s">
        <v>390</v>
      </c>
      <c r="E43" s="452" t="s">
        <v>391</v>
      </c>
      <c r="F43" s="452" t="s">
        <v>390</v>
      </c>
      <c r="G43" s="452" t="s">
        <v>387</v>
      </c>
      <c r="H43" s="483">
        <v>1401213</v>
      </c>
      <c r="I43" s="483">
        <v>65.753765200000004</v>
      </c>
      <c r="J43" s="483">
        <v>-168.92314999999999</v>
      </c>
      <c r="L43" s="784"/>
      <c r="M43" s="787"/>
      <c r="N43" s="787"/>
      <c r="O43" s="787"/>
      <c r="P43" s="787"/>
    </row>
    <row r="44" spans="1:16" s="330" customFormat="1" ht="51" customHeight="1" x14ac:dyDescent="0.25">
      <c r="A44" s="456" t="s">
        <v>770</v>
      </c>
      <c r="B44" s="455" t="s">
        <v>43</v>
      </c>
      <c r="C44" s="455" t="s">
        <v>673</v>
      </c>
      <c r="D44" s="455" t="s">
        <v>376</v>
      </c>
      <c r="E44" s="452" t="s">
        <v>383</v>
      </c>
      <c r="F44" s="452" t="s">
        <v>378</v>
      </c>
      <c r="G44" s="452" t="s">
        <v>375</v>
      </c>
      <c r="H44" s="483">
        <v>1401364</v>
      </c>
      <c r="I44" s="483">
        <v>63.661388899999999</v>
      </c>
      <c r="J44" s="483">
        <v>-144.06444440000001</v>
      </c>
      <c r="L44" s="784"/>
      <c r="M44" s="787"/>
      <c r="N44" s="787"/>
      <c r="O44" s="787"/>
      <c r="P44" s="787"/>
    </row>
    <row r="45" spans="1:16" s="330" customFormat="1" ht="39" customHeight="1" x14ac:dyDescent="0.25">
      <c r="A45" s="456" t="s">
        <v>783</v>
      </c>
      <c r="B45" s="455" t="s">
        <v>523</v>
      </c>
      <c r="C45" s="455" t="s">
        <v>675</v>
      </c>
      <c r="D45" s="452" t="s">
        <v>373</v>
      </c>
      <c r="E45" s="452" t="s">
        <v>36</v>
      </c>
      <c r="F45" s="452" t="s">
        <v>374</v>
      </c>
      <c r="G45" s="452" t="s">
        <v>372</v>
      </c>
      <c r="H45" s="483">
        <v>1401374</v>
      </c>
      <c r="I45" s="483">
        <v>58.275555599999997</v>
      </c>
      <c r="J45" s="483">
        <v>-134.39250000000001</v>
      </c>
      <c r="L45" s="784"/>
      <c r="M45" s="787"/>
      <c r="N45" s="787"/>
      <c r="O45" s="787"/>
      <c r="P45" s="787"/>
    </row>
    <row r="46" spans="1:16" s="332" customFormat="1" ht="25.5" customHeight="1" x14ac:dyDescent="0.25">
      <c r="A46" s="456" t="s">
        <v>493</v>
      </c>
      <c r="B46" s="455" t="s">
        <v>43</v>
      </c>
      <c r="C46" s="455" t="s">
        <v>673</v>
      </c>
      <c r="D46" s="455" t="s">
        <v>376</v>
      </c>
      <c r="E46" s="452" t="s">
        <v>383</v>
      </c>
      <c r="F46" s="452" t="s">
        <v>378</v>
      </c>
      <c r="G46" s="452" t="s">
        <v>375</v>
      </c>
      <c r="H46" s="780">
        <v>1401499</v>
      </c>
      <c r="I46" s="483">
        <v>64.788055600000007</v>
      </c>
      <c r="J46" s="780">
        <v>-141.19999999999999</v>
      </c>
      <c r="K46" s="330"/>
      <c r="L46" s="784"/>
      <c r="M46" s="787"/>
      <c r="N46" s="787"/>
      <c r="O46" s="787"/>
      <c r="P46" s="787"/>
    </row>
    <row r="47" spans="1:16" s="330" customFormat="1" ht="30" customHeight="1" x14ac:dyDescent="0.25">
      <c r="A47" s="457" t="s">
        <v>888</v>
      </c>
      <c r="B47" s="455" t="s">
        <v>1101</v>
      </c>
      <c r="C47" s="452" t="s">
        <v>675</v>
      </c>
      <c r="D47" s="459" t="s">
        <v>158</v>
      </c>
      <c r="E47" s="459" t="s">
        <v>918</v>
      </c>
      <c r="F47" s="452" t="s">
        <v>396</v>
      </c>
      <c r="G47" s="458" t="s">
        <v>358</v>
      </c>
      <c r="H47" s="515">
        <v>1401545</v>
      </c>
      <c r="I47" s="483">
        <v>61.321388900000002</v>
      </c>
      <c r="J47" s="515">
        <v>-149.56777779999999</v>
      </c>
      <c r="L47" s="784"/>
      <c r="M47" s="787"/>
      <c r="N47" s="787"/>
      <c r="O47" s="787"/>
      <c r="P47" s="787"/>
    </row>
    <row r="48" spans="1:16" s="330" customFormat="1" ht="38.25" customHeight="1" x14ac:dyDescent="0.25">
      <c r="A48" s="456" t="s">
        <v>772</v>
      </c>
      <c r="B48" s="455" t="s">
        <v>43</v>
      </c>
      <c r="C48" s="455" t="s">
        <v>673</v>
      </c>
      <c r="D48" s="455" t="s">
        <v>376</v>
      </c>
      <c r="E48" s="452" t="s">
        <v>383</v>
      </c>
      <c r="F48" s="452" t="s">
        <v>378</v>
      </c>
      <c r="G48" s="452" t="s">
        <v>375</v>
      </c>
      <c r="H48" s="483">
        <v>1401553</v>
      </c>
      <c r="I48" s="483">
        <v>64.7805556</v>
      </c>
      <c r="J48" s="483">
        <v>-141.11361110000001</v>
      </c>
      <c r="L48" s="784"/>
      <c r="M48" s="787"/>
      <c r="N48" s="787"/>
      <c r="O48" s="787"/>
      <c r="P48" s="787"/>
    </row>
    <row r="49" spans="1:16" s="330" customFormat="1" ht="38.25" customHeight="1" x14ac:dyDescent="0.25">
      <c r="A49" s="456" t="s">
        <v>71</v>
      </c>
      <c r="B49" s="455" t="s">
        <v>524</v>
      </c>
      <c r="C49" s="455" t="s">
        <v>673</v>
      </c>
      <c r="D49" s="455" t="s">
        <v>363</v>
      </c>
      <c r="E49" s="452" t="s">
        <v>364</v>
      </c>
      <c r="F49" s="452" t="s">
        <v>365</v>
      </c>
      <c r="G49" s="452" t="s">
        <v>362</v>
      </c>
      <c r="H49" s="483">
        <v>1401666</v>
      </c>
      <c r="I49" s="483">
        <v>60.218888900000003</v>
      </c>
      <c r="J49" s="483">
        <v>-162.02444439999999</v>
      </c>
      <c r="L49" s="784"/>
      <c r="M49" s="787"/>
      <c r="N49" s="787"/>
      <c r="O49" s="787"/>
      <c r="P49" s="787"/>
    </row>
    <row r="50" spans="1:16" s="330" customFormat="1" ht="38.25" customHeight="1" x14ac:dyDescent="0.25">
      <c r="A50" s="456" t="s">
        <v>172</v>
      </c>
      <c r="B50" s="455" t="s">
        <v>171</v>
      </c>
      <c r="C50" s="455" t="s">
        <v>673</v>
      </c>
      <c r="D50" s="452" t="s">
        <v>392</v>
      </c>
      <c r="E50" s="452" t="s">
        <v>410</v>
      </c>
      <c r="F50" s="452" t="s">
        <v>392</v>
      </c>
      <c r="G50" s="452" t="s">
        <v>362</v>
      </c>
      <c r="H50" s="483">
        <v>1401686</v>
      </c>
      <c r="I50" s="483">
        <v>58.215555600000002</v>
      </c>
      <c r="J50" s="483">
        <v>-157.37583330000001</v>
      </c>
      <c r="L50" s="784"/>
      <c r="M50" s="787"/>
      <c r="N50" s="787"/>
      <c r="O50" s="787"/>
      <c r="P50" s="787"/>
    </row>
    <row r="51" spans="1:16" s="330" customFormat="1" ht="42.75" customHeight="1" x14ac:dyDescent="0.25">
      <c r="A51" s="457" t="s">
        <v>861</v>
      </c>
      <c r="B51" s="455" t="s">
        <v>1101</v>
      </c>
      <c r="C51" s="452" t="s">
        <v>675</v>
      </c>
      <c r="D51" s="459" t="s">
        <v>158</v>
      </c>
      <c r="E51" s="459" t="s">
        <v>918</v>
      </c>
      <c r="F51" s="452" t="s">
        <v>396</v>
      </c>
      <c r="G51" s="458" t="s">
        <v>358</v>
      </c>
      <c r="H51" s="515">
        <v>1401727</v>
      </c>
      <c r="I51" s="483">
        <v>61.458055600000002</v>
      </c>
      <c r="J51" s="515">
        <v>-149.36222219999999</v>
      </c>
      <c r="L51" s="784"/>
      <c r="M51" s="787"/>
      <c r="N51" s="787"/>
      <c r="O51" s="787"/>
      <c r="P51" s="787"/>
    </row>
    <row r="52" spans="1:16" s="330" customFormat="1" ht="38.25" customHeight="1" x14ac:dyDescent="0.25">
      <c r="A52" s="456" t="s">
        <v>173</v>
      </c>
      <c r="B52" s="455" t="s">
        <v>524</v>
      </c>
      <c r="C52" s="455" t="s">
        <v>673</v>
      </c>
      <c r="D52" s="455" t="s">
        <v>392</v>
      </c>
      <c r="E52" s="452" t="s">
        <v>393</v>
      </c>
      <c r="F52" s="452" t="s">
        <v>392</v>
      </c>
      <c r="G52" s="452" t="s">
        <v>362</v>
      </c>
      <c r="H52" s="483">
        <v>1401738</v>
      </c>
      <c r="I52" s="483">
        <v>59.349722200000002</v>
      </c>
      <c r="J52" s="483">
        <v>-157.47527779999999</v>
      </c>
      <c r="L52" s="784"/>
      <c r="M52" s="787"/>
      <c r="N52" s="787"/>
      <c r="O52" s="787"/>
      <c r="P52" s="787"/>
    </row>
    <row r="53" spans="1:16" s="330" customFormat="1" ht="38.25" customHeight="1" x14ac:dyDescent="0.25">
      <c r="A53" s="456" t="s">
        <v>175</v>
      </c>
      <c r="B53" s="455" t="s">
        <v>174</v>
      </c>
      <c r="C53" s="455" t="s">
        <v>673</v>
      </c>
      <c r="D53" s="452" t="s">
        <v>373</v>
      </c>
      <c r="E53" s="452" t="s">
        <v>421</v>
      </c>
      <c r="F53" s="452" t="s">
        <v>374</v>
      </c>
      <c r="G53" s="452" t="s">
        <v>372</v>
      </c>
      <c r="H53" s="483">
        <v>1401787</v>
      </c>
      <c r="I53" s="483">
        <v>58.194444400000002</v>
      </c>
      <c r="J53" s="483">
        <v>-136.34333330000001</v>
      </c>
      <c r="L53" s="784"/>
      <c r="M53" s="787"/>
      <c r="N53" s="787"/>
      <c r="O53" s="787"/>
      <c r="P53" s="787"/>
    </row>
    <row r="54" spans="1:16" s="330" customFormat="1" ht="38.25" customHeight="1" x14ac:dyDescent="0.25">
      <c r="A54" s="456" t="s">
        <v>72</v>
      </c>
      <c r="B54" s="455" t="s">
        <v>524</v>
      </c>
      <c r="C54" s="455" t="s">
        <v>673</v>
      </c>
      <c r="D54" s="455" t="s">
        <v>390</v>
      </c>
      <c r="E54" s="452" t="s">
        <v>391</v>
      </c>
      <c r="F54" s="452" t="s">
        <v>390</v>
      </c>
      <c r="G54" s="452" t="s">
        <v>387</v>
      </c>
      <c r="H54" s="483">
        <v>1401788</v>
      </c>
      <c r="I54" s="483">
        <v>64.617500000000007</v>
      </c>
      <c r="J54" s="483">
        <v>-162.2605556</v>
      </c>
      <c r="L54" s="784"/>
      <c r="M54" s="787"/>
      <c r="N54" s="787"/>
      <c r="O54" s="787"/>
      <c r="P54" s="787"/>
    </row>
    <row r="55" spans="1:16" s="330" customFormat="1" ht="25.5" customHeight="1" x14ac:dyDescent="0.25">
      <c r="A55" s="456" t="s">
        <v>73</v>
      </c>
      <c r="B55" s="455" t="s">
        <v>524</v>
      </c>
      <c r="C55" s="455" t="s">
        <v>673</v>
      </c>
      <c r="D55" s="455" t="s">
        <v>363</v>
      </c>
      <c r="E55" s="452" t="s">
        <v>386</v>
      </c>
      <c r="F55" s="452" t="s">
        <v>365</v>
      </c>
      <c r="G55" s="452" t="s">
        <v>375</v>
      </c>
      <c r="H55" s="483">
        <v>1401837</v>
      </c>
      <c r="I55" s="483">
        <v>62.777777800000003</v>
      </c>
      <c r="J55" s="483">
        <v>-164.52305559999999</v>
      </c>
      <c r="L55" s="784"/>
      <c r="M55" s="787"/>
      <c r="N55" s="787"/>
      <c r="O55" s="787"/>
      <c r="P55" s="787"/>
    </row>
    <row r="56" spans="1:16" s="330" customFormat="1" ht="51" customHeight="1" x14ac:dyDescent="0.25">
      <c r="A56" s="456" t="s">
        <v>773</v>
      </c>
      <c r="B56" s="455" t="s">
        <v>43</v>
      </c>
      <c r="C56" s="455" t="s">
        <v>673</v>
      </c>
      <c r="D56" s="455" t="s">
        <v>376</v>
      </c>
      <c r="E56" s="452" t="s">
        <v>377</v>
      </c>
      <c r="F56" s="452" t="s">
        <v>378</v>
      </c>
      <c r="G56" s="452" t="s">
        <v>375</v>
      </c>
      <c r="H56" s="483">
        <v>1401936</v>
      </c>
      <c r="I56" s="483">
        <v>66.922777800000006</v>
      </c>
      <c r="J56" s="483">
        <v>-151.50805560000001</v>
      </c>
      <c r="L56" s="784"/>
      <c r="M56" s="787"/>
      <c r="N56" s="787"/>
      <c r="O56" s="787"/>
      <c r="P56" s="787"/>
    </row>
    <row r="57" spans="1:16" s="330" customFormat="1" ht="54" customHeight="1" x14ac:dyDescent="0.25">
      <c r="A57" s="451" t="s">
        <v>132</v>
      </c>
      <c r="B57" s="455" t="s">
        <v>1100</v>
      </c>
      <c r="C57" s="455" t="s">
        <v>675</v>
      </c>
      <c r="D57" s="452" t="s">
        <v>158</v>
      </c>
      <c r="E57" s="452" t="s">
        <v>400</v>
      </c>
      <c r="F57" s="452" t="s">
        <v>378</v>
      </c>
      <c r="G57" s="452" t="s">
        <v>375</v>
      </c>
      <c r="H57" s="468">
        <v>1401958</v>
      </c>
      <c r="I57" s="483">
        <v>64.837777799999998</v>
      </c>
      <c r="J57" s="515">
        <v>-147.7163889</v>
      </c>
      <c r="L57" s="784"/>
      <c r="M57" s="787"/>
      <c r="N57" s="787"/>
      <c r="O57" s="787"/>
      <c r="P57" s="787"/>
    </row>
    <row r="58" spans="1:16" s="330" customFormat="1" ht="25.5" customHeight="1" x14ac:dyDescent="0.25">
      <c r="A58" s="456" t="s">
        <v>192</v>
      </c>
      <c r="B58" s="455" t="s">
        <v>535</v>
      </c>
      <c r="C58" s="455" t="s">
        <v>673</v>
      </c>
      <c r="D58" s="452" t="s">
        <v>376</v>
      </c>
      <c r="E58" s="452" t="s">
        <v>377</v>
      </c>
      <c r="F58" s="452" t="s">
        <v>378</v>
      </c>
      <c r="G58" s="452" t="s">
        <v>375</v>
      </c>
      <c r="H58" s="483">
        <v>1402276</v>
      </c>
      <c r="I58" s="483">
        <v>66.564722200000006</v>
      </c>
      <c r="J58" s="483">
        <v>-145.2738889</v>
      </c>
      <c r="L58" s="784"/>
      <c r="M58" s="787"/>
      <c r="N58" s="787"/>
      <c r="O58" s="787"/>
      <c r="P58" s="787"/>
    </row>
    <row r="59" spans="1:16" s="330" customFormat="1" ht="38.25" customHeight="1" x14ac:dyDescent="0.25">
      <c r="A59" s="457" t="s">
        <v>823</v>
      </c>
      <c r="B59" s="455" t="s">
        <v>1100</v>
      </c>
      <c r="C59" s="458" t="s">
        <v>675</v>
      </c>
      <c r="D59" s="452" t="s">
        <v>158</v>
      </c>
      <c r="E59" s="459" t="s">
        <v>400</v>
      </c>
      <c r="F59" s="452" t="s">
        <v>378</v>
      </c>
      <c r="G59" s="458" t="s">
        <v>358</v>
      </c>
      <c r="H59" s="515">
        <v>1402342</v>
      </c>
      <c r="I59" s="483">
        <v>64.958055599999994</v>
      </c>
      <c r="J59" s="515">
        <v>-147.61833329999999</v>
      </c>
      <c r="L59" s="784"/>
      <c r="M59" s="787"/>
      <c r="N59" s="787"/>
      <c r="O59" s="787"/>
      <c r="P59" s="787"/>
    </row>
    <row r="60" spans="1:16" s="330" customFormat="1" ht="25.5" customHeight="1" x14ac:dyDescent="0.25">
      <c r="A60" s="457" t="s">
        <v>800</v>
      </c>
      <c r="B60" s="455" t="s">
        <v>164</v>
      </c>
      <c r="C60" s="455" t="s">
        <v>675</v>
      </c>
      <c r="D60" s="452" t="s">
        <v>379</v>
      </c>
      <c r="E60" s="458" t="s">
        <v>380</v>
      </c>
      <c r="F60" s="452" t="s">
        <v>408</v>
      </c>
      <c r="G60" s="458" t="s">
        <v>358</v>
      </c>
      <c r="H60" s="515">
        <v>1402448</v>
      </c>
      <c r="I60" s="483">
        <v>62.301944399999996</v>
      </c>
      <c r="J60" s="515">
        <v>-145.3019444</v>
      </c>
      <c r="L60" s="784"/>
      <c r="M60" s="787"/>
      <c r="N60" s="787"/>
      <c r="O60" s="787"/>
      <c r="P60" s="787"/>
    </row>
    <row r="61" spans="1:16" s="330" customFormat="1" ht="25.5" customHeight="1" x14ac:dyDescent="0.25">
      <c r="A61" s="456" t="s">
        <v>181</v>
      </c>
      <c r="B61" s="455" t="s">
        <v>180</v>
      </c>
      <c r="C61" s="455" t="s">
        <v>673</v>
      </c>
      <c r="D61" s="455" t="s">
        <v>376</v>
      </c>
      <c r="E61" s="452" t="s">
        <v>377</v>
      </c>
      <c r="F61" s="452" t="s">
        <v>378</v>
      </c>
      <c r="G61" s="452" t="s">
        <v>375</v>
      </c>
      <c r="H61" s="483">
        <v>1402457</v>
      </c>
      <c r="I61" s="483">
        <v>64.733333299999998</v>
      </c>
      <c r="J61" s="483">
        <v>-156.92750000000001</v>
      </c>
      <c r="L61" s="784"/>
      <c r="M61" s="787"/>
      <c r="N61" s="787"/>
      <c r="O61" s="787"/>
      <c r="P61" s="787"/>
    </row>
    <row r="62" spans="1:16" s="330" customFormat="1" ht="38.25" customHeight="1" x14ac:dyDescent="0.25">
      <c r="A62" s="456" t="s">
        <v>74</v>
      </c>
      <c r="B62" s="455" t="s">
        <v>524</v>
      </c>
      <c r="C62" s="455" t="s">
        <v>673</v>
      </c>
      <c r="D62" s="455" t="s">
        <v>390</v>
      </c>
      <c r="E62" s="452" t="s">
        <v>391</v>
      </c>
      <c r="F62" s="452" t="s">
        <v>390</v>
      </c>
      <c r="G62" s="452" t="s">
        <v>387</v>
      </c>
      <c r="H62" s="483">
        <v>1402463</v>
      </c>
      <c r="I62" s="483">
        <v>63.779722200000002</v>
      </c>
      <c r="J62" s="483">
        <v>-171.74111110000001</v>
      </c>
      <c r="L62" s="784"/>
      <c r="M62" s="787"/>
      <c r="N62" s="787"/>
      <c r="O62" s="787"/>
      <c r="P62" s="787"/>
    </row>
    <row r="63" spans="1:16" s="330" customFormat="1" ht="25.5" customHeight="1" x14ac:dyDescent="0.25">
      <c r="A63" s="456" t="s">
        <v>165</v>
      </c>
      <c r="B63" s="455" t="s">
        <v>164</v>
      </c>
      <c r="C63" s="455" t="s">
        <v>675</v>
      </c>
      <c r="D63" s="452" t="s">
        <v>379</v>
      </c>
      <c r="E63" s="452" t="s">
        <v>380</v>
      </c>
      <c r="F63" s="452" t="s">
        <v>408</v>
      </c>
      <c r="G63" s="452" t="s">
        <v>358</v>
      </c>
      <c r="H63" s="483">
        <v>1402643</v>
      </c>
      <c r="I63" s="483">
        <v>62.109166700000003</v>
      </c>
      <c r="J63" s="483">
        <v>-145.54638890000001</v>
      </c>
      <c r="L63" s="784"/>
      <c r="M63" s="787"/>
      <c r="N63" s="787"/>
      <c r="O63" s="787"/>
      <c r="P63" s="787"/>
    </row>
    <row r="64" spans="1:16" s="330" customFormat="1" ht="25.5" customHeight="1" x14ac:dyDescent="0.25">
      <c r="A64" s="456" t="s">
        <v>189</v>
      </c>
      <c r="B64" s="455" t="s">
        <v>188</v>
      </c>
      <c r="C64" s="455" t="s">
        <v>673</v>
      </c>
      <c r="D64" s="455" t="s">
        <v>390</v>
      </c>
      <c r="E64" s="452" t="s">
        <v>391</v>
      </c>
      <c r="F64" s="452" t="s">
        <v>390</v>
      </c>
      <c r="G64" s="452" t="s">
        <v>387</v>
      </c>
      <c r="H64" s="483">
        <v>1402760</v>
      </c>
      <c r="I64" s="483">
        <v>64.5433333</v>
      </c>
      <c r="J64" s="483">
        <v>-163.02916669999999</v>
      </c>
      <c r="L64" s="784"/>
      <c r="M64" s="787"/>
      <c r="N64" s="787"/>
      <c r="O64" s="787"/>
      <c r="P64" s="787"/>
    </row>
    <row r="65" spans="1:16" s="330" customFormat="1" ht="38.25" customHeight="1" x14ac:dyDescent="0.25">
      <c r="A65" s="456" t="s">
        <v>76</v>
      </c>
      <c r="B65" s="455" t="s">
        <v>524</v>
      </c>
      <c r="C65" s="455" t="s">
        <v>673</v>
      </c>
      <c r="D65" s="455" t="s">
        <v>376</v>
      </c>
      <c r="E65" s="452" t="s">
        <v>377</v>
      </c>
      <c r="F65" s="452" t="s">
        <v>378</v>
      </c>
      <c r="G65" s="452" t="s">
        <v>375</v>
      </c>
      <c r="H65" s="483">
        <v>1402921</v>
      </c>
      <c r="I65" s="483">
        <v>62.903611099999999</v>
      </c>
      <c r="J65" s="483">
        <v>-160.06472220000001</v>
      </c>
      <c r="L65" s="784"/>
      <c r="M65" s="787"/>
      <c r="N65" s="787"/>
      <c r="O65" s="787"/>
      <c r="P65" s="787"/>
    </row>
    <row r="66" spans="1:16" s="330" customFormat="1" ht="38.25" customHeight="1" x14ac:dyDescent="0.25">
      <c r="A66" s="457" t="s">
        <v>801</v>
      </c>
      <c r="B66" s="455" t="s">
        <v>164</v>
      </c>
      <c r="C66" s="455" t="s">
        <v>675</v>
      </c>
      <c r="D66" s="452" t="s">
        <v>379</v>
      </c>
      <c r="E66" s="458" t="s">
        <v>380</v>
      </c>
      <c r="F66" s="452" t="s">
        <v>408</v>
      </c>
      <c r="G66" s="458" t="s">
        <v>358</v>
      </c>
      <c r="H66" s="515">
        <v>1403046</v>
      </c>
      <c r="I66" s="483">
        <v>62.271388899999998</v>
      </c>
      <c r="J66" s="515">
        <v>-145.3822222</v>
      </c>
      <c r="L66" s="784"/>
      <c r="M66" s="787"/>
      <c r="N66" s="787"/>
      <c r="O66" s="787"/>
      <c r="P66" s="787"/>
    </row>
    <row r="67" spans="1:16" s="330" customFormat="1" ht="38.25" customHeight="1" x14ac:dyDescent="0.25">
      <c r="A67" s="456" t="s">
        <v>191</v>
      </c>
      <c r="B67" s="455" t="s">
        <v>190</v>
      </c>
      <c r="C67" s="455" t="s">
        <v>673</v>
      </c>
      <c r="D67" s="452" t="s">
        <v>373</v>
      </c>
      <c r="E67" s="452" t="s">
        <v>421</v>
      </c>
      <c r="F67" s="452" t="s">
        <v>374</v>
      </c>
      <c r="G67" s="452" t="s">
        <v>372</v>
      </c>
      <c r="H67" s="483">
        <v>1403078</v>
      </c>
      <c r="I67" s="483">
        <v>58.413333299999998</v>
      </c>
      <c r="J67" s="483">
        <v>-135.7369444</v>
      </c>
      <c r="L67" s="784"/>
      <c r="M67" s="787"/>
      <c r="N67" s="787"/>
      <c r="O67" s="787"/>
      <c r="P67" s="787"/>
    </row>
    <row r="68" spans="1:16" s="330" customFormat="1" ht="38.25" customHeight="1" x14ac:dyDescent="0.25">
      <c r="A68" s="456" t="s">
        <v>186</v>
      </c>
      <c r="B68" s="455" t="s">
        <v>1100</v>
      </c>
      <c r="C68" s="458" t="s">
        <v>675</v>
      </c>
      <c r="D68" s="452" t="s">
        <v>158</v>
      </c>
      <c r="E68" s="452" t="s">
        <v>425</v>
      </c>
      <c r="F68" s="452" t="s">
        <v>378</v>
      </c>
      <c r="G68" s="452" t="s">
        <v>375</v>
      </c>
      <c r="H68" s="483">
        <v>1403275</v>
      </c>
      <c r="I68" s="483">
        <v>63.856944400000003</v>
      </c>
      <c r="J68" s="483">
        <v>-148.96611110000001</v>
      </c>
      <c r="L68" s="784"/>
      <c r="M68" s="787"/>
      <c r="N68" s="787"/>
      <c r="O68" s="787"/>
      <c r="P68" s="787"/>
    </row>
    <row r="69" spans="1:16" s="330" customFormat="1" ht="25.5" customHeight="1" x14ac:dyDescent="0.25">
      <c r="A69" s="456" t="s">
        <v>77</v>
      </c>
      <c r="B69" s="455" t="s">
        <v>524</v>
      </c>
      <c r="C69" s="455" t="s">
        <v>673</v>
      </c>
      <c r="D69" s="455" t="s">
        <v>376</v>
      </c>
      <c r="E69" s="452" t="s">
        <v>377</v>
      </c>
      <c r="F69" s="452" t="s">
        <v>378</v>
      </c>
      <c r="G69" s="452" t="s">
        <v>375</v>
      </c>
      <c r="H69" s="483">
        <v>1403447</v>
      </c>
      <c r="I69" s="483">
        <v>62.199444399999997</v>
      </c>
      <c r="J69" s="483">
        <v>-159.77138890000001</v>
      </c>
      <c r="L69" s="784"/>
      <c r="M69" s="787"/>
      <c r="N69" s="787"/>
      <c r="O69" s="787"/>
      <c r="P69" s="787"/>
    </row>
    <row r="70" spans="1:16" s="330" customFormat="1" ht="49.5" customHeight="1" x14ac:dyDescent="0.25">
      <c r="A70" s="456" t="s">
        <v>204</v>
      </c>
      <c r="B70" s="455" t="s">
        <v>201</v>
      </c>
      <c r="C70" s="455" t="s">
        <v>673</v>
      </c>
      <c r="D70" s="452" t="s">
        <v>373</v>
      </c>
      <c r="E70" s="452" t="s">
        <v>421</v>
      </c>
      <c r="F70" s="452" t="s">
        <v>374</v>
      </c>
      <c r="G70" s="452" t="s">
        <v>372</v>
      </c>
      <c r="H70" s="483">
        <v>1403488</v>
      </c>
      <c r="I70" s="483">
        <v>58.11</v>
      </c>
      <c r="J70" s="483">
        <v>-135.4436111</v>
      </c>
      <c r="L70" s="784"/>
      <c r="M70" s="787"/>
      <c r="N70" s="787"/>
      <c r="O70" s="787"/>
      <c r="P70" s="787"/>
    </row>
    <row r="71" spans="1:16" s="330" customFormat="1" ht="49.5" customHeight="1" x14ac:dyDescent="0.25">
      <c r="A71" s="456" t="s">
        <v>78</v>
      </c>
      <c r="B71" s="455" t="s">
        <v>524</v>
      </c>
      <c r="C71" s="455" t="s">
        <v>673</v>
      </c>
      <c r="D71" s="455" t="s">
        <v>363</v>
      </c>
      <c r="E71" s="452" t="s">
        <v>386</v>
      </c>
      <c r="F71" s="452" t="s">
        <v>365</v>
      </c>
      <c r="G71" s="452" t="s">
        <v>375</v>
      </c>
      <c r="H71" s="483">
        <v>1403493</v>
      </c>
      <c r="I71" s="483">
        <v>61.531111099999997</v>
      </c>
      <c r="J71" s="483">
        <v>-166.09666669999999</v>
      </c>
      <c r="L71" s="784"/>
      <c r="M71" s="787"/>
      <c r="N71" s="787"/>
      <c r="O71" s="787"/>
      <c r="P71" s="787"/>
    </row>
    <row r="72" spans="1:16" s="330" customFormat="1" ht="49.5" customHeight="1" x14ac:dyDescent="0.25">
      <c r="A72" s="456" t="s">
        <v>197</v>
      </c>
      <c r="B72" s="455" t="s">
        <v>196</v>
      </c>
      <c r="C72" s="455" t="s">
        <v>673</v>
      </c>
      <c r="D72" s="452" t="s">
        <v>376</v>
      </c>
      <c r="E72" s="452" t="s">
        <v>377</v>
      </c>
      <c r="F72" s="452" t="s">
        <v>378</v>
      </c>
      <c r="G72" s="452" t="s">
        <v>375</v>
      </c>
      <c r="H72" s="483">
        <v>1403596</v>
      </c>
      <c r="I72" s="483">
        <v>66.048888899999994</v>
      </c>
      <c r="J72" s="483">
        <v>-154.25555560000001</v>
      </c>
      <c r="L72" s="784"/>
      <c r="M72" s="787"/>
      <c r="N72" s="787"/>
      <c r="O72" s="787"/>
      <c r="P72" s="787"/>
    </row>
    <row r="73" spans="1:16" s="330" customFormat="1" ht="38.25" customHeight="1" x14ac:dyDescent="0.25">
      <c r="A73" s="456" t="s">
        <v>79</v>
      </c>
      <c r="B73" s="455" t="s">
        <v>524</v>
      </c>
      <c r="C73" s="455" t="s">
        <v>673</v>
      </c>
      <c r="D73" s="455" t="s">
        <v>376</v>
      </c>
      <c r="E73" s="452" t="s">
        <v>377</v>
      </c>
      <c r="F73" s="452" t="s">
        <v>378</v>
      </c>
      <c r="G73" s="452" t="s">
        <v>375</v>
      </c>
      <c r="H73" s="483">
        <v>1403644</v>
      </c>
      <c r="I73" s="483">
        <v>65.698611099999994</v>
      </c>
      <c r="J73" s="483">
        <v>-156.39972220000001</v>
      </c>
      <c r="L73" s="784"/>
      <c r="M73" s="787"/>
      <c r="N73" s="787"/>
      <c r="O73" s="787"/>
      <c r="P73" s="787"/>
    </row>
    <row r="74" spans="1:16" s="330" customFormat="1" ht="25.5" customHeight="1" x14ac:dyDescent="0.25">
      <c r="A74" s="456" t="s">
        <v>199</v>
      </c>
      <c r="B74" s="455" t="s">
        <v>198</v>
      </c>
      <c r="C74" s="455" t="s">
        <v>673</v>
      </c>
      <c r="D74" s="455" t="s">
        <v>392</v>
      </c>
      <c r="E74" s="452" t="s">
        <v>410</v>
      </c>
      <c r="F74" s="452" t="s">
        <v>392</v>
      </c>
      <c r="G74" s="452" t="s">
        <v>362</v>
      </c>
      <c r="H74" s="483">
        <v>1403706</v>
      </c>
      <c r="I74" s="483">
        <v>59.3277778</v>
      </c>
      <c r="J74" s="483">
        <v>-155.89472219999999</v>
      </c>
      <c r="L74" s="784"/>
      <c r="M74" s="787"/>
      <c r="N74" s="787"/>
      <c r="O74" s="787"/>
      <c r="P74" s="787"/>
    </row>
    <row r="75" spans="1:16" s="330" customFormat="1" ht="25.5" customHeight="1" x14ac:dyDescent="0.25">
      <c r="A75" s="456" t="s">
        <v>917</v>
      </c>
      <c r="B75" s="455" t="s">
        <v>200</v>
      </c>
      <c r="C75" s="455" t="s">
        <v>673</v>
      </c>
      <c r="D75" s="455" t="s">
        <v>392</v>
      </c>
      <c r="E75" s="452" t="s">
        <v>410</v>
      </c>
      <c r="F75" s="452" t="s">
        <v>392</v>
      </c>
      <c r="G75" s="452" t="s">
        <v>362</v>
      </c>
      <c r="H75" s="483">
        <v>1403763</v>
      </c>
      <c r="I75" s="483">
        <v>59.7567965</v>
      </c>
      <c r="J75" s="483">
        <v>-154.91108370000001</v>
      </c>
      <c r="L75" s="784"/>
      <c r="M75" s="787"/>
      <c r="N75" s="787"/>
      <c r="O75" s="787"/>
      <c r="P75" s="787"/>
    </row>
    <row r="76" spans="1:16" s="330" customFormat="1" ht="38.25" customHeight="1" x14ac:dyDescent="0.25">
      <c r="A76" s="456" t="s">
        <v>36</v>
      </c>
      <c r="B76" s="455" t="s">
        <v>523</v>
      </c>
      <c r="C76" s="455" t="s">
        <v>675</v>
      </c>
      <c r="D76" s="452" t="s">
        <v>373</v>
      </c>
      <c r="E76" s="452" t="s">
        <v>36</v>
      </c>
      <c r="F76" s="452" t="s">
        <v>374</v>
      </c>
      <c r="G76" s="452" t="s">
        <v>372</v>
      </c>
      <c r="H76" s="483">
        <v>1404263</v>
      </c>
      <c r="I76" s="483">
        <v>58.301944399999996</v>
      </c>
      <c r="J76" s="483">
        <v>-134.4197222</v>
      </c>
      <c r="L76" s="784"/>
      <c r="M76" s="787"/>
      <c r="N76" s="787"/>
      <c r="O76" s="787"/>
      <c r="P76" s="787"/>
    </row>
    <row r="77" spans="1:16" s="330" customFormat="1" ht="25.5" customHeight="1" x14ac:dyDescent="0.25">
      <c r="A77" s="456" t="s">
        <v>228</v>
      </c>
      <c r="B77" s="455" t="s">
        <v>227</v>
      </c>
      <c r="C77" s="455" t="s">
        <v>673</v>
      </c>
      <c r="D77" s="455" t="s">
        <v>392</v>
      </c>
      <c r="E77" s="452" t="s">
        <v>410</v>
      </c>
      <c r="F77" s="452" t="s">
        <v>392</v>
      </c>
      <c r="G77" s="452" t="s">
        <v>362</v>
      </c>
      <c r="H77" s="483">
        <v>1404333</v>
      </c>
      <c r="I77" s="483">
        <v>59.439444399999999</v>
      </c>
      <c r="J77" s="483">
        <v>-154.77611110000001</v>
      </c>
      <c r="L77" s="784"/>
      <c r="M77" s="787"/>
      <c r="N77" s="787"/>
      <c r="O77" s="787"/>
      <c r="P77" s="787"/>
    </row>
    <row r="78" spans="1:16" s="330" customFormat="1" ht="38.25" customHeight="1" x14ac:dyDescent="0.25">
      <c r="A78" s="456" t="s">
        <v>280</v>
      </c>
      <c r="B78" s="455" t="s">
        <v>277</v>
      </c>
      <c r="C78" s="455" t="s">
        <v>673</v>
      </c>
      <c r="D78" s="452" t="s">
        <v>401</v>
      </c>
      <c r="E78" s="452" t="s">
        <v>401</v>
      </c>
      <c r="F78" s="452" t="s">
        <v>402</v>
      </c>
      <c r="G78" s="452" t="s">
        <v>387</v>
      </c>
      <c r="H78" s="483">
        <v>1404349</v>
      </c>
      <c r="I78" s="483">
        <v>70.131944399999995</v>
      </c>
      <c r="J78" s="483">
        <v>-143.6238889</v>
      </c>
      <c r="L78" s="784"/>
      <c r="M78" s="787"/>
      <c r="N78" s="787"/>
      <c r="O78" s="787"/>
      <c r="P78" s="787"/>
    </row>
    <row r="79" spans="1:16" s="330" customFormat="1" ht="38.25" customHeight="1" x14ac:dyDescent="0.25">
      <c r="A79" s="456" t="s">
        <v>501</v>
      </c>
      <c r="B79" s="455" t="s">
        <v>524</v>
      </c>
      <c r="C79" s="455" t="s">
        <v>673</v>
      </c>
      <c r="D79" s="455" t="s">
        <v>363</v>
      </c>
      <c r="E79" s="452" t="s">
        <v>364</v>
      </c>
      <c r="F79" s="452" t="s">
        <v>365</v>
      </c>
      <c r="G79" s="452" t="s">
        <v>362</v>
      </c>
      <c r="H79" s="483">
        <v>1404378</v>
      </c>
      <c r="I79" s="483">
        <v>61.537222200000002</v>
      </c>
      <c r="J79" s="483">
        <v>-160.3052778</v>
      </c>
      <c r="L79" s="784"/>
      <c r="M79" s="787"/>
      <c r="N79" s="787"/>
      <c r="O79" s="787"/>
      <c r="P79" s="787"/>
    </row>
    <row r="80" spans="1:16" s="330" customFormat="1" ht="25.5" customHeight="1" x14ac:dyDescent="0.25">
      <c r="A80" s="456" t="s">
        <v>80</v>
      </c>
      <c r="B80" s="455" t="s">
        <v>524</v>
      </c>
      <c r="C80" s="455" t="s">
        <v>673</v>
      </c>
      <c r="D80" s="455" t="s">
        <v>376</v>
      </c>
      <c r="E80" s="452" t="s">
        <v>377</v>
      </c>
      <c r="F80" s="452" t="s">
        <v>378</v>
      </c>
      <c r="G80" s="452" t="s">
        <v>375</v>
      </c>
      <c r="H80" s="483">
        <v>1404379</v>
      </c>
      <c r="I80" s="483">
        <v>64.327222199999994</v>
      </c>
      <c r="J80" s="483">
        <v>-158.72194440000001</v>
      </c>
      <c r="L80" s="784"/>
      <c r="M80" s="787"/>
      <c r="N80" s="787"/>
      <c r="O80" s="787"/>
      <c r="P80" s="787"/>
    </row>
    <row r="81" spans="1:16" s="330" customFormat="1" ht="25.5" customHeight="1" x14ac:dyDescent="0.25">
      <c r="A81" s="456" t="s">
        <v>118</v>
      </c>
      <c r="B81" s="455" t="s">
        <v>117</v>
      </c>
      <c r="C81" s="455" t="s">
        <v>673</v>
      </c>
      <c r="D81" s="452" t="s">
        <v>222</v>
      </c>
      <c r="E81" s="452" t="s">
        <v>359</v>
      </c>
      <c r="F81" s="452" t="s">
        <v>360</v>
      </c>
      <c r="G81" s="452" t="s">
        <v>358</v>
      </c>
      <c r="H81" s="483">
        <v>1404456</v>
      </c>
      <c r="I81" s="483">
        <v>57.5719444</v>
      </c>
      <c r="J81" s="483">
        <v>-154.4555556</v>
      </c>
      <c r="L81" s="784"/>
      <c r="M81" s="787"/>
      <c r="N81" s="787"/>
      <c r="O81" s="787"/>
      <c r="P81" s="787"/>
    </row>
    <row r="82" spans="1:16" s="330" customFormat="1" ht="25.5" customHeight="1" x14ac:dyDescent="0.25">
      <c r="A82" s="456" t="s">
        <v>774</v>
      </c>
      <c r="B82" s="455" t="s">
        <v>43</v>
      </c>
      <c r="C82" s="455" t="s">
        <v>673</v>
      </c>
      <c r="D82" s="455" t="s">
        <v>373</v>
      </c>
      <c r="E82" s="452" t="s">
        <v>382</v>
      </c>
      <c r="F82" s="452" t="s">
        <v>374</v>
      </c>
      <c r="G82" s="452" t="s">
        <v>372</v>
      </c>
      <c r="H82" s="483">
        <v>1404468</v>
      </c>
      <c r="I82" s="483">
        <v>55.538888900000003</v>
      </c>
      <c r="J82" s="483">
        <v>-132.40083329999999</v>
      </c>
      <c r="L82" s="784"/>
      <c r="M82" s="787"/>
      <c r="N82" s="787"/>
      <c r="O82" s="787"/>
      <c r="P82" s="787"/>
    </row>
    <row r="83" spans="1:16" s="330" customFormat="1" ht="25.5" customHeight="1" x14ac:dyDescent="0.25">
      <c r="A83" s="456" t="s">
        <v>81</v>
      </c>
      <c r="B83" s="455" t="s">
        <v>524</v>
      </c>
      <c r="C83" s="455" t="s">
        <v>673</v>
      </c>
      <c r="D83" s="455" t="s">
        <v>363</v>
      </c>
      <c r="E83" s="452" t="s">
        <v>364</v>
      </c>
      <c r="F83" s="452" t="s">
        <v>365</v>
      </c>
      <c r="G83" s="452" t="s">
        <v>362</v>
      </c>
      <c r="H83" s="483">
        <v>1404483</v>
      </c>
      <c r="I83" s="483">
        <v>60.895555600000002</v>
      </c>
      <c r="J83" s="780">
        <v>-162.5180556</v>
      </c>
      <c r="L83" s="784"/>
      <c r="M83" s="787"/>
      <c r="N83" s="787"/>
      <c r="O83" s="787"/>
      <c r="P83" s="787"/>
    </row>
    <row r="84" spans="1:16" s="330" customFormat="1" ht="38.25" customHeight="1" x14ac:dyDescent="0.25">
      <c r="A84" s="457" t="s">
        <v>885</v>
      </c>
      <c r="B84" s="455" t="s">
        <v>258</v>
      </c>
      <c r="C84" s="455" t="s">
        <v>673</v>
      </c>
      <c r="D84" s="452" t="s">
        <v>392</v>
      </c>
      <c r="E84" s="452" t="s">
        <v>392</v>
      </c>
      <c r="F84" s="452" t="s">
        <v>392</v>
      </c>
      <c r="G84" s="452" t="s">
        <v>362</v>
      </c>
      <c r="H84" s="515">
        <v>1404738</v>
      </c>
      <c r="I84" s="483">
        <v>58.688333299999996</v>
      </c>
      <c r="J84" s="515">
        <v>-156.66138889999999</v>
      </c>
      <c r="L84" s="784"/>
      <c r="M84" s="787"/>
      <c r="N84" s="787"/>
      <c r="O84" s="787"/>
      <c r="P84" s="787"/>
    </row>
    <row r="85" spans="1:16" s="330" customFormat="1" ht="25.5" customHeight="1" x14ac:dyDescent="0.25">
      <c r="A85" s="456" t="s">
        <v>116</v>
      </c>
      <c r="B85" s="455" t="s">
        <v>524</v>
      </c>
      <c r="C85" s="455" t="s">
        <v>673</v>
      </c>
      <c r="D85" s="455" t="s">
        <v>390</v>
      </c>
      <c r="E85" s="452" t="s">
        <v>391</v>
      </c>
      <c r="F85" s="452" t="s">
        <v>390</v>
      </c>
      <c r="G85" s="452" t="s">
        <v>387</v>
      </c>
      <c r="H85" s="483">
        <v>1404755</v>
      </c>
      <c r="I85" s="483">
        <v>65.609166700000003</v>
      </c>
      <c r="J85" s="483">
        <v>-168.08750000000001</v>
      </c>
      <c r="L85" s="784"/>
      <c r="M85" s="787"/>
      <c r="N85" s="787"/>
      <c r="O85" s="787"/>
      <c r="P85" s="787"/>
    </row>
    <row r="86" spans="1:16" s="330" customFormat="1" ht="25.5" customHeight="1" x14ac:dyDescent="0.25">
      <c r="A86" s="456" t="s">
        <v>218</v>
      </c>
      <c r="B86" s="455" t="s">
        <v>217</v>
      </c>
      <c r="C86" s="455" t="s">
        <v>673</v>
      </c>
      <c r="D86" s="452" t="s">
        <v>363</v>
      </c>
      <c r="E86" s="452" t="s">
        <v>364</v>
      </c>
      <c r="F86" s="452" t="s">
        <v>365</v>
      </c>
      <c r="G86" s="452" t="s">
        <v>362</v>
      </c>
      <c r="H86" s="483">
        <v>1404781</v>
      </c>
      <c r="I86" s="483">
        <v>59.938888900000002</v>
      </c>
      <c r="J86" s="483">
        <v>-164.04138889999999</v>
      </c>
      <c r="L86" s="784"/>
      <c r="M86" s="787"/>
      <c r="N86" s="787"/>
      <c r="O86" s="787"/>
      <c r="P86" s="787"/>
    </row>
    <row r="87" spans="1:16" s="330" customFormat="1" ht="25.5" customHeight="1" x14ac:dyDescent="0.25">
      <c r="A87" s="457" t="s">
        <v>890</v>
      </c>
      <c r="B87" s="455" t="s">
        <v>1101</v>
      </c>
      <c r="C87" s="452" t="s">
        <v>675</v>
      </c>
      <c r="D87" s="459" t="s">
        <v>158</v>
      </c>
      <c r="E87" s="459" t="s">
        <v>918</v>
      </c>
      <c r="F87" s="452" t="s">
        <v>396</v>
      </c>
      <c r="G87" s="458" t="s">
        <v>358</v>
      </c>
      <c r="H87" s="515">
        <v>1404853</v>
      </c>
      <c r="I87" s="483" t="e">
        <v>#N/A</v>
      </c>
      <c r="J87" s="779" t="e">
        <v>#N/A</v>
      </c>
      <c r="L87" s="784"/>
      <c r="M87" s="787"/>
      <c r="N87" s="787"/>
      <c r="O87" s="787"/>
      <c r="P87" s="787"/>
    </row>
    <row r="88" spans="1:16" s="330" customFormat="1" ht="38.25" customHeight="1" x14ac:dyDescent="0.25">
      <c r="A88" s="456" t="s">
        <v>222</v>
      </c>
      <c r="B88" s="455" t="s">
        <v>221</v>
      </c>
      <c r="C88" s="455" t="s">
        <v>675</v>
      </c>
      <c r="D88" s="452" t="s">
        <v>222</v>
      </c>
      <c r="E88" s="452" t="s">
        <v>359</v>
      </c>
      <c r="F88" s="452" t="s">
        <v>360</v>
      </c>
      <c r="G88" s="452" t="s">
        <v>358</v>
      </c>
      <c r="H88" s="483">
        <v>1404875</v>
      </c>
      <c r="I88" s="483">
        <v>57.79</v>
      </c>
      <c r="J88" s="483">
        <v>-152.40722220000001</v>
      </c>
      <c r="L88" s="784"/>
      <c r="M88" s="787"/>
      <c r="N88" s="787"/>
      <c r="O88" s="787"/>
      <c r="P88" s="787"/>
    </row>
    <row r="89" spans="1:16" s="330" customFormat="1" ht="38.25" customHeight="1" x14ac:dyDescent="0.25">
      <c r="A89" s="456" t="s">
        <v>271</v>
      </c>
      <c r="B89" s="455" t="s">
        <v>270</v>
      </c>
      <c r="C89" s="455" t="s">
        <v>673</v>
      </c>
      <c r="D89" s="455" t="s">
        <v>392</v>
      </c>
      <c r="E89" s="452" t="s">
        <v>393</v>
      </c>
      <c r="F89" s="452" t="s">
        <v>392</v>
      </c>
      <c r="G89" s="452" t="s">
        <v>362</v>
      </c>
      <c r="H89" s="483">
        <v>1404914</v>
      </c>
      <c r="I89" s="483">
        <v>59.728611100000002</v>
      </c>
      <c r="J89" s="483">
        <v>-157.28444440000001</v>
      </c>
      <c r="L89" s="784"/>
      <c r="M89" s="787"/>
      <c r="N89" s="787"/>
      <c r="O89" s="787"/>
      <c r="P89" s="787"/>
    </row>
    <row r="90" spans="1:16" s="330" customFormat="1" ht="38.25" customHeight="1" x14ac:dyDescent="0.25">
      <c r="A90" s="456" t="s">
        <v>303</v>
      </c>
      <c r="B90" s="455" t="s">
        <v>302</v>
      </c>
      <c r="C90" s="455" t="s">
        <v>673</v>
      </c>
      <c r="D90" s="452" t="s">
        <v>363</v>
      </c>
      <c r="E90" s="452" t="s">
        <v>364</v>
      </c>
      <c r="F90" s="452" t="s">
        <v>365</v>
      </c>
      <c r="G90" s="452" t="s">
        <v>362</v>
      </c>
      <c r="H90" s="483">
        <v>1404934</v>
      </c>
      <c r="I90" s="483">
        <v>59.953273099999997</v>
      </c>
      <c r="J90" s="483">
        <v>-162.8951327</v>
      </c>
      <c r="L90" s="784"/>
      <c r="M90" s="787"/>
      <c r="N90" s="787"/>
      <c r="O90" s="787"/>
      <c r="P90" s="787"/>
    </row>
    <row r="91" spans="1:16" s="330" customFormat="1" ht="51" customHeight="1" x14ac:dyDescent="0.25">
      <c r="A91" s="456" t="s">
        <v>84</v>
      </c>
      <c r="B91" s="455" t="s">
        <v>524</v>
      </c>
      <c r="C91" s="455" t="s">
        <v>673</v>
      </c>
      <c r="D91" s="452" t="s">
        <v>363</v>
      </c>
      <c r="E91" s="452" t="s">
        <v>386</v>
      </c>
      <c r="F91" s="452" t="s">
        <v>365</v>
      </c>
      <c r="G91" s="452" t="s">
        <v>375</v>
      </c>
      <c r="H91" s="483">
        <v>1404964</v>
      </c>
      <c r="I91" s="483">
        <v>63.0341667</v>
      </c>
      <c r="J91" s="483">
        <v>-163.55333329999999</v>
      </c>
      <c r="L91" s="784"/>
      <c r="M91" s="787"/>
      <c r="N91" s="787"/>
      <c r="O91" s="787"/>
      <c r="P91" s="787"/>
    </row>
    <row r="92" spans="1:16" s="330" customFormat="1" ht="54.75" customHeight="1" x14ac:dyDescent="0.25">
      <c r="A92" s="456" t="s">
        <v>85</v>
      </c>
      <c r="B92" s="455" t="s">
        <v>524</v>
      </c>
      <c r="C92" s="455" t="s">
        <v>673</v>
      </c>
      <c r="D92" s="455" t="s">
        <v>390</v>
      </c>
      <c r="E92" s="452" t="s">
        <v>391</v>
      </c>
      <c r="F92" s="452" t="s">
        <v>390</v>
      </c>
      <c r="G92" s="452" t="s">
        <v>387</v>
      </c>
      <c r="H92" s="483">
        <v>1404981</v>
      </c>
      <c r="I92" s="483">
        <v>64.931944400000006</v>
      </c>
      <c r="J92" s="483">
        <v>-161.15694439999999</v>
      </c>
      <c r="L92" s="784"/>
      <c r="M92" s="787"/>
      <c r="N92" s="787"/>
      <c r="O92" s="787"/>
      <c r="P92" s="787"/>
    </row>
    <row r="93" spans="1:16" s="330" customFormat="1" ht="25.5" customHeight="1" x14ac:dyDescent="0.25">
      <c r="A93" s="456" t="s">
        <v>232</v>
      </c>
      <c r="B93" s="455" t="s">
        <v>231</v>
      </c>
      <c r="C93" s="455" t="s">
        <v>673</v>
      </c>
      <c r="D93" s="455" t="s">
        <v>376</v>
      </c>
      <c r="E93" s="452" t="s">
        <v>377</v>
      </c>
      <c r="F93" s="452" t="s">
        <v>378</v>
      </c>
      <c r="G93" s="452" t="s">
        <v>375</v>
      </c>
      <c r="H93" s="483">
        <v>1404984</v>
      </c>
      <c r="I93" s="483">
        <v>64.880277800000002</v>
      </c>
      <c r="J93" s="483">
        <v>-157.7008333</v>
      </c>
      <c r="L93" s="784"/>
      <c r="M93" s="787"/>
      <c r="N93" s="787"/>
      <c r="O93" s="787"/>
      <c r="P93" s="787"/>
    </row>
    <row r="94" spans="1:16" s="330" customFormat="1" ht="38.25" customHeight="1" x14ac:dyDescent="0.25">
      <c r="A94" s="456" t="s">
        <v>234</v>
      </c>
      <c r="B94" s="455" t="s">
        <v>233</v>
      </c>
      <c r="C94" s="455" t="s">
        <v>673</v>
      </c>
      <c r="D94" s="452" t="s">
        <v>363</v>
      </c>
      <c r="E94" s="452" t="s">
        <v>364</v>
      </c>
      <c r="F94" s="452" t="s">
        <v>365</v>
      </c>
      <c r="G94" s="452" t="s">
        <v>362</v>
      </c>
      <c r="H94" s="483">
        <v>1405119</v>
      </c>
      <c r="I94" s="483">
        <v>60.812222200000001</v>
      </c>
      <c r="J94" s="483">
        <v>-161.43583330000001</v>
      </c>
      <c r="L94" s="784"/>
      <c r="M94" s="787"/>
      <c r="N94" s="787"/>
      <c r="O94" s="787"/>
      <c r="P94" s="787"/>
    </row>
    <row r="95" spans="1:16" s="330" customFormat="1" ht="25.5" customHeight="1" x14ac:dyDescent="0.25">
      <c r="A95" s="456" t="s">
        <v>235</v>
      </c>
      <c r="B95" s="455" t="s">
        <v>641</v>
      </c>
      <c r="C95" s="455" t="s">
        <v>673</v>
      </c>
      <c r="D95" s="455" t="s">
        <v>363</v>
      </c>
      <c r="E95" s="452" t="s">
        <v>364</v>
      </c>
      <c r="F95" s="452" t="s">
        <v>365</v>
      </c>
      <c r="G95" s="452" t="s">
        <v>362</v>
      </c>
      <c r="H95" s="483">
        <v>1405122</v>
      </c>
      <c r="I95" s="483">
        <v>59.864444399999996</v>
      </c>
      <c r="J95" s="483">
        <v>-163.13416670000001</v>
      </c>
      <c r="L95" s="784"/>
      <c r="M95" s="787"/>
      <c r="N95" s="787"/>
      <c r="O95" s="787"/>
      <c r="P95" s="787"/>
    </row>
    <row r="96" spans="1:16" s="330" customFormat="1" ht="38.25" customHeight="1" x14ac:dyDescent="0.25">
      <c r="A96" s="456" t="s">
        <v>257</v>
      </c>
      <c r="B96" s="455" t="s">
        <v>256</v>
      </c>
      <c r="C96" s="455" t="s">
        <v>675</v>
      </c>
      <c r="D96" s="455" t="s">
        <v>376</v>
      </c>
      <c r="E96" s="452" t="s">
        <v>377</v>
      </c>
      <c r="F96" s="452" t="s">
        <v>378</v>
      </c>
      <c r="G96" s="452" t="s">
        <v>362</v>
      </c>
      <c r="H96" s="483">
        <v>1405185</v>
      </c>
      <c r="I96" s="483">
        <v>63.8827778</v>
      </c>
      <c r="J96" s="483">
        <v>-152.31222220000001</v>
      </c>
      <c r="L96" s="784"/>
      <c r="M96" s="787"/>
      <c r="N96" s="787"/>
      <c r="O96" s="787"/>
      <c r="P96" s="787"/>
    </row>
    <row r="97" spans="1:16" s="330" customFormat="1" ht="25.5" customHeight="1" x14ac:dyDescent="0.25">
      <c r="A97" s="456" t="s">
        <v>237</v>
      </c>
      <c r="B97" s="455" t="s">
        <v>236</v>
      </c>
      <c r="C97" s="455" t="s">
        <v>673</v>
      </c>
      <c r="D97" s="455" t="s">
        <v>222</v>
      </c>
      <c r="E97" s="452" t="s">
        <v>359</v>
      </c>
      <c r="F97" s="452" t="s">
        <v>360</v>
      </c>
      <c r="G97" s="452" t="s">
        <v>358</v>
      </c>
      <c r="H97" s="483">
        <v>1405216</v>
      </c>
      <c r="I97" s="483">
        <v>57.54</v>
      </c>
      <c r="J97" s="483">
        <v>-153.97861109999999</v>
      </c>
      <c r="L97" s="784"/>
      <c r="M97" s="787"/>
      <c r="N97" s="787"/>
      <c r="O97" s="787"/>
      <c r="P97" s="787"/>
    </row>
    <row r="98" spans="1:16" s="330" customFormat="1" ht="25.5" customHeight="1" x14ac:dyDescent="0.25">
      <c r="A98" s="456" t="s">
        <v>239</v>
      </c>
      <c r="B98" s="455" t="s">
        <v>238</v>
      </c>
      <c r="C98" s="455" t="s">
        <v>673</v>
      </c>
      <c r="D98" s="452" t="s">
        <v>392</v>
      </c>
      <c r="E98" s="452" t="s">
        <v>410</v>
      </c>
      <c r="F98" s="452" t="s">
        <v>392</v>
      </c>
      <c r="G98" s="452" t="s">
        <v>362</v>
      </c>
      <c r="H98" s="483">
        <v>1405300</v>
      </c>
      <c r="I98" s="483">
        <v>59.114166699999998</v>
      </c>
      <c r="J98" s="483">
        <v>-156.85888890000001</v>
      </c>
      <c r="L98" s="784"/>
      <c r="M98" s="787"/>
      <c r="N98" s="787"/>
      <c r="O98" s="787"/>
      <c r="P98" s="787"/>
    </row>
    <row r="99" spans="1:16" s="330" customFormat="1" x14ac:dyDescent="0.25">
      <c r="A99" s="456" t="s">
        <v>241</v>
      </c>
      <c r="B99" s="455" t="s">
        <v>240</v>
      </c>
      <c r="C99" s="455" t="s">
        <v>673</v>
      </c>
      <c r="D99" s="452" t="s">
        <v>363</v>
      </c>
      <c r="E99" s="452" t="s">
        <v>364</v>
      </c>
      <c r="F99" s="452" t="s">
        <v>365</v>
      </c>
      <c r="G99" s="452" t="s">
        <v>362</v>
      </c>
      <c r="H99" s="483">
        <v>1405351</v>
      </c>
      <c r="I99" s="483">
        <v>61.356388899999999</v>
      </c>
      <c r="J99" s="483">
        <v>-155.43555559999999</v>
      </c>
      <c r="L99" s="784"/>
      <c r="M99" s="787"/>
      <c r="N99" s="787"/>
      <c r="O99" s="787"/>
      <c r="P99" s="787"/>
    </row>
    <row r="100" spans="1:16" s="330" customFormat="1" ht="25.5" customHeight="1" x14ac:dyDescent="0.25">
      <c r="A100" s="456" t="s">
        <v>86</v>
      </c>
      <c r="B100" s="455" t="s">
        <v>524</v>
      </c>
      <c r="C100" s="455" t="s">
        <v>673</v>
      </c>
      <c r="D100" s="455" t="s">
        <v>363</v>
      </c>
      <c r="E100" s="452" t="s">
        <v>364</v>
      </c>
      <c r="F100" s="452" t="s">
        <v>365</v>
      </c>
      <c r="G100" s="452" t="s">
        <v>362</v>
      </c>
      <c r="H100" s="483">
        <v>1405763</v>
      </c>
      <c r="I100" s="483">
        <v>61.512222199999997</v>
      </c>
      <c r="J100" s="483">
        <v>-160.3580556</v>
      </c>
      <c r="L100" s="784"/>
      <c r="M100" s="787"/>
      <c r="N100" s="787"/>
      <c r="O100" s="787"/>
      <c r="P100" s="787"/>
    </row>
    <row r="101" spans="1:16" s="330" customFormat="1" ht="25.5" customHeight="1" x14ac:dyDescent="0.25">
      <c r="A101" s="456" t="s">
        <v>334</v>
      </c>
      <c r="B101" s="455" t="s">
        <v>333</v>
      </c>
      <c r="C101" s="455" t="s">
        <v>673</v>
      </c>
      <c r="D101" s="452" t="s">
        <v>376</v>
      </c>
      <c r="E101" s="452" t="s">
        <v>377</v>
      </c>
      <c r="F101" s="452" t="s">
        <v>378</v>
      </c>
      <c r="G101" s="452" t="s">
        <v>375</v>
      </c>
      <c r="H101" s="483">
        <v>1405922</v>
      </c>
      <c r="I101" s="483">
        <v>65.001111100000003</v>
      </c>
      <c r="J101" s="483">
        <v>-150.63388889999999</v>
      </c>
      <c r="L101" s="784"/>
      <c r="M101" s="787"/>
      <c r="N101" s="787"/>
      <c r="O101" s="787"/>
      <c r="P101" s="787"/>
    </row>
    <row r="102" spans="1:16" s="330" customFormat="1" ht="25.5" customHeight="1" x14ac:dyDescent="0.25">
      <c r="A102" s="456" t="s">
        <v>243</v>
      </c>
      <c r="B102" s="455" t="s">
        <v>242</v>
      </c>
      <c r="C102" s="455" t="s">
        <v>673</v>
      </c>
      <c r="D102" s="455" t="s">
        <v>392</v>
      </c>
      <c r="E102" s="452" t="s">
        <v>393</v>
      </c>
      <c r="F102" s="452" t="s">
        <v>392</v>
      </c>
      <c r="G102" s="452" t="s">
        <v>362</v>
      </c>
      <c r="H102" s="483">
        <v>1405927</v>
      </c>
      <c r="I102" s="483">
        <v>58.981388899999999</v>
      </c>
      <c r="J102" s="483">
        <v>-159.05833329999999</v>
      </c>
      <c r="L102" s="784"/>
      <c r="M102" s="787"/>
      <c r="N102" s="787"/>
      <c r="O102" s="787"/>
      <c r="P102" s="787"/>
    </row>
    <row r="103" spans="1:16" s="330" customFormat="1" ht="25.5" customHeight="1" x14ac:dyDescent="0.25">
      <c r="A103" s="456" t="s">
        <v>87</v>
      </c>
      <c r="B103" s="455" t="s">
        <v>524</v>
      </c>
      <c r="C103" s="455" t="s">
        <v>673</v>
      </c>
      <c r="D103" s="455" t="s">
        <v>363</v>
      </c>
      <c r="E103" s="452" t="s">
        <v>386</v>
      </c>
      <c r="F103" s="452" t="s">
        <v>365</v>
      </c>
      <c r="G103" s="452" t="s">
        <v>375</v>
      </c>
      <c r="H103" s="483">
        <v>1405984</v>
      </c>
      <c r="I103" s="483">
        <v>61.877777799999997</v>
      </c>
      <c r="J103" s="483">
        <v>-162.08111109999999</v>
      </c>
      <c r="L103" s="784"/>
      <c r="M103" s="787"/>
      <c r="N103" s="787"/>
      <c r="O103" s="787"/>
      <c r="P103" s="787"/>
    </row>
    <row r="104" spans="1:16" s="330" customFormat="1" ht="25.5" customHeight="1" x14ac:dyDescent="0.25">
      <c r="A104" s="456" t="s">
        <v>244</v>
      </c>
      <c r="B104" s="455" t="s">
        <v>509</v>
      </c>
      <c r="C104" s="455" t="s">
        <v>673</v>
      </c>
      <c r="D104" s="452" t="s">
        <v>376</v>
      </c>
      <c r="E104" s="452" t="s">
        <v>377</v>
      </c>
      <c r="F104" s="452" t="s">
        <v>378</v>
      </c>
      <c r="G104" s="452" t="s">
        <v>362</v>
      </c>
      <c r="H104" s="483">
        <v>1406131</v>
      </c>
      <c r="I104" s="483">
        <v>62.9563889</v>
      </c>
      <c r="J104" s="483">
        <v>-155.59583330000001</v>
      </c>
      <c r="L104" s="784"/>
      <c r="M104" s="787"/>
      <c r="N104" s="787"/>
      <c r="O104" s="787"/>
      <c r="P104" s="787"/>
    </row>
    <row r="105" spans="1:16" s="330" customFormat="1" ht="25.5" customHeight="1" x14ac:dyDescent="0.25">
      <c r="A105" s="456" t="s">
        <v>279</v>
      </c>
      <c r="B105" s="455" t="s">
        <v>277</v>
      </c>
      <c r="C105" s="455" t="s">
        <v>673</v>
      </c>
      <c r="D105" s="452" t="s">
        <v>401</v>
      </c>
      <c r="E105" s="452" t="s">
        <v>401</v>
      </c>
      <c r="F105" s="452" t="s">
        <v>402</v>
      </c>
      <c r="G105" s="452" t="s">
        <v>387</v>
      </c>
      <c r="H105" s="483">
        <v>1406178</v>
      </c>
      <c r="I105" s="483">
        <v>70.469166700000002</v>
      </c>
      <c r="J105" s="483">
        <v>-157.39944439999999</v>
      </c>
      <c r="L105" s="784"/>
      <c r="M105" s="787"/>
      <c r="N105" s="787"/>
      <c r="O105" s="787"/>
      <c r="P105" s="787"/>
    </row>
    <row r="106" spans="1:16" s="330" customFormat="1" ht="25.5" customHeight="1" x14ac:dyDescent="0.25">
      <c r="A106" s="456" t="s">
        <v>88</v>
      </c>
      <c r="B106" s="455" t="s">
        <v>524</v>
      </c>
      <c r="C106" s="455" t="s">
        <v>673</v>
      </c>
      <c r="D106" s="455" t="s">
        <v>363</v>
      </c>
      <c r="E106" s="452" t="s">
        <v>364</v>
      </c>
      <c r="F106" s="452" t="s">
        <v>365</v>
      </c>
      <c r="G106" s="452" t="s">
        <v>362</v>
      </c>
      <c r="H106" s="483">
        <v>1406211</v>
      </c>
      <c r="I106" s="483">
        <v>60.388055600000001</v>
      </c>
      <c r="J106" s="483">
        <v>-166.185</v>
      </c>
      <c r="L106" s="784"/>
      <c r="M106" s="787"/>
      <c r="N106" s="787"/>
      <c r="O106" s="787"/>
      <c r="P106" s="787"/>
    </row>
    <row r="107" spans="1:16" s="330" customFormat="1" ht="25.5" customHeight="1" x14ac:dyDescent="0.25">
      <c r="A107" s="456" t="s">
        <v>55</v>
      </c>
      <c r="B107" s="455" t="s">
        <v>43</v>
      </c>
      <c r="C107" s="455" t="s">
        <v>673</v>
      </c>
      <c r="D107" s="455" t="s">
        <v>379</v>
      </c>
      <c r="E107" s="452" t="s">
        <v>380</v>
      </c>
      <c r="F107" s="452" t="s">
        <v>381</v>
      </c>
      <c r="G107" s="452" t="s">
        <v>375</v>
      </c>
      <c r="H107" s="483">
        <v>1406241</v>
      </c>
      <c r="I107" s="483">
        <v>62.921111099999997</v>
      </c>
      <c r="J107" s="483">
        <v>-143.7691667</v>
      </c>
      <c r="L107" s="784"/>
      <c r="M107" s="787"/>
      <c r="N107" s="787"/>
      <c r="O107" s="787"/>
      <c r="P107" s="787"/>
    </row>
    <row r="108" spans="1:16" s="330" customFormat="1" ht="25.5" customHeight="1" x14ac:dyDescent="0.25">
      <c r="A108" s="456" t="s">
        <v>89</v>
      </c>
      <c r="B108" s="455" t="s">
        <v>524</v>
      </c>
      <c r="C108" s="455" t="s">
        <v>673</v>
      </c>
      <c r="D108" s="455" t="s">
        <v>376</v>
      </c>
      <c r="E108" s="452" t="s">
        <v>377</v>
      </c>
      <c r="F108" s="452" t="s">
        <v>378</v>
      </c>
      <c r="G108" s="452" t="s">
        <v>375</v>
      </c>
      <c r="H108" s="483">
        <v>1406419</v>
      </c>
      <c r="I108" s="483">
        <v>65.150411000000005</v>
      </c>
      <c r="J108" s="483">
        <v>-149.34970799999999</v>
      </c>
      <c r="L108" s="784"/>
      <c r="M108" s="787"/>
      <c r="N108" s="787"/>
      <c r="O108" s="787"/>
      <c r="P108" s="787"/>
    </row>
    <row r="109" spans="1:16" s="330" customFormat="1" ht="25.5" customHeight="1" x14ac:dyDescent="0.25">
      <c r="A109" s="457" t="s">
        <v>827</v>
      </c>
      <c r="B109" s="455" t="s">
        <v>1100</v>
      </c>
      <c r="C109" s="458" t="s">
        <v>675</v>
      </c>
      <c r="D109" s="452" t="s">
        <v>158</v>
      </c>
      <c r="E109" s="459" t="s">
        <v>400</v>
      </c>
      <c r="F109" s="452" t="s">
        <v>378</v>
      </c>
      <c r="G109" s="458" t="s">
        <v>358</v>
      </c>
      <c r="H109" s="515">
        <v>1406548</v>
      </c>
      <c r="I109" s="483">
        <v>64.709999999999994</v>
      </c>
      <c r="J109" s="515">
        <v>-147.14361109999999</v>
      </c>
      <c r="L109" s="784"/>
      <c r="M109" s="787"/>
      <c r="N109" s="787"/>
      <c r="O109" s="787"/>
      <c r="P109" s="787"/>
    </row>
    <row r="110" spans="1:16" s="330" customFormat="1" ht="38.25" customHeight="1" x14ac:dyDescent="0.25">
      <c r="A110" s="456" t="s">
        <v>90</v>
      </c>
      <c r="B110" s="455" t="s">
        <v>524</v>
      </c>
      <c r="C110" s="455" t="s">
        <v>673</v>
      </c>
      <c r="D110" s="455" t="s">
        <v>363</v>
      </c>
      <c r="E110" s="452" t="s">
        <v>386</v>
      </c>
      <c r="F110" s="452" t="s">
        <v>365</v>
      </c>
      <c r="G110" s="452" t="s">
        <v>375</v>
      </c>
      <c r="H110" s="483">
        <v>1406655</v>
      </c>
      <c r="I110" s="483">
        <v>62.085555599999999</v>
      </c>
      <c r="J110" s="483">
        <v>-163.72944440000001</v>
      </c>
      <c r="L110" s="784"/>
      <c r="M110" s="787"/>
      <c r="N110" s="787"/>
      <c r="O110" s="787"/>
      <c r="P110" s="787"/>
    </row>
    <row r="111" spans="1:16" s="330" customFormat="1" ht="25.5" customHeight="1" x14ac:dyDescent="0.25">
      <c r="A111" s="457" t="s">
        <v>804</v>
      </c>
      <c r="B111" s="455" t="s">
        <v>164</v>
      </c>
      <c r="C111" s="455" t="s">
        <v>675</v>
      </c>
      <c r="D111" s="452" t="s">
        <v>379</v>
      </c>
      <c r="E111" s="458" t="s">
        <v>380</v>
      </c>
      <c r="F111" s="452" t="s">
        <v>408</v>
      </c>
      <c r="G111" s="458" t="s">
        <v>358</v>
      </c>
      <c r="H111" s="515">
        <v>1406770</v>
      </c>
      <c r="I111" s="483">
        <v>62.371944399999997</v>
      </c>
      <c r="J111" s="515">
        <v>-143.0086111</v>
      </c>
      <c r="L111" s="784"/>
      <c r="M111" s="787"/>
      <c r="N111" s="787"/>
      <c r="O111" s="787"/>
      <c r="P111" s="787"/>
    </row>
    <row r="112" spans="1:16" s="330" customFormat="1" ht="25.5" customHeight="1" x14ac:dyDescent="0.25">
      <c r="A112" s="457" t="s">
        <v>259</v>
      </c>
      <c r="B112" s="455" t="s">
        <v>258</v>
      </c>
      <c r="C112" s="455" t="s">
        <v>673</v>
      </c>
      <c r="D112" s="452" t="s">
        <v>392</v>
      </c>
      <c r="E112" s="452" t="s">
        <v>392</v>
      </c>
      <c r="F112" s="452" t="s">
        <v>392</v>
      </c>
      <c r="G112" s="452" t="s">
        <v>362</v>
      </c>
      <c r="H112" s="515">
        <v>1406798</v>
      </c>
      <c r="I112" s="483">
        <v>58.728333300000003</v>
      </c>
      <c r="J112" s="515">
        <v>-157.01388890000001</v>
      </c>
      <c r="L112" s="784"/>
      <c r="M112" s="787"/>
      <c r="N112" s="787"/>
      <c r="O112" s="787"/>
      <c r="P112" s="787"/>
    </row>
    <row r="113" spans="1:16" s="332" customFormat="1" ht="51" customHeight="1" x14ac:dyDescent="0.25">
      <c r="A113" s="456" t="s">
        <v>261</v>
      </c>
      <c r="B113" s="455" t="s">
        <v>260</v>
      </c>
      <c r="C113" s="455" t="s">
        <v>673</v>
      </c>
      <c r="D113" s="452" t="s">
        <v>363</v>
      </c>
      <c r="E113" s="452" t="s">
        <v>364</v>
      </c>
      <c r="F113" s="452" t="s">
        <v>365</v>
      </c>
      <c r="G113" s="452" t="s">
        <v>362</v>
      </c>
      <c r="H113" s="483">
        <v>1406829</v>
      </c>
      <c r="I113" s="483">
        <v>60.696666700000002</v>
      </c>
      <c r="J113" s="483">
        <v>-161.9519444</v>
      </c>
      <c r="K113" s="330"/>
      <c r="L113" s="784"/>
      <c r="M113" s="787"/>
      <c r="N113" s="787"/>
      <c r="O113" s="787"/>
      <c r="P113" s="787"/>
    </row>
    <row r="114" spans="1:16" s="330" customFormat="1" ht="25.5" customHeight="1" x14ac:dyDescent="0.25">
      <c r="A114" s="456" t="s">
        <v>263</v>
      </c>
      <c r="B114" s="455" t="s">
        <v>262</v>
      </c>
      <c r="C114" s="455" t="s">
        <v>673</v>
      </c>
      <c r="D114" s="452" t="s">
        <v>363</v>
      </c>
      <c r="E114" s="452" t="s">
        <v>364</v>
      </c>
      <c r="F114" s="452" t="s">
        <v>365</v>
      </c>
      <c r="G114" s="452" t="s">
        <v>362</v>
      </c>
      <c r="H114" s="483">
        <v>1406834</v>
      </c>
      <c r="I114" s="483">
        <v>60.708055600000002</v>
      </c>
      <c r="J114" s="483">
        <v>-161.76611109999999</v>
      </c>
      <c r="L114" s="784"/>
      <c r="M114" s="787"/>
      <c r="N114" s="787"/>
      <c r="O114" s="787"/>
      <c r="P114" s="787"/>
    </row>
    <row r="115" spans="1:16" s="330" customFormat="1" ht="38.25" customHeight="1" x14ac:dyDescent="0.25">
      <c r="A115" s="457" t="s">
        <v>828</v>
      </c>
      <c r="B115" s="455" t="s">
        <v>1100</v>
      </c>
      <c r="C115" s="458" t="s">
        <v>675</v>
      </c>
      <c r="D115" s="452" t="s">
        <v>158</v>
      </c>
      <c r="E115" s="459" t="s">
        <v>377</v>
      </c>
      <c r="F115" s="452" t="s">
        <v>378</v>
      </c>
      <c r="G115" s="458" t="s">
        <v>358</v>
      </c>
      <c r="H115" s="515">
        <v>1406940</v>
      </c>
      <c r="I115" s="483">
        <v>64.563888899999995</v>
      </c>
      <c r="J115" s="515">
        <v>-149.09305560000001</v>
      </c>
      <c r="L115" s="784"/>
      <c r="M115" s="787"/>
      <c r="N115" s="787"/>
      <c r="O115" s="787"/>
      <c r="P115" s="787"/>
    </row>
    <row r="116" spans="1:16" s="330" customFormat="1" ht="54" customHeight="1" x14ac:dyDescent="0.25">
      <c r="A116" s="456" t="s">
        <v>91</v>
      </c>
      <c r="B116" s="455" t="s">
        <v>524</v>
      </c>
      <c r="C116" s="455" t="s">
        <v>673</v>
      </c>
      <c r="D116" s="455" t="s">
        <v>392</v>
      </c>
      <c r="E116" s="452" t="s">
        <v>393</v>
      </c>
      <c r="F116" s="452" t="s">
        <v>392</v>
      </c>
      <c r="G116" s="452" t="s">
        <v>362</v>
      </c>
      <c r="H116" s="483">
        <v>1406972</v>
      </c>
      <c r="I116" s="483">
        <v>59.4527778</v>
      </c>
      <c r="J116" s="483">
        <v>-157.31194439999999</v>
      </c>
      <c r="L116" s="784"/>
      <c r="M116" s="787"/>
      <c r="N116" s="787"/>
      <c r="O116" s="787"/>
      <c r="P116" s="787"/>
    </row>
    <row r="117" spans="1:16" s="330" customFormat="1" ht="38.25" customHeight="1" x14ac:dyDescent="0.25">
      <c r="A117" s="451" t="s">
        <v>494</v>
      </c>
      <c r="B117" s="455" t="s">
        <v>200</v>
      </c>
      <c r="C117" s="455" t="s">
        <v>673</v>
      </c>
      <c r="D117" s="455" t="s">
        <v>392</v>
      </c>
      <c r="E117" s="452" t="s">
        <v>410</v>
      </c>
      <c r="F117" s="452" t="s">
        <v>392</v>
      </c>
      <c r="G117" s="452" t="s">
        <v>362</v>
      </c>
      <c r="H117" s="515">
        <v>1406978</v>
      </c>
      <c r="I117" s="483">
        <v>59.72</v>
      </c>
      <c r="J117" s="515">
        <v>-154.89722219999999</v>
      </c>
      <c r="L117" s="784"/>
      <c r="M117" s="787"/>
      <c r="N117" s="787"/>
      <c r="O117" s="787"/>
      <c r="P117" s="787"/>
    </row>
    <row r="118" spans="1:16" s="330" customFormat="1" ht="70.5" customHeight="1" x14ac:dyDescent="0.25">
      <c r="A118" s="456" t="s">
        <v>347</v>
      </c>
      <c r="B118" s="455" t="s">
        <v>346</v>
      </c>
      <c r="C118" s="455" t="s">
        <v>673</v>
      </c>
      <c r="D118" s="452" t="s">
        <v>363</v>
      </c>
      <c r="E118" s="452" t="s">
        <v>364</v>
      </c>
      <c r="F118" s="452" t="s">
        <v>365</v>
      </c>
      <c r="G118" s="452" t="s">
        <v>362</v>
      </c>
      <c r="H118" s="483">
        <v>1406985</v>
      </c>
      <c r="I118" s="483">
        <v>60.942777800000002</v>
      </c>
      <c r="J118" s="483">
        <v>-164.62944440000001</v>
      </c>
      <c r="L118" s="784"/>
      <c r="M118" s="787"/>
      <c r="N118" s="787"/>
      <c r="O118" s="787"/>
      <c r="P118" s="787"/>
    </row>
    <row r="119" spans="1:16" s="330" customFormat="1" ht="70.5" customHeight="1" x14ac:dyDescent="0.25">
      <c r="A119" s="456" t="s">
        <v>92</v>
      </c>
      <c r="B119" s="455" t="s">
        <v>524</v>
      </c>
      <c r="C119" s="455" t="s">
        <v>673</v>
      </c>
      <c r="D119" s="455" t="s">
        <v>363</v>
      </c>
      <c r="E119" s="452" t="s">
        <v>364</v>
      </c>
      <c r="F119" s="452" t="s">
        <v>365</v>
      </c>
      <c r="G119" s="452" t="s">
        <v>362</v>
      </c>
      <c r="H119" s="483">
        <v>1407008</v>
      </c>
      <c r="I119" s="483">
        <v>60.479444399999998</v>
      </c>
      <c r="J119" s="483">
        <v>-164.72388889999999</v>
      </c>
      <c r="L119" s="784"/>
      <c r="M119" s="787"/>
      <c r="N119" s="787"/>
      <c r="O119" s="787"/>
      <c r="P119" s="787"/>
    </row>
    <row r="120" spans="1:16" s="330" customFormat="1" ht="50.25" customHeight="1" x14ac:dyDescent="0.25">
      <c r="A120" s="456" t="s">
        <v>273</v>
      </c>
      <c r="B120" s="455" t="s">
        <v>272</v>
      </c>
      <c r="C120" s="455" t="s">
        <v>673</v>
      </c>
      <c r="D120" s="455" t="s">
        <v>376</v>
      </c>
      <c r="E120" s="452" t="s">
        <v>377</v>
      </c>
      <c r="F120" s="452" t="s">
        <v>378</v>
      </c>
      <c r="G120" s="452" t="s">
        <v>362</v>
      </c>
      <c r="H120" s="483">
        <v>1407022</v>
      </c>
      <c r="I120" s="483">
        <v>63.013333299999999</v>
      </c>
      <c r="J120" s="483">
        <v>-154.375</v>
      </c>
      <c r="L120" s="784"/>
      <c r="M120" s="787"/>
      <c r="N120" s="787"/>
      <c r="O120" s="787"/>
      <c r="P120" s="787"/>
    </row>
    <row r="121" spans="1:16" s="332" customFormat="1" ht="25.5" customHeight="1" x14ac:dyDescent="0.25">
      <c r="A121" s="456" t="s">
        <v>276</v>
      </c>
      <c r="B121" s="455" t="s">
        <v>891</v>
      </c>
      <c r="C121" s="455" t="s">
        <v>673</v>
      </c>
      <c r="D121" s="452" t="s">
        <v>390</v>
      </c>
      <c r="E121" s="175" t="s">
        <v>391</v>
      </c>
      <c r="F121" s="452" t="s">
        <v>390</v>
      </c>
      <c r="G121" s="452" t="s">
        <v>387</v>
      </c>
      <c r="H121" s="780">
        <v>1407125</v>
      </c>
      <c r="I121" s="483">
        <v>64.501111100000003</v>
      </c>
      <c r="J121" s="780">
        <v>-165.4063889</v>
      </c>
      <c r="K121" s="330"/>
      <c r="L121" s="784"/>
      <c r="M121" s="787"/>
      <c r="N121" s="787"/>
      <c r="O121" s="787"/>
      <c r="P121" s="787"/>
    </row>
    <row r="122" spans="1:16" s="330" customFormat="1" ht="25.5" customHeight="1" x14ac:dyDescent="0.25">
      <c r="A122" s="451" t="s">
        <v>881</v>
      </c>
      <c r="B122" s="455" t="s">
        <v>200</v>
      </c>
      <c r="C122" s="455" t="s">
        <v>673</v>
      </c>
      <c r="D122" s="455" t="s">
        <v>392</v>
      </c>
      <c r="E122" s="452" t="s">
        <v>410</v>
      </c>
      <c r="F122" s="452" t="s">
        <v>392</v>
      </c>
      <c r="G122" s="452" t="s">
        <v>362</v>
      </c>
      <c r="H122" s="515">
        <v>1407129</v>
      </c>
      <c r="I122" s="483">
        <v>59.973611099999999</v>
      </c>
      <c r="J122" s="515">
        <v>-154.84583330000001</v>
      </c>
      <c r="L122" s="784"/>
      <c r="M122" s="787"/>
      <c r="N122" s="787"/>
      <c r="O122" s="787"/>
      <c r="P122" s="787"/>
    </row>
    <row r="123" spans="1:16" s="330" customFormat="1" ht="25.5" customHeight="1" x14ac:dyDescent="0.25">
      <c r="A123" s="456" t="s">
        <v>187</v>
      </c>
      <c r="B123" s="455" t="s">
        <v>1100</v>
      </c>
      <c r="C123" s="458" t="s">
        <v>675</v>
      </c>
      <c r="D123" s="452" t="s">
        <v>158</v>
      </c>
      <c r="E123" s="452" t="s">
        <v>400</v>
      </c>
      <c r="F123" s="452" t="s">
        <v>378</v>
      </c>
      <c r="G123" s="452" t="s">
        <v>375</v>
      </c>
      <c r="H123" s="483">
        <v>1407230</v>
      </c>
      <c r="I123" s="483">
        <v>64.751111100000003</v>
      </c>
      <c r="J123" s="483">
        <v>-147.34944440000001</v>
      </c>
      <c r="L123" s="784"/>
      <c r="M123" s="787"/>
      <c r="N123" s="787"/>
      <c r="O123" s="787"/>
      <c r="P123" s="787"/>
    </row>
    <row r="124" spans="1:16" s="330" customFormat="1" ht="38.25" customHeight="1" x14ac:dyDescent="0.25">
      <c r="A124" s="456" t="s">
        <v>57</v>
      </c>
      <c r="B124" s="455" t="s">
        <v>43</v>
      </c>
      <c r="C124" s="455" t="s">
        <v>673</v>
      </c>
      <c r="D124" s="455" t="s">
        <v>376</v>
      </c>
      <c r="E124" s="452" t="s">
        <v>383</v>
      </c>
      <c r="F124" s="452" t="s">
        <v>378</v>
      </c>
      <c r="G124" s="452" t="s">
        <v>375</v>
      </c>
      <c r="H124" s="483">
        <v>1407253</v>
      </c>
      <c r="I124" s="483">
        <v>62.961666700000002</v>
      </c>
      <c r="J124" s="483">
        <v>-141.93722220000001</v>
      </c>
      <c r="L124" s="784"/>
      <c r="M124" s="787"/>
      <c r="N124" s="787"/>
      <c r="O124" s="787"/>
      <c r="P124" s="787"/>
    </row>
    <row r="125" spans="1:16" s="330" customFormat="1" x14ac:dyDescent="0.25">
      <c r="A125" s="456" t="s">
        <v>779</v>
      </c>
      <c r="B125" s="455" t="s">
        <v>43</v>
      </c>
      <c r="C125" s="455" t="s">
        <v>673</v>
      </c>
      <c r="D125" s="455" t="s">
        <v>376</v>
      </c>
      <c r="E125" s="452" t="s">
        <v>383</v>
      </c>
      <c r="F125" s="452" t="s">
        <v>378</v>
      </c>
      <c r="G125" s="452" t="s">
        <v>375</v>
      </c>
      <c r="H125" s="483">
        <v>1407254</v>
      </c>
      <c r="I125" s="483">
        <v>62.982222200000002</v>
      </c>
      <c r="J125" s="483">
        <v>-141.9516667</v>
      </c>
      <c r="L125" s="784"/>
      <c r="M125" s="787"/>
      <c r="N125" s="787"/>
      <c r="O125" s="787"/>
      <c r="P125" s="787"/>
    </row>
    <row r="126" spans="1:16" s="330" customFormat="1" ht="12.75" customHeight="1" x14ac:dyDescent="0.25">
      <c r="A126" s="456" t="s">
        <v>95</v>
      </c>
      <c r="B126" s="455" t="s">
        <v>524</v>
      </c>
      <c r="C126" s="455" t="s">
        <v>673</v>
      </c>
      <c r="D126" s="455" t="s">
        <v>376</v>
      </c>
      <c r="E126" s="452" t="s">
        <v>377</v>
      </c>
      <c r="F126" s="452" t="s">
        <v>378</v>
      </c>
      <c r="G126" s="452" t="s">
        <v>375</v>
      </c>
      <c r="H126" s="483">
        <v>1407321</v>
      </c>
      <c r="I126" s="483">
        <v>64.7194444</v>
      </c>
      <c r="J126" s="780">
        <v>-158.1030556</v>
      </c>
      <c r="L126" s="784"/>
      <c r="M126" s="787"/>
      <c r="N126" s="787"/>
      <c r="O126" s="787"/>
      <c r="P126" s="787"/>
    </row>
    <row r="127" spans="1:16" s="330" customFormat="1" ht="25.5" customHeight="1" x14ac:dyDescent="0.25">
      <c r="A127" s="456" t="s">
        <v>96</v>
      </c>
      <c r="B127" s="455" t="s">
        <v>524</v>
      </c>
      <c r="C127" s="455" t="s">
        <v>673</v>
      </c>
      <c r="D127" s="455" t="s">
        <v>363</v>
      </c>
      <c r="E127" s="452" t="s">
        <v>364</v>
      </c>
      <c r="F127" s="452" t="s">
        <v>365</v>
      </c>
      <c r="G127" s="452" t="s">
        <v>362</v>
      </c>
      <c r="H127" s="483">
        <v>1407339</v>
      </c>
      <c r="I127" s="483">
        <v>60.896944400000002</v>
      </c>
      <c r="J127" s="483">
        <v>-162.4594444</v>
      </c>
      <c r="L127" s="784"/>
      <c r="M127" s="787"/>
      <c r="N127" s="787"/>
      <c r="O127" s="787"/>
      <c r="P127" s="787"/>
    </row>
    <row r="128" spans="1:16" s="330" customFormat="1" ht="38.25" customHeight="1" x14ac:dyDescent="0.25">
      <c r="A128" s="456" t="s">
        <v>97</v>
      </c>
      <c r="B128" s="455" t="s">
        <v>524</v>
      </c>
      <c r="C128" s="455" t="s">
        <v>673</v>
      </c>
      <c r="D128" s="455" t="s">
        <v>222</v>
      </c>
      <c r="E128" s="452" t="s">
        <v>359</v>
      </c>
      <c r="F128" s="452" t="s">
        <v>360</v>
      </c>
      <c r="G128" s="452" t="s">
        <v>358</v>
      </c>
      <c r="H128" s="483">
        <v>1407483</v>
      </c>
      <c r="I128" s="483">
        <v>57.2027778</v>
      </c>
      <c r="J128" s="483">
        <v>-153.3038889</v>
      </c>
      <c r="L128" s="784"/>
      <c r="M128" s="787"/>
      <c r="N128" s="787"/>
      <c r="O128" s="787"/>
      <c r="P128" s="787"/>
    </row>
    <row r="129" spans="1:16" s="330" customFormat="1" ht="25.5" customHeight="1" x14ac:dyDescent="0.25">
      <c r="A129" s="456" t="s">
        <v>785</v>
      </c>
      <c r="B129" s="455" t="s">
        <v>502</v>
      </c>
      <c r="C129" s="455" t="s">
        <v>673</v>
      </c>
      <c r="D129" s="452" t="s">
        <v>363</v>
      </c>
      <c r="E129" s="452" t="s">
        <v>364</v>
      </c>
      <c r="F129" s="452" t="s">
        <v>365</v>
      </c>
      <c r="G129" s="452" t="s">
        <v>362</v>
      </c>
      <c r="H129" s="483">
        <v>1407624</v>
      </c>
      <c r="I129" s="483">
        <v>60.722777800000003</v>
      </c>
      <c r="J129" s="483">
        <v>-161.77000000000001</v>
      </c>
      <c r="L129" s="784"/>
      <c r="M129" s="787"/>
      <c r="N129" s="787"/>
      <c r="O129" s="787"/>
      <c r="P129" s="787"/>
    </row>
    <row r="130" spans="1:16" s="330" customFormat="1" ht="38.25" customHeight="1" x14ac:dyDescent="0.25">
      <c r="A130" s="456" t="s">
        <v>289</v>
      </c>
      <c r="B130" s="455" t="s">
        <v>288</v>
      </c>
      <c r="C130" s="455" t="s">
        <v>673</v>
      </c>
      <c r="D130" s="455" t="s">
        <v>222</v>
      </c>
      <c r="E130" s="452" t="s">
        <v>359</v>
      </c>
      <c r="F130" s="452" t="s">
        <v>360</v>
      </c>
      <c r="G130" s="452" t="s">
        <v>358</v>
      </c>
      <c r="H130" s="483">
        <v>1407684</v>
      </c>
      <c r="I130" s="483">
        <v>57.923611100000002</v>
      </c>
      <c r="J130" s="483">
        <v>-152.50222220000001</v>
      </c>
      <c r="L130" s="784"/>
      <c r="M130" s="787"/>
      <c r="N130" s="787"/>
      <c r="O130" s="787"/>
      <c r="P130" s="787"/>
    </row>
    <row r="131" spans="1:16" s="330" customFormat="1" ht="38.25" customHeight="1" x14ac:dyDescent="0.25">
      <c r="A131" s="457" t="s">
        <v>513</v>
      </c>
      <c r="B131" s="455" t="s">
        <v>1101</v>
      </c>
      <c r="C131" s="452" t="s">
        <v>675</v>
      </c>
      <c r="D131" s="459" t="s">
        <v>158</v>
      </c>
      <c r="E131" s="459" t="s">
        <v>918</v>
      </c>
      <c r="F131" s="452" t="s">
        <v>396</v>
      </c>
      <c r="G131" s="458" t="s">
        <v>358</v>
      </c>
      <c r="H131" s="515">
        <v>1407737</v>
      </c>
      <c r="I131" s="483">
        <v>61.599722200000002</v>
      </c>
      <c r="J131" s="515">
        <v>-149.1127778</v>
      </c>
      <c r="L131" s="784"/>
      <c r="M131" s="787"/>
      <c r="N131" s="787"/>
      <c r="O131" s="787"/>
      <c r="P131" s="787"/>
    </row>
    <row r="132" spans="1:16" s="330" customFormat="1" ht="38.25" customHeight="1" x14ac:dyDescent="0.25">
      <c r="A132" s="456" t="s">
        <v>291</v>
      </c>
      <c r="B132" s="455" t="s">
        <v>290</v>
      </c>
      <c r="C132" s="455" t="s">
        <v>673</v>
      </c>
      <c r="D132" s="455" t="s">
        <v>392</v>
      </c>
      <c r="E132" s="452" t="s">
        <v>410</v>
      </c>
      <c r="F132" s="452" t="s">
        <v>392</v>
      </c>
      <c r="G132" s="452" t="s">
        <v>362</v>
      </c>
      <c r="H132" s="483">
        <v>1407862</v>
      </c>
      <c r="I132" s="483">
        <v>59.787222200000002</v>
      </c>
      <c r="J132" s="483">
        <v>-154.10611109999999</v>
      </c>
      <c r="L132" s="784"/>
      <c r="M132" s="787"/>
      <c r="N132" s="787"/>
      <c r="O132" s="787"/>
      <c r="P132" s="787"/>
    </row>
    <row r="133" spans="1:16" s="330" customFormat="1" ht="38.25" customHeight="1" x14ac:dyDescent="0.25">
      <c r="A133" s="456" t="s">
        <v>267</v>
      </c>
      <c r="B133" s="455" t="s">
        <v>266</v>
      </c>
      <c r="C133" s="455" t="s">
        <v>673</v>
      </c>
      <c r="D133" s="452" t="s">
        <v>392</v>
      </c>
      <c r="E133" s="452" t="s">
        <v>410</v>
      </c>
      <c r="F133" s="452" t="s">
        <v>392</v>
      </c>
      <c r="G133" s="452" t="s">
        <v>362</v>
      </c>
      <c r="H133" s="483">
        <v>1407902</v>
      </c>
      <c r="I133" s="483">
        <v>55.913984599999999</v>
      </c>
      <c r="J133" s="483">
        <v>-159.16327670000001</v>
      </c>
      <c r="L133" s="784"/>
      <c r="M133" s="787"/>
      <c r="N133" s="787"/>
      <c r="O133" s="787"/>
      <c r="P133" s="787"/>
    </row>
    <row r="134" spans="1:16" s="330" customFormat="1" ht="28.5" customHeight="1" x14ac:dyDescent="0.25">
      <c r="A134" s="457" t="s">
        <v>872</v>
      </c>
      <c r="B134" s="455" t="s">
        <v>1101</v>
      </c>
      <c r="C134" s="452" t="s">
        <v>675</v>
      </c>
      <c r="D134" s="459" t="s">
        <v>158</v>
      </c>
      <c r="E134" s="459" t="s">
        <v>918</v>
      </c>
      <c r="F134" s="452" t="s">
        <v>396</v>
      </c>
      <c r="G134" s="458" t="s">
        <v>358</v>
      </c>
      <c r="H134" s="515">
        <v>1407927</v>
      </c>
      <c r="I134" s="483">
        <v>62.496388899999999</v>
      </c>
      <c r="J134" s="515">
        <v>-150.7655556</v>
      </c>
      <c r="L134" s="784"/>
      <c r="M134" s="787"/>
      <c r="N134" s="787"/>
      <c r="O134" s="787"/>
      <c r="P134" s="787"/>
    </row>
    <row r="135" spans="1:16" s="330" customFormat="1" ht="25.5" customHeight="1" x14ac:dyDescent="0.25">
      <c r="A135" s="456" t="s">
        <v>297</v>
      </c>
      <c r="B135" s="455" t="s">
        <v>296</v>
      </c>
      <c r="C135" s="455" t="s">
        <v>673</v>
      </c>
      <c r="D135" s="452" t="s">
        <v>392</v>
      </c>
      <c r="E135" s="452" t="s">
        <v>410</v>
      </c>
      <c r="F135" s="452" t="s">
        <v>392</v>
      </c>
      <c r="G135" s="452" t="s">
        <v>362</v>
      </c>
      <c r="H135" s="483">
        <v>1407992</v>
      </c>
      <c r="I135" s="483">
        <v>57.564166700000001</v>
      </c>
      <c r="J135" s="483">
        <v>-157.5791667</v>
      </c>
      <c r="L135" s="784"/>
      <c r="M135" s="787"/>
      <c r="N135" s="787"/>
      <c r="O135" s="787"/>
      <c r="P135" s="787"/>
    </row>
    <row r="136" spans="1:16" s="332" customFormat="1" ht="25.5" customHeight="1" x14ac:dyDescent="0.25">
      <c r="A136" s="456" t="s">
        <v>98</v>
      </c>
      <c r="B136" s="455" t="s">
        <v>524</v>
      </c>
      <c r="C136" s="455" t="s">
        <v>673</v>
      </c>
      <c r="D136" s="455" t="s">
        <v>363</v>
      </c>
      <c r="E136" s="452" t="s">
        <v>386</v>
      </c>
      <c r="F136" s="452" t="s">
        <v>365</v>
      </c>
      <c r="G136" s="452" t="s">
        <v>375</v>
      </c>
      <c r="H136" s="780">
        <v>1407993</v>
      </c>
      <c r="I136" s="483">
        <v>61.938888900000002</v>
      </c>
      <c r="J136" s="780">
        <v>-162.875</v>
      </c>
      <c r="K136" s="330"/>
      <c r="L136" s="784"/>
      <c r="M136" s="787"/>
      <c r="N136" s="787"/>
      <c r="O136" s="787"/>
      <c r="P136" s="787"/>
    </row>
    <row r="137" spans="1:16" s="330" customFormat="1" ht="38.25" customHeight="1" x14ac:dyDescent="0.25">
      <c r="A137" s="456" t="s">
        <v>99</v>
      </c>
      <c r="B137" s="455" t="s">
        <v>524</v>
      </c>
      <c r="C137" s="455" t="s">
        <v>673</v>
      </c>
      <c r="D137" s="455" t="s">
        <v>363</v>
      </c>
      <c r="E137" s="452" t="s">
        <v>386</v>
      </c>
      <c r="F137" s="452" t="s">
        <v>365</v>
      </c>
      <c r="G137" s="452" t="s">
        <v>375</v>
      </c>
      <c r="H137" s="483">
        <v>1408054</v>
      </c>
      <c r="I137" s="483">
        <v>62.032777799999998</v>
      </c>
      <c r="J137" s="483">
        <v>-163.28777779999999</v>
      </c>
      <c r="L137" s="784"/>
      <c r="M137" s="787"/>
      <c r="N137" s="787"/>
      <c r="O137" s="787"/>
      <c r="P137" s="787"/>
    </row>
    <row r="138" spans="1:16" s="330" customFormat="1" ht="25.5" customHeight="1" x14ac:dyDescent="0.25">
      <c r="A138" s="456" t="s">
        <v>299</v>
      </c>
      <c r="B138" s="455" t="s">
        <v>298</v>
      </c>
      <c r="C138" s="455" t="s">
        <v>674</v>
      </c>
      <c r="D138" s="455" t="s">
        <v>363</v>
      </c>
      <c r="E138" s="452" t="s">
        <v>364</v>
      </c>
      <c r="F138" s="452" t="s">
        <v>365</v>
      </c>
      <c r="G138" s="452" t="s">
        <v>362</v>
      </c>
      <c r="H138" s="483">
        <v>1408072</v>
      </c>
      <c r="I138" s="483">
        <v>59.013055600000001</v>
      </c>
      <c r="J138" s="483">
        <v>-161.81638889999999</v>
      </c>
      <c r="L138" s="784"/>
      <c r="M138" s="787"/>
      <c r="N138" s="787"/>
      <c r="O138" s="787"/>
      <c r="P138" s="787"/>
    </row>
    <row r="139" spans="1:16" s="330" customFormat="1" ht="38.25" customHeight="1" x14ac:dyDescent="0.25">
      <c r="A139" s="456" t="s">
        <v>282</v>
      </c>
      <c r="B139" s="455" t="s">
        <v>277</v>
      </c>
      <c r="C139" s="455" t="s">
        <v>673</v>
      </c>
      <c r="D139" s="452" t="s">
        <v>401</v>
      </c>
      <c r="E139" s="452" t="s">
        <v>401</v>
      </c>
      <c r="F139" s="452" t="s">
        <v>402</v>
      </c>
      <c r="G139" s="452" t="s">
        <v>387</v>
      </c>
      <c r="H139" s="483">
        <v>1408110</v>
      </c>
      <c r="I139" s="483">
        <v>68.348611099999999</v>
      </c>
      <c r="J139" s="483">
        <v>-166.73472219999999</v>
      </c>
      <c r="L139" s="784"/>
      <c r="M139" s="787"/>
      <c r="N139" s="787"/>
      <c r="O139" s="787"/>
      <c r="P139" s="787"/>
    </row>
    <row r="140" spans="1:16" s="330" customFormat="1" ht="76.5" customHeight="1" x14ac:dyDescent="0.25">
      <c r="A140" s="456" t="s">
        <v>283</v>
      </c>
      <c r="B140" s="455" t="s">
        <v>277</v>
      </c>
      <c r="C140" s="455" t="s">
        <v>673</v>
      </c>
      <c r="D140" s="452" t="s">
        <v>401</v>
      </c>
      <c r="E140" s="452" t="s">
        <v>401</v>
      </c>
      <c r="F140" s="452" t="s">
        <v>402</v>
      </c>
      <c r="G140" s="452" t="s">
        <v>387</v>
      </c>
      <c r="H140" s="483">
        <v>1408115</v>
      </c>
      <c r="I140" s="483">
        <v>69.743857000000006</v>
      </c>
      <c r="J140" s="483">
        <v>-163.008442</v>
      </c>
      <c r="L140" s="784"/>
      <c r="M140" s="787"/>
      <c r="N140" s="787"/>
      <c r="O140" s="787"/>
      <c r="P140" s="787"/>
    </row>
    <row r="141" spans="1:16" s="330" customFormat="1" x14ac:dyDescent="0.25">
      <c r="A141" s="456" t="s">
        <v>326</v>
      </c>
      <c r="B141" s="455" t="s">
        <v>325</v>
      </c>
      <c r="C141" s="455" t="s">
        <v>673</v>
      </c>
      <c r="D141" s="455" t="s">
        <v>392</v>
      </c>
      <c r="E141" s="452" t="s">
        <v>410</v>
      </c>
      <c r="F141" s="452" t="s">
        <v>396</v>
      </c>
      <c r="G141" s="452" t="s">
        <v>362</v>
      </c>
      <c r="H141" s="483">
        <v>1408208</v>
      </c>
      <c r="I141" s="483">
        <v>60.202500000000001</v>
      </c>
      <c r="J141" s="483">
        <v>-154.31277779999999</v>
      </c>
      <c r="L141" s="784"/>
      <c r="M141" s="787"/>
      <c r="N141" s="787"/>
      <c r="O141" s="787"/>
      <c r="P141" s="787"/>
    </row>
    <row r="142" spans="1:16" s="330" customFormat="1" x14ac:dyDescent="0.25">
      <c r="A142" s="457" t="s">
        <v>226</v>
      </c>
      <c r="B142" s="455" t="s">
        <v>221</v>
      </c>
      <c r="C142" s="455" t="s">
        <v>675</v>
      </c>
      <c r="D142" s="452" t="s">
        <v>222</v>
      </c>
      <c r="E142" s="459" t="s">
        <v>359</v>
      </c>
      <c r="F142" s="452" t="s">
        <v>360</v>
      </c>
      <c r="G142" s="458" t="s">
        <v>358</v>
      </c>
      <c r="H142" s="515">
        <v>1408218</v>
      </c>
      <c r="I142" s="483">
        <v>57.8675</v>
      </c>
      <c r="J142" s="515">
        <v>-152.8822222</v>
      </c>
      <c r="L142" s="784"/>
      <c r="M142" s="787"/>
      <c r="N142" s="787"/>
      <c r="O142" s="787"/>
      <c r="P142" s="787"/>
    </row>
    <row r="143" spans="1:16" s="330" customFormat="1" x14ac:dyDescent="0.25">
      <c r="A143" s="456" t="s">
        <v>100</v>
      </c>
      <c r="B143" s="455" t="s">
        <v>524</v>
      </c>
      <c r="C143" s="455" t="s">
        <v>673</v>
      </c>
      <c r="D143" s="455" t="s">
        <v>363</v>
      </c>
      <c r="E143" s="452" t="s">
        <v>364</v>
      </c>
      <c r="F143" s="452" t="s">
        <v>365</v>
      </c>
      <c r="G143" s="452" t="s">
        <v>362</v>
      </c>
      <c r="H143" s="483">
        <v>1408462</v>
      </c>
      <c r="I143" s="483">
        <v>59.748888899999997</v>
      </c>
      <c r="J143" s="780">
        <v>-161.9158333</v>
      </c>
      <c r="L143" s="784"/>
      <c r="M143" s="787"/>
      <c r="N143" s="787"/>
      <c r="O143" s="787"/>
      <c r="P143" s="787"/>
    </row>
    <row r="144" spans="1:16" s="330" customFormat="1" x14ac:dyDescent="0.25">
      <c r="A144" s="456" t="s">
        <v>305</v>
      </c>
      <c r="B144" s="455" t="s">
        <v>304</v>
      </c>
      <c r="C144" s="455" t="s">
        <v>674</v>
      </c>
      <c r="D144" s="452" t="s">
        <v>376</v>
      </c>
      <c r="E144" s="452" t="s">
        <v>377</v>
      </c>
      <c r="F144" s="452" t="s">
        <v>378</v>
      </c>
      <c r="G144" s="452" t="s">
        <v>375</v>
      </c>
      <c r="H144" s="483">
        <v>1408519</v>
      </c>
      <c r="I144" s="483">
        <v>65.504999999999995</v>
      </c>
      <c r="J144" s="483">
        <v>-150.16999999999999</v>
      </c>
      <c r="L144" s="784"/>
      <c r="M144" s="787"/>
      <c r="N144" s="787"/>
      <c r="O144" s="787"/>
      <c r="P144" s="787"/>
    </row>
    <row r="145" spans="1:16" s="330" customFormat="1" x14ac:dyDescent="0.25">
      <c r="A145" s="456" t="s">
        <v>253</v>
      </c>
      <c r="B145" s="455" t="s">
        <v>250</v>
      </c>
      <c r="C145" s="455" t="s">
        <v>673</v>
      </c>
      <c r="D145" s="455" t="s">
        <v>363</v>
      </c>
      <c r="E145" s="452" t="s">
        <v>364</v>
      </c>
      <c r="F145" s="452" t="s">
        <v>365</v>
      </c>
      <c r="G145" s="452" t="s">
        <v>362</v>
      </c>
      <c r="H145" s="483">
        <v>1408580</v>
      </c>
      <c r="I145" s="483">
        <v>61.761111100000001</v>
      </c>
      <c r="J145" s="483">
        <v>-157.3125</v>
      </c>
      <c r="L145" s="784"/>
      <c r="M145" s="787"/>
      <c r="N145" s="787"/>
      <c r="O145" s="787"/>
      <c r="P145" s="787"/>
    </row>
    <row r="146" spans="1:16" s="330" customFormat="1" ht="38.25" customHeight="1" x14ac:dyDescent="0.25">
      <c r="A146" s="456" t="s">
        <v>307</v>
      </c>
      <c r="B146" s="455" t="s">
        <v>306</v>
      </c>
      <c r="C146" s="455" t="s">
        <v>673</v>
      </c>
      <c r="D146" s="455" t="s">
        <v>376</v>
      </c>
      <c r="E146" s="452" t="s">
        <v>377</v>
      </c>
      <c r="F146" s="452" t="s">
        <v>378</v>
      </c>
      <c r="G146" s="452" t="s">
        <v>375</v>
      </c>
      <c r="H146" s="483">
        <v>1408878</v>
      </c>
      <c r="I146" s="483">
        <v>64.739444399999996</v>
      </c>
      <c r="J146" s="483">
        <v>-155.4869444</v>
      </c>
      <c r="L146" s="784"/>
      <c r="M146" s="787"/>
      <c r="N146" s="787"/>
      <c r="O146" s="787"/>
      <c r="P146" s="787"/>
    </row>
    <row r="147" spans="1:16" s="330" customFormat="1" ht="38.25" customHeight="1" x14ac:dyDescent="0.25">
      <c r="A147" s="456" t="s">
        <v>101</v>
      </c>
      <c r="B147" s="455" t="s">
        <v>524</v>
      </c>
      <c r="C147" s="455" t="s">
        <v>673</v>
      </c>
      <c r="D147" s="455" t="s">
        <v>363</v>
      </c>
      <c r="E147" s="452" t="s">
        <v>386</v>
      </c>
      <c r="F147" s="452" t="s">
        <v>365</v>
      </c>
      <c r="G147" s="452" t="s">
        <v>375</v>
      </c>
      <c r="H147" s="483">
        <v>1408925</v>
      </c>
      <c r="I147" s="483">
        <v>61.784999999999997</v>
      </c>
      <c r="J147" s="483">
        <v>-161.32027780000001</v>
      </c>
      <c r="L147" s="784"/>
      <c r="M147" s="787"/>
      <c r="N147" s="787"/>
      <c r="O147" s="787"/>
      <c r="P147" s="787"/>
    </row>
    <row r="148" spans="1:16" s="330" customFormat="1" ht="25.5" customHeight="1" x14ac:dyDescent="0.25">
      <c r="A148" s="456" t="s">
        <v>102</v>
      </c>
      <c r="B148" s="455" t="s">
        <v>524</v>
      </c>
      <c r="C148" s="455" t="s">
        <v>673</v>
      </c>
      <c r="D148" s="455" t="s">
        <v>390</v>
      </c>
      <c r="E148" s="452" t="s">
        <v>391</v>
      </c>
      <c r="F148" s="452" t="s">
        <v>390</v>
      </c>
      <c r="G148" s="452" t="s">
        <v>387</v>
      </c>
      <c r="H148" s="483">
        <v>1408977</v>
      </c>
      <c r="I148" s="483">
        <v>63.478055599999998</v>
      </c>
      <c r="J148" s="483">
        <v>-162.03916670000001</v>
      </c>
      <c r="L148" s="784"/>
      <c r="M148" s="787"/>
      <c r="N148" s="787"/>
      <c r="O148" s="787"/>
      <c r="P148" s="787"/>
    </row>
    <row r="149" spans="1:16" s="330" customFormat="1" ht="12.75" customHeight="1" x14ac:dyDescent="0.25">
      <c r="A149" s="456" t="s">
        <v>103</v>
      </c>
      <c r="B149" s="455" t="s">
        <v>524</v>
      </c>
      <c r="C149" s="455" t="s">
        <v>673</v>
      </c>
      <c r="D149" s="455" t="s">
        <v>390</v>
      </c>
      <c r="E149" s="452" t="s">
        <v>391</v>
      </c>
      <c r="F149" s="452" t="s">
        <v>390</v>
      </c>
      <c r="G149" s="452" t="s">
        <v>387</v>
      </c>
      <c r="H149" s="483">
        <v>1409106</v>
      </c>
      <c r="I149" s="483">
        <v>63.694166699999997</v>
      </c>
      <c r="J149" s="483">
        <v>-170.47888889999999</v>
      </c>
      <c r="L149" s="784"/>
      <c r="M149" s="787"/>
      <c r="N149" s="787"/>
      <c r="O149" s="787"/>
      <c r="P149" s="787"/>
    </row>
    <row r="150" spans="1:16" s="330" customFormat="1" ht="69.75" customHeight="1" x14ac:dyDescent="0.25">
      <c r="A150" s="456" t="s">
        <v>104</v>
      </c>
      <c r="B150" s="455" t="s">
        <v>524</v>
      </c>
      <c r="C150" s="455" t="s">
        <v>673</v>
      </c>
      <c r="D150" s="455" t="s">
        <v>363</v>
      </c>
      <c r="E150" s="452" t="s">
        <v>386</v>
      </c>
      <c r="F150" s="452" t="s">
        <v>365</v>
      </c>
      <c r="G150" s="452" t="s">
        <v>375</v>
      </c>
      <c r="H150" s="483">
        <v>1409133</v>
      </c>
      <c r="I150" s="483">
        <v>61.8427778</v>
      </c>
      <c r="J150" s="483">
        <v>-165.5816667</v>
      </c>
      <c r="L150" s="784"/>
      <c r="M150" s="787"/>
      <c r="N150" s="787"/>
      <c r="O150" s="787"/>
      <c r="P150" s="787"/>
    </row>
    <row r="151" spans="1:16" s="330" customFormat="1" ht="76.5" customHeight="1" x14ac:dyDescent="0.25">
      <c r="A151" s="456" t="s">
        <v>106</v>
      </c>
      <c r="B151" s="455" t="s">
        <v>524</v>
      </c>
      <c r="C151" s="455" t="s">
        <v>673</v>
      </c>
      <c r="D151" s="455" t="s">
        <v>376</v>
      </c>
      <c r="E151" s="175" t="s">
        <v>377</v>
      </c>
      <c r="F151" s="452" t="s">
        <v>378</v>
      </c>
      <c r="G151" s="452" t="s">
        <v>375</v>
      </c>
      <c r="H151" s="483">
        <v>1409306</v>
      </c>
      <c r="I151" s="483">
        <v>62.682222199999998</v>
      </c>
      <c r="J151" s="483">
        <v>-159.56194439999999</v>
      </c>
      <c r="L151" s="784"/>
      <c r="M151" s="787"/>
      <c r="N151" s="787"/>
      <c r="O151" s="787"/>
      <c r="P151" s="787"/>
    </row>
    <row r="152" spans="1:16" s="330" customFormat="1" ht="76.5" customHeight="1" x14ac:dyDescent="0.25">
      <c r="A152" s="456" t="s">
        <v>286</v>
      </c>
      <c r="B152" s="455" t="s">
        <v>285</v>
      </c>
      <c r="C152" s="455" t="s">
        <v>673</v>
      </c>
      <c r="D152" s="452" t="s">
        <v>363</v>
      </c>
      <c r="E152" s="175" t="s">
        <v>386</v>
      </c>
      <c r="F152" s="452" t="s">
        <v>365</v>
      </c>
      <c r="G152" s="452" t="s">
        <v>375</v>
      </c>
      <c r="H152" s="483">
        <v>1409405</v>
      </c>
      <c r="I152" s="483">
        <v>62.533611100000002</v>
      </c>
      <c r="J152" s="483">
        <v>-164.84111110000001</v>
      </c>
      <c r="L152" s="784"/>
      <c r="M152" s="787"/>
      <c r="N152" s="787"/>
      <c r="O152" s="787"/>
      <c r="P152" s="787"/>
    </row>
    <row r="153" spans="1:16" s="330" customFormat="1" ht="89.25" customHeight="1" x14ac:dyDescent="0.25">
      <c r="A153" s="456" t="s">
        <v>108</v>
      </c>
      <c r="B153" s="455" t="s">
        <v>524</v>
      </c>
      <c r="C153" s="455" t="s">
        <v>673</v>
      </c>
      <c r="D153" s="455" t="s">
        <v>390</v>
      </c>
      <c r="E153" s="175" t="s">
        <v>391</v>
      </c>
      <c r="F153" s="452" t="s">
        <v>390</v>
      </c>
      <c r="G153" s="452" t="s">
        <v>387</v>
      </c>
      <c r="H153" s="483">
        <v>1409434</v>
      </c>
      <c r="I153" s="483">
        <v>66.256666699999997</v>
      </c>
      <c r="J153" s="483">
        <v>-166.07194440000001</v>
      </c>
      <c r="L153" s="784"/>
      <c r="M153" s="787"/>
      <c r="N153" s="787"/>
      <c r="O153" s="787"/>
      <c r="P153" s="787"/>
    </row>
    <row r="154" spans="1:16" s="330" customFormat="1" x14ac:dyDescent="0.25">
      <c r="A154" s="456" t="s">
        <v>61</v>
      </c>
      <c r="B154" s="455" t="s">
        <v>43</v>
      </c>
      <c r="C154" s="455" t="s">
        <v>673</v>
      </c>
      <c r="D154" s="455" t="s">
        <v>379</v>
      </c>
      <c r="E154" s="175" t="s">
        <v>380</v>
      </c>
      <c r="F154" s="452" t="s">
        <v>381</v>
      </c>
      <c r="G154" s="452" t="s">
        <v>375</v>
      </c>
      <c r="H154" s="483">
        <v>1409698</v>
      </c>
      <c r="I154" s="483">
        <v>62.706944399999998</v>
      </c>
      <c r="J154" s="483">
        <v>-143.96111110000001</v>
      </c>
      <c r="L154" s="784"/>
      <c r="M154" s="787"/>
      <c r="N154" s="787"/>
      <c r="O154" s="787"/>
      <c r="P154" s="787"/>
    </row>
    <row r="155" spans="1:16" s="332" customFormat="1" x14ac:dyDescent="0.25">
      <c r="A155" s="456" t="s">
        <v>254</v>
      </c>
      <c r="B155" s="455" t="s">
        <v>250</v>
      </c>
      <c r="C155" s="455" t="s">
        <v>673</v>
      </c>
      <c r="D155" s="455" t="s">
        <v>363</v>
      </c>
      <c r="E155" s="175" t="s">
        <v>364</v>
      </c>
      <c r="F155" s="452" t="s">
        <v>365</v>
      </c>
      <c r="G155" s="452" t="s">
        <v>362</v>
      </c>
      <c r="H155" s="780">
        <v>1409747</v>
      </c>
      <c r="I155" s="483">
        <v>61.702500000000001</v>
      </c>
      <c r="J155" s="780">
        <v>-157.1697222</v>
      </c>
      <c r="K155" s="330"/>
      <c r="L155" s="784"/>
      <c r="M155" s="787"/>
      <c r="N155" s="787"/>
      <c r="O155" s="787"/>
      <c r="P155" s="787"/>
    </row>
    <row r="156" spans="1:16" s="330" customFormat="1" x14ac:dyDescent="0.25">
      <c r="A156" s="457" t="s">
        <v>886</v>
      </c>
      <c r="B156" s="455" t="s">
        <v>258</v>
      </c>
      <c r="C156" s="455" t="s">
        <v>673</v>
      </c>
      <c r="D156" s="452" t="s">
        <v>392</v>
      </c>
      <c r="E156" s="452" t="s">
        <v>392</v>
      </c>
      <c r="F156" s="452" t="s">
        <v>392</v>
      </c>
      <c r="G156" s="452" t="s">
        <v>362</v>
      </c>
      <c r="H156" s="515">
        <v>1409961</v>
      </c>
      <c r="I156" s="483">
        <v>58.715555600000002</v>
      </c>
      <c r="J156" s="515">
        <v>-156.99805559999999</v>
      </c>
      <c r="L156" s="784"/>
      <c r="M156" s="787"/>
      <c r="N156" s="787"/>
      <c r="O156" s="787"/>
      <c r="P156" s="787"/>
    </row>
    <row r="157" spans="1:16" s="330" customFormat="1" x14ac:dyDescent="0.25">
      <c r="A157" s="456" t="s">
        <v>110</v>
      </c>
      <c r="B157" s="455" t="s">
        <v>524</v>
      </c>
      <c r="C157" s="455" t="s">
        <v>673</v>
      </c>
      <c r="D157" s="455" t="s">
        <v>390</v>
      </c>
      <c r="E157" s="452" t="s">
        <v>391</v>
      </c>
      <c r="F157" s="452" t="s">
        <v>390</v>
      </c>
      <c r="G157" s="452" t="s">
        <v>387</v>
      </c>
      <c r="H157" s="483">
        <v>1410158</v>
      </c>
      <c r="I157" s="483">
        <v>63.522222200000002</v>
      </c>
      <c r="J157" s="483">
        <v>-162.28805560000001</v>
      </c>
      <c r="L157" s="784"/>
      <c r="M157" s="787"/>
      <c r="N157" s="787"/>
      <c r="O157" s="787"/>
      <c r="P157" s="787"/>
    </row>
    <row r="158" spans="1:16" s="332" customFormat="1" ht="111" customHeight="1" x14ac:dyDescent="0.25">
      <c r="A158" s="456" t="s">
        <v>322</v>
      </c>
      <c r="B158" s="455" t="s">
        <v>321</v>
      </c>
      <c r="C158" s="455" t="s">
        <v>674</v>
      </c>
      <c r="D158" s="452" t="s">
        <v>376</v>
      </c>
      <c r="E158" s="175" t="s">
        <v>377</v>
      </c>
      <c r="F158" s="452" t="s">
        <v>378</v>
      </c>
      <c r="G158" s="452" t="s">
        <v>375</v>
      </c>
      <c r="H158" s="780">
        <v>1410198</v>
      </c>
      <c r="I158" s="483">
        <v>66.006388900000005</v>
      </c>
      <c r="J158" s="780">
        <v>-149.09083330000001</v>
      </c>
      <c r="K158" s="330"/>
      <c r="L158" s="784"/>
      <c r="M158" s="787"/>
      <c r="N158" s="787"/>
      <c r="O158" s="787"/>
      <c r="P158" s="787"/>
    </row>
    <row r="159" spans="1:16" s="330" customFormat="1" x14ac:dyDescent="0.25">
      <c r="A159" s="456" t="s">
        <v>255</v>
      </c>
      <c r="B159" s="455" t="s">
        <v>250</v>
      </c>
      <c r="C159" s="455" t="s">
        <v>673</v>
      </c>
      <c r="D159" s="455" t="s">
        <v>363</v>
      </c>
      <c r="E159" s="452" t="s">
        <v>364</v>
      </c>
      <c r="F159" s="452" t="s">
        <v>365</v>
      </c>
      <c r="G159" s="452" t="s">
        <v>362</v>
      </c>
      <c r="H159" s="483">
        <v>1410241</v>
      </c>
      <c r="I159" s="483">
        <v>61.783055599999997</v>
      </c>
      <c r="J159" s="483">
        <v>-156.58805559999999</v>
      </c>
      <c r="L159" s="784"/>
      <c r="M159" s="787"/>
      <c r="N159" s="787"/>
      <c r="O159" s="787"/>
      <c r="P159" s="787"/>
    </row>
    <row r="160" spans="1:16" s="332" customFormat="1" ht="25.5" customHeight="1" x14ac:dyDescent="0.25">
      <c r="A160" s="457" t="s">
        <v>875</v>
      </c>
      <c r="B160" s="455" t="s">
        <v>1101</v>
      </c>
      <c r="C160" s="452" t="s">
        <v>675</v>
      </c>
      <c r="D160" s="459" t="s">
        <v>158</v>
      </c>
      <c r="E160" s="101" t="s">
        <v>918</v>
      </c>
      <c r="F160" s="452" t="s">
        <v>396</v>
      </c>
      <c r="G160" s="458" t="s">
        <v>358</v>
      </c>
      <c r="H160" s="781">
        <v>1410456</v>
      </c>
      <c r="I160" s="483" t="e">
        <v>#N/A</v>
      </c>
      <c r="J160" s="465" t="e">
        <v>#N/A</v>
      </c>
      <c r="K160" s="330"/>
      <c r="L160" s="784"/>
      <c r="M160" s="787"/>
      <c r="N160" s="787"/>
      <c r="O160" s="787"/>
      <c r="P160" s="787"/>
    </row>
    <row r="161" spans="1:16" s="332" customFormat="1" ht="25.5" customHeight="1" x14ac:dyDescent="0.25">
      <c r="A161" s="456" t="s">
        <v>324</v>
      </c>
      <c r="B161" s="455" t="s">
        <v>323</v>
      </c>
      <c r="C161" s="455" t="s">
        <v>673</v>
      </c>
      <c r="D161" s="452" t="s">
        <v>376</v>
      </c>
      <c r="E161" s="175" t="s">
        <v>377</v>
      </c>
      <c r="F161" s="452" t="s">
        <v>378</v>
      </c>
      <c r="G161" s="452" t="s">
        <v>362</v>
      </c>
      <c r="H161" s="780">
        <v>1410562</v>
      </c>
      <c r="I161" s="483">
        <v>62.9886111</v>
      </c>
      <c r="J161" s="780">
        <v>-156.06416669999999</v>
      </c>
      <c r="K161" s="330"/>
      <c r="L161" s="784"/>
      <c r="M161" s="787"/>
      <c r="N161" s="787"/>
      <c r="O161" s="787"/>
      <c r="P161" s="787"/>
    </row>
    <row r="162" spans="1:16" s="330" customFormat="1" ht="25.5" customHeight="1" x14ac:dyDescent="0.25">
      <c r="A162" s="457" t="s">
        <v>876</v>
      </c>
      <c r="B162" s="455" t="s">
        <v>1101</v>
      </c>
      <c r="C162" s="452" t="s">
        <v>675</v>
      </c>
      <c r="D162" s="459" t="s">
        <v>158</v>
      </c>
      <c r="E162" s="459" t="s">
        <v>918</v>
      </c>
      <c r="F162" s="452" t="s">
        <v>396</v>
      </c>
      <c r="G162" s="458" t="s">
        <v>358</v>
      </c>
      <c r="H162" s="515">
        <v>1410591</v>
      </c>
      <c r="I162" s="483">
        <v>62.3238889</v>
      </c>
      <c r="J162" s="515">
        <v>-150.1094444</v>
      </c>
      <c r="L162" s="784"/>
      <c r="M162" s="787"/>
      <c r="N162" s="787"/>
      <c r="O162" s="787"/>
      <c r="P162" s="787"/>
    </row>
    <row r="163" spans="1:16" s="332" customFormat="1" ht="25.5" customHeight="1" x14ac:dyDescent="0.25">
      <c r="A163" s="456" t="s">
        <v>780</v>
      </c>
      <c r="B163" s="455" t="s">
        <v>43</v>
      </c>
      <c r="C163" s="455" t="s">
        <v>673</v>
      </c>
      <c r="D163" s="455" t="s">
        <v>376</v>
      </c>
      <c r="E163" s="175" t="s">
        <v>383</v>
      </c>
      <c r="F163" s="452" t="s">
        <v>378</v>
      </c>
      <c r="G163" s="452" t="s">
        <v>375</v>
      </c>
      <c r="H163" s="780">
        <v>1410618</v>
      </c>
      <c r="I163" s="483">
        <v>63.385277799999997</v>
      </c>
      <c r="J163" s="780">
        <v>-143.34638889999999</v>
      </c>
      <c r="K163" s="330"/>
      <c r="L163" s="784"/>
      <c r="M163" s="787"/>
      <c r="N163" s="787"/>
      <c r="O163" s="787"/>
      <c r="P163" s="787"/>
    </row>
    <row r="164" spans="1:16" s="330" customFormat="1" ht="25.5" customHeight="1" x14ac:dyDescent="0.25">
      <c r="A164" s="456" t="s">
        <v>327</v>
      </c>
      <c r="B164" s="455" t="s">
        <v>510</v>
      </c>
      <c r="C164" s="455" t="s">
        <v>673</v>
      </c>
      <c r="D164" s="452" t="s">
        <v>376</v>
      </c>
      <c r="E164" s="452" t="s">
        <v>377</v>
      </c>
      <c r="F164" s="452" t="s">
        <v>378</v>
      </c>
      <c r="G164" s="452" t="s">
        <v>375</v>
      </c>
      <c r="H164" s="483">
        <v>1410629</v>
      </c>
      <c r="I164" s="483">
        <v>65.171944400000001</v>
      </c>
      <c r="J164" s="780">
        <v>-152.07888890000001</v>
      </c>
      <c r="L164" s="784"/>
      <c r="M164" s="787"/>
      <c r="N164" s="787"/>
      <c r="O164" s="787"/>
      <c r="P164" s="787"/>
    </row>
    <row r="165" spans="1:16" s="330" customFormat="1" ht="58.5" customHeight="1" x14ac:dyDescent="0.25">
      <c r="A165" s="456" t="s">
        <v>114</v>
      </c>
      <c r="B165" s="455" t="s">
        <v>524</v>
      </c>
      <c r="C165" s="455" t="s">
        <v>673</v>
      </c>
      <c r="D165" s="455" t="s">
        <v>363</v>
      </c>
      <c r="E165" s="452" t="s">
        <v>364</v>
      </c>
      <c r="F165" s="452" t="s">
        <v>365</v>
      </c>
      <c r="G165" s="452" t="s">
        <v>362</v>
      </c>
      <c r="H165" s="483">
        <v>1410644</v>
      </c>
      <c r="I165" s="483">
        <v>60.585555599999999</v>
      </c>
      <c r="J165" s="483">
        <v>-165.25583330000001</v>
      </c>
      <c r="L165" s="784"/>
      <c r="M165" s="787"/>
      <c r="N165" s="787"/>
      <c r="O165" s="787"/>
      <c r="P165" s="787"/>
    </row>
    <row r="166" spans="1:16" s="330" customFormat="1" ht="25.5" customHeight="1" x14ac:dyDescent="0.25">
      <c r="A166" s="457" t="s">
        <v>807</v>
      </c>
      <c r="B166" s="455" t="s">
        <v>164</v>
      </c>
      <c r="C166" s="455" t="s">
        <v>675</v>
      </c>
      <c r="D166" s="452" t="s">
        <v>379</v>
      </c>
      <c r="E166" s="458" t="s">
        <v>380</v>
      </c>
      <c r="F166" s="452" t="s">
        <v>408</v>
      </c>
      <c r="G166" s="458" t="s">
        <v>358</v>
      </c>
      <c r="H166" s="515">
        <v>1410694</v>
      </c>
      <c r="I166" s="483">
        <v>62.0588695</v>
      </c>
      <c r="J166" s="515">
        <v>-145.4284212</v>
      </c>
      <c r="L166" s="784"/>
      <c r="M166" s="787"/>
      <c r="N166" s="787"/>
      <c r="O166" s="787"/>
      <c r="P166" s="787"/>
    </row>
    <row r="167" spans="1:16" s="330" customFormat="1" ht="25.5" customHeight="1" x14ac:dyDescent="0.25">
      <c r="A167" s="456" t="s">
        <v>111</v>
      </c>
      <c r="B167" s="455" t="s">
        <v>524</v>
      </c>
      <c r="C167" s="455" t="s">
        <v>673</v>
      </c>
      <c r="D167" s="455" t="s">
        <v>390</v>
      </c>
      <c r="E167" s="452" t="s">
        <v>391</v>
      </c>
      <c r="F167" s="452" t="s">
        <v>390</v>
      </c>
      <c r="G167" s="452" t="s">
        <v>387</v>
      </c>
      <c r="H167" s="483">
        <v>1410730</v>
      </c>
      <c r="I167" s="483">
        <v>65.263611100000006</v>
      </c>
      <c r="J167" s="483">
        <v>-166.3608333</v>
      </c>
      <c r="L167" s="784"/>
      <c r="M167" s="787"/>
      <c r="N167" s="787"/>
      <c r="O167" s="787"/>
      <c r="P167" s="787"/>
    </row>
    <row r="168" spans="1:16" s="330" customFormat="1" x14ac:dyDescent="0.25">
      <c r="A168" s="456" t="s">
        <v>62</v>
      </c>
      <c r="B168" s="455" t="s">
        <v>43</v>
      </c>
      <c r="C168" s="455" t="s">
        <v>673</v>
      </c>
      <c r="D168" s="455" t="s">
        <v>376</v>
      </c>
      <c r="E168" s="452" t="s">
        <v>383</v>
      </c>
      <c r="F168" s="452" t="s">
        <v>384</v>
      </c>
      <c r="G168" s="452" t="s">
        <v>375</v>
      </c>
      <c r="H168" s="483">
        <v>1410765</v>
      </c>
      <c r="I168" s="483">
        <v>63.135051199999999</v>
      </c>
      <c r="J168" s="483">
        <v>-142.52387959999999</v>
      </c>
      <c r="L168" s="784"/>
      <c r="M168" s="787"/>
      <c r="N168" s="787"/>
      <c r="O168" s="787"/>
      <c r="P168" s="787"/>
    </row>
    <row r="169" spans="1:16" s="330" customFormat="1" ht="25.5" customHeight="1" x14ac:dyDescent="0.25">
      <c r="A169" s="456" t="s">
        <v>112</v>
      </c>
      <c r="B169" s="455" t="s">
        <v>524</v>
      </c>
      <c r="C169" s="455" t="s">
        <v>673</v>
      </c>
      <c r="D169" s="455" t="s">
        <v>392</v>
      </c>
      <c r="E169" s="452" t="s">
        <v>393</v>
      </c>
      <c r="F169" s="452" t="s">
        <v>392</v>
      </c>
      <c r="G169" s="452" t="s">
        <v>362</v>
      </c>
      <c r="H169" s="483">
        <v>1411039</v>
      </c>
      <c r="I169" s="483">
        <v>59.061944400000002</v>
      </c>
      <c r="J169" s="483">
        <v>-160.37638889999999</v>
      </c>
      <c r="L169" s="784"/>
      <c r="M169" s="787"/>
      <c r="N169" s="787"/>
      <c r="O169" s="787"/>
      <c r="P169" s="787"/>
    </row>
    <row r="170" spans="1:16" s="330" customFormat="1" ht="41.25" customHeight="1" x14ac:dyDescent="0.25">
      <c r="A170" s="456" t="s">
        <v>64</v>
      </c>
      <c r="B170" s="455" t="s">
        <v>43</v>
      </c>
      <c r="C170" s="455" t="s">
        <v>673</v>
      </c>
      <c r="D170" s="455" t="s">
        <v>376</v>
      </c>
      <c r="E170" s="452" t="s">
        <v>383</v>
      </c>
      <c r="F170" s="452" t="s">
        <v>378</v>
      </c>
      <c r="G170" s="452" t="s">
        <v>375</v>
      </c>
      <c r="H170" s="483">
        <v>1411046</v>
      </c>
      <c r="I170" s="483">
        <v>63.336666700000002</v>
      </c>
      <c r="J170" s="483">
        <v>-142.9855556</v>
      </c>
      <c r="L170" s="784"/>
      <c r="M170" s="787"/>
      <c r="N170" s="787"/>
      <c r="O170" s="787"/>
      <c r="P170" s="787"/>
    </row>
    <row r="171" spans="1:16" s="332" customFormat="1" ht="25.5" customHeight="1" x14ac:dyDescent="0.25">
      <c r="A171" s="456" t="s">
        <v>113</v>
      </c>
      <c r="B171" s="455" t="s">
        <v>524</v>
      </c>
      <c r="C171" s="455" t="s">
        <v>673</v>
      </c>
      <c r="D171" s="455" t="s">
        <v>363</v>
      </c>
      <c r="E171" s="452" t="s">
        <v>364</v>
      </c>
      <c r="F171" s="452" t="s">
        <v>365</v>
      </c>
      <c r="G171" s="452" t="s">
        <v>362</v>
      </c>
      <c r="H171" s="780">
        <v>1411060</v>
      </c>
      <c r="I171" s="483">
        <v>60.533775200000001</v>
      </c>
      <c r="J171" s="780">
        <v>-165.1036627</v>
      </c>
      <c r="K171" s="330"/>
      <c r="L171" s="784"/>
      <c r="M171" s="787"/>
      <c r="N171" s="787"/>
      <c r="O171" s="787"/>
      <c r="P171" s="787"/>
    </row>
    <row r="172" spans="1:16" s="332" customFormat="1" ht="25.5" customHeight="1" x14ac:dyDescent="0.25">
      <c r="A172" s="457" t="s">
        <v>809</v>
      </c>
      <c r="B172" s="455" t="s">
        <v>164</v>
      </c>
      <c r="C172" s="455" t="s">
        <v>675</v>
      </c>
      <c r="D172" s="452" t="s">
        <v>379</v>
      </c>
      <c r="E172" s="458" t="s">
        <v>380</v>
      </c>
      <c r="F172" s="452" t="s">
        <v>408</v>
      </c>
      <c r="G172" s="458" t="s">
        <v>358</v>
      </c>
      <c r="H172" s="781">
        <v>1411105</v>
      </c>
      <c r="I172" s="483">
        <v>61.655833299999998</v>
      </c>
      <c r="J172" s="781">
        <v>-145.1752778</v>
      </c>
      <c r="K172" s="330"/>
      <c r="L172" s="784"/>
      <c r="M172" s="787"/>
      <c r="N172" s="787"/>
      <c r="O172" s="787"/>
      <c r="P172" s="787"/>
    </row>
    <row r="173" spans="1:16" s="332" customFormat="1" ht="25.5" customHeight="1" x14ac:dyDescent="0.25">
      <c r="A173" s="456" t="s">
        <v>338</v>
      </c>
      <c r="B173" s="455" t="s">
        <v>337</v>
      </c>
      <c r="C173" s="455" t="s">
        <v>673</v>
      </c>
      <c r="D173" s="452" t="s">
        <v>363</v>
      </c>
      <c r="E173" s="175" t="s">
        <v>364</v>
      </c>
      <c r="F173" s="452" t="s">
        <v>365</v>
      </c>
      <c r="G173" s="452" t="s">
        <v>362</v>
      </c>
      <c r="H173" s="780">
        <v>1411295</v>
      </c>
      <c r="I173" s="483">
        <v>61.102499999999999</v>
      </c>
      <c r="J173" s="780">
        <v>-160.96166669999999</v>
      </c>
      <c r="K173" s="330"/>
      <c r="L173" s="784"/>
      <c r="M173" s="787"/>
      <c r="N173" s="787"/>
      <c r="O173" s="787"/>
      <c r="P173" s="787"/>
    </row>
    <row r="174" spans="1:16" s="330" customFormat="1" ht="38.25" customHeight="1" x14ac:dyDescent="0.25">
      <c r="A174" s="456" t="s">
        <v>340</v>
      </c>
      <c r="B174" s="455" t="s">
        <v>339</v>
      </c>
      <c r="C174" s="455" t="s">
        <v>673</v>
      </c>
      <c r="D174" s="452" t="s">
        <v>363</v>
      </c>
      <c r="E174" s="452" t="s">
        <v>364</v>
      </c>
      <c r="F174" s="452" t="s">
        <v>365</v>
      </c>
      <c r="G174" s="452" t="s">
        <v>362</v>
      </c>
      <c r="H174" s="483">
        <v>1411324</v>
      </c>
      <c r="I174" s="483">
        <v>60.3430556</v>
      </c>
      <c r="J174" s="483">
        <v>-162.66305560000001</v>
      </c>
      <c r="L174" s="784"/>
      <c r="M174" s="787"/>
      <c r="N174" s="787"/>
      <c r="O174" s="787"/>
      <c r="P174" s="787"/>
    </row>
    <row r="175" spans="1:16" s="330" customFormat="1" ht="25.5" customHeight="1" x14ac:dyDescent="0.25">
      <c r="A175" s="456" t="s">
        <v>345</v>
      </c>
      <c r="B175" s="455" t="s">
        <v>537</v>
      </c>
      <c r="C175" s="455" t="s">
        <v>673</v>
      </c>
      <c r="D175" s="452" t="s">
        <v>390</v>
      </c>
      <c r="E175" s="452" t="s">
        <v>391</v>
      </c>
      <c r="F175" s="452" t="s">
        <v>390</v>
      </c>
      <c r="G175" s="452" t="s">
        <v>387</v>
      </c>
      <c r="H175" s="483">
        <v>1411517</v>
      </c>
      <c r="I175" s="483">
        <v>63.873055600000001</v>
      </c>
      <c r="J175" s="780">
        <v>-160.78805560000001</v>
      </c>
      <c r="L175" s="784"/>
      <c r="M175" s="787"/>
      <c r="N175" s="787"/>
      <c r="O175" s="787"/>
      <c r="P175" s="787"/>
    </row>
    <row r="176" spans="1:16" s="330" customFormat="1" x14ac:dyDescent="0.25">
      <c r="A176" s="456" t="s">
        <v>349</v>
      </c>
      <c r="B176" s="455" t="s">
        <v>348</v>
      </c>
      <c r="C176" s="455" t="s">
        <v>674</v>
      </c>
      <c r="D176" s="459" t="s">
        <v>376</v>
      </c>
      <c r="E176" s="459" t="s">
        <v>377</v>
      </c>
      <c r="F176" s="459" t="s">
        <v>378</v>
      </c>
      <c r="G176" s="459" t="s">
        <v>375</v>
      </c>
      <c r="H176" s="483">
        <v>1411644</v>
      </c>
      <c r="I176" s="483">
        <v>67.013888899999998</v>
      </c>
      <c r="J176" s="483">
        <v>-146.41861109999999</v>
      </c>
      <c r="L176" s="784"/>
      <c r="M176" s="787"/>
      <c r="N176" s="787"/>
      <c r="O176" s="787"/>
      <c r="P176" s="787"/>
    </row>
    <row r="177" spans="1:16" s="330" customFormat="1" ht="25.5" customHeight="1" x14ac:dyDescent="0.25">
      <c r="A177" s="456" t="s">
        <v>284</v>
      </c>
      <c r="B177" s="455" t="s">
        <v>277</v>
      </c>
      <c r="C177" s="455" t="s">
        <v>673</v>
      </c>
      <c r="D177" s="452" t="s">
        <v>401</v>
      </c>
      <c r="E177" s="452" t="s">
        <v>401</v>
      </c>
      <c r="F177" s="452" t="s">
        <v>402</v>
      </c>
      <c r="G177" s="452" t="s">
        <v>387</v>
      </c>
      <c r="H177" s="483">
        <v>1411728</v>
      </c>
      <c r="I177" s="483">
        <v>70.636944400000004</v>
      </c>
      <c r="J177" s="483">
        <v>-160.03833330000001</v>
      </c>
      <c r="L177" s="784"/>
      <c r="M177" s="787"/>
      <c r="N177" s="787"/>
      <c r="O177" s="787"/>
      <c r="P177" s="787"/>
    </row>
    <row r="178" spans="1:16" s="330" customFormat="1" ht="25.5" customHeight="1" x14ac:dyDescent="0.25">
      <c r="A178" s="457" t="s">
        <v>879</v>
      </c>
      <c r="B178" s="455" t="s">
        <v>1101</v>
      </c>
      <c r="C178" s="452" t="s">
        <v>675</v>
      </c>
      <c r="D178" s="459" t="s">
        <v>158</v>
      </c>
      <c r="E178" s="459" t="s">
        <v>918</v>
      </c>
      <c r="F178" s="452" t="s">
        <v>396</v>
      </c>
      <c r="G178" s="458" t="s">
        <v>358</v>
      </c>
      <c r="H178" s="515">
        <v>1411788</v>
      </c>
      <c r="I178" s="483">
        <v>61.5813889</v>
      </c>
      <c r="J178" s="515">
        <v>-149.43944440000001</v>
      </c>
      <c r="L178" s="784"/>
      <c r="M178" s="787"/>
      <c r="N178" s="787"/>
      <c r="O178" s="787"/>
      <c r="P178" s="787"/>
    </row>
    <row r="179" spans="1:16" s="330" customFormat="1" ht="25.5" customHeight="1" x14ac:dyDescent="0.25">
      <c r="A179" s="456" t="s">
        <v>351</v>
      </c>
      <c r="B179" s="455" t="s">
        <v>350</v>
      </c>
      <c r="C179" s="455" t="s">
        <v>673</v>
      </c>
      <c r="D179" s="455" t="s">
        <v>390</v>
      </c>
      <c r="E179" s="459" t="s">
        <v>391</v>
      </c>
      <c r="F179" s="459" t="s">
        <v>390</v>
      </c>
      <c r="G179" s="459" t="s">
        <v>387</v>
      </c>
      <c r="H179" s="483">
        <v>1411989</v>
      </c>
      <c r="I179" s="483">
        <v>64.681388900000002</v>
      </c>
      <c r="J179" s="483">
        <v>-163.40555560000001</v>
      </c>
      <c r="L179" s="784"/>
      <c r="M179" s="787"/>
      <c r="N179" s="787"/>
      <c r="O179" s="787"/>
      <c r="P179" s="787"/>
    </row>
    <row r="180" spans="1:16" s="330" customFormat="1" ht="25.5" customHeight="1" x14ac:dyDescent="0.25">
      <c r="A180" s="457" t="s">
        <v>810</v>
      </c>
      <c r="B180" s="455" t="s">
        <v>164</v>
      </c>
      <c r="C180" s="455" t="s">
        <v>675</v>
      </c>
      <c r="D180" s="452" t="s">
        <v>379</v>
      </c>
      <c r="E180" s="452" t="s">
        <v>380</v>
      </c>
      <c r="F180" s="452" t="s">
        <v>408</v>
      </c>
      <c r="G180" s="452" t="s">
        <v>358</v>
      </c>
      <c r="H180" s="515">
        <v>1412074</v>
      </c>
      <c r="I180" s="483">
        <v>61.819722200000001</v>
      </c>
      <c r="J180" s="515">
        <v>-145.21222220000001</v>
      </c>
      <c r="L180" s="784"/>
      <c r="M180" s="787"/>
      <c r="N180" s="787"/>
      <c r="O180" s="787"/>
      <c r="P180" s="787"/>
    </row>
    <row r="181" spans="1:16" s="330" customFormat="1" ht="25.5" customHeight="1" x14ac:dyDescent="0.25">
      <c r="A181" s="456" t="s">
        <v>167</v>
      </c>
      <c r="B181" s="455" t="s">
        <v>164</v>
      </c>
      <c r="C181" s="455" t="s">
        <v>675</v>
      </c>
      <c r="D181" s="452" t="s">
        <v>379</v>
      </c>
      <c r="E181" s="452" t="s">
        <v>380</v>
      </c>
      <c r="F181" s="452" t="s">
        <v>408</v>
      </c>
      <c r="G181" s="452" t="s">
        <v>358</v>
      </c>
      <c r="H181" s="483">
        <v>1412465</v>
      </c>
      <c r="I181" s="483">
        <v>61.130833299999999</v>
      </c>
      <c r="J181" s="483">
        <v>-146.34833330000001</v>
      </c>
      <c r="L181" s="784"/>
      <c r="M181" s="787"/>
      <c r="N181" s="787"/>
      <c r="O181" s="787"/>
      <c r="P181" s="787"/>
    </row>
    <row r="182" spans="1:16" s="330" customFormat="1" ht="38.25" customHeight="1" x14ac:dyDescent="0.25">
      <c r="A182" s="456" t="s">
        <v>67</v>
      </c>
      <c r="B182" s="455" t="s">
        <v>524</v>
      </c>
      <c r="C182" s="455" t="s">
        <v>673</v>
      </c>
      <c r="D182" s="455" t="s">
        <v>388</v>
      </c>
      <c r="E182" s="452" t="s">
        <v>388</v>
      </c>
      <c r="F182" s="452" t="s">
        <v>389</v>
      </c>
      <c r="G182" s="452" t="s">
        <v>387</v>
      </c>
      <c r="H182" s="483">
        <v>1412509</v>
      </c>
      <c r="I182" s="483">
        <v>67.086111099999997</v>
      </c>
      <c r="J182" s="483">
        <v>-157.85138889999999</v>
      </c>
      <c r="L182" s="784"/>
      <c r="M182" s="787"/>
      <c r="N182" s="787"/>
      <c r="O182" s="787"/>
      <c r="P182" s="787"/>
    </row>
    <row r="183" spans="1:16" s="330" customFormat="1" ht="38.25" customHeight="1" x14ac:dyDescent="0.25">
      <c r="A183" s="457" t="s">
        <v>834</v>
      </c>
      <c r="B183" s="455" t="s">
        <v>193</v>
      </c>
      <c r="C183" s="452" t="s">
        <v>675</v>
      </c>
      <c r="D183" s="452" t="s">
        <v>158</v>
      </c>
      <c r="E183" s="452" t="s">
        <v>414</v>
      </c>
      <c r="F183" s="452" t="s">
        <v>396</v>
      </c>
      <c r="G183" s="458" t="s">
        <v>358</v>
      </c>
      <c r="H183" s="515">
        <v>1412516</v>
      </c>
      <c r="I183" s="483">
        <v>59.7766667</v>
      </c>
      <c r="J183" s="515">
        <v>-151.83138890000001</v>
      </c>
      <c r="L183" s="784"/>
      <c r="M183" s="787"/>
      <c r="N183" s="787"/>
      <c r="O183" s="787"/>
      <c r="P183" s="787"/>
    </row>
    <row r="184" spans="1:16" s="330" customFormat="1" ht="38.25" customHeight="1" x14ac:dyDescent="0.25">
      <c r="A184" s="456" t="s">
        <v>140</v>
      </c>
      <c r="B184" s="455" t="s">
        <v>139</v>
      </c>
      <c r="C184" s="455" t="s">
        <v>673</v>
      </c>
      <c r="D184" s="455" t="s">
        <v>388</v>
      </c>
      <c r="E184" s="452" t="s">
        <v>388</v>
      </c>
      <c r="F184" s="452" t="s">
        <v>389</v>
      </c>
      <c r="G184" s="452" t="s">
        <v>387</v>
      </c>
      <c r="H184" s="483">
        <v>1412684</v>
      </c>
      <c r="I184" s="483">
        <v>65.979722199999998</v>
      </c>
      <c r="J184" s="483">
        <v>-161.12305559999999</v>
      </c>
      <c r="L184" s="784"/>
      <c r="M184" s="787"/>
      <c r="N184" s="787"/>
      <c r="O184" s="787"/>
      <c r="P184" s="787"/>
    </row>
    <row r="185" spans="1:16" s="330" customFormat="1" ht="38.25" customHeight="1" x14ac:dyDescent="0.25">
      <c r="A185" s="457" t="s">
        <v>835</v>
      </c>
      <c r="B185" s="455" t="s">
        <v>193</v>
      </c>
      <c r="C185" s="452" t="s">
        <v>675</v>
      </c>
      <c r="D185" s="452" t="s">
        <v>158</v>
      </c>
      <c r="E185" s="452" t="s">
        <v>414</v>
      </c>
      <c r="F185" s="452" t="s">
        <v>396</v>
      </c>
      <c r="G185" s="458" t="s">
        <v>358</v>
      </c>
      <c r="H185" s="515">
        <v>1412797</v>
      </c>
      <c r="I185" s="483">
        <v>60.2311111</v>
      </c>
      <c r="J185" s="515">
        <v>-151.39361109999999</v>
      </c>
      <c r="L185" s="784"/>
      <c r="M185" s="787"/>
      <c r="N185" s="787"/>
      <c r="O185" s="787"/>
      <c r="P185" s="787"/>
    </row>
    <row r="186" spans="1:16" s="330" customFormat="1" ht="25.5" customHeight="1" x14ac:dyDescent="0.25">
      <c r="A186" s="457" t="s">
        <v>836</v>
      </c>
      <c r="B186" s="455" t="s">
        <v>193</v>
      </c>
      <c r="C186" s="452" t="s">
        <v>675</v>
      </c>
      <c r="D186" s="452" t="s">
        <v>158</v>
      </c>
      <c r="E186" s="452" t="s">
        <v>414</v>
      </c>
      <c r="F186" s="452" t="s">
        <v>396</v>
      </c>
      <c r="G186" s="458" t="s">
        <v>358</v>
      </c>
      <c r="H186" s="515">
        <v>1412828</v>
      </c>
      <c r="I186" s="483">
        <v>60.368611100000003</v>
      </c>
      <c r="J186" s="515">
        <v>-151.3063889</v>
      </c>
      <c r="L186" s="784"/>
      <c r="M186" s="787"/>
      <c r="N186" s="787"/>
      <c r="O186" s="787"/>
      <c r="P186" s="787"/>
    </row>
    <row r="187" spans="1:16" s="330" customFormat="1" ht="25.5" customHeight="1" x14ac:dyDescent="0.25">
      <c r="A187" s="456" t="s">
        <v>208</v>
      </c>
      <c r="B187" s="455" t="s">
        <v>207</v>
      </c>
      <c r="C187" s="455" t="s">
        <v>673</v>
      </c>
      <c r="D187" s="455" t="s">
        <v>388</v>
      </c>
      <c r="E187" s="452" t="s">
        <v>388</v>
      </c>
      <c r="F187" s="452" t="s">
        <v>389</v>
      </c>
      <c r="G187" s="452" t="s">
        <v>387</v>
      </c>
      <c r="H187" s="483">
        <v>1412894</v>
      </c>
      <c r="I187" s="483">
        <v>66.075555600000001</v>
      </c>
      <c r="J187" s="483">
        <v>-162.71722220000001</v>
      </c>
      <c r="L187" s="784"/>
      <c r="M187" s="787"/>
      <c r="N187" s="787"/>
      <c r="O187" s="787"/>
      <c r="P187" s="787"/>
    </row>
    <row r="188" spans="1:16" s="330" customFormat="1" ht="25.5" customHeight="1" x14ac:dyDescent="0.25">
      <c r="A188" s="457" t="s">
        <v>848</v>
      </c>
      <c r="B188" s="455" t="s">
        <v>193</v>
      </c>
      <c r="C188" s="452" t="s">
        <v>675</v>
      </c>
      <c r="D188" s="452" t="s">
        <v>158</v>
      </c>
      <c r="E188" s="452" t="s">
        <v>414</v>
      </c>
      <c r="F188" s="452" t="s">
        <v>396</v>
      </c>
      <c r="G188" s="458" t="s">
        <v>358</v>
      </c>
      <c r="H188" s="515">
        <v>1412986</v>
      </c>
      <c r="I188" s="483">
        <v>59.356388899999999</v>
      </c>
      <c r="J188" s="515">
        <v>-151.9208333</v>
      </c>
      <c r="L188" s="784"/>
      <c r="M188" s="787"/>
      <c r="N188" s="787"/>
      <c r="O188" s="787"/>
      <c r="P188" s="787"/>
    </row>
    <row r="189" spans="1:16" s="330" customFormat="1" ht="25.5" customHeight="1" x14ac:dyDescent="0.25">
      <c r="A189" s="456" t="s">
        <v>569</v>
      </c>
      <c r="B189" s="455" t="s">
        <v>193</v>
      </c>
      <c r="C189" s="452" t="s">
        <v>675</v>
      </c>
      <c r="D189" s="452" t="s">
        <v>158</v>
      </c>
      <c r="E189" s="452" t="s">
        <v>414</v>
      </c>
      <c r="F189" s="452" t="s">
        <v>396</v>
      </c>
      <c r="G189" s="458" t="s">
        <v>358</v>
      </c>
      <c r="H189" s="468">
        <v>1413141</v>
      </c>
      <c r="I189" s="483">
        <v>59.642499999999998</v>
      </c>
      <c r="J189" s="483">
        <v>-151.5483333</v>
      </c>
      <c r="L189" s="784"/>
      <c r="M189" s="787"/>
      <c r="N189" s="787"/>
      <c r="O189" s="787"/>
      <c r="P189" s="787"/>
    </row>
    <row r="190" spans="1:16" s="330" customFormat="1" ht="25.5" customHeight="1" x14ac:dyDescent="0.25">
      <c r="A190" s="457" t="s">
        <v>844</v>
      </c>
      <c r="B190" s="455" t="s">
        <v>193</v>
      </c>
      <c r="C190" s="452" t="s">
        <v>675</v>
      </c>
      <c r="D190" s="452" t="s">
        <v>158</v>
      </c>
      <c r="E190" s="452" t="s">
        <v>414</v>
      </c>
      <c r="F190" s="452" t="s">
        <v>396</v>
      </c>
      <c r="G190" s="458" t="s">
        <v>358</v>
      </c>
      <c r="H190" s="515">
        <v>1413247</v>
      </c>
      <c r="I190" s="483">
        <v>59.67</v>
      </c>
      <c r="J190" s="779">
        <v>-151.43416669999999</v>
      </c>
      <c r="L190" s="784"/>
      <c r="M190" s="787"/>
      <c r="N190" s="787"/>
      <c r="O190" s="787"/>
      <c r="P190" s="787"/>
    </row>
    <row r="191" spans="1:16" s="330" customFormat="1" ht="38.25" customHeight="1" x14ac:dyDescent="0.25">
      <c r="A191" s="457" t="s">
        <v>845</v>
      </c>
      <c r="B191" s="455" t="s">
        <v>193</v>
      </c>
      <c r="C191" s="452" t="s">
        <v>675</v>
      </c>
      <c r="D191" s="452" t="s">
        <v>158</v>
      </c>
      <c r="E191" s="452" t="s">
        <v>414</v>
      </c>
      <c r="F191" s="452" t="s">
        <v>396</v>
      </c>
      <c r="G191" s="458" t="s">
        <v>358</v>
      </c>
      <c r="H191" s="515">
        <v>1413260</v>
      </c>
      <c r="I191" s="483">
        <v>60.4183333</v>
      </c>
      <c r="J191" s="781">
        <v>-151.29</v>
      </c>
      <c r="L191" s="784"/>
      <c r="M191" s="787"/>
      <c r="N191" s="787"/>
      <c r="O191" s="787"/>
      <c r="P191" s="787"/>
    </row>
    <row r="192" spans="1:16" s="330" customFormat="1" ht="51" customHeight="1" x14ac:dyDescent="0.25">
      <c r="A192" s="457" t="s">
        <v>846</v>
      </c>
      <c r="B192" s="455" t="s">
        <v>193</v>
      </c>
      <c r="C192" s="452" t="s">
        <v>675</v>
      </c>
      <c r="D192" s="452" t="s">
        <v>158</v>
      </c>
      <c r="E192" s="452" t="s">
        <v>414</v>
      </c>
      <c r="F192" s="452" t="s">
        <v>396</v>
      </c>
      <c r="G192" s="458" t="s">
        <v>358</v>
      </c>
      <c r="H192" s="515">
        <v>1413283</v>
      </c>
      <c r="I192" s="483">
        <v>60.337499999999999</v>
      </c>
      <c r="J192" s="515">
        <v>-151.27444439999999</v>
      </c>
      <c r="L192" s="784"/>
      <c r="M192" s="787"/>
      <c r="N192" s="787"/>
      <c r="O192" s="787"/>
      <c r="P192" s="787"/>
    </row>
    <row r="193" spans="1:16" s="330" customFormat="1" ht="51" customHeight="1" x14ac:dyDescent="0.25">
      <c r="A193" s="457" t="s">
        <v>847</v>
      </c>
      <c r="B193" s="455" t="s">
        <v>193</v>
      </c>
      <c r="C193" s="452" t="s">
        <v>675</v>
      </c>
      <c r="D193" s="452" t="s">
        <v>158</v>
      </c>
      <c r="E193" s="452" t="s">
        <v>414</v>
      </c>
      <c r="F193" s="452" t="s">
        <v>396</v>
      </c>
      <c r="G193" s="458" t="s">
        <v>358</v>
      </c>
      <c r="H193" s="515">
        <v>1413299</v>
      </c>
      <c r="I193" s="483">
        <v>60.554444400000001</v>
      </c>
      <c r="J193" s="515">
        <v>-151.2583333</v>
      </c>
      <c r="L193" s="784"/>
      <c r="M193" s="787"/>
      <c r="N193" s="787"/>
      <c r="O193" s="787"/>
      <c r="P193" s="787"/>
    </row>
    <row r="194" spans="1:16" s="330" customFormat="1" ht="51" customHeight="1" x14ac:dyDescent="0.25">
      <c r="A194" s="456" t="s">
        <v>82</v>
      </c>
      <c r="B194" s="455" t="s">
        <v>524</v>
      </c>
      <c r="C194" s="455" t="s">
        <v>673</v>
      </c>
      <c r="D194" s="455" t="s">
        <v>388</v>
      </c>
      <c r="E194" s="452" t="s">
        <v>388</v>
      </c>
      <c r="F194" s="452" t="s">
        <v>389</v>
      </c>
      <c r="G194" s="452" t="s">
        <v>387</v>
      </c>
      <c r="H194" s="483">
        <v>1413311</v>
      </c>
      <c r="I194" s="483">
        <v>66.974999999999994</v>
      </c>
      <c r="J194" s="483">
        <v>-160.42277780000001</v>
      </c>
      <c r="L194" s="784"/>
      <c r="M194" s="787"/>
      <c r="N194" s="787"/>
      <c r="O194" s="787"/>
      <c r="P194" s="787"/>
    </row>
    <row r="195" spans="1:16" s="330" customFormat="1" ht="50.25" customHeight="1" x14ac:dyDescent="0.25">
      <c r="A195" s="456" t="s">
        <v>83</v>
      </c>
      <c r="B195" s="455" t="s">
        <v>524</v>
      </c>
      <c r="C195" s="455" t="s">
        <v>673</v>
      </c>
      <c r="D195" s="455" t="s">
        <v>388</v>
      </c>
      <c r="E195" s="452" t="s">
        <v>388</v>
      </c>
      <c r="F195" s="452" t="s">
        <v>389</v>
      </c>
      <c r="G195" s="452" t="s">
        <v>387</v>
      </c>
      <c r="H195" s="483">
        <v>1413348</v>
      </c>
      <c r="I195" s="483">
        <v>67.726944399999994</v>
      </c>
      <c r="J195" s="483">
        <v>-164.53333330000001</v>
      </c>
      <c r="L195" s="784"/>
      <c r="M195" s="787"/>
      <c r="N195" s="787"/>
      <c r="O195" s="787"/>
      <c r="P195" s="787"/>
    </row>
    <row r="196" spans="1:16" s="330" customFormat="1" ht="50.25" customHeight="1" x14ac:dyDescent="0.25">
      <c r="A196" s="456" t="s">
        <v>220</v>
      </c>
      <c r="B196" s="455" t="s">
        <v>219</v>
      </c>
      <c r="C196" s="455" t="s">
        <v>673</v>
      </c>
      <c r="D196" s="452" t="s">
        <v>388</v>
      </c>
      <c r="E196" s="452" t="s">
        <v>388</v>
      </c>
      <c r="F196" s="452" t="s">
        <v>389</v>
      </c>
      <c r="G196" s="452" t="s">
        <v>387</v>
      </c>
      <c r="H196" s="483">
        <v>1413362</v>
      </c>
      <c r="I196" s="483">
        <v>66.907222200000007</v>
      </c>
      <c r="J196" s="483">
        <v>-156.8811111</v>
      </c>
      <c r="L196" s="784"/>
      <c r="M196" s="787"/>
      <c r="N196" s="787"/>
      <c r="O196" s="787"/>
      <c r="P196" s="787"/>
    </row>
    <row r="197" spans="1:16" s="330" customFormat="1" ht="57" customHeight="1" x14ac:dyDescent="0.25">
      <c r="A197" s="456" t="s">
        <v>230</v>
      </c>
      <c r="B197" s="455" t="s">
        <v>229</v>
      </c>
      <c r="C197" s="455" t="s">
        <v>673</v>
      </c>
      <c r="D197" s="452" t="s">
        <v>388</v>
      </c>
      <c r="E197" s="452" t="s">
        <v>388</v>
      </c>
      <c r="F197" s="452" t="s">
        <v>389</v>
      </c>
      <c r="G197" s="452" t="s">
        <v>387</v>
      </c>
      <c r="H197" s="483">
        <v>1413378</v>
      </c>
      <c r="I197" s="483">
        <v>66.898333300000004</v>
      </c>
      <c r="J197" s="483">
        <v>-162.59666669999999</v>
      </c>
      <c r="L197" s="784"/>
      <c r="M197" s="787"/>
      <c r="N197" s="787"/>
      <c r="O197" s="787"/>
      <c r="P197" s="787"/>
    </row>
    <row r="198" spans="1:16" s="330" customFormat="1" ht="71.25" customHeight="1" x14ac:dyDescent="0.25">
      <c r="A198" s="457" t="s">
        <v>850</v>
      </c>
      <c r="B198" s="455" t="s">
        <v>193</v>
      </c>
      <c r="C198" s="452" t="s">
        <v>675</v>
      </c>
      <c r="D198" s="452" t="s">
        <v>158</v>
      </c>
      <c r="E198" s="452" t="s">
        <v>414</v>
      </c>
      <c r="F198" s="452" t="s">
        <v>396</v>
      </c>
      <c r="G198" s="458" t="s">
        <v>358</v>
      </c>
      <c r="H198" s="515">
        <v>1413634</v>
      </c>
      <c r="I198" s="483">
        <v>60.051388899999999</v>
      </c>
      <c r="J198" s="515">
        <v>-151.66888890000001</v>
      </c>
      <c r="L198" s="784"/>
      <c r="M198" s="787"/>
      <c r="N198" s="787"/>
      <c r="O198" s="787"/>
      <c r="P198" s="787"/>
    </row>
    <row r="199" spans="1:16" s="330" customFormat="1" ht="56.25" customHeight="1" x14ac:dyDescent="0.25">
      <c r="A199" s="456" t="s">
        <v>93</v>
      </c>
      <c r="B199" s="455" t="s">
        <v>524</v>
      </c>
      <c r="C199" s="455" t="s">
        <v>673</v>
      </c>
      <c r="D199" s="455" t="s">
        <v>388</v>
      </c>
      <c r="E199" s="452" t="s">
        <v>388</v>
      </c>
      <c r="F199" s="452" t="s">
        <v>389</v>
      </c>
      <c r="G199" s="452" t="s">
        <v>387</v>
      </c>
      <c r="H199" s="483">
        <v>1413638</v>
      </c>
      <c r="I199" s="483">
        <v>67.571111099999996</v>
      </c>
      <c r="J199" s="483">
        <v>-162.9652778</v>
      </c>
      <c r="L199" s="784"/>
      <c r="M199" s="787"/>
      <c r="N199" s="787"/>
      <c r="O199" s="787"/>
      <c r="P199" s="787"/>
    </row>
    <row r="200" spans="1:16" s="330" customFormat="1" x14ac:dyDescent="0.25">
      <c r="A200" s="456" t="s">
        <v>94</v>
      </c>
      <c r="B200" s="455" t="s">
        <v>524</v>
      </c>
      <c r="C200" s="455" t="s">
        <v>673</v>
      </c>
      <c r="D200" s="455" t="s">
        <v>388</v>
      </c>
      <c r="E200" s="452" t="s">
        <v>388</v>
      </c>
      <c r="F200" s="452" t="s">
        <v>389</v>
      </c>
      <c r="G200" s="452" t="s">
        <v>387</v>
      </c>
      <c r="H200" s="483">
        <v>1413646</v>
      </c>
      <c r="I200" s="483">
        <v>66.838333300000002</v>
      </c>
      <c r="J200" s="483">
        <v>-161.03277779999999</v>
      </c>
      <c r="L200" s="784"/>
      <c r="M200" s="787"/>
      <c r="N200" s="787"/>
      <c r="O200" s="787"/>
      <c r="P200" s="787"/>
    </row>
    <row r="201" spans="1:16" s="330" customFormat="1" x14ac:dyDescent="0.25">
      <c r="A201" s="457" t="s">
        <v>851</v>
      </c>
      <c r="B201" s="455" t="s">
        <v>193</v>
      </c>
      <c r="C201" s="452" t="s">
        <v>675</v>
      </c>
      <c r="D201" s="452" t="s">
        <v>158</v>
      </c>
      <c r="E201" s="452" t="s">
        <v>414</v>
      </c>
      <c r="F201" s="452" t="s">
        <v>396</v>
      </c>
      <c r="G201" s="458" t="s">
        <v>358</v>
      </c>
      <c r="H201" s="515">
        <v>1413800</v>
      </c>
      <c r="I201" s="483">
        <v>59.351388900000003</v>
      </c>
      <c r="J201" s="515">
        <v>-151.82972219999999</v>
      </c>
      <c r="L201" s="784"/>
      <c r="M201" s="787"/>
      <c r="N201" s="787"/>
      <c r="O201" s="787"/>
      <c r="P201" s="787"/>
    </row>
    <row r="202" spans="1:16" s="330" customFormat="1" x14ac:dyDescent="0.25">
      <c r="A202" s="457" t="s">
        <v>853</v>
      </c>
      <c r="B202" s="455" t="s">
        <v>193</v>
      </c>
      <c r="C202" s="452" t="s">
        <v>675</v>
      </c>
      <c r="D202" s="452" t="s">
        <v>158</v>
      </c>
      <c r="E202" s="452" t="s">
        <v>414</v>
      </c>
      <c r="F202" s="452" t="s">
        <v>396</v>
      </c>
      <c r="G202" s="458" t="s">
        <v>358</v>
      </c>
      <c r="H202" s="515">
        <v>1413901</v>
      </c>
      <c r="I202" s="483">
        <v>60.615375</v>
      </c>
      <c r="J202" s="515">
        <v>-151.3194369</v>
      </c>
      <c r="L202" s="784"/>
      <c r="M202" s="787"/>
      <c r="N202" s="787"/>
      <c r="O202" s="787"/>
      <c r="P202" s="787"/>
    </row>
    <row r="203" spans="1:16" s="330" customFormat="1" ht="25.5" customHeight="1" x14ac:dyDescent="0.25">
      <c r="A203" s="456" t="s">
        <v>105</v>
      </c>
      <c r="B203" s="455" t="s">
        <v>524</v>
      </c>
      <c r="C203" s="455" t="s">
        <v>673</v>
      </c>
      <c r="D203" s="455" t="s">
        <v>388</v>
      </c>
      <c r="E203" s="452" t="s">
        <v>388</v>
      </c>
      <c r="F203" s="452" t="s">
        <v>389</v>
      </c>
      <c r="G203" s="452" t="s">
        <v>387</v>
      </c>
      <c r="H203" s="483">
        <v>1413930</v>
      </c>
      <c r="I203" s="483">
        <v>66.603888900000001</v>
      </c>
      <c r="J203" s="483">
        <v>-160.00694440000001</v>
      </c>
      <c r="L203" s="784"/>
      <c r="M203" s="787"/>
      <c r="N203" s="787"/>
      <c r="O203" s="787"/>
      <c r="P203" s="787"/>
    </row>
    <row r="204" spans="1:16" s="330" customFormat="1" ht="25.5" customHeight="1" x14ac:dyDescent="0.25">
      <c r="A204" s="456" t="s">
        <v>195</v>
      </c>
      <c r="B204" s="455" t="s">
        <v>193</v>
      </c>
      <c r="C204" s="452" t="s">
        <v>675</v>
      </c>
      <c r="D204" s="452" t="s">
        <v>158</v>
      </c>
      <c r="E204" s="452" t="s">
        <v>414</v>
      </c>
      <c r="F204" s="452" t="s">
        <v>396</v>
      </c>
      <c r="G204" s="458" t="s">
        <v>358</v>
      </c>
      <c r="H204" s="483">
        <v>1413937</v>
      </c>
      <c r="I204" s="483">
        <v>59.438055599999998</v>
      </c>
      <c r="J204" s="483">
        <v>-151.7113889</v>
      </c>
      <c r="L204" s="784"/>
      <c r="M204" s="787"/>
      <c r="N204" s="787"/>
      <c r="O204" s="787"/>
      <c r="P204" s="787"/>
    </row>
    <row r="205" spans="1:16" s="330" customFormat="1" ht="25.5" customHeight="1" x14ac:dyDescent="0.25">
      <c r="A205" s="456" t="s">
        <v>109</v>
      </c>
      <c r="B205" s="455" t="s">
        <v>524</v>
      </c>
      <c r="C205" s="455" t="s">
        <v>673</v>
      </c>
      <c r="D205" s="455" t="s">
        <v>388</v>
      </c>
      <c r="E205" s="452" t="s">
        <v>388</v>
      </c>
      <c r="F205" s="452" t="s">
        <v>389</v>
      </c>
      <c r="G205" s="452" t="s">
        <v>387</v>
      </c>
      <c r="H205" s="483">
        <v>1413983</v>
      </c>
      <c r="I205" s="483">
        <v>66.888055600000001</v>
      </c>
      <c r="J205" s="483">
        <v>-157.13638889999999</v>
      </c>
      <c r="L205" s="784"/>
      <c r="M205" s="787"/>
      <c r="N205" s="787"/>
      <c r="O205" s="787"/>
      <c r="P205" s="787"/>
    </row>
    <row r="206" spans="1:16" s="330" customFormat="1" ht="30" customHeight="1" x14ac:dyDescent="0.25">
      <c r="A206" s="457" t="s">
        <v>854</v>
      </c>
      <c r="B206" s="455" t="s">
        <v>193</v>
      </c>
      <c r="C206" s="452" t="s">
        <v>675</v>
      </c>
      <c r="D206" s="452" t="s">
        <v>158</v>
      </c>
      <c r="E206" s="452" t="s">
        <v>414</v>
      </c>
      <c r="F206" s="452" t="s">
        <v>396</v>
      </c>
      <c r="G206" s="458" t="s">
        <v>358</v>
      </c>
      <c r="H206" s="515">
        <v>1414025</v>
      </c>
      <c r="I206" s="483">
        <v>60.487777800000003</v>
      </c>
      <c r="J206" s="515">
        <v>-151.05833329999999</v>
      </c>
      <c r="L206" s="784"/>
      <c r="M206" s="787"/>
      <c r="N206" s="787"/>
      <c r="O206" s="787"/>
      <c r="P206" s="787"/>
    </row>
    <row r="207" spans="1:16" s="330" customFormat="1" ht="25.5" customHeight="1" x14ac:dyDescent="0.25">
      <c r="A207" s="457" t="s">
        <v>855</v>
      </c>
      <c r="B207" s="455" t="s">
        <v>193</v>
      </c>
      <c r="C207" s="452" t="s">
        <v>675</v>
      </c>
      <c r="D207" s="452" t="s">
        <v>158</v>
      </c>
      <c r="E207" s="452" t="s">
        <v>414</v>
      </c>
      <c r="F207" s="452" t="s">
        <v>396</v>
      </c>
      <c r="G207" s="458" t="s">
        <v>358</v>
      </c>
      <c r="H207" s="515">
        <v>1414063</v>
      </c>
      <c r="I207" s="483">
        <v>60.537222200000002</v>
      </c>
      <c r="J207" s="515">
        <v>-150.76472219999999</v>
      </c>
      <c r="L207" s="784"/>
      <c r="M207" s="787"/>
      <c r="N207" s="787"/>
      <c r="O207" s="787"/>
      <c r="P207" s="787"/>
    </row>
    <row r="208" spans="1:16" s="330" customFormat="1" ht="25.5" customHeight="1" x14ac:dyDescent="0.25">
      <c r="A208" s="457" t="s">
        <v>792</v>
      </c>
      <c r="B208" s="455" t="s">
        <v>153</v>
      </c>
      <c r="C208" s="458" t="s">
        <v>675</v>
      </c>
      <c r="D208" s="458" t="s">
        <v>158</v>
      </c>
      <c r="E208" s="458" t="s">
        <v>414</v>
      </c>
      <c r="F208" s="452" t="s">
        <v>396</v>
      </c>
      <c r="G208" s="458" t="s">
        <v>358</v>
      </c>
      <c r="H208" s="515">
        <v>1414206</v>
      </c>
      <c r="I208" s="483">
        <v>61.068055600000001</v>
      </c>
      <c r="J208" s="515">
        <v>-151.1369444</v>
      </c>
      <c r="L208" s="784"/>
      <c r="M208" s="787"/>
      <c r="N208" s="787"/>
      <c r="O208" s="787"/>
      <c r="P208" s="787"/>
    </row>
    <row r="209" spans="1:16" s="330" customFormat="1" ht="38.25" customHeight="1" x14ac:dyDescent="0.25">
      <c r="A209" s="456" t="s">
        <v>311</v>
      </c>
      <c r="B209" s="455" t="s">
        <v>310</v>
      </c>
      <c r="C209" s="455" t="s">
        <v>675</v>
      </c>
      <c r="D209" s="455" t="s">
        <v>158</v>
      </c>
      <c r="E209" s="452" t="s">
        <v>414</v>
      </c>
      <c r="F209" s="452" t="s">
        <v>408</v>
      </c>
      <c r="G209" s="458" t="s">
        <v>358</v>
      </c>
      <c r="H209" s="483">
        <v>1414598</v>
      </c>
      <c r="I209" s="483">
        <v>60.1041667</v>
      </c>
      <c r="J209" s="483">
        <v>-149.4422222</v>
      </c>
      <c r="L209" s="784"/>
      <c r="M209" s="787"/>
      <c r="N209" s="787"/>
      <c r="O209" s="787"/>
      <c r="P209" s="787"/>
    </row>
    <row r="210" spans="1:16" s="330" customFormat="1" ht="51" customHeight="1" x14ac:dyDescent="0.25">
      <c r="A210" s="456" t="s">
        <v>314</v>
      </c>
      <c r="B210" s="455" t="s">
        <v>638</v>
      </c>
      <c r="C210" s="455" t="s">
        <v>675</v>
      </c>
      <c r="D210" s="452" t="s">
        <v>373</v>
      </c>
      <c r="E210" s="452" t="s">
        <v>314</v>
      </c>
      <c r="F210" s="452" t="s">
        <v>374</v>
      </c>
      <c r="G210" s="452" t="s">
        <v>372</v>
      </c>
      <c r="H210" s="483">
        <v>1414736</v>
      </c>
      <c r="I210" s="483">
        <v>57.0530556</v>
      </c>
      <c r="J210" s="483">
        <v>-135.33000000000001</v>
      </c>
      <c r="L210" s="784"/>
      <c r="M210" s="787"/>
      <c r="N210" s="787"/>
      <c r="O210" s="787"/>
      <c r="P210" s="787"/>
    </row>
    <row r="211" spans="1:16" s="330" customFormat="1" ht="38.25" customHeight="1" x14ac:dyDescent="0.25">
      <c r="A211" s="456" t="s">
        <v>60</v>
      </c>
      <c r="B211" s="455" t="s">
        <v>43</v>
      </c>
      <c r="C211" s="455" t="s">
        <v>675</v>
      </c>
      <c r="D211" s="455" t="s">
        <v>373</v>
      </c>
      <c r="E211" s="452" t="s">
        <v>60</v>
      </c>
      <c r="F211" s="452" t="s">
        <v>374</v>
      </c>
      <c r="G211" s="452" t="s">
        <v>372</v>
      </c>
      <c r="H211" s="483">
        <v>1414754</v>
      </c>
      <c r="I211" s="483">
        <v>59.4583333</v>
      </c>
      <c r="J211" s="780">
        <v>-135.31388889999999</v>
      </c>
      <c r="L211" s="784"/>
      <c r="M211" s="787"/>
      <c r="N211" s="787"/>
      <c r="O211" s="787"/>
      <c r="P211" s="787"/>
    </row>
    <row r="212" spans="1:16" s="330" customFormat="1" ht="25.5" customHeight="1" x14ac:dyDescent="0.25">
      <c r="A212" s="457" t="s">
        <v>791</v>
      </c>
      <c r="B212" s="455" t="s">
        <v>153</v>
      </c>
      <c r="C212" s="458" t="s">
        <v>675</v>
      </c>
      <c r="D212" s="458" t="s">
        <v>158</v>
      </c>
      <c r="E212" s="458" t="s">
        <v>414</v>
      </c>
      <c r="F212" s="452" t="s">
        <v>396</v>
      </c>
      <c r="G212" s="458" t="s">
        <v>358</v>
      </c>
      <c r="H212" s="515">
        <v>1415091</v>
      </c>
      <c r="I212" s="483">
        <v>60.889722200000001</v>
      </c>
      <c r="J212" s="515">
        <v>-149.42111109999999</v>
      </c>
      <c r="L212" s="784"/>
      <c r="M212" s="787"/>
      <c r="N212" s="787"/>
      <c r="O212" s="787"/>
      <c r="P212" s="787"/>
    </row>
    <row r="213" spans="1:16" s="330" customFormat="1" ht="25.5" customHeight="1" x14ac:dyDescent="0.25">
      <c r="A213" s="456" t="s">
        <v>329</v>
      </c>
      <c r="B213" s="455" t="s">
        <v>328</v>
      </c>
      <c r="C213" s="455" t="s">
        <v>673</v>
      </c>
      <c r="D213" s="452" t="s">
        <v>379</v>
      </c>
      <c r="E213" s="452" t="s">
        <v>380</v>
      </c>
      <c r="F213" s="452" t="s">
        <v>408</v>
      </c>
      <c r="G213" s="452" t="s">
        <v>358</v>
      </c>
      <c r="H213" s="483">
        <v>1415193</v>
      </c>
      <c r="I213" s="483">
        <v>60.864722200000003</v>
      </c>
      <c r="J213" s="483">
        <v>-146.67861110000001</v>
      </c>
      <c r="L213" s="784"/>
      <c r="M213" s="787"/>
      <c r="N213" s="787"/>
      <c r="O213" s="787"/>
      <c r="P213" s="787"/>
    </row>
    <row r="214" spans="1:16" s="330" customFormat="1" ht="38.25" customHeight="1" x14ac:dyDescent="0.25">
      <c r="A214" s="456" t="s">
        <v>336</v>
      </c>
      <c r="B214" s="455" t="s">
        <v>335</v>
      </c>
      <c r="C214" s="455" t="s">
        <v>673</v>
      </c>
      <c r="D214" s="455" t="s">
        <v>373</v>
      </c>
      <c r="E214" s="452" t="s">
        <v>421</v>
      </c>
      <c r="F214" s="452" t="s">
        <v>374</v>
      </c>
      <c r="G214" s="452" t="s">
        <v>372</v>
      </c>
      <c r="H214" s="483">
        <v>1415210</v>
      </c>
      <c r="I214" s="483">
        <v>57.780833299999998</v>
      </c>
      <c r="J214" s="483">
        <v>-135.2188889</v>
      </c>
      <c r="L214" s="784"/>
      <c r="M214" s="787"/>
      <c r="N214" s="787"/>
      <c r="O214" s="787"/>
      <c r="P214" s="787"/>
    </row>
    <row r="215" spans="1:16" s="330" customFormat="1" ht="48" customHeight="1" x14ac:dyDescent="0.25">
      <c r="A215" s="457" t="s">
        <v>793</v>
      </c>
      <c r="B215" s="455" t="s">
        <v>153</v>
      </c>
      <c r="C215" s="458" t="s">
        <v>675</v>
      </c>
      <c r="D215" s="458" t="s">
        <v>158</v>
      </c>
      <c r="E215" s="458" t="s">
        <v>380</v>
      </c>
      <c r="F215" s="452" t="s">
        <v>396</v>
      </c>
      <c r="G215" s="458" t="s">
        <v>358</v>
      </c>
      <c r="H215" s="515">
        <v>1415757</v>
      </c>
      <c r="I215" s="483">
        <v>60.773055599999999</v>
      </c>
      <c r="J215" s="515">
        <v>-148.6838889</v>
      </c>
      <c r="L215" s="784"/>
      <c r="M215" s="787"/>
      <c r="N215" s="787"/>
      <c r="O215" s="787"/>
      <c r="P215" s="787"/>
    </row>
    <row r="216" spans="1:16" s="330" customFormat="1" ht="38.25" customHeight="1" x14ac:dyDescent="0.25">
      <c r="A216" s="456" t="s">
        <v>353</v>
      </c>
      <c r="B216" s="455" t="s">
        <v>352</v>
      </c>
      <c r="C216" s="455" t="s">
        <v>675</v>
      </c>
      <c r="D216" s="459" t="s">
        <v>373</v>
      </c>
      <c r="E216" s="459" t="s">
        <v>353</v>
      </c>
      <c r="F216" s="459" t="s">
        <v>374</v>
      </c>
      <c r="G216" s="459" t="s">
        <v>372</v>
      </c>
      <c r="H216" s="483">
        <v>1415843</v>
      </c>
      <c r="I216" s="483">
        <v>56.470833300000002</v>
      </c>
      <c r="J216" s="483">
        <v>-132.37666669999999</v>
      </c>
      <c r="L216" s="784"/>
      <c r="M216" s="787"/>
      <c r="N216" s="787"/>
      <c r="O216" s="787"/>
      <c r="P216" s="787"/>
    </row>
    <row r="217" spans="1:16" s="330" customFormat="1" ht="38.25" customHeight="1" x14ac:dyDescent="0.25">
      <c r="A217" s="456" t="s">
        <v>355</v>
      </c>
      <c r="B217" s="455" t="s">
        <v>354</v>
      </c>
      <c r="C217" s="455" t="s">
        <v>673</v>
      </c>
      <c r="D217" s="455" t="s">
        <v>373</v>
      </c>
      <c r="E217" s="459" t="s">
        <v>355</v>
      </c>
      <c r="F217" s="459" t="s">
        <v>374</v>
      </c>
      <c r="G217" s="459" t="s">
        <v>372</v>
      </c>
      <c r="H217" s="483">
        <v>1415858</v>
      </c>
      <c r="I217" s="483">
        <v>59.546944400000001</v>
      </c>
      <c r="J217" s="483">
        <v>-139.7272222</v>
      </c>
      <c r="L217" s="784"/>
      <c r="M217" s="787"/>
      <c r="N217" s="787"/>
      <c r="O217" s="787"/>
      <c r="P217" s="787"/>
    </row>
    <row r="218" spans="1:16" s="330" customFormat="1" ht="25.5" customHeight="1" x14ac:dyDescent="0.25">
      <c r="A218" s="456" t="s">
        <v>75</v>
      </c>
      <c r="B218" s="455" t="s">
        <v>524</v>
      </c>
      <c r="C218" s="455" t="s">
        <v>673</v>
      </c>
      <c r="D218" s="455" t="s">
        <v>363</v>
      </c>
      <c r="E218" s="452" t="s">
        <v>364</v>
      </c>
      <c r="F218" s="452" t="s">
        <v>365</v>
      </c>
      <c r="G218" s="452" t="s">
        <v>362</v>
      </c>
      <c r="H218" s="483">
        <v>1415910</v>
      </c>
      <c r="I218" s="483">
        <v>59.118888900000002</v>
      </c>
      <c r="J218" s="483">
        <v>-161.58750000000001</v>
      </c>
      <c r="L218" s="784"/>
      <c r="M218" s="787"/>
      <c r="N218" s="787"/>
      <c r="O218" s="787"/>
      <c r="P218" s="787"/>
    </row>
    <row r="219" spans="1:16" s="330" customFormat="1" ht="25.5" customHeight="1" x14ac:dyDescent="0.25">
      <c r="A219" s="457" t="s">
        <v>866</v>
      </c>
      <c r="B219" s="455" t="s">
        <v>1101</v>
      </c>
      <c r="C219" s="452" t="s">
        <v>675</v>
      </c>
      <c r="D219" s="459" t="s">
        <v>158</v>
      </c>
      <c r="E219" s="459" t="s">
        <v>918</v>
      </c>
      <c r="F219" s="452" t="s">
        <v>396</v>
      </c>
      <c r="G219" s="458" t="s">
        <v>358</v>
      </c>
      <c r="H219" s="515">
        <v>1416613</v>
      </c>
      <c r="I219" s="483">
        <v>61.630277800000002</v>
      </c>
      <c r="J219" s="515">
        <v>-149.81805560000001</v>
      </c>
      <c r="L219" s="784"/>
      <c r="M219" s="787"/>
      <c r="N219" s="787"/>
      <c r="O219" s="787"/>
      <c r="P219" s="787"/>
    </row>
    <row r="220" spans="1:16" s="330" customFormat="1" x14ac:dyDescent="0.25">
      <c r="A220" s="456" t="s">
        <v>156</v>
      </c>
      <c r="B220" s="455" t="s">
        <v>193</v>
      </c>
      <c r="C220" s="452" t="s">
        <v>675</v>
      </c>
      <c r="D220" s="452" t="s">
        <v>158</v>
      </c>
      <c r="E220" s="452" t="s">
        <v>414</v>
      </c>
      <c r="F220" s="452" t="s">
        <v>396</v>
      </c>
      <c r="G220" s="458" t="s">
        <v>358</v>
      </c>
      <c r="H220" s="483">
        <v>1416651</v>
      </c>
      <c r="I220" s="483">
        <v>60.690277799999997</v>
      </c>
      <c r="J220" s="483">
        <v>-151.28888889999999</v>
      </c>
      <c r="L220" s="784"/>
      <c r="M220" s="787"/>
      <c r="N220" s="787"/>
      <c r="O220" s="787"/>
      <c r="P220" s="787"/>
    </row>
    <row r="221" spans="1:16" s="330" customFormat="1" ht="30" customHeight="1" x14ac:dyDescent="0.25">
      <c r="A221" s="456" t="s">
        <v>281</v>
      </c>
      <c r="B221" s="455" t="s">
        <v>277</v>
      </c>
      <c r="C221" s="455" t="s">
        <v>673</v>
      </c>
      <c r="D221" s="452" t="s">
        <v>401</v>
      </c>
      <c r="E221" s="452" t="s">
        <v>401</v>
      </c>
      <c r="F221" s="452" t="s">
        <v>402</v>
      </c>
      <c r="G221" s="452" t="s">
        <v>387</v>
      </c>
      <c r="H221" s="483">
        <v>1416680</v>
      </c>
      <c r="I221" s="483">
        <v>70.217500000000001</v>
      </c>
      <c r="J221" s="483">
        <v>-150.97638889999999</v>
      </c>
      <c r="L221" s="784"/>
      <c r="M221" s="787"/>
      <c r="N221" s="787"/>
      <c r="O221" s="787"/>
      <c r="P221" s="787"/>
    </row>
    <row r="222" spans="1:16" s="332" customFormat="1" x14ac:dyDescent="0.25">
      <c r="A222" s="456" t="s">
        <v>342</v>
      </c>
      <c r="B222" s="455" t="s">
        <v>341</v>
      </c>
      <c r="C222" s="455" t="s">
        <v>673</v>
      </c>
      <c r="D222" s="452" t="s">
        <v>392</v>
      </c>
      <c r="E222" s="452" t="s">
        <v>393</v>
      </c>
      <c r="F222" s="452" t="s">
        <v>392</v>
      </c>
      <c r="G222" s="452" t="s">
        <v>362</v>
      </c>
      <c r="H222" s="780">
        <v>1416737</v>
      </c>
      <c r="I222" s="483">
        <v>59.079166700000002</v>
      </c>
      <c r="J222" s="780">
        <v>-160.27500000000001</v>
      </c>
      <c r="K222" s="330"/>
      <c r="L222" s="784"/>
      <c r="M222" s="787"/>
      <c r="N222" s="787"/>
      <c r="O222" s="787"/>
      <c r="P222" s="787"/>
    </row>
    <row r="223" spans="1:16" s="330" customFormat="1" x14ac:dyDescent="0.25">
      <c r="A223" s="457" t="s">
        <v>858</v>
      </c>
      <c r="B223" s="455" t="s">
        <v>1101</v>
      </c>
      <c r="C223" s="452" t="s">
        <v>675</v>
      </c>
      <c r="D223" s="459" t="s">
        <v>158</v>
      </c>
      <c r="E223" s="459" t="s">
        <v>918</v>
      </c>
      <c r="F223" s="452" t="s">
        <v>396</v>
      </c>
      <c r="G223" s="458" t="s">
        <v>358</v>
      </c>
      <c r="H223" s="515">
        <v>1416898</v>
      </c>
      <c r="I223" s="483">
        <v>61.542222199999998</v>
      </c>
      <c r="J223" s="515">
        <v>-149.03333330000001</v>
      </c>
      <c r="L223" s="784"/>
      <c r="M223" s="787"/>
      <c r="N223" s="787"/>
      <c r="O223" s="787"/>
      <c r="P223" s="787"/>
    </row>
    <row r="224" spans="1:16" s="330" customFormat="1" x14ac:dyDescent="0.25">
      <c r="A224" s="457" t="s">
        <v>795</v>
      </c>
      <c r="B224" s="455" t="s">
        <v>310</v>
      </c>
      <c r="C224" s="458" t="s">
        <v>675</v>
      </c>
      <c r="D224" s="459" t="s">
        <v>158</v>
      </c>
      <c r="E224" s="458" t="s">
        <v>414</v>
      </c>
      <c r="F224" s="452" t="s">
        <v>408</v>
      </c>
      <c r="G224" s="458" t="s">
        <v>358</v>
      </c>
      <c r="H224" s="515">
        <v>1417059</v>
      </c>
      <c r="I224" s="483">
        <v>60.4222222</v>
      </c>
      <c r="J224" s="515">
        <v>-149.3666667</v>
      </c>
      <c r="L224" s="784"/>
      <c r="M224" s="787"/>
      <c r="N224" s="787"/>
      <c r="O224" s="787"/>
      <c r="P224" s="787"/>
    </row>
    <row r="225" spans="1:16" s="330" customFormat="1" ht="63.75" customHeight="1" x14ac:dyDescent="0.25">
      <c r="A225" s="457" t="s">
        <v>849</v>
      </c>
      <c r="B225" s="455" t="s">
        <v>193</v>
      </c>
      <c r="C225" s="452" t="s">
        <v>675</v>
      </c>
      <c r="D225" s="452" t="s">
        <v>158</v>
      </c>
      <c r="E225" s="452" t="s">
        <v>414</v>
      </c>
      <c r="F225" s="452" t="s">
        <v>396</v>
      </c>
      <c r="G225" s="458" t="s">
        <v>358</v>
      </c>
      <c r="H225" s="515">
        <v>1417063</v>
      </c>
      <c r="I225" s="483">
        <v>59.811944400000002</v>
      </c>
      <c r="J225" s="515">
        <v>-151.6105556</v>
      </c>
      <c r="L225" s="784"/>
      <c r="M225" s="787"/>
      <c r="N225" s="787"/>
      <c r="O225" s="787"/>
      <c r="P225" s="787"/>
    </row>
    <row r="226" spans="1:16" s="330" customFormat="1" ht="63.75" customHeight="1" x14ac:dyDescent="0.25">
      <c r="A226" s="457" t="s">
        <v>789</v>
      </c>
      <c r="B226" s="455" t="s">
        <v>153</v>
      </c>
      <c r="C226" s="458" t="s">
        <v>675</v>
      </c>
      <c r="D226" s="458" t="s">
        <v>158</v>
      </c>
      <c r="E226" s="458" t="s">
        <v>414</v>
      </c>
      <c r="F226" s="452" t="s">
        <v>396</v>
      </c>
      <c r="G226" s="458" t="s">
        <v>358</v>
      </c>
      <c r="H226" s="515">
        <v>1417076</v>
      </c>
      <c r="I226" s="483">
        <v>60.487499999999997</v>
      </c>
      <c r="J226" s="515">
        <v>-149.3688889</v>
      </c>
      <c r="L226" s="784"/>
      <c r="M226" s="787"/>
      <c r="N226" s="787"/>
      <c r="O226" s="787"/>
      <c r="P226" s="787"/>
    </row>
    <row r="227" spans="1:16" s="330" customFormat="1" ht="63.75" customHeight="1" x14ac:dyDescent="0.25">
      <c r="A227" s="457" t="s">
        <v>878</v>
      </c>
      <c r="B227" s="455" t="s">
        <v>1101</v>
      </c>
      <c r="C227" s="452" t="s">
        <v>675</v>
      </c>
      <c r="D227" s="459" t="s">
        <v>158</v>
      </c>
      <c r="E227" s="459" t="s">
        <v>918</v>
      </c>
      <c r="F227" s="452" t="s">
        <v>396</v>
      </c>
      <c r="G227" s="458" t="s">
        <v>358</v>
      </c>
      <c r="H227" s="515">
        <v>1417100</v>
      </c>
      <c r="I227" s="483">
        <v>62.316666699999999</v>
      </c>
      <c r="J227" s="515">
        <v>-150.23138890000001</v>
      </c>
      <c r="L227" s="784"/>
      <c r="M227" s="787"/>
      <c r="N227" s="787"/>
      <c r="O227" s="787"/>
      <c r="P227" s="787"/>
    </row>
    <row r="228" spans="1:16" s="330" customFormat="1" ht="63.75" customHeight="1" x14ac:dyDescent="0.25">
      <c r="A228" s="457" t="s">
        <v>880</v>
      </c>
      <c r="B228" s="455" t="s">
        <v>1101</v>
      </c>
      <c r="C228" s="452" t="s">
        <v>675</v>
      </c>
      <c r="D228" s="459" t="s">
        <v>158</v>
      </c>
      <c r="E228" s="459" t="s">
        <v>918</v>
      </c>
      <c r="F228" s="452" t="s">
        <v>396</v>
      </c>
      <c r="G228" s="458" t="s">
        <v>358</v>
      </c>
      <c r="H228" s="515">
        <v>1417146</v>
      </c>
      <c r="I228" s="483">
        <v>61.747222200000003</v>
      </c>
      <c r="J228" s="515">
        <v>-150.03749999999999</v>
      </c>
      <c r="L228" s="784"/>
      <c r="M228" s="787"/>
      <c r="N228" s="787"/>
      <c r="O228" s="787"/>
      <c r="P228" s="787"/>
    </row>
    <row r="229" spans="1:16" s="330" customFormat="1" ht="63.75" customHeight="1" x14ac:dyDescent="0.25">
      <c r="A229" s="456" t="s">
        <v>330</v>
      </c>
      <c r="B229" s="455" t="s">
        <v>1080</v>
      </c>
      <c r="C229" s="455" t="s">
        <v>673</v>
      </c>
      <c r="D229" s="452" t="s">
        <v>368</v>
      </c>
      <c r="E229" s="452" t="s">
        <v>398</v>
      </c>
      <c r="F229" s="452" t="s">
        <v>370</v>
      </c>
      <c r="G229" s="452" t="s">
        <v>362</v>
      </c>
      <c r="H229" s="483">
        <v>1418109</v>
      </c>
      <c r="I229" s="483">
        <v>51.88</v>
      </c>
      <c r="J229" s="483">
        <v>-176.65805560000001</v>
      </c>
      <c r="L229" s="784"/>
      <c r="M229" s="787"/>
      <c r="N229" s="787"/>
      <c r="O229" s="787"/>
      <c r="P229" s="787"/>
    </row>
    <row r="230" spans="1:16" s="330" customFormat="1" ht="63.75" customHeight="1" x14ac:dyDescent="0.25">
      <c r="A230" s="456" t="s">
        <v>34</v>
      </c>
      <c r="B230" s="455" t="s">
        <v>33</v>
      </c>
      <c r="C230" s="455" t="s">
        <v>673</v>
      </c>
      <c r="D230" s="455" t="s">
        <v>368</v>
      </c>
      <c r="E230" s="452" t="s">
        <v>369</v>
      </c>
      <c r="F230" s="452" t="s">
        <v>370</v>
      </c>
      <c r="G230" s="452" t="s">
        <v>362</v>
      </c>
      <c r="H230" s="483">
        <v>1418123</v>
      </c>
      <c r="I230" s="483">
        <v>54.135555600000004</v>
      </c>
      <c r="J230" s="483">
        <v>-165.77305559999999</v>
      </c>
      <c r="L230" s="784"/>
      <c r="M230" s="787"/>
      <c r="N230" s="787"/>
      <c r="O230" s="787"/>
      <c r="P230" s="787"/>
    </row>
    <row r="231" spans="1:16" s="330" customFormat="1" ht="25.5" customHeight="1" x14ac:dyDescent="0.25">
      <c r="A231" s="456" t="s">
        <v>128</v>
      </c>
      <c r="B231" s="455" t="s">
        <v>127</v>
      </c>
      <c r="C231" s="455" t="s">
        <v>673</v>
      </c>
      <c r="D231" s="455" t="s">
        <v>368</v>
      </c>
      <c r="E231" s="452" t="s">
        <v>398</v>
      </c>
      <c r="F231" s="452" t="s">
        <v>370</v>
      </c>
      <c r="G231" s="452" t="s">
        <v>362</v>
      </c>
      <c r="H231" s="483">
        <v>1418170</v>
      </c>
      <c r="I231" s="483">
        <v>52.196111100000003</v>
      </c>
      <c r="J231" s="483">
        <v>-174.2005556</v>
      </c>
      <c r="L231" s="784"/>
      <c r="M231" s="787"/>
      <c r="N231" s="787"/>
      <c r="O231" s="787"/>
      <c r="P231" s="787"/>
    </row>
    <row r="232" spans="1:16" s="330" customFormat="1" ht="38.25" customHeight="1" x14ac:dyDescent="0.25">
      <c r="A232" s="456" t="s">
        <v>179</v>
      </c>
      <c r="B232" s="455" t="s">
        <v>178</v>
      </c>
      <c r="C232" s="455" t="s">
        <v>673</v>
      </c>
      <c r="D232" s="452" t="s">
        <v>368</v>
      </c>
      <c r="E232" s="452" t="s">
        <v>369</v>
      </c>
      <c r="F232" s="452" t="s">
        <v>370</v>
      </c>
      <c r="G232" s="452" t="s">
        <v>362</v>
      </c>
      <c r="H232" s="483">
        <v>1418448</v>
      </c>
      <c r="I232" s="483">
        <v>55.185833299999999</v>
      </c>
      <c r="J232" s="483">
        <v>-162.7211111</v>
      </c>
      <c r="L232" s="784"/>
      <c r="M232" s="787"/>
      <c r="N232" s="787"/>
      <c r="O232" s="787"/>
      <c r="P232" s="787"/>
    </row>
    <row r="233" spans="1:16" s="330" customFormat="1" ht="25.5" customHeight="1" x14ac:dyDescent="0.25">
      <c r="A233" s="456" t="s">
        <v>177</v>
      </c>
      <c r="B233" s="455" t="s">
        <v>176</v>
      </c>
      <c r="C233" s="455" t="s">
        <v>673</v>
      </c>
      <c r="D233" s="452" t="s">
        <v>368</v>
      </c>
      <c r="E233" s="452" t="s">
        <v>369</v>
      </c>
      <c r="F233" s="452" t="s">
        <v>370</v>
      </c>
      <c r="G233" s="452" t="s">
        <v>362</v>
      </c>
      <c r="H233" s="483">
        <v>1418574</v>
      </c>
      <c r="I233" s="483">
        <v>54.850833299999998</v>
      </c>
      <c r="J233" s="483">
        <v>-163.41499999999999</v>
      </c>
      <c r="L233" s="784"/>
      <c r="M233" s="787"/>
      <c r="N233" s="787"/>
      <c r="O233" s="787"/>
      <c r="P233" s="787"/>
    </row>
    <row r="234" spans="1:16" s="330" customFormat="1" ht="25.5" customHeight="1" x14ac:dyDescent="0.25">
      <c r="A234" s="456" t="s">
        <v>216</v>
      </c>
      <c r="B234" s="455" t="s">
        <v>215</v>
      </c>
      <c r="C234" s="455" t="s">
        <v>673</v>
      </c>
      <c r="D234" s="455" t="s">
        <v>368</v>
      </c>
      <c r="E234" s="452" t="s">
        <v>369</v>
      </c>
      <c r="F234" s="452" t="s">
        <v>370</v>
      </c>
      <c r="G234" s="452" t="s">
        <v>362</v>
      </c>
      <c r="H234" s="483">
        <v>1418792</v>
      </c>
      <c r="I234" s="483">
        <v>55.061666700000004</v>
      </c>
      <c r="J234" s="483">
        <v>-162.31027779999999</v>
      </c>
      <c r="L234" s="784"/>
      <c r="M234" s="787"/>
      <c r="N234" s="787"/>
      <c r="O234" s="787"/>
      <c r="P234" s="787"/>
    </row>
    <row r="235" spans="1:16" s="332" customFormat="1" ht="25.5" customHeight="1" x14ac:dyDescent="0.25">
      <c r="A235" s="456" t="s">
        <v>269</v>
      </c>
      <c r="B235" s="455" t="s">
        <v>268</v>
      </c>
      <c r="C235" s="455" t="s">
        <v>673</v>
      </c>
      <c r="D235" s="455" t="s">
        <v>368</v>
      </c>
      <c r="E235" s="452" t="s">
        <v>369</v>
      </c>
      <c r="F235" s="452" t="s">
        <v>370</v>
      </c>
      <c r="G235" s="452" t="s">
        <v>362</v>
      </c>
      <c r="H235" s="780">
        <v>1418948</v>
      </c>
      <c r="I235" s="483">
        <v>56.000615199999999</v>
      </c>
      <c r="J235" s="780">
        <v>-161.206974</v>
      </c>
      <c r="K235" s="330"/>
      <c r="L235" s="784"/>
      <c r="M235" s="787"/>
      <c r="N235" s="787"/>
      <c r="O235" s="787"/>
      <c r="P235" s="787"/>
    </row>
    <row r="236" spans="1:16" s="330" customFormat="1" ht="25.5" customHeight="1" x14ac:dyDescent="0.25">
      <c r="A236" s="456" t="s">
        <v>344</v>
      </c>
      <c r="B236" s="455" t="s">
        <v>343</v>
      </c>
      <c r="C236" s="455" t="s">
        <v>673</v>
      </c>
      <c r="D236" s="452" t="s">
        <v>368</v>
      </c>
      <c r="E236" s="452" t="s">
        <v>398</v>
      </c>
      <c r="F236" s="452" t="s">
        <v>370</v>
      </c>
      <c r="G236" s="452" t="s">
        <v>362</v>
      </c>
      <c r="H236" s="483">
        <v>1418954</v>
      </c>
      <c r="I236" s="483">
        <v>52.938055599999998</v>
      </c>
      <c r="J236" s="483">
        <v>-168.8677778</v>
      </c>
      <c r="L236" s="784"/>
      <c r="M236" s="787"/>
      <c r="N236" s="787"/>
      <c r="O236" s="787"/>
      <c r="P236" s="787"/>
    </row>
    <row r="237" spans="1:16" s="330" customFormat="1" ht="25.5" customHeight="1" x14ac:dyDescent="0.25">
      <c r="A237" s="456" t="s">
        <v>301</v>
      </c>
      <c r="B237" s="455" t="s">
        <v>300</v>
      </c>
      <c r="C237" s="455" t="s">
        <v>673</v>
      </c>
      <c r="D237" s="455" t="s">
        <v>392</v>
      </c>
      <c r="E237" s="452" t="s">
        <v>410</v>
      </c>
      <c r="F237" s="452" t="s">
        <v>392</v>
      </c>
      <c r="G237" s="452" t="s">
        <v>362</v>
      </c>
      <c r="H237" s="483">
        <v>1419072</v>
      </c>
      <c r="I237" s="483">
        <v>56.932561399999997</v>
      </c>
      <c r="J237" s="483">
        <v>-158.6249699</v>
      </c>
      <c r="L237" s="784"/>
      <c r="M237" s="787"/>
      <c r="N237" s="787"/>
      <c r="O237" s="787"/>
      <c r="P237" s="787"/>
    </row>
    <row r="238" spans="1:16" s="330" customFormat="1" ht="25.5" customHeight="1" x14ac:dyDescent="0.25">
      <c r="A238" s="456" t="s">
        <v>309</v>
      </c>
      <c r="B238" s="455" t="s">
        <v>308</v>
      </c>
      <c r="C238" s="455" t="s">
        <v>673</v>
      </c>
      <c r="D238" s="455" t="s">
        <v>368</v>
      </c>
      <c r="E238" s="452" t="s">
        <v>398</v>
      </c>
      <c r="F238" s="452" t="s">
        <v>370</v>
      </c>
      <c r="G238" s="452" t="s">
        <v>362</v>
      </c>
      <c r="H238" s="483">
        <v>1419161</v>
      </c>
      <c r="I238" s="483">
        <v>56.6</v>
      </c>
      <c r="J238" s="483">
        <v>-169.54166670000001</v>
      </c>
      <c r="L238" s="784"/>
      <c r="M238" s="787"/>
      <c r="N238" s="787"/>
      <c r="O238" s="787"/>
      <c r="P238" s="787"/>
    </row>
    <row r="239" spans="1:16" s="330" customFormat="1" ht="25.5" customHeight="1" x14ac:dyDescent="0.25">
      <c r="A239" s="456" t="s">
        <v>320</v>
      </c>
      <c r="B239" s="455" t="s">
        <v>633</v>
      </c>
      <c r="C239" s="455" t="s">
        <v>673</v>
      </c>
      <c r="D239" s="452" t="s">
        <v>368</v>
      </c>
      <c r="E239" s="452" t="s">
        <v>398</v>
      </c>
      <c r="F239" s="452" t="s">
        <v>370</v>
      </c>
      <c r="G239" s="452" t="s">
        <v>362</v>
      </c>
      <c r="H239" s="483">
        <v>1419163</v>
      </c>
      <c r="I239" s="483">
        <v>57.122222200000003</v>
      </c>
      <c r="J239" s="483">
        <v>-170.27500000000001</v>
      </c>
      <c r="L239" s="784"/>
      <c r="M239" s="787"/>
      <c r="N239" s="787"/>
      <c r="O239" s="787"/>
      <c r="P239" s="787"/>
    </row>
    <row r="240" spans="1:16" s="330" customFormat="1" ht="25.5" customHeight="1" x14ac:dyDescent="0.25">
      <c r="A240" s="456" t="s">
        <v>332</v>
      </c>
      <c r="B240" s="455" t="s">
        <v>331</v>
      </c>
      <c r="C240" s="455" t="s">
        <v>673</v>
      </c>
      <c r="D240" s="452" t="s">
        <v>368</v>
      </c>
      <c r="E240" s="452" t="s">
        <v>369</v>
      </c>
      <c r="F240" s="452" t="s">
        <v>370</v>
      </c>
      <c r="G240" s="452" t="s">
        <v>362</v>
      </c>
      <c r="H240" s="483">
        <v>1419182</v>
      </c>
      <c r="I240" s="483">
        <v>55.339722199999997</v>
      </c>
      <c r="J240" s="483">
        <v>-160.49722220000001</v>
      </c>
      <c r="L240" s="784"/>
      <c r="M240" s="787"/>
      <c r="N240" s="787"/>
      <c r="O240" s="787"/>
      <c r="P240" s="787"/>
    </row>
    <row r="241" spans="1:16" s="330" customFormat="1" ht="38.25" customHeight="1" x14ac:dyDescent="0.25">
      <c r="A241" s="456" t="s">
        <v>492</v>
      </c>
      <c r="B241" s="455" t="s">
        <v>637</v>
      </c>
      <c r="C241" s="455" t="s">
        <v>673</v>
      </c>
      <c r="D241" s="455" t="s">
        <v>368</v>
      </c>
      <c r="E241" s="452" t="s">
        <v>398</v>
      </c>
      <c r="F241" s="452" t="s">
        <v>370</v>
      </c>
      <c r="G241" s="452" t="s">
        <v>362</v>
      </c>
      <c r="H241" s="483">
        <v>1419424</v>
      </c>
      <c r="I241" s="483">
        <v>53.873611099999998</v>
      </c>
      <c r="J241" s="483">
        <v>-166.53666670000001</v>
      </c>
      <c r="L241" s="784"/>
      <c r="M241" s="787"/>
      <c r="N241" s="787"/>
      <c r="O241" s="787"/>
      <c r="P241" s="787"/>
    </row>
    <row r="242" spans="1:16" s="332" customFormat="1" ht="12.75" customHeight="1" x14ac:dyDescent="0.25">
      <c r="A242" s="456" t="s">
        <v>490</v>
      </c>
      <c r="B242" s="455" t="s">
        <v>637</v>
      </c>
      <c r="C242" s="455" t="s">
        <v>673</v>
      </c>
      <c r="D242" s="455" t="s">
        <v>368</v>
      </c>
      <c r="E242" s="452" t="s">
        <v>398</v>
      </c>
      <c r="F242" s="452" t="s">
        <v>370</v>
      </c>
      <c r="G242" s="452" t="s">
        <v>362</v>
      </c>
      <c r="H242" s="780">
        <v>1419726</v>
      </c>
      <c r="I242" s="483">
        <v>53.889800000000001</v>
      </c>
      <c r="J242" s="780">
        <v>-166.54220000000001</v>
      </c>
      <c r="K242" s="330"/>
      <c r="L242" s="784"/>
      <c r="M242" s="787"/>
      <c r="N242" s="787"/>
      <c r="O242" s="787"/>
      <c r="P242" s="787"/>
    </row>
    <row r="243" spans="1:16" s="332" customFormat="1" ht="12.75" customHeight="1" x14ac:dyDescent="0.25">
      <c r="A243" s="456" t="s">
        <v>202</v>
      </c>
      <c r="B243" s="455" t="s">
        <v>201</v>
      </c>
      <c r="C243" s="455" t="s">
        <v>673</v>
      </c>
      <c r="D243" s="452" t="s">
        <v>373</v>
      </c>
      <c r="E243" s="452" t="s">
        <v>421</v>
      </c>
      <c r="F243" s="452" t="s">
        <v>374</v>
      </c>
      <c r="G243" s="452" t="s">
        <v>372</v>
      </c>
      <c r="H243" s="780">
        <v>1420113</v>
      </c>
      <c r="I243" s="483">
        <v>57.503333300000001</v>
      </c>
      <c r="J243" s="780">
        <v>-134.58388890000001</v>
      </c>
      <c r="K243" s="330"/>
      <c r="L243" s="784"/>
      <c r="M243" s="787"/>
      <c r="N243" s="787"/>
      <c r="O243" s="787"/>
      <c r="P243" s="787"/>
    </row>
    <row r="244" spans="1:16" s="330" customFormat="1" ht="12.75" customHeight="1" x14ac:dyDescent="0.25">
      <c r="A244" s="456" t="s">
        <v>69</v>
      </c>
      <c r="B244" s="455" t="s">
        <v>524</v>
      </c>
      <c r="C244" s="455" t="s">
        <v>673</v>
      </c>
      <c r="D244" s="455" t="s">
        <v>390</v>
      </c>
      <c r="E244" s="452" t="s">
        <v>391</v>
      </c>
      <c r="F244" s="452" t="s">
        <v>390</v>
      </c>
      <c r="G244" s="452" t="s">
        <v>387</v>
      </c>
      <c r="H244" s="483">
        <v>1420670</v>
      </c>
      <c r="I244" s="483">
        <v>65.334722200000002</v>
      </c>
      <c r="J244" s="483">
        <v>-166.4891667</v>
      </c>
      <c r="L244" s="784"/>
      <c r="M244" s="787"/>
      <c r="N244" s="787"/>
      <c r="O244" s="787"/>
      <c r="P244" s="787"/>
    </row>
    <row r="245" spans="1:16" s="285" customFormat="1" x14ac:dyDescent="0.25">
      <c r="A245" s="456" t="s">
        <v>203</v>
      </c>
      <c r="B245" s="455" t="s">
        <v>201</v>
      </c>
      <c r="C245" s="455" t="s">
        <v>673</v>
      </c>
      <c r="D245" s="452" t="s">
        <v>373</v>
      </c>
      <c r="E245" s="452" t="s">
        <v>50</v>
      </c>
      <c r="F245" s="452" t="s">
        <v>374</v>
      </c>
      <c r="G245" s="452" t="s">
        <v>372</v>
      </c>
      <c r="H245" s="780">
        <v>1421022</v>
      </c>
      <c r="I245" s="483">
        <v>59.399701999999998</v>
      </c>
      <c r="J245" s="465">
        <v>-135.89640890000001</v>
      </c>
      <c r="K245" s="330"/>
      <c r="L245" s="784"/>
      <c r="M245" s="787"/>
      <c r="N245" s="787"/>
      <c r="O245" s="787"/>
      <c r="P245" s="787"/>
    </row>
    <row r="246" spans="1:16" s="330" customFormat="1" x14ac:dyDescent="0.25">
      <c r="A246" s="457" t="s">
        <v>786</v>
      </c>
      <c r="B246" s="455" t="s">
        <v>153</v>
      </c>
      <c r="C246" s="458" t="s">
        <v>675</v>
      </c>
      <c r="D246" s="458" t="s">
        <v>158</v>
      </c>
      <c r="E246" s="458" t="s">
        <v>414</v>
      </c>
      <c r="F246" s="452" t="s">
        <v>396</v>
      </c>
      <c r="G246" s="458" t="s">
        <v>358</v>
      </c>
      <c r="H246" s="515">
        <v>1421192</v>
      </c>
      <c r="I246" s="483">
        <v>60.49</v>
      </c>
      <c r="J246" s="515">
        <v>-149.8341667</v>
      </c>
      <c r="L246" s="784"/>
      <c r="M246" s="787"/>
      <c r="N246" s="787"/>
      <c r="O246" s="787"/>
      <c r="P246" s="787"/>
    </row>
    <row r="247" spans="1:16" s="332" customFormat="1" ht="33.75" customHeight="1" x14ac:dyDescent="0.25">
      <c r="A247" s="457" t="s">
        <v>169</v>
      </c>
      <c r="B247" s="455" t="s">
        <v>533</v>
      </c>
      <c r="C247" s="461" t="s">
        <v>673</v>
      </c>
      <c r="D247" s="371" t="s">
        <v>379</v>
      </c>
      <c r="E247" s="452" t="s">
        <v>380</v>
      </c>
      <c r="F247" s="452" t="s">
        <v>408</v>
      </c>
      <c r="G247" s="452" t="s">
        <v>358</v>
      </c>
      <c r="H247" s="781">
        <v>1421215</v>
      </c>
      <c r="I247" s="483">
        <v>60.542777800000003</v>
      </c>
      <c r="J247" s="781">
        <v>-145.75749999999999</v>
      </c>
      <c r="K247" s="330"/>
      <c r="L247" s="784"/>
      <c r="M247" s="787"/>
      <c r="N247" s="787"/>
      <c r="O247" s="787"/>
      <c r="P247" s="787"/>
    </row>
    <row r="248" spans="1:16" x14ac:dyDescent="0.25">
      <c r="A248" s="456" t="s">
        <v>144</v>
      </c>
      <c r="B248" s="455" t="s">
        <v>143</v>
      </c>
      <c r="C248" s="455" t="s">
        <v>673</v>
      </c>
      <c r="D248" s="452" t="s">
        <v>379</v>
      </c>
      <c r="E248" s="452" t="s">
        <v>380</v>
      </c>
      <c r="F248" s="452" t="s">
        <v>408</v>
      </c>
      <c r="G248" s="452" t="s">
        <v>358</v>
      </c>
      <c r="H248" s="483">
        <v>1421254</v>
      </c>
      <c r="I248" s="483">
        <v>60.063333299999996</v>
      </c>
      <c r="J248" s="780">
        <v>-148.01138889999999</v>
      </c>
      <c r="K248" s="330"/>
      <c r="L248" s="784"/>
      <c r="M248" s="787"/>
      <c r="N248" s="787"/>
      <c r="O248" s="787"/>
      <c r="P248" s="787"/>
    </row>
    <row r="249" spans="1:16" s="330" customFormat="1" x14ac:dyDescent="0.25">
      <c r="A249" s="456" t="s">
        <v>48</v>
      </c>
      <c r="B249" s="455" t="s">
        <v>43</v>
      </c>
      <c r="C249" s="455" t="s">
        <v>673</v>
      </c>
      <c r="D249" s="455" t="s">
        <v>373</v>
      </c>
      <c r="E249" s="452" t="s">
        <v>382</v>
      </c>
      <c r="F249" s="452" t="s">
        <v>374</v>
      </c>
      <c r="G249" s="452" t="s">
        <v>372</v>
      </c>
      <c r="H249" s="483">
        <v>1421260</v>
      </c>
      <c r="I249" s="483">
        <v>55.476388900000003</v>
      </c>
      <c r="J249" s="483">
        <v>-133.14833329999999</v>
      </c>
      <c r="L249" s="784"/>
      <c r="M249" s="787"/>
      <c r="N249" s="787"/>
      <c r="O249" s="787"/>
      <c r="P249" s="787"/>
    </row>
    <row r="250" spans="1:16" s="285" customFormat="1" x14ac:dyDescent="0.25">
      <c r="A250" s="457" t="s">
        <v>787</v>
      </c>
      <c r="B250" s="455" t="s">
        <v>153</v>
      </c>
      <c r="C250" s="458" t="s">
        <v>675</v>
      </c>
      <c r="D250" s="458" t="s">
        <v>158</v>
      </c>
      <c r="E250" s="458" t="s">
        <v>121</v>
      </c>
      <c r="F250" s="452" t="s">
        <v>396</v>
      </c>
      <c r="G250" s="458" t="s">
        <v>358</v>
      </c>
      <c r="H250" s="781">
        <v>1422161</v>
      </c>
      <c r="I250" s="483">
        <v>60.942500000000003</v>
      </c>
      <c r="J250" s="781">
        <v>-149.16638889999999</v>
      </c>
      <c r="K250" s="330"/>
      <c r="L250" s="784"/>
      <c r="M250" s="787"/>
      <c r="N250" s="787"/>
      <c r="O250" s="787"/>
      <c r="P250" s="787"/>
    </row>
    <row r="251" spans="1:16" x14ac:dyDescent="0.25">
      <c r="A251" s="456" t="s">
        <v>50</v>
      </c>
      <c r="B251" s="455" t="s">
        <v>43</v>
      </c>
      <c r="C251" s="455" t="s">
        <v>673</v>
      </c>
      <c r="D251" s="455" t="s">
        <v>373</v>
      </c>
      <c r="E251" s="452" t="s">
        <v>382</v>
      </c>
      <c r="F251" s="452" t="s">
        <v>374</v>
      </c>
      <c r="G251" s="452" t="s">
        <v>372</v>
      </c>
      <c r="H251" s="483">
        <v>1422400</v>
      </c>
      <c r="I251" s="483">
        <v>59.228588999999999</v>
      </c>
      <c r="J251" s="483">
        <v>-135.44411400000001</v>
      </c>
      <c r="K251" s="330"/>
      <c r="L251" s="784"/>
      <c r="M251" s="787"/>
      <c r="N251" s="787"/>
      <c r="O251" s="787"/>
      <c r="P251" s="787"/>
    </row>
    <row r="252" spans="1:16" x14ac:dyDescent="0.25">
      <c r="A252" s="457" t="s">
        <v>788</v>
      </c>
      <c r="B252" s="455" t="s">
        <v>153</v>
      </c>
      <c r="C252" s="458" t="s">
        <v>675</v>
      </c>
      <c r="D252" s="458" t="s">
        <v>158</v>
      </c>
      <c r="E252" s="458" t="s">
        <v>414</v>
      </c>
      <c r="F252" s="452" t="s">
        <v>396</v>
      </c>
      <c r="G252" s="458" t="s">
        <v>358</v>
      </c>
      <c r="H252" s="515">
        <v>1422645</v>
      </c>
      <c r="I252" s="483">
        <v>60.920277800000001</v>
      </c>
      <c r="J252" s="515">
        <v>-149.64027780000001</v>
      </c>
      <c r="K252" s="330"/>
      <c r="L252" s="784"/>
      <c r="M252" s="787"/>
      <c r="N252" s="787"/>
      <c r="O252" s="787"/>
      <c r="P252" s="787"/>
    </row>
    <row r="253" spans="1:16" x14ac:dyDescent="0.25">
      <c r="A253" s="456" t="s">
        <v>53</v>
      </c>
      <c r="B253" s="455" t="s">
        <v>43</v>
      </c>
      <c r="C253" s="455" t="s">
        <v>673</v>
      </c>
      <c r="D253" s="455" t="s">
        <v>373</v>
      </c>
      <c r="E253" s="452" t="s">
        <v>382</v>
      </c>
      <c r="F253" s="452" t="s">
        <v>374</v>
      </c>
      <c r="G253" s="452" t="s">
        <v>372</v>
      </c>
      <c r="H253" s="483">
        <v>1422709</v>
      </c>
      <c r="I253" s="483">
        <v>55.208055600000002</v>
      </c>
      <c r="J253" s="483">
        <v>-132.8266667</v>
      </c>
      <c r="K253" s="330"/>
      <c r="L253" s="784"/>
      <c r="M253" s="787"/>
      <c r="N253" s="787"/>
      <c r="O253" s="787"/>
      <c r="P253" s="787"/>
    </row>
    <row r="254" spans="1:16" x14ac:dyDescent="0.25">
      <c r="A254" s="456" t="s">
        <v>205</v>
      </c>
      <c r="B254" s="455" t="s">
        <v>201</v>
      </c>
      <c r="C254" s="455" t="s">
        <v>673</v>
      </c>
      <c r="D254" s="452" t="s">
        <v>373</v>
      </c>
      <c r="E254" s="452" t="s">
        <v>432</v>
      </c>
      <c r="F254" s="452" t="s">
        <v>374</v>
      </c>
      <c r="G254" s="452" t="s">
        <v>372</v>
      </c>
      <c r="H254" s="483">
        <v>1422926</v>
      </c>
      <c r="I254" s="483">
        <v>56.975833299999998</v>
      </c>
      <c r="J254" s="483">
        <v>-133.9472222</v>
      </c>
      <c r="K254" s="330"/>
      <c r="L254" s="784"/>
      <c r="M254" s="787"/>
      <c r="N254" s="787"/>
      <c r="O254" s="787"/>
      <c r="P254" s="787"/>
    </row>
    <row r="255" spans="1:16" x14ac:dyDescent="0.25">
      <c r="A255" s="456" t="s">
        <v>211</v>
      </c>
      <c r="B255" s="455" t="s">
        <v>209</v>
      </c>
      <c r="C255" s="455" t="s">
        <v>675</v>
      </c>
      <c r="D255" s="452" t="s">
        <v>373</v>
      </c>
      <c r="E255" s="452" t="s">
        <v>434</v>
      </c>
      <c r="F255" s="452" t="s">
        <v>374</v>
      </c>
      <c r="G255" s="452" t="s">
        <v>372</v>
      </c>
      <c r="H255" s="483">
        <v>1423039</v>
      </c>
      <c r="I255" s="483">
        <v>55.342222200000002</v>
      </c>
      <c r="J255" s="483">
        <v>-131.64611110000001</v>
      </c>
      <c r="K255" s="330"/>
      <c r="L255" s="784"/>
      <c r="M255" s="787"/>
      <c r="N255" s="787"/>
      <c r="O255" s="787"/>
      <c r="P255" s="787"/>
    </row>
    <row r="256" spans="1:16" x14ac:dyDescent="0.25">
      <c r="A256" s="456" t="s">
        <v>54</v>
      </c>
      <c r="B256" s="455" t="s">
        <v>43</v>
      </c>
      <c r="C256" s="455" t="s">
        <v>673</v>
      </c>
      <c r="D256" s="455" t="s">
        <v>373</v>
      </c>
      <c r="E256" s="452" t="s">
        <v>382</v>
      </c>
      <c r="F256" s="452" t="s">
        <v>374</v>
      </c>
      <c r="G256" s="452" t="s">
        <v>372</v>
      </c>
      <c r="H256" s="483">
        <v>1423100</v>
      </c>
      <c r="I256" s="483">
        <v>55.552222200000003</v>
      </c>
      <c r="J256" s="780">
        <v>-133.09583330000001</v>
      </c>
      <c r="K256" s="330"/>
      <c r="L256" s="784"/>
      <c r="M256" s="787"/>
      <c r="N256" s="787"/>
      <c r="O256" s="787"/>
      <c r="P256" s="787"/>
    </row>
    <row r="257" spans="1:16" x14ac:dyDescent="0.25">
      <c r="A257" s="456" t="s">
        <v>775</v>
      </c>
      <c r="B257" s="455" t="s">
        <v>43</v>
      </c>
      <c r="C257" s="455" t="s">
        <v>675</v>
      </c>
      <c r="D257" s="455" t="s">
        <v>373</v>
      </c>
      <c r="E257" s="452" t="s">
        <v>434</v>
      </c>
      <c r="F257" s="452" t="s">
        <v>374</v>
      </c>
      <c r="G257" s="452" t="s">
        <v>372</v>
      </c>
      <c r="H257" s="484">
        <v>1423422</v>
      </c>
      <c r="I257" s="483">
        <v>55.602499999999999</v>
      </c>
      <c r="J257" s="780">
        <v>-131.63611109999999</v>
      </c>
      <c r="K257" s="330"/>
      <c r="L257" s="784"/>
      <c r="M257" s="787"/>
      <c r="N257" s="787"/>
      <c r="O257" s="787"/>
      <c r="P257" s="787"/>
    </row>
    <row r="258" spans="1:16" ht="30" x14ac:dyDescent="0.25">
      <c r="A258" s="457" t="s">
        <v>826</v>
      </c>
      <c r="B258" s="455" t="s">
        <v>1100</v>
      </c>
      <c r="C258" s="458" t="s">
        <v>675</v>
      </c>
      <c r="D258" s="452" t="s">
        <v>158</v>
      </c>
      <c r="E258" s="459" t="s">
        <v>425</v>
      </c>
      <c r="F258" s="452" t="s">
        <v>378</v>
      </c>
      <c r="G258" s="458" t="s">
        <v>358</v>
      </c>
      <c r="H258" s="515">
        <v>1423625</v>
      </c>
      <c r="I258" s="483">
        <v>63.732777800000001</v>
      </c>
      <c r="J258" s="515">
        <v>-148.91416670000001</v>
      </c>
      <c r="K258" s="330"/>
      <c r="L258" s="784"/>
      <c r="M258" s="787"/>
      <c r="N258" s="787"/>
      <c r="O258" s="787"/>
      <c r="P258" s="787"/>
    </row>
    <row r="259" spans="1:16" x14ac:dyDescent="0.25">
      <c r="A259" s="456" t="s">
        <v>247</v>
      </c>
      <c r="B259" s="455" t="s">
        <v>245</v>
      </c>
      <c r="C259" s="455" t="s">
        <v>675</v>
      </c>
      <c r="D259" s="452" t="s">
        <v>373</v>
      </c>
      <c r="E259" s="452" t="s">
        <v>382</v>
      </c>
      <c r="F259" s="452" t="s">
        <v>374</v>
      </c>
      <c r="G259" s="452" t="s">
        <v>372</v>
      </c>
      <c r="H259" s="483">
        <v>1423661</v>
      </c>
      <c r="I259" s="483">
        <v>55.129166699999999</v>
      </c>
      <c r="J259" s="483">
        <v>-131.5722222</v>
      </c>
      <c r="K259" s="330"/>
      <c r="L259" s="784"/>
      <c r="M259" s="787"/>
      <c r="N259" s="787"/>
      <c r="O259" s="787"/>
      <c r="P259" s="787"/>
    </row>
    <row r="260" spans="1:16" x14ac:dyDescent="0.25">
      <c r="A260" s="456" t="s">
        <v>293</v>
      </c>
      <c r="B260" s="455" t="s">
        <v>292</v>
      </c>
      <c r="C260" s="455" t="s">
        <v>673</v>
      </c>
      <c r="D260" s="452" t="s">
        <v>373</v>
      </c>
      <c r="E260" s="452" t="s">
        <v>421</v>
      </c>
      <c r="F260" s="452" t="s">
        <v>374</v>
      </c>
      <c r="G260" s="452" t="s">
        <v>372</v>
      </c>
      <c r="H260" s="483">
        <v>1424201</v>
      </c>
      <c r="I260" s="483">
        <v>57.960833299999997</v>
      </c>
      <c r="J260" s="483">
        <v>-136.22749999999999</v>
      </c>
      <c r="K260" s="330"/>
      <c r="L260" s="784"/>
      <c r="M260" s="787"/>
      <c r="N260" s="787"/>
      <c r="O260" s="787"/>
      <c r="P260" s="787"/>
    </row>
    <row r="261" spans="1:16" x14ac:dyDescent="0.25">
      <c r="A261" s="456" t="s">
        <v>295</v>
      </c>
      <c r="B261" s="455" t="s">
        <v>294</v>
      </c>
      <c r="C261" s="455" t="s">
        <v>675</v>
      </c>
      <c r="D261" s="455" t="s">
        <v>373</v>
      </c>
      <c r="E261" s="452" t="s">
        <v>432</v>
      </c>
      <c r="F261" s="452" t="s">
        <v>374</v>
      </c>
      <c r="G261" s="452" t="s">
        <v>372</v>
      </c>
      <c r="H261" s="483">
        <v>1424228</v>
      </c>
      <c r="I261" s="483">
        <v>56.811266699999997</v>
      </c>
      <c r="J261" s="483">
        <v>-132.95124250000001</v>
      </c>
      <c r="K261" s="330"/>
      <c r="L261" s="784"/>
      <c r="M261" s="787"/>
      <c r="N261" s="787"/>
      <c r="O261" s="787"/>
      <c r="P261" s="787"/>
    </row>
    <row r="262" spans="1:16" x14ac:dyDescent="0.25">
      <c r="A262" s="464" t="s">
        <v>797</v>
      </c>
      <c r="B262" s="455" t="s">
        <v>310</v>
      </c>
      <c r="C262" s="460" t="s">
        <v>675</v>
      </c>
      <c r="D262" s="452" t="s">
        <v>158</v>
      </c>
      <c r="E262" s="460" t="s">
        <v>414</v>
      </c>
      <c r="F262" s="452" t="s">
        <v>408</v>
      </c>
      <c r="G262" s="460" t="s">
        <v>358</v>
      </c>
      <c r="H262" s="779">
        <v>1424646</v>
      </c>
      <c r="I262" s="483">
        <v>60.343611099999997</v>
      </c>
      <c r="J262" s="779">
        <v>-149.34416669999999</v>
      </c>
      <c r="K262" s="330"/>
      <c r="L262" s="784"/>
      <c r="M262" s="787"/>
      <c r="N262" s="787"/>
      <c r="O262" s="787"/>
      <c r="P262" s="787"/>
    </row>
    <row r="263" spans="1:16" x14ac:dyDescent="0.25">
      <c r="A263" s="456" t="s">
        <v>107</v>
      </c>
      <c r="B263" s="455" t="s">
        <v>524</v>
      </c>
      <c r="C263" s="455" t="s">
        <v>673</v>
      </c>
      <c r="D263" s="455" t="s">
        <v>390</v>
      </c>
      <c r="E263" s="452" t="s">
        <v>391</v>
      </c>
      <c r="F263" s="452" t="s">
        <v>390</v>
      </c>
      <c r="G263" s="452" t="s">
        <v>387</v>
      </c>
      <c r="H263" s="483">
        <v>1669434</v>
      </c>
      <c r="I263" s="483">
        <v>64.333888900000005</v>
      </c>
      <c r="J263" s="483">
        <v>-161.1538889</v>
      </c>
      <c r="K263" s="330"/>
      <c r="L263" s="784"/>
      <c r="M263" s="787"/>
      <c r="N263" s="787"/>
      <c r="O263" s="787"/>
      <c r="P263" s="787"/>
    </row>
    <row r="264" spans="1:16" x14ac:dyDescent="0.25">
      <c r="A264" s="456" t="s">
        <v>781</v>
      </c>
      <c r="B264" s="455" t="s">
        <v>43</v>
      </c>
      <c r="C264" s="455" t="s">
        <v>673</v>
      </c>
      <c r="D264" s="455" t="s">
        <v>373</v>
      </c>
      <c r="E264" s="452" t="s">
        <v>382</v>
      </c>
      <c r="F264" s="452" t="s">
        <v>374</v>
      </c>
      <c r="G264" s="452" t="s">
        <v>372</v>
      </c>
      <c r="H264" s="483">
        <v>1669435</v>
      </c>
      <c r="I264" s="483">
        <v>55.687777799999999</v>
      </c>
      <c r="J264" s="483">
        <v>-132.52222219999999</v>
      </c>
      <c r="K264" s="330"/>
      <c r="L264" s="784"/>
      <c r="M264" s="787"/>
      <c r="N264" s="787"/>
      <c r="O264" s="787"/>
      <c r="P264" s="787"/>
    </row>
    <row r="265" spans="1:16" x14ac:dyDescent="0.25">
      <c r="A265" s="456" t="s">
        <v>47</v>
      </c>
      <c r="B265" s="455" t="s">
        <v>43</v>
      </c>
      <c r="C265" s="455" t="s">
        <v>673</v>
      </c>
      <c r="D265" s="455" t="s">
        <v>373</v>
      </c>
      <c r="E265" s="452" t="s">
        <v>382</v>
      </c>
      <c r="F265" s="452" t="s">
        <v>374</v>
      </c>
      <c r="G265" s="452" t="s">
        <v>372</v>
      </c>
      <c r="H265" s="483">
        <v>1669437</v>
      </c>
      <c r="I265" s="483">
        <v>56.013888899999998</v>
      </c>
      <c r="J265" s="483">
        <v>-132.82777780000001</v>
      </c>
      <c r="K265" s="330"/>
      <c r="L265" s="784"/>
      <c r="M265" s="787"/>
      <c r="N265" s="787"/>
      <c r="O265" s="787"/>
      <c r="P265" s="787"/>
    </row>
    <row r="266" spans="1:16" x14ac:dyDescent="0.25">
      <c r="A266" s="456" t="s">
        <v>130</v>
      </c>
      <c r="B266" s="455" t="s">
        <v>129</v>
      </c>
      <c r="C266" s="455" t="s">
        <v>673</v>
      </c>
      <c r="D266" s="452" t="s">
        <v>363</v>
      </c>
      <c r="E266" s="452" t="s">
        <v>364</v>
      </c>
      <c r="F266" s="452" t="s">
        <v>365</v>
      </c>
      <c r="G266" s="452" t="s">
        <v>362</v>
      </c>
      <c r="H266" s="483">
        <v>1699811</v>
      </c>
      <c r="I266" s="483">
        <v>60.866944400000001</v>
      </c>
      <c r="J266" s="483">
        <v>-162.27305559999999</v>
      </c>
      <c r="K266" s="330"/>
      <c r="L266" s="784"/>
      <c r="M266" s="787"/>
      <c r="N266" s="787"/>
      <c r="O266" s="787"/>
      <c r="P266" s="787"/>
    </row>
    <row r="267" spans="1:16" x14ac:dyDescent="0.25">
      <c r="A267" s="456" t="s">
        <v>65</v>
      </c>
      <c r="B267" s="455" t="s">
        <v>43</v>
      </c>
      <c r="C267" s="455" t="s">
        <v>673</v>
      </c>
      <c r="D267" s="455" t="s">
        <v>373</v>
      </c>
      <c r="E267" s="452" t="s">
        <v>382</v>
      </c>
      <c r="F267" s="452" t="s">
        <v>374</v>
      </c>
      <c r="G267" s="452" t="s">
        <v>372</v>
      </c>
      <c r="H267" s="483">
        <v>1744590</v>
      </c>
      <c r="I267" s="483">
        <v>56.115277800000001</v>
      </c>
      <c r="J267" s="483">
        <v>-133.12083329999999</v>
      </c>
      <c r="K267" s="330"/>
      <c r="L267" s="784"/>
      <c r="M267" s="787"/>
      <c r="N267" s="787"/>
      <c r="O267" s="787"/>
      <c r="P267" s="787"/>
    </row>
    <row r="268" spans="1:16" x14ac:dyDescent="0.25">
      <c r="A268" s="457" t="s">
        <v>841</v>
      </c>
      <c r="B268" s="455" t="s">
        <v>193</v>
      </c>
      <c r="C268" s="452" t="s">
        <v>675</v>
      </c>
      <c r="D268" s="452" t="s">
        <v>158</v>
      </c>
      <c r="E268" s="452" t="s">
        <v>414</v>
      </c>
      <c r="F268" s="452" t="s">
        <v>396</v>
      </c>
      <c r="G268" s="458" t="s">
        <v>358</v>
      </c>
      <c r="H268" s="515">
        <v>1781963</v>
      </c>
      <c r="I268" s="483">
        <v>59.594999999999999</v>
      </c>
      <c r="J268" s="515">
        <v>-151.22499999999999</v>
      </c>
      <c r="K268" s="330"/>
      <c r="L268" s="784"/>
      <c r="M268" s="787"/>
      <c r="N268" s="787"/>
      <c r="O268" s="787"/>
      <c r="P268" s="787"/>
    </row>
    <row r="269" spans="1:16" x14ac:dyDescent="0.25">
      <c r="A269" s="457" t="s">
        <v>811</v>
      </c>
      <c r="B269" s="455" t="s">
        <v>533</v>
      </c>
      <c r="C269" s="461" t="s">
        <v>673</v>
      </c>
      <c r="D269" s="371" t="s">
        <v>379</v>
      </c>
      <c r="E269" s="452" t="s">
        <v>380</v>
      </c>
      <c r="F269" s="452" t="s">
        <v>408</v>
      </c>
      <c r="G269" s="452" t="s">
        <v>358</v>
      </c>
      <c r="H269" s="515">
        <v>1805281</v>
      </c>
      <c r="I269" s="483">
        <v>60.526294</v>
      </c>
      <c r="J269" s="779">
        <v>-145.6351157</v>
      </c>
      <c r="K269" s="330"/>
      <c r="L269" s="784"/>
      <c r="M269" s="787"/>
      <c r="N269" s="787"/>
      <c r="O269" s="787"/>
      <c r="P269" s="787"/>
    </row>
    <row r="270" spans="1:16" x14ac:dyDescent="0.25">
      <c r="A270" s="456" t="s">
        <v>767</v>
      </c>
      <c r="B270" s="455" t="s">
        <v>43</v>
      </c>
      <c r="C270" s="455" t="s">
        <v>673</v>
      </c>
      <c r="D270" s="455" t="s">
        <v>376</v>
      </c>
      <c r="E270" s="452" t="s">
        <v>377</v>
      </c>
      <c r="F270" s="452" t="s">
        <v>378</v>
      </c>
      <c r="G270" s="452" t="s">
        <v>375</v>
      </c>
      <c r="H270" s="483">
        <v>1865542</v>
      </c>
      <c r="I270" s="483">
        <v>66.557222199999998</v>
      </c>
      <c r="J270" s="483">
        <v>-152.70722219999999</v>
      </c>
      <c r="K270" s="330"/>
      <c r="L270" s="784"/>
      <c r="M270" s="787"/>
      <c r="N270" s="787"/>
      <c r="O270" s="787"/>
      <c r="P270" s="787"/>
    </row>
    <row r="271" spans="1:16" x14ac:dyDescent="0.25">
      <c r="A271" s="457" t="s">
        <v>794</v>
      </c>
      <c r="B271" s="455" t="s">
        <v>310</v>
      </c>
      <c r="C271" s="458" t="s">
        <v>675</v>
      </c>
      <c r="D271" s="459" t="s">
        <v>158</v>
      </c>
      <c r="E271" s="458" t="s">
        <v>414</v>
      </c>
      <c r="F271" s="452" t="s">
        <v>408</v>
      </c>
      <c r="G271" s="458" t="s">
        <v>358</v>
      </c>
      <c r="H271" s="515">
        <v>1865547</v>
      </c>
      <c r="I271" s="483">
        <v>60.164166700000003</v>
      </c>
      <c r="J271" s="515">
        <v>-149.39500000000001</v>
      </c>
      <c r="K271" s="330"/>
      <c r="L271" s="784"/>
      <c r="M271" s="787"/>
      <c r="N271" s="787"/>
      <c r="O271" s="787"/>
      <c r="P271" s="787"/>
    </row>
    <row r="272" spans="1:16" x14ac:dyDescent="0.25">
      <c r="A272" s="457" t="s">
        <v>157</v>
      </c>
      <c r="B272" s="455" t="s">
        <v>153</v>
      </c>
      <c r="C272" s="458" t="s">
        <v>675</v>
      </c>
      <c r="D272" s="458" t="s">
        <v>158</v>
      </c>
      <c r="E272" s="458" t="s">
        <v>414</v>
      </c>
      <c r="F272" s="452" t="s">
        <v>396</v>
      </c>
      <c r="G272" s="458" t="s">
        <v>358</v>
      </c>
      <c r="H272" s="515">
        <v>1865548</v>
      </c>
      <c r="I272" s="483">
        <v>61.141111100000003</v>
      </c>
      <c r="J272" s="515">
        <v>-151.0827778</v>
      </c>
      <c r="K272" s="330"/>
      <c r="L272" s="784"/>
      <c r="M272" s="787"/>
      <c r="N272" s="787"/>
      <c r="O272" s="787"/>
      <c r="P272" s="787"/>
    </row>
    <row r="273" spans="1:16" x14ac:dyDescent="0.25">
      <c r="A273" s="457" t="s">
        <v>837</v>
      </c>
      <c r="B273" s="455" t="s">
        <v>193</v>
      </c>
      <c r="C273" s="452" t="s">
        <v>675</v>
      </c>
      <c r="D273" s="452" t="s">
        <v>158</v>
      </c>
      <c r="E273" s="452" t="s">
        <v>414</v>
      </c>
      <c r="F273" s="452" t="s">
        <v>396</v>
      </c>
      <c r="G273" s="458" t="s">
        <v>358</v>
      </c>
      <c r="H273" s="515">
        <v>1865549</v>
      </c>
      <c r="I273" s="483">
        <v>59.6761111</v>
      </c>
      <c r="J273" s="515">
        <v>-151.5575</v>
      </c>
      <c r="K273" s="330"/>
      <c r="L273" s="784"/>
      <c r="M273" s="787"/>
      <c r="N273" s="787"/>
      <c r="O273" s="787"/>
      <c r="P273" s="787"/>
    </row>
    <row r="274" spans="1:16" x14ac:dyDescent="0.25">
      <c r="A274" s="456" t="s">
        <v>771</v>
      </c>
      <c r="B274" s="455" t="s">
        <v>43</v>
      </c>
      <c r="C274" s="455" t="s">
        <v>673</v>
      </c>
      <c r="D274" s="455" t="s">
        <v>376</v>
      </c>
      <c r="E274" s="452" t="s">
        <v>383</v>
      </c>
      <c r="F274" s="452" t="s">
        <v>378</v>
      </c>
      <c r="G274" s="452" t="s">
        <v>375</v>
      </c>
      <c r="H274" s="483">
        <v>1865550</v>
      </c>
      <c r="I274" s="483">
        <v>63.650833300000002</v>
      </c>
      <c r="J274" s="483">
        <v>-144.04388890000001</v>
      </c>
      <c r="K274" s="330"/>
      <c r="L274" s="784"/>
      <c r="M274" s="787"/>
      <c r="N274" s="787"/>
      <c r="O274" s="787"/>
      <c r="P274" s="787"/>
    </row>
    <row r="275" spans="1:16" x14ac:dyDescent="0.25">
      <c r="A275" s="457" t="s">
        <v>840</v>
      </c>
      <c r="B275" s="455" t="s">
        <v>193</v>
      </c>
      <c r="C275" s="452" t="s">
        <v>675</v>
      </c>
      <c r="D275" s="452" t="s">
        <v>158</v>
      </c>
      <c r="E275" s="452" t="s">
        <v>414</v>
      </c>
      <c r="F275" s="452" t="s">
        <v>396</v>
      </c>
      <c r="G275" s="458" t="s">
        <v>358</v>
      </c>
      <c r="H275" s="515">
        <v>1865552</v>
      </c>
      <c r="I275" s="483">
        <v>60.501944399999999</v>
      </c>
      <c r="J275" s="515">
        <v>-150.7622222</v>
      </c>
      <c r="K275" s="330"/>
      <c r="L275" s="784"/>
      <c r="M275" s="787"/>
      <c r="N275" s="787"/>
      <c r="O275" s="787"/>
      <c r="P275" s="787"/>
    </row>
    <row r="276" spans="1:16" x14ac:dyDescent="0.25">
      <c r="A276" s="457" t="s">
        <v>864</v>
      </c>
      <c r="B276" s="455" t="s">
        <v>1101</v>
      </c>
      <c r="C276" s="452" t="s">
        <v>675</v>
      </c>
      <c r="D276" s="459" t="s">
        <v>158</v>
      </c>
      <c r="E276" s="459" t="s">
        <v>918</v>
      </c>
      <c r="F276" s="452" t="s">
        <v>396</v>
      </c>
      <c r="G276" s="458" t="s">
        <v>358</v>
      </c>
      <c r="H276" s="515">
        <v>1865553</v>
      </c>
      <c r="I276" s="483">
        <v>61.572777799999997</v>
      </c>
      <c r="J276" s="515">
        <v>-149.24083329999999</v>
      </c>
      <c r="K276" s="330"/>
      <c r="L276" s="784"/>
      <c r="M276" s="787"/>
      <c r="N276" s="787"/>
      <c r="O276" s="787"/>
      <c r="P276" s="787"/>
    </row>
    <row r="277" spans="1:16" x14ac:dyDescent="0.25">
      <c r="A277" s="457" t="s">
        <v>868</v>
      </c>
      <c r="B277" s="455" t="s">
        <v>1101</v>
      </c>
      <c r="C277" s="452" t="s">
        <v>675</v>
      </c>
      <c r="D277" s="459" t="s">
        <v>158</v>
      </c>
      <c r="E277" s="459" t="s">
        <v>918</v>
      </c>
      <c r="F277" s="452" t="s">
        <v>396</v>
      </c>
      <c r="G277" s="458" t="s">
        <v>358</v>
      </c>
      <c r="H277" s="515">
        <v>1865556</v>
      </c>
      <c r="I277" s="483">
        <v>62.281388900000003</v>
      </c>
      <c r="J277" s="515">
        <v>-146.55111110000001</v>
      </c>
      <c r="K277" s="330"/>
      <c r="L277" s="784"/>
      <c r="M277" s="787"/>
      <c r="N277" s="787"/>
      <c r="O277" s="787"/>
      <c r="P277" s="787"/>
    </row>
    <row r="278" spans="1:16" x14ac:dyDescent="0.25">
      <c r="A278" s="457" t="s">
        <v>796</v>
      </c>
      <c r="B278" s="455" t="s">
        <v>310</v>
      </c>
      <c r="C278" s="458" t="s">
        <v>675</v>
      </c>
      <c r="D278" s="459" t="s">
        <v>158</v>
      </c>
      <c r="E278" s="458" t="s">
        <v>414</v>
      </c>
      <c r="F278" s="452" t="s">
        <v>408</v>
      </c>
      <c r="G278" s="458" t="s">
        <v>358</v>
      </c>
      <c r="H278" s="515">
        <v>1865557</v>
      </c>
      <c r="I278" s="483">
        <v>60.072499999999998</v>
      </c>
      <c r="J278" s="515">
        <v>-149.4411111</v>
      </c>
      <c r="K278" s="330"/>
      <c r="L278" s="784"/>
      <c r="M278" s="787"/>
      <c r="N278" s="787"/>
      <c r="O278" s="787"/>
      <c r="P278" s="787"/>
    </row>
    <row r="279" spans="1:16" x14ac:dyDescent="0.25">
      <c r="A279" s="457" t="s">
        <v>805</v>
      </c>
      <c r="B279" s="455" t="s">
        <v>164</v>
      </c>
      <c r="C279" s="455" t="s">
        <v>675</v>
      </c>
      <c r="D279" s="452" t="s">
        <v>379</v>
      </c>
      <c r="E279" s="458" t="s">
        <v>380</v>
      </c>
      <c r="F279" s="452" t="s">
        <v>408</v>
      </c>
      <c r="G279" s="458" t="s">
        <v>358</v>
      </c>
      <c r="H279" s="515">
        <v>1865559</v>
      </c>
      <c r="I279" s="483">
        <v>61.991944400000001</v>
      </c>
      <c r="J279" s="515">
        <v>-146.76861109999999</v>
      </c>
      <c r="K279" s="330"/>
      <c r="L279" s="784"/>
      <c r="M279" s="787"/>
      <c r="N279" s="787"/>
      <c r="O279" s="787"/>
      <c r="P279" s="787"/>
    </row>
    <row r="280" spans="1:16" x14ac:dyDescent="0.25">
      <c r="A280" s="457" t="s">
        <v>873</v>
      </c>
      <c r="B280" s="455" t="s">
        <v>1101</v>
      </c>
      <c r="C280" s="452" t="s">
        <v>675</v>
      </c>
      <c r="D280" s="459" t="s">
        <v>158</v>
      </c>
      <c r="E280" s="459" t="s">
        <v>918</v>
      </c>
      <c r="F280" s="452" t="s">
        <v>396</v>
      </c>
      <c r="G280" s="458" t="s">
        <v>358</v>
      </c>
      <c r="H280" s="515">
        <v>1865561</v>
      </c>
      <c r="I280" s="483">
        <v>61.3597222</v>
      </c>
      <c r="J280" s="515">
        <v>-149.9783333</v>
      </c>
      <c r="K280" s="330"/>
      <c r="L280" s="784"/>
      <c r="M280" s="787"/>
      <c r="N280" s="787"/>
      <c r="O280" s="787"/>
      <c r="P280" s="787"/>
    </row>
    <row r="281" spans="1:16" x14ac:dyDescent="0.25">
      <c r="A281" s="457" t="s">
        <v>877</v>
      </c>
      <c r="B281" s="455" t="s">
        <v>1101</v>
      </c>
      <c r="C281" s="452" t="s">
        <v>675</v>
      </c>
      <c r="D281" s="459" t="s">
        <v>158</v>
      </c>
      <c r="E281" s="459" t="s">
        <v>918</v>
      </c>
      <c r="F281" s="452" t="s">
        <v>396</v>
      </c>
      <c r="G281" s="458" t="s">
        <v>358</v>
      </c>
      <c r="H281" s="515">
        <v>1865567</v>
      </c>
      <c r="I281" s="483">
        <v>61.626944399999999</v>
      </c>
      <c r="J281" s="515">
        <v>-149.42805559999999</v>
      </c>
      <c r="K281" s="330"/>
      <c r="L281" s="784"/>
      <c r="M281" s="787"/>
      <c r="N281" s="787"/>
      <c r="O281" s="787"/>
      <c r="P281" s="787"/>
    </row>
    <row r="282" spans="1:16" x14ac:dyDescent="0.25">
      <c r="A282" s="457" t="s">
        <v>808</v>
      </c>
      <c r="B282" s="455" t="s">
        <v>164</v>
      </c>
      <c r="C282" s="455" t="s">
        <v>675</v>
      </c>
      <c r="D282" s="452" t="s">
        <v>379</v>
      </c>
      <c r="E282" s="458" t="s">
        <v>380</v>
      </c>
      <c r="F282" s="452" t="s">
        <v>408</v>
      </c>
      <c r="G282" s="458" t="s">
        <v>358</v>
      </c>
      <c r="H282" s="515">
        <v>1865569</v>
      </c>
      <c r="I282" s="483">
        <v>62.083888899999998</v>
      </c>
      <c r="J282" s="515">
        <v>-146.07027780000001</v>
      </c>
      <c r="K282" s="330"/>
      <c r="L282" s="784"/>
      <c r="M282" s="787"/>
      <c r="N282" s="787"/>
      <c r="O282" s="787"/>
      <c r="P282" s="787"/>
    </row>
    <row r="283" spans="1:16" x14ac:dyDescent="0.25">
      <c r="A283" s="457" t="s">
        <v>856</v>
      </c>
      <c r="B283" s="455" t="s">
        <v>1101</v>
      </c>
      <c r="C283" s="452" t="s">
        <v>675</v>
      </c>
      <c r="D283" s="459" t="s">
        <v>158</v>
      </c>
      <c r="E283" s="459" t="s">
        <v>918</v>
      </c>
      <c r="F283" s="452" t="s">
        <v>396</v>
      </c>
      <c r="G283" s="458" t="s">
        <v>358</v>
      </c>
      <c r="H283" s="515">
        <v>1866933</v>
      </c>
      <c r="I283" s="483">
        <v>61.521388899999998</v>
      </c>
      <c r="J283" s="515">
        <v>-149.9544444</v>
      </c>
      <c r="K283" s="330"/>
      <c r="L283" s="784"/>
      <c r="M283" s="787"/>
      <c r="N283" s="787"/>
      <c r="O283" s="787"/>
      <c r="P283" s="787"/>
    </row>
    <row r="284" spans="1:16" x14ac:dyDescent="0.25">
      <c r="A284" s="457" t="s">
        <v>859</v>
      </c>
      <c r="B284" s="455" t="s">
        <v>1101</v>
      </c>
      <c r="C284" s="452" t="s">
        <v>675</v>
      </c>
      <c r="D284" s="459" t="s">
        <v>158</v>
      </c>
      <c r="E284" s="459" t="s">
        <v>918</v>
      </c>
      <c r="F284" s="452" t="s">
        <v>396</v>
      </c>
      <c r="G284" s="458" t="s">
        <v>358</v>
      </c>
      <c r="H284" s="515">
        <v>1866934</v>
      </c>
      <c r="I284" s="483">
        <v>62.449166699999999</v>
      </c>
      <c r="J284" s="515">
        <v>-150.10166670000001</v>
      </c>
      <c r="K284" s="330"/>
      <c r="L284" s="784"/>
      <c r="M284" s="787"/>
      <c r="N284" s="787"/>
      <c r="O284" s="787"/>
      <c r="P284" s="787"/>
    </row>
    <row r="285" spans="1:16" x14ac:dyDescent="0.25">
      <c r="A285" s="457" t="s">
        <v>882</v>
      </c>
      <c r="B285" s="455" t="s">
        <v>221</v>
      </c>
      <c r="C285" s="455" t="s">
        <v>675</v>
      </c>
      <c r="D285" s="452" t="s">
        <v>222</v>
      </c>
      <c r="E285" s="459" t="s">
        <v>359</v>
      </c>
      <c r="F285" s="452" t="s">
        <v>360</v>
      </c>
      <c r="G285" s="458" t="s">
        <v>358</v>
      </c>
      <c r="H285" s="515">
        <v>1866935</v>
      </c>
      <c r="I285" s="483">
        <v>57.631944400000002</v>
      </c>
      <c r="J285" s="515">
        <v>-152.1825</v>
      </c>
      <c r="K285" s="330"/>
      <c r="L285" s="784"/>
      <c r="M285" s="787"/>
      <c r="N285" s="787"/>
      <c r="O285" s="787"/>
      <c r="P285" s="787"/>
    </row>
    <row r="286" spans="1:16" x14ac:dyDescent="0.25">
      <c r="A286" s="457" t="s">
        <v>799</v>
      </c>
      <c r="B286" s="455" t="s">
        <v>164</v>
      </c>
      <c r="C286" s="455" t="s">
        <v>675</v>
      </c>
      <c r="D286" s="452" t="s">
        <v>379</v>
      </c>
      <c r="E286" s="458" t="s">
        <v>380</v>
      </c>
      <c r="F286" s="452" t="s">
        <v>408</v>
      </c>
      <c r="G286" s="458" t="s">
        <v>358</v>
      </c>
      <c r="H286" s="515">
        <v>1866937</v>
      </c>
      <c r="I286" s="483">
        <v>62.043888899999999</v>
      </c>
      <c r="J286" s="515">
        <v>-145.4205556</v>
      </c>
      <c r="K286" s="330"/>
      <c r="L286" s="784"/>
      <c r="M286" s="787"/>
      <c r="N286" s="787"/>
      <c r="O286" s="787"/>
      <c r="P286" s="787"/>
    </row>
    <row r="287" spans="1:16" x14ac:dyDescent="0.25">
      <c r="A287" s="456" t="s">
        <v>769</v>
      </c>
      <c r="B287" s="455" t="s">
        <v>43</v>
      </c>
      <c r="C287" s="455" t="s">
        <v>673</v>
      </c>
      <c r="D287" s="455" t="s">
        <v>373</v>
      </c>
      <c r="E287" s="452" t="s">
        <v>382</v>
      </c>
      <c r="F287" s="452" t="s">
        <v>374</v>
      </c>
      <c r="G287" s="452" t="s">
        <v>372</v>
      </c>
      <c r="H287" s="483">
        <v>1866938</v>
      </c>
      <c r="I287" s="483">
        <v>59.417222199999998</v>
      </c>
      <c r="J287" s="483">
        <v>-136.02500000000001</v>
      </c>
      <c r="K287" s="330"/>
      <c r="L287" s="784"/>
      <c r="M287" s="787"/>
      <c r="N287" s="787"/>
      <c r="O287" s="787"/>
      <c r="P287" s="787"/>
    </row>
    <row r="288" spans="1:16" x14ac:dyDescent="0.25">
      <c r="A288" s="456" t="s">
        <v>488</v>
      </c>
      <c r="B288" s="455" t="s">
        <v>539</v>
      </c>
      <c r="C288" s="455" t="s">
        <v>675</v>
      </c>
      <c r="D288" s="452" t="s">
        <v>401</v>
      </c>
      <c r="E288" s="452" t="s">
        <v>388</v>
      </c>
      <c r="F288" s="452" t="s">
        <v>389</v>
      </c>
      <c r="G288" s="452" t="s">
        <v>358</v>
      </c>
      <c r="H288" s="483">
        <v>1866941</v>
      </c>
      <c r="I288" s="483">
        <v>70.205555599999997</v>
      </c>
      <c r="J288" s="483">
        <v>-148.51166670000001</v>
      </c>
      <c r="K288" s="330"/>
      <c r="L288" s="784"/>
      <c r="M288" s="787"/>
      <c r="N288" s="787"/>
      <c r="O288" s="787"/>
      <c r="P288" s="787"/>
    </row>
    <row r="289" spans="1:16" x14ac:dyDescent="0.25">
      <c r="A289" s="457" t="s">
        <v>838</v>
      </c>
      <c r="B289" s="455" t="s">
        <v>193</v>
      </c>
      <c r="C289" s="452" t="s">
        <v>675</v>
      </c>
      <c r="D289" s="452" t="s">
        <v>158</v>
      </c>
      <c r="E289" s="452" t="s">
        <v>414</v>
      </c>
      <c r="F289" s="452" t="s">
        <v>396</v>
      </c>
      <c r="G289" s="458" t="s">
        <v>358</v>
      </c>
      <c r="H289" s="515">
        <v>1866945</v>
      </c>
      <c r="I289" s="483">
        <v>59.858333299999998</v>
      </c>
      <c r="J289" s="515">
        <v>-150.95833329999999</v>
      </c>
      <c r="K289" s="330"/>
      <c r="L289" s="784"/>
      <c r="M289" s="787"/>
      <c r="N289" s="787"/>
      <c r="O289" s="787"/>
      <c r="P289" s="787"/>
    </row>
    <row r="290" spans="1:16" x14ac:dyDescent="0.25">
      <c r="A290" s="457" t="s">
        <v>839</v>
      </c>
      <c r="B290" s="455" t="s">
        <v>193</v>
      </c>
      <c r="C290" s="452" t="s">
        <v>675</v>
      </c>
      <c r="D290" s="452" t="s">
        <v>158</v>
      </c>
      <c r="E290" s="452" t="s">
        <v>414</v>
      </c>
      <c r="F290" s="452" t="s">
        <v>396</v>
      </c>
      <c r="G290" s="458" t="s">
        <v>358</v>
      </c>
      <c r="H290" s="515">
        <v>1866947</v>
      </c>
      <c r="I290" s="483">
        <v>59.736111100000002</v>
      </c>
      <c r="J290" s="515">
        <v>-151.29527780000001</v>
      </c>
      <c r="K290" s="330"/>
      <c r="L290" s="784"/>
      <c r="M290" s="787"/>
      <c r="N290" s="787"/>
      <c r="O290" s="787"/>
      <c r="P290" s="787"/>
    </row>
    <row r="291" spans="1:16" x14ac:dyDescent="0.25">
      <c r="A291" s="457" t="s">
        <v>842</v>
      </c>
      <c r="B291" s="455" t="s">
        <v>193</v>
      </c>
      <c r="C291" s="452" t="s">
        <v>675</v>
      </c>
      <c r="D291" s="452" t="s">
        <v>158</v>
      </c>
      <c r="E291" s="452" t="s">
        <v>414</v>
      </c>
      <c r="F291" s="452" t="s">
        <v>396</v>
      </c>
      <c r="G291" s="458" t="s">
        <v>358</v>
      </c>
      <c r="H291" s="515">
        <v>1866949</v>
      </c>
      <c r="I291" s="483">
        <v>59.947222199999999</v>
      </c>
      <c r="J291" s="515">
        <v>-151.7322222</v>
      </c>
      <c r="K291" s="330"/>
      <c r="L291" s="784"/>
      <c r="M291" s="787"/>
      <c r="N291" s="787"/>
      <c r="O291" s="787"/>
      <c r="P291" s="787"/>
    </row>
    <row r="292" spans="1:16" x14ac:dyDescent="0.25">
      <c r="A292" s="456" t="s">
        <v>52</v>
      </c>
      <c r="B292" s="455" t="s">
        <v>43</v>
      </c>
      <c r="C292" s="455" t="s">
        <v>673</v>
      </c>
      <c r="D292" s="455" t="s">
        <v>373</v>
      </c>
      <c r="E292" s="452" t="s">
        <v>382</v>
      </c>
      <c r="F292" s="452" t="s">
        <v>374</v>
      </c>
      <c r="G292" s="452" t="s">
        <v>372</v>
      </c>
      <c r="H292" s="483">
        <v>1866952</v>
      </c>
      <c r="I292" s="483">
        <v>55.556666700000001</v>
      </c>
      <c r="J292" s="483">
        <v>-132.63638889999999</v>
      </c>
      <c r="K292" s="330"/>
      <c r="L292" s="784"/>
      <c r="M292" s="787"/>
      <c r="N292" s="787"/>
      <c r="O292" s="787"/>
      <c r="P292" s="787"/>
    </row>
    <row r="293" spans="1:16" x14ac:dyDescent="0.25">
      <c r="A293" s="457" t="s">
        <v>843</v>
      </c>
      <c r="B293" s="455" t="s">
        <v>193</v>
      </c>
      <c r="C293" s="452" t="s">
        <v>675</v>
      </c>
      <c r="D293" s="452" t="s">
        <v>158</v>
      </c>
      <c r="E293" s="452" t="s">
        <v>414</v>
      </c>
      <c r="F293" s="452" t="s">
        <v>396</v>
      </c>
      <c r="G293" s="458" t="s">
        <v>358</v>
      </c>
      <c r="H293" s="515">
        <v>1866953</v>
      </c>
      <c r="I293" s="483">
        <v>59.4469444</v>
      </c>
      <c r="J293" s="515">
        <v>-151.51027780000001</v>
      </c>
      <c r="K293" s="330"/>
      <c r="L293" s="784"/>
      <c r="M293" s="787"/>
      <c r="N293" s="787"/>
      <c r="O293" s="787"/>
      <c r="P293" s="787"/>
    </row>
    <row r="294" spans="1:16" x14ac:dyDescent="0.25">
      <c r="A294" s="457" t="s">
        <v>802</v>
      </c>
      <c r="B294" s="455" t="s">
        <v>164</v>
      </c>
      <c r="C294" s="455" t="s">
        <v>675</v>
      </c>
      <c r="D294" s="452" t="s">
        <v>379</v>
      </c>
      <c r="E294" s="458" t="s">
        <v>380</v>
      </c>
      <c r="F294" s="452" t="s">
        <v>408</v>
      </c>
      <c r="G294" s="458" t="s">
        <v>358</v>
      </c>
      <c r="H294" s="515">
        <v>1866955</v>
      </c>
      <c r="I294" s="483">
        <v>61.719166700000002</v>
      </c>
      <c r="J294" s="515">
        <v>-144.9483333</v>
      </c>
      <c r="K294" s="330"/>
      <c r="L294" s="784"/>
      <c r="M294" s="787"/>
      <c r="N294" s="787"/>
      <c r="O294" s="787"/>
      <c r="P294" s="787"/>
    </row>
    <row r="295" spans="1:16" x14ac:dyDescent="0.25">
      <c r="A295" s="456" t="s">
        <v>206</v>
      </c>
      <c r="B295" s="455" t="s">
        <v>201</v>
      </c>
      <c r="C295" s="455" t="s">
        <v>673</v>
      </c>
      <c r="D295" s="452" t="s">
        <v>373</v>
      </c>
      <c r="E295" s="452" t="s">
        <v>421</v>
      </c>
      <c r="F295" s="452" t="s">
        <v>374</v>
      </c>
      <c r="G295" s="452" t="s">
        <v>372</v>
      </c>
      <c r="H295" s="483">
        <v>1866956</v>
      </c>
      <c r="I295" s="483">
        <v>59.403888899999998</v>
      </c>
      <c r="J295" s="483">
        <v>-135.88444440000001</v>
      </c>
      <c r="K295" s="330"/>
      <c r="L295" s="784"/>
      <c r="M295" s="787"/>
      <c r="N295" s="787"/>
      <c r="O295" s="787"/>
      <c r="P295" s="787"/>
    </row>
    <row r="296" spans="1:16" x14ac:dyDescent="0.25">
      <c r="A296" s="457" t="s">
        <v>870</v>
      </c>
      <c r="B296" s="455" t="s">
        <v>1101</v>
      </c>
      <c r="C296" s="452" t="s">
        <v>675</v>
      </c>
      <c r="D296" s="459" t="s">
        <v>158</v>
      </c>
      <c r="E296" s="459" t="s">
        <v>918</v>
      </c>
      <c r="F296" s="452" t="s">
        <v>396</v>
      </c>
      <c r="G296" s="458" t="s">
        <v>358</v>
      </c>
      <c r="H296" s="515">
        <v>1866958</v>
      </c>
      <c r="I296" s="483">
        <v>61.626111100000003</v>
      </c>
      <c r="J296" s="515">
        <v>-148.94555560000001</v>
      </c>
      <c r="K296" s="330"/>
      <c r="L296" s="784"/>
      <c r="M296" s="787"/>
      <c r="N296" s="787"/>
      <c r="O296" s="787"/>
      <c r="P296" s="787"/>
    </row>
    <row r="297" spans="1:16" x14ac:dyDescent="0.25">
      <c r="A297" s="457" t="s">
        <v>871</v>
      </c>
      <c r="B297" s="455" t="s">
        <v>1101</v>
      </c>
      <c r="C297" s="452" t="s">
        <v>675</v>
      </c>
      <c r="D297" s="459" t="s">
        <v>158</v>
      </c>
      <c r="E297" s="459" t="s">
        <v>918</v>
      </c>
      <c r="F297" s="452" t="s">
        <v>396</v>
      </c>
      <c r="G297" s="458" t="s">
        <v>358</v>
      </c>
      <c r="H297" s="515">
        <v>1866961</v>
      </c>
      <c r="I297" s="483">
        <v>61.624722200000001</v>
      </c>
      <c r="J297" s="515">
        <v>-149.6011111</v>
      </c>
      <c r="K297" s="330"/>
      <c r="L297" s="784"/>
      <c r="M297" s="787"/>
      <c r="N297" s="787"/>
      <c r="O297" s="787"/>
      <c r="P297" s="787"/>
    </row>
    <row r="298" spans="1:16" x14ac:dyDescent="0.25">
      <c r="A298" s="457" t="s">
        <v>803</v>
      </c>
      <c r="B298" s="455" t="s">
        <v>164</v>
      </c>
      <c r="C298" s="455" t="s">
        <v>675</v>
      </c>
      <c r="D298" s="452" t="s">
        <v>379</v>
      </c>
      <c r="E298" s="458" t="s">
        <v>380</v>
      </c>
      <c r="F298" s="452" t="s">
        <v>408</v>
      </c>
      <c r="G298" s="458" t="s">
        <v>358</v>
      </c>
      <c r="H298" s="515">
        <v>1866962</v>
      </c>
      <c r="I298" s="483">
        <v>62.066111100000001</v>
      </c>
      <c r="J298" s="515">
        <v>-146.44999999999999</v>
      </c>
      <c r="K298" s="330"/>
      <c r="L298" s="784"/>
      <c r="M298" s="787"/>
      <c r="N298" s="787"/>
      <c r="O298" s="787"/>
      <c r="P298" s="787"/>
    </row>
    <row r="299" spans="1:16" x14ac:dyDescent="0.25">
      <c r="A299" s="456" t="s">
        <v>776</v>
      </c>
      <c r="B299" s="455" t="s">
        <v>43</v>
      </c>
      <c r="C299" s="455" t="s">
        <v>675</v>
      </c>
      <c r="D299" s="455" t="s">
        <v>373</v>
      </c>
      <c r="E299" s="452" t="s">
        <v>50</v>
      </c>
      <c r="F299" s="452" t="s">
        <v>374</v>
      </c>
      <c r="G299" s="452" t="s">
        <v>372</v>
      </c>
      <c r="H299" s="483">
        <v>1866963</v>
      </c>
      <c r="I299" s="483">
        <v>59.529166699999998</v>
      </c>
      <c r="J299" s="483">
        <v>-136.09111110000001</v>
      </c>
      <c r="K299" s="330"/>
      <c r="L299" s="784"/>
      <c r="M299" s="787"/>
      <c r="N299" s="787"/>
      <c r="O299" s="787"/>
      <c r="P299" s="787"/>
    </row>
    <row r="300" spans="1:16" x14ac:dyDescent="0.25">
      <c r="A300" s="456" t="s">
        <v>56</v>
      </c>
      <c r="B300" s="455" t="s">
        <v>43</v>
      </c>
      <c r="C300" s="455" t="s">
        <v>673</v>
      </c>
      <c r="D300" s="455" t="s">
        <v>373</v>
      </c>
      <c r="E300" s="452" t="s">
        <v>382</v>
      </c>
      <c r="F300" s="452" t="s">
        <v>374</v>
      </c>
      <c r="G300" s="452" t="s">
        <v>372</v>
      </c>
      <c r="H300" s="483">
        <v>1866964</v>
      </c>
      <c r="I300" s="483">
        <v>55.873611099999998</v>
      </c>
      <c r="J300" s="483">
        <v>-133.18472220000001</v>
      </c>
      <c r="K300" s="330"/>
      <c r="L300" s="784"/>
      <c r="M300" s="787"/>
      <c r="N300" s="787"/>
      <c r="O300" s="787"/>
      <c r="P300" s="787"/>
    </row>
    <row r="301" spans="1:16" x14ac:dyDescent="0.25">
      <c r="A301" s="456" t="s">
        <v>778</v>
      </c>
      <c r="B301" s="455" t="s">
        <v>43</v>
      </c>
      <c r="C301" s="455" t="s">
        <v>673</v>
      </c>
      <c r="D301" s="455" t="s">
        <v>376</v>
      </c>
      <c r="E301" s="452" t="s">
        <v>383</v>
      </c>
      <c r="F301" s="452" t="s">
        <v>378</v>
      </c>
      <c r="G301" s="452" t="s">
        <v>375</v>
      </c>
      <c r="H301" s="483">
        <v>1866965</v>
      </c>
      <c r="I301" s="483">
        <v>63.002222199999999</v>
      </c>
      <c r="J301" s="483">
        <v>-141.77722220000001</v>
      </c>
      <c r="K301" s="330"/>
      <c r="L301" s="784"/>
      <c r="M301" s="787"/>
      <c r="N301" s="787"/>
      <c r="O301" s="787"/>
      <c r="P301" s="787"/>
    </row>
    <row r="302" spans="1:16" ht="30" x14ac:dyDescent="0.25">
      <c r="A302" s="457" t="s">
        <v>829</v>
      </c>
      <c r="B302" s="455" t="s">
        <v>1100</v>
      </c>
      <c r="C302" s="458" t="s">
        <v>675</v>
      </c>
      <c r="D302" s="452" t="s">
        <v>158</v>
      </c>
      <c r="E302" s="452" t="s">
        <v>400</v>
      </c>
      <c r="F302" s="452" t="s">
        <v>378</v>
      </c>
      <c r="G302" s="458" t="s">
        <v>358</v>
      </c>
      <c r="H302" s="515">
        <v>1866967</v>
      </c>
      <c r="I302" s="483">
        <v>64.881388900000005</v>
      </c>
      <c r="J302" s="515">
        <v>-146.86861110000001</v>
      </c>
      <c r="K302" s="330"/>
      <c r="L302" s="784"/>
      <c r="M302" s="787"/>
      <c r="N302" s="787"/>
      <c r="O302" s="787"/>
      <c r="P302" s="787"/>
    </row>
    <row r="303" spans="1:16" ht="30" customHeight="1" x14ac:dyDescent="0.25">
      <c r="A303" s="457" t="s">
        <v>852</v>
      </c>
      <c r="B303" s="455" t="s">
        <v>193</v>
      </c>
      <c r="C303" s="452" t="s">
        <v>675</v>
      </c>
      <c r="D303" s="452" t="s">
        <v>158</v>
      </c>
      <c r="E303" s="452" t="s">
        <v>414</v>
      </c>
      <c r="F303" s="452" t="s">
        <v>396</v>
      </c>
      <c r="G303" s="458" t="s">
        <v>358</v>
      </c>
      <c r="H303" s="515">
        <v>1866972</v>
      </c>
      <c r="I303" s="483">
        <v>60.5319444</v>
      </c>
      <c r="J303" s="515">
        <v>-151.0852778</v>
      </c>
      <c r="K303" s="330"/>
      <c r="L303" s="784"/>
      <c r="M303" s="787"/>
      <c r="N303" s="787"/>
      <c r="O303" s="787"/>
      <c r="P303" s="787"/>
    </row>
    <row r="304" spans="1:16" x14ac:dyDescent="0.25">
      <c r="A304" s="457" t="s">
        <v>884</v>
      </c>
      <c r="B304" s="455" t="s">
        <v>221</v>
      </c>
      <c r="C304" s="455" t="s">
        <v>675</v>
      </c>
      <c r="D304" s="452" t="s">
        <v>222</v>
      </c>
      <c r="E304" s="459" t="s">
        <v>359</v>
      </c>
      <c r="F304" s="452" t="s">
        <v>360</v>
      </c>
      <c r="G304" s="458" t="s">
        <v>358</v>
      </c>
      <c r="H304" s="515">
        <v>1866977</v>
      </c>
      <c r="I304" s="483">
        <v>57.682222199999998</v>
      </c>
      <c r="J304" s="515">
        <v>-152.66861109999999</v>
      </c>
      <c r="K304" s="330"/>
      <c r="L304" s="784"/>
      <c r="M304" s="787"/>
      <c r="N304" s="787"/>
      <c r="O304" s="787"/>
      <c r="P304" s="787"/>
    </row>
    <row r="305" spans="1:16" ht="30" x14ac:dyDescent="0.25">
      <c r="A305" s="457" t="s">
        <v>813</v>
      </c>
      <c r="B305" s="455" t="s">
        <v>1100</v>
      </c>
      <c r="C305" s="458" t="s">
        <v>675</v>
      </c>
      <c r="D305" s="452" t="s">
        <v>158</v>
      </c>
      <c r="E305" s="304" t="s">
        <v>400</v>
      </c>
      <c r="F305" s="452" t="s">
        <v>378</v>
      </c>
      <c r="G305" s="452" t="s">
        <v>375</v>
      </c>
      <c r="H305" s="515">
        <v>1893447</v>
      </c>
      <c r="I305" s="483">
        <v>64.8</v>
      </c>
      <c r="J305" s="515">
        <v>-147.53333330000001</v>
      </c>
      <c r="K305" s="330"/>
      <c r="L305" s="784"/>
      <c r="M305" s="787"/>
      <c r="N305" s="787"/>
      <c r="O305" s="787"/>
      <c r="P305" s="787"/>
    </row>
    <row r="306" spans="1:16" x14ac:dyDescent="0.25">
      <c r="A306" s="456" t="s">
        <v>148</v>
      </c>
      <c r="B306" s="455" t="s">
        <v>147</v>
      </c>
      <c r="C306" s="455" t="s">
        <v>673</v>
      </c>
      <c r="D306" s="455" t="s">
        <v>392</v>
      </c>
      <c r="E306" s="452" t="s">
        <v>410</v>
      </c>
      <c r="F306" s="452" t="s">
        <v>392</v>
      </c>
      <c r="G306" s="452" t="s">
        <v>362</v>
      </c>
      <c r="H306" s="483">
        <v>1893911</v>
      </c>
      <c r="I306" s="483">
        <v>56.255555600000001</v>
      </c>
      <c r="J306" s="483">
        <v>-158.76249999999999</v>
      </c>
      <c r="K306" s="330"/>
      <c r="L306" s="784"/>
      <c r="M306" s="787"/>
      <c r="N306" s="787"/>
      <c r="O306" s="787"/>
      <c r="P306" s="787"/>
    </row>
    <row r="307" spans="1:16" s="285" customFormat="1" x14ac:dyDescent="0.25">
      <c r="A307" s="456" t="s">
        <v>45</v>
      </c>
      <c r="B307" s="455" t="s">
        <v>43</v>
      </c>
      <c r="C307" s="455" t="s">
        <v>673</v>
      </c>
      <c r="D307" s="455" t="s">
        <v>376</v>
      </c>
      <c r="E307" s="452" t="s">
        <v>377</v>
      </c>
      <c r="F307" s="452" t="s">
        <v>378</v>
      </c>
      <c r="G307" s="452" t="s">
        <v>375</v>
      </c>
      <c r="H307" s="780">
        <v>1926949</v>
      </c>
      <c r="I307" s="483">
        <v>66.918888899999999</v>
      </c>
      <c r="J307" s="780">
        <v>-151.51611109999999</v>
      </c>
      <c r="K307" s="330"/>
      <c r="L307" s="784"/>
      <c r="M307" s="787"/>
      <c r="N307" s="787"/>
      <c r="O307" s="787"/>
      <c r="P307" s="787"/>
    </row>
    <row r="308" spans="1:16" ht="30" x14ac:dyDescent="0.25">
      <c r="A308" s="464" t="s">
        <v>819</v>
      </c>
      <c r="B308" s="455" t="s">
        <v>1100</v>
      </c>
      <c r="C308" s="460" t="s">
        <v>675</v>
      </c>
      <c r="D308" s="452" t="s">
        <v>158</v>
      </c>
      <c r="E308" s="452" t="s">
        <v>383</v>
      </c>
      <c r="F308" s="452" t="s">
        <v>378</v>
      </c>
      <c r="G308" s="452" t="s">
        <v>375</v>
      </c>
      <c r="H308" s="779">
        <v>2418552</v>
      </c>
      <c r="I308" s="483">
        <v>63.8721715</v>
      </c>
      <c r="J308" s="779">
        <v>-145.21772999999999</v>
      </c>
      <c r="K308" s="330"/>
      <c r="L308" s="784"/>
      <c r="M308" s="787"/>
      <c r="N308" s="787"/>
      <c r="O308" s="787"/>
      <c r="P308" s="787"/>
    </row>
    <row r="309" spans="1:16" x14ac:dyDescent="0.25">
      <c r="A309" s="464" t="s">
        <v>862</v>
      </c>
      <c r="B309" s="455" t="s">
        <v>1101</v>
      </c>
      <c r="C309" s="452" t="s">
        <v>675</v>
      </c>
      <c r="D309" s="452" t="s">
        <v>158</v>
      </c>
      <c r="E309" s="452" t="s">
        <v>918</v>
      </c>
      <c r="F309" s="452" t="s">
        <v>396</v>
      </c>
      <c r="G309" s="460" t="s">
        <v>358</v>
      </c>
      <c r="H309" s="779">
        <v>2418580</v>
      </c>
      <c r="I309" s="483">
        <v>61.638906800000001</v>
      </c>
      <c r="J309" s="779">
        <v>-149.14214999999999</v>
      </c>
      <c r="K309" s="330"/>
      <c r="L309" s="784"/>
      <c r="M309" s="787"/>
      <c r="N309" s="787"/>
      <c r="O309" s="787"/>
      <c r="P309" s="787"/>
    </row>
    <row r="310" spans="1:16" x14ac:dyDescent="0.25">
      <c r="A310" s="464" t="s">
        <v>863</v>
      </c>
      <c r="B310" s="455" t="s">
        <v>1101</v>
      </c>
      <c r="C310" s="452" t="s">
        <v>675</v>
      </c>
      <c r="D310" s="452" t="s">
        <v>158</v>
      </c>
      <c r="E310" s="452" t="s">
        <v>918</v>
      </c>
      <c r="F310" s="452" t="s">
        <v>396</v>
      </c>
      <c r="G310" s="460" t="s">
        <v>358</v>
      </c>
      <c r="H310" s="779">
        <v>2418582</v>
      </c>
      <c r="I310" s="483">
        <v>61.744017200000002</v>
      </c>
      <c r="J310" s="779">
        <v>-149.23613</v>
      </c>
      <c r="K310" s="330"/>
      <c r="L310" s="784"/>
      <c r="M310" s="787"/>
      <c r="N310" s="787"/>
      <c r="O310" s="787"/>
      <c r="P310" s="787"/>
    </row>
    <row r="311" spans="1:16" ht="30" x14ac:dyDescent="0.25">
      <c r="A311" s="464" t="s">
        <v>822</v>
      </c>
      <c r="B311" s="455" t="s">
        <v>1100</v>
      </c>
      <c r="C311" s="460" t="s">
        <v>675</v>
      </c>
      <c r="D311" s="452" t="s">
        <v>158</v>
      </c>
      <c r="E311" s="452" t="s">
        <v>377</v>
      </c>
      <c r="F311" s="452" t="s">
        <v>378</v>
      </c>
      <c r="G311" s="452" t="s">
        <v>375</v>
      </c>
      <c r="H311" s="779">
        <v>2418586</v>
      </c>
      <c r="I311" s="483">
        <v>64.602834099999995</v>
      </c>
      <c r="J311" s="779">
        <v>-149.12006</v>
      </c>
      <c r="K311" s="330"/>
      <c r="L311" s="784"/>
      <c r="M311" s="787"/>
      <c r="N311" s="787"/>
      <c r="O311" s="787"/>
      <c r="P311" s="787"/>
    </row>
    <row r="312" spans="1:16" x14ac:dyDescent="0.25">
      <c r="A312" s="464" t="s">
        <v>865</v>
      </c>
      <c r="B312" s="455" t="s">
        <v>1101</v>
      </c>
      <c r="C312" s="452" t="s">
        <v>675</v>
      </c>
      <c r="D312" s="452" t="s">
        <v>158</v>
      </c>
      <c r="E312" s="452" t="s">
        <v>918</v>
      </c>
      <c r="F312" s="452" t="s">
        <v>396</v>
      </c>
      <c r="G312" s="460" t="s">
        <v>358</v>
      </c>
      <c r="H312" s="779">
        <v>2418599</v>
      </c>
      <c r="I312" s="483">
        <v>61.907483499999998</v>
      </c>
      <c r="J312" s="779">
        <v>-147.50484</v>
      </c>
      <c r="K312" s="330"/>
      <c r="L312" s="784"/>
      <c r="M312" s="787"/>
      <c r="N312" s="787"/>
      <c r="O312" s="787"/>
      <c r="P312" s="787"/>
    </row>
    <row r="313" spans="1:16" ht="30" x14ac:dyDescent="0.25">
      <c r="A313" s="457" t="s">
        <v>825</v>
      </c>
      <c r="B313" s="455" t="s">
        <v>1100</v>
      </c>
      <c r="C313" s="458" t="s">
        <v>675</v>
      </c>
      <c r="D313" s="452" t="s">
        <v>158</v>
      </c>
      <c r="E313" s="459" t="s">
        <v>400</v>
      </c>
      <c r="F313" s="452" t="s">
        <v>378</v>
      </c>
      <c r="G313" s="458" t="s">
        <v>358</v>
      </c>
      <c r="H313" s="515">
        <v>2418611</v>
      </c>
      <c r="I313" s="483">
        <v>64.371402399999994</v>
      </c>
      <c r="J313" s="779">
        <v>-146.59909999999999</v>
      </c>
      <c r="K313" s="330"/>
      <c r="L313" s="784"/>
      <c r="M313" s="787"/>
      <c r="N313" s="787"/>
      <c r="O313" s="787"/>
      <c r="P313" s="787"/>
    </row>
    <row r="314" spans="1:16" x14ac:dyDescent="0.25">
      <c r="A314" s="464" t="s">
        <v>867</v>
      </c>
      <c r="B314" s="455" t="s">
        <v>1101</v>
      </c>
      <c r="C314" s="452" t="s">
        <v>675</v>
      </c>
      <c r="D314" s="452" t="s">
        <v>158</v>
      </c>
      <c r="E314" s="452" t="s">
        <v>918</v>
      </c>
      <c r="F314" s="452" t="s">
        <v>396</v>
      </c>
      <c r="G314" s="460" t="s">
        <v>358</v>
      </c>
      <c r="H314" s="779">
        <v>2418662</v>
      </c>
      <c r="I314" s="483">
        <v>61.460011199999997</v>
      </c>
      <c r="J314" s="779">
        <v>-148.91237000000001</v>
      </c>
      <c r="K314" s="330"/>
      <c r="L314" s="784"/>
      <c r="M314" s="787"/>
      <c r="N314" s="787"/>
      <c r="O314" s="787"/>
      <c r="P314" s="787"/>
    </row>
    <row r="315" spans="1:16" x14ac:dyDescent="0.25">
      <c r="A315" s="464" t="s">
        <v>883</v>
      </c>
      <c r="B315" s="455" t="s">
        <v>221</v>
      </c>
      <c r="C315" s="455" t="s">
        <v>675</v>
      </c>
      <c r="D315" s="452" t="s">
        <v>222</v>
      </c>
      <c r="E315" s="452" t="s">
        <v>359</v>
      </c>
      <c r="F315" s="452" t="s">
        <v>360</v>
      </c>
      <c r="G315" s="452" t="s">
        <v>358</v>
      </c>
      <c r="H315" s="779">
        <v>2418665</v>
      </c>
      <c r="I315" s="483">
        <v>57.765866699999997</v>
      </c>
      <c r="J315" s="779">
        <v>-152.60004000000001</v>
      </c>
      <c r="K315" s="330"/>
      <c r="L315" s="784"/>
      <c r="M315" s="787"/>
      <c r="N315" s="787"/>
      <c r="O315" s="787"/>
      <c r="P315" s="787"/>
    </row>
    <row r="316" spans="1:16" x14ac:dyDescent="0.25">
      <c r="A316" s="464" t="s">
        <v>869</v>
      </c>
      <c r="B316" s="455" t="s">
        <v>1101</v>
      </c>
      <c r="C316" s="452" t="s">
        <v>675</v>
      </c>
      <c r="D316" s="452" t="s">
        <v>158</v>
      </c>
      <c r="E316" s="452" t="s">
        <v>918</v>
      </c>
      <c r="F316" s="452" t="s">
        <v>396</v>
      </c>
      <c r="G316" s="460" t="s">
        <v>358</v>
      </c>
      <c r="H316" s="779">
        <v>2418681</v>
      </c>
      <c r="I316" s="483">
        <v>61.6052854</v>
      </c>
      <c r="J316" s="779">
        <v>-149.30661380000001</v>
      </c>
      <c r="K316" s="330"/>
      <c r="L316" s="784"/>
      <c r="M316" s="787"/>
      <c r="N316" s="787"/>
      <c r="O316" s="787"/>
      <c r="P316" s="787"/>
    </row>
    <row r="317" spans="1:16" x14ac:dyDescent="0.25">
      <c r="A317" s="456" t="s">
        <v>768</v>
      </c>
      <c r="B317" s="455" t="s">
        <v>43</v>
      </c>
      <c r="C317" s="455" t="s">
        <v>675</v>
      </c>
      <c r="D317" s="455" t="s">
        <v>376</v>
      </c>
      <c r="E317" s="452" t="s">
        <v>383</v>
      </c>
      <c r="F317" s="452" t="s">
        <v>378</v>
      </c>
      <c r="G317" s="452" t="s">
        <v>375</v>
      </c>
      <c r="H317" s="483">
        <v>2418762</v>
      </c>
      <c r="I317" s="483">
        <v>62.6747868</v>
      </c>
      <c r="J317" s="779">
        <v>-141.13140000000001</v>
      </c>
      <c r="K317" s="330"/>
      <c r="L317" s="784"/>
      <c r="M317" s="787"/>
      <c r="N317" s="787"/>
      <c r="O317" s="787"/>
      <c r="P317" s="787"/>
    </row>
    <row r="318" spans="1:16" x14ac:dyDescent="0.25">
      <c r="A318" s="456" t="s">
        <v>784</v>
      </c>
      <c r="B318" s="455" t="s">
        <v>524</v>
      </c>
      <c r="C318" s="455" t="s">
        <v>673</v>
      </c>
      <c r="D318" s="455" t="s">
        <v>363</v>
      </c>
      <c r="E318" s="452" t="s">
        <v>386</v>
      </c>
      <c r="F318" s="452" t="s">
        <v>365</v>
      </c>
      <c r="G318" s="452" t="s">
        <v>375</v>
      </c>
      <c r="H318" s="779">
        <v>2418771</v>
      </c>
      <c r="I318" s="483">
        <v>62.071503</v>
      </c>
      <c r="J318" s="779">
        <v>-163.279515</v>
      </c>
      <c r="K318" s="330"/>
      <c r="L318" s="784"/>
      <c r="M318" s="787"/>
      <c r="N318" s="787"/>
      <c r="O318" s="787"/>
      <c r="P318" s="787"/>
    </row>
    <row r="319" spans="1:16" x14ac:dyDescent="0.25">
      <c r="A319" s="464" t="s">
        <v>857</v>
      </c>
      <c r="B319" s="455" t="s">
        <v>1101</v>
      </c>
      <c r="C319" s="452" t="s">
        <v>675</v>
      </c>
      <c r="D319" s="452" t="s">
        <v>158</v>
      </c>
      <c r="E319" s="452" t="s">
        <v>918</v>
      </c>
      <c r="F319" s="452" t="s">
        <v>396</v>
      </c>
      <c r="G319" s="460" t="s">
        <v>358</v>
      </c>
      <c r="H319" s="779">
        <v>2418798</v>
      </c>
      <c r="I319" s="483">
        <v>61.716232499999997</v>
      </c>
      <c r="J319" s="779">
        <v>-149.09998999999999</v>
      </c>
      <c r="K319" s="330"/>
      <c r="L319" s="784"/>
      <c r="M319" s="787"/>
      <c r="N319" s="787"/>
      <c r="O319" s="787"/>
      <c r="P319" s="787"/>
    </row>
    <row r="320" spans="1:16" ht="30" x14ac:dyDescent="0.25">
      <c r="A320" s="464" t="s">
        <v>830</v>
      </c>
      <c r="B320" s="455" t="s">
        <v>1100</v>
      </c>
      <c r="C320" s="460" t="s">
        <v>675</v>
      </c>
      <c r="D320" s="452" t="s">
        <v>158</v>
      </c>
      <c r="E320" s="304" t="s">
        <v>400</v>
      </c>
      <c r="F320" s="452" t="s">
        <v>378</v>
      </c>
      <c r="G320" s="452" t="s">
        <v>375</v>
      </c>
      <c r="H320" s="779">
        <v>2419205</v>
      </c>
      <c r="I320" s="483">
        <v>64.523990400000002</v>
      </c>
      <c r="J320" s="779">
        <v>-146.90209999999999</v>
      </c>
      <c r="K320" s="330"/>
      <c r="L320" s="784"/>
      <c r="M320" s="787"/>
      <c r="N320" s="787"/>
      <c r="O320" s="787"/>
      <c r="P320" s="787"/>
    </row>
    <row r="321" spans="1:16" x14ac:dyDescent="0.25">
      <c r="A321" s="464" t="s">
        <v>806</v>
      </c>
      <c r="B321" s="455" t="s">
        <v>164</v>
      </c>
      <c r="C321" s="455" t="s">
        <v>675</v>
      </c>
      <c r="D321" s="452" t="s">
        <v>379</v>
      </c>
      <c r="E321" s="452" t="s">
        <v>380</v>
      </c>
      <c r="F321" s="452" t="s">
        <v>408</v>
      </c>
      <c r="G321" s="460" t="s">
        <v>358</v>
      </c>
      <c r="H321" s="779">
        <v>2419219</v>
      </c>
      <c r="I321" s="483">
        <v>62.019198400000001</v>
      </c>
      <c r="J321" s="779">
        <v>-145.35541000000001</v>
      </c>
      <c r="K321" s="330"/>
      <c r="L321" s="784"/>
      <c r="M321" s="787"/>
      <c r="N321" s="787"/>
      <c r="O321" s="787"/>
      <c r="P321" s="787"/>
    </row>
    <row r="322" spans="1:16" x14ac:dyDescent="0.25">
      <c r="A322" s="457" t="s">
        <v>874</v>
      </c>
      <c r="B322" s="455" t="s">
        <v>1101</v>
      </c>
      <c r="C322" s="452" t="s">
        <v>675</v>
      </c>
      <c r="D322" s="459" t="s">
        <v>158</v>
      </c>
      <c r="E322" s="459" t="s">
        <v>918</v>
      </c>
      <c r="F322" s="452" t="s">
        <v>396</v>
      </c>
      <c r="G322" s="458" t="s">
        <v>358</v>
      </c>
      <c r="H322" s="515">
        <v>2419240</v>
      </c>
      <c r="I322" s="483">
        <v>61.796256399999997</v>
      </c>
      <c r="J322" s="779">
        <v>-148.85051000000001</v>
      </c>
      <c r="K322" s="330"/>
      <c r="L322" s="784"/>
      <c r="M322" s="787"/>
      <c r="N322" s="787"/>
      <c r="O322" s="787"/>
      <c r="P322" s="787"/>
    </row>
    <row r="323" spans="1:16" ht="30" customHeight="1" x14ac:dyDescent="0.25">
      <c r="A323" s="456" t="s">
        <v>51</v>
      </c>
      <c r="B323" s="455" t="s">
        <v>43</v>
      </c>
      <c r="C323" s="455" t="s">
        <v>673</v>
      </c>
      <c r="D323" s="455" t="s">
        <v>376</v>
      </c>
      <c r="E323" s="452" t="s">
        <v>383</v>
      </c>
      <c r="F323" s="452" t="s">
        <v>378</v>
      </c>
      <c r="G323" s="452" t="s">
        <v>375</v>
      </c>
      <c r="H323" s="483">
        <v>2419534</v>
      </c>
      <c r="I323" s="483">
        <v>63.987230799999999</v>
      </c>
      <c r="J323" s="483">
        <v>-144.69983250000001</v>
      </c>
      <c r="K323" s="330"/>
      <c r="L323" s="784"/>
      <c r="M323" s="787"/>
      <c r="N323" s="787"/>
      <c r="O323" s="787"/>
      <c r="P323" s="787"/>
    </row>
    <row r="324" spans="1:16" x14ac:dyDescent="0.25">
      <c r="A324" s="456" t="s">
        <v>777</v>
      </c>
      <c r="B324" s="455" t="s">
        <v>43</v>
      </c>
      <c r="C324" s="455" t="s">
        <v>673</v>
      </c>
      <c r="D324" s="455" t="s">
        <v>376</v>
      </c>
      <c r="E324" s="452" t="s">
        <v>377</v>
      </c>
      <c r="F324" s="452" t="s">
        <v>378</v>
      </c>
      <c r="G324" s="452" t="s">
        <v>375</v>
      </c>
      <c r="H324" s="483">
        <v>2419536</v>
      </c>
      <c r="I324" s="483">
        <v>66.542680000000004</v>
      </c>
      <c r="J324" s="483">
        <v>-152.64769000000001</v>
      </c>
      <c r="K324" s="330"/>
      <c r="L324" s="784"/>
      <c r="M324" s="787"/>
      <c r="N324" s="787"/>
      <c r="O324" s="787"/>
      <c r="P324" s="787"/>
    </row>
    <row r="325" spans="1:16" ht="30" x14ac:dyDescent="0.25">
      <c r="A325" s="464" t="s">
        <v>816</v>
      </c>
      <c r="B325" s="455" t="s">
        <v>1100</v>
      </c>
      <c r="C325" s="460" t="s">
        <v>675</v>
      </c>
      <c r="D325" s="452" t="s">
        <v>158</v>
      </c>
      <c r="E325" s="304" t="s">
        <v>400</v>
      </c>
      <c r="F325" s="452" t="s">
        <v>378</v>
      </c>
      <c r="G325" s="452" t="s">
        <v>375</v>
      </c>
      <c r="H325" s="779">
        <v>2582710</v>
      </c>
      <c r="I325" s="483">
        <v>64.794090699999998</v>
      </c>
      <c r="J325" s="779">
        <v>-148.03574549999999</v>
      </c>
      <c r="K325" s="330"/>
      <c r="L325" s="784"/>
      <c r="M325" s="787"/>
      <c r="N325" s="787"/>
      <c r="O325" s="787"/>
      <c r="P325" s="787"/>
    </row>
    <row r="326" spans="1:16" ht="30" x14ac:dyDescent="0.25">
      <c r="A326" s="464" t="s">
        <v>821</v>
      </c>
      <c r="B326" s="455" t="s">
        <v>1100</v>
      </c>
      <c r="C326" s="460" t="s">
        <v>675</v>
      </c>
      <c r="D326" s="452" t="s">
        <v>158</v>
      </c>
      <c r="E326" s="304" t="s">
        <v>400</v>
      </c>
      <c r="F326" s="452" t="s">
        <v>378</v>
      </c>
      <c r="G326" s="452" t="s">
        <v>375</v>
      </c>
      <c r="H326" s="779">
        <v>2582712</v>
      </c>
      <c r="I326" s="483">
        <v>64.906182400000006</v>
      </c>
      <c r="J326" s="779">
        <v>-147.695391</v>
      </c>
      <c r="K326" s="330"/>
      <c r="L326" s="784"/>
      <c r="M326" s="787"/>
      <c r="N326" s="787"/>
      <c r="O326" s="787"/>
      <c r="P326" s="787"/>
    </row>
    <row r="327" spans="1:16" ht="30" x14ac:dyDescent="0.25">
      <c r="A327" s="464" t="s">
        <v>824</v>
      </c>
      <c r="B327" s="455" t="s">
        <v>1100</v>
      </c>
      <c r="C327" s="460" t="s">
        <v>675</v>
      </c>
      <c r="D327" s="452" t="s">
        <v>158</v>
      </c>
      <c r="E327" s="304" t="s">
        <v>400</v>
      </c>
      <c r="F327" s="452" t="s">
        <v>378</v>
      </c>
      <c r="G327" s="452" t="s">
        <v>375</v>
      </c>
      <c r="H327" s="779">
        <v>2582713</v>
      </c>
      <c r="I327" s="483">
        <v>64.9339114</v>
      </c>
      <c r="J327" s="779">
        <v>-148.0083822</v>
      </c>
      <c r="K327" s="330"/>
      <c r="L327" s="784"/>
      <c r="M327" s="787"/>
      <c r="N327" s="787"/>
      <c r="O327" s="787"/>
      <c r="P327" s="787"/>
    </row>
    <row r="328" spans="1:16" x14ac:dyDescent="0.25">
      <c r="A328" s="464" t="s">
        <v>790</v>
      </c>
      <c r="B328" s="455" t="s">
        <v>153</v>
      </c>
      <c r="C328" s="460" t="s">
        <v>675</v>
      </c>
      <c r="D328" s="460" t="s">
        <v>158</v>
      </c>
      <c r="E328" s="304" t="s">
        <v>414</v>
      </c>
      <c r="F328" s="452" t="s">
        <v>396</v>
      </c>
      <c r="G328" s="460" t="s">
        <v>358</v>
      </c>
      <c r="H328" s="779">
        <v>2582716</v>
      </c>
      <c r="I328" s="483">
        <v>60.923099000000001</v>
      </c>
      <c r="J328" s="779">
        <v>-150.68820740000001</v>
      </c>
      <c r="K328" s="330"/>
      <c r="L328" s="784"/>
      <c r="M328" s="787"/>
      <c r="N328" s="787"/>
      <c r="O328" s="787"/>
      <c r="P328" s="787"/>
    </row>
    <row r="329" spans="1:16" ht="30" x14ac:dyDescent="0.25">
      <c r="A329" s="464" t="s">
        <v>831</v>
      </c>
      <c r="B329" s="455" t="s">
        <v>1100</v>
      </c>
      <c r="C329" s="460" t="s">
        <v>675</v>
      </c>
      <c r="D329" s="452" t="s">
        <v>158</v>
      </c>
      <c r="E329" s="304" t="s">
        <v>400</v>
      </c>
      <c r="F329" s="452" t="s">
        <v>378</v>
      </c>
      <c r="G329" s="452" t="s">
        <v>375</v>
      </c>
      <c r="H329" s="779">
        <v>2582717</v>
      </c>
      <c r="I329" s="483">
        <v>64.809084799999994</v>
      </c>
      <c r="J329" s="779">
        <v>-147.7854312</v>
      </c>
      <c r="K329" s="330"/>
      <c r="L329" s="784"/>
      <c r="M329" s="787"/>
      <c r="N329" s="787"/>
      <c r="O329" s="787"/>
      <c r="P329" s="787"/>
    </row>
    <row r="330" spans="1:16" ht="30" x14ac:dyDescent="0.25">
      <c r="A330" s="464" t="s">
        <v>832</v>
      </c>
      <c r="B330" s="455" t="s">
        <v>1100</v>
      </c>
      <c r="C330" s="460" t="s">
        <v>675</v>
      </c>
      <c r="D330" s="452" t="s">
        <v>158</v>
      </c>
      <c r="E330" s="304" t="s">
        <v>400</v>
      </c>
      <c r="F330" s="452" t="s">
        <v>378</v>
      </c>
      <c r="G330" s="452" t="s">
        <v>375</v>
      </c>
      <c r="H330" s="779">
        <v>2582718</v>
      </c>
      <c r="I330" s="483">
        <v>64.929533199999995</v>
      </c>
      <c r="J330" s="779">
        <v>-147.39532819999999</v>
      </c>
      <c r="K330" s="330"/>
      <c r="L330" s="784"/>
      <c r="M330" s="787"/>
      <c r="N330" s="787"/>
      <c r="O330" s="787"/>
      <c r="P330" s="787"/>
    </row>
    <row r="331" spans="1:16" ht="30" x14ac:dyDescent="0.25">
      <c r="A331" s="457" t="s">
        <v>892</v>
      </c>
      <c r="B331" s="455" t="s">
        <v>1100</v>
      </c>
      <c r="C331" s="458" t="s">
        <v>675</v>
      </c>
      <c r="D331" s="452" t="s">
        <v>158</v>
      </c>
      <c r="E331" s="452" t="s">
        <v>383</v>
      </c>
      <c r="F331" s="452" t="s">
        <v>378</v>
      </c>
      <c r="G331" s="458" t="s">
        <v>358</v>
      </c>
      <c r="H331" s="515">
        <v>2582719</v>
      </c>
      <c r="I331" s="483">
        <v>64.152837500000004</v>
      </c>
      <c r="J331" s="779">
        <v>-145.90640529999999</v>
      </c>
      <c r="K331" s="330"/>
      <c r="L331" s="784"/>
      <c r="M331" s="787"/>
      <c r="N331" s="787"/>
      <c r="O331" s="787"/>
      <c r="P331" s="787"/>
    </row>
    <row r="332" spans="1:16" x14ac:dyDescent="0.25">
      <c r="L332" s="784"/>
      <c r="M332" s="787"/>
      <c r="N332" s="787"/>
      <c r="O332" s="787"/>
      <c r="P332" s="787"/>
    </row>
    <row r="333" spans="1:16" x14ac:dyDescent="0.25">
      <c r="L333" s="784"/>
      <c r="M333" s="787"/>
      <c r="N333" s="787"/>
      <c r="O333" s="787"/>
      <c r="P333" s="787"/>
    </row>
    <row r="334" spans="1:16" x14ac:dyDescent="0.25">
      <c r="L334" s="784"/>
      <c r="M334" s="787"/>
      <c r="N334" s="787"/>
      <c r="O334" s="787"/>
      <c r="P334" s="787"/>
    </row>
    <row r="335" spans="1:16" x14ac:dyDescent="0.25">
      <c r="L335" s="784"/>
      <c r="M335" s="787"/>
      <c r="N335" s="787"/>
      <c r="O335" s="787"/>
      <c r="P335" s="787"/>
    </row>
    <row r="336" spans="1:16" x14ac:dyDescent="0.25">
      <c r="L336" s="784"/>
      <c r="M336" s="787"/>
      <c r="N336" s="787"/>
      <c r="O336" s="787"/>
      <c r="P336" s="787"/>
    </row>
    <row r="337" spans="12:16" x14ac:dyDescent="0.25">
      <c r="L337" s="784"/>
      <c r="M337" s="787"/>
      <c r="N337" s="787"/>
      <c r="O337" s="787"/>
      <c r="P337" s="787"/>
    </row>
    <row r="338" spans="12:16" x14ac:dyDescent="0.25">
      <c r="L338" s="784"/>
      <c r="M338" s="787"/>
      <c r="N338" s="787"/>
      <c r="O338" s="787"/>
      <c r="P338" s="787"/>
    </row>
    <row r="339" spans="12:16" x14ac:dyDescent="0.25">
      <c r="L339" s="784"/>
      <c r="M339" s="787"/>
      <c r="N339" s="787"/>
      <c r="O339" s="787"/>
      <c r="P339" s="787"/>
    </row>
    <row r="340" spans="12:16" x14ac:dyDescent="0.25">
      <c r="L340" s="784"/>
      <c r="M340" s="787"/>
      <c r="N340" s="787"/>
      <c r="O340" s="787"/>
      <c r="P340" s="787"/>
    </row>
    <row r="341" spans="12:16" x14ac:dyDescent="0.25">
      <c r="L341" s="784"/>
      <c r="M341" s="787"/>
      <c r="N341" s="787"/>
      <c r="O341" s="787"/>
      <c r="P341" s="787"/>
    </row>
    <row r="342" spans="12:16" x14ac:dyDescent="0.25">
      <c r="L342" s="784"/>
      <c r="M342" s="787"/>
      <c r="N342" s="787"/>
      <c r="O342" s="787"/>
      <c r="P342" s="787"/>
    </row>
    <row r="343" spans="12:16" x14ac:dyDescent="0.25">
      <c r="L343" s="784"/>
      <c r="M343" s="787"/>
      <c r="N343" s="787"/>
      <c r="O343" s="787"/>
      <c r="P343" s="787"/>
    </row>
    <row r="344" spans="12:16" x14ac:dyDescent="0.25">
      <c r="L344" s="784"/>
      <c r="M344" s="787"/>
      <c r="N344" s="787"/>
      <c r="O344" s="787"/>
      <c r="P344" s="787"/>
    </row>
    <row r="345" spans="12:16" x14ac:dyDescent="0.25">
      <c r="L345" s="784"/>
      <c r="M345" s="787"/>
      <c r="N345" s="787"/>
      <c r="O345" s="787"/>
      <c r="P345" s="787"/>
    </row>
    <row r="346" spans="12:16" x14ac:dyDescent="0.25">
      <c r="L346" s="784"/>
      <c r="M346" s="787"/>
      <c r="N346" s="787"/>
      <c r="O346" s="787"/>
      <c r="P346" s="787"/>
    </row>
    <row r="347" spans="12:16" x14ac:dyDescent="0.25">
      <c r="L347" s="784"/>
      <c r="M347" s="787"/>
      <c r="N347" s="787"/>
      <c r="O347" s="787"/>
      <c r="P347" s="787"/>
    </row>
    <row r="348" spans="12:16" x14ac:dyDescent="0.25">
      <c r="L348" s="784"/>
      <c r="M348" s="787"/>
      <c r="N348" s="787"/>
      <c r="O348" s="787"/>
      <c r="P348" s="787"/>
    </row>
    <row r="349" spans="12:16" x14ac:dyDescent="0.25">
      <c r="L349" s="784"/>
      <c r="M349" s="787"/>
      <c r="N349" s="787"/>
      <c r="O349" s="787"/>
      <c r="P349" s="787"/>
    </row>
    <row r="350" spans="12:16" x14ac:dyDescent="0.25">
      <c r="L350" s="784"/>
      <c r="M350" s="787"/>
      <c r="N350" s="787"/>
      <c r="O350" s="787"/>
      <c r="P350" s="787"/>
    </row>
    <row r="351" spans="12:16" x14ac:dyDescent="0.25">
      <c r="L351" s="784"/>
      <c r="M351" s="787"/>
      <c r="N351" s="787"/>
      <c r="O351" s="787"/>
      <c r="P351" s="787"/>
    </row>
    <row r="352" spans="12:16" x14ac:dyDescent="0.25">
      <c r="L352" s="784"/>
      <c r="M352" s="787"/>
      <c r="N352" s="787"/>
      <c r="O352" s="787"/>
      <c r="P352" s="787"/>
    </row>
    <row r="353" spans="12:16" x14ac:dyDescent="0.25">
      <c r="L353" s="784"/>
      <c r="M353" s="787"/>
      <c r="N353" s="787"/>
      <c r="O353" s="787"/>
      <c r="P353" s="787"/>
    </row>
    <row r="354" spans="12:16" x14ac:dyDescent="0.25">
      <c r="L354" s="784"/>
      <c r="M354" s="787"/>
      <c r="N354" s="787"/>
      <c r="O354" s="787"/>
      <c r="P354" s="787"/>
    </row>
    <row r="355" spans="12:16" x14ac:dyDescent="0.25">
      <c r="L355" s="784"/>
      <c r="M355" s="787"/>
      <c r="N355" s="787"/>
      <c r="O355" s="787"/>
      <c r="P355" s="787"/>
    </row>
    <row r="356" spans="12:16" x14ac:dyDescent="0.25">
      <c r="L356" s="784"/>
      <c r="M356" s="787"/>
      <c r="N356" s="787"/>
      <c r="O356" s="787"/>
      <c r="P356" s="787"/>
    </row>
    <row r="357" spans="12:16" x14ac:dyDescent="0.25">
      <c r="L357" s="784"/>
      <c r="M357" s="787"/>
      <c r="N357" s="787"/>
      <c r="O357" s="787"/>
      <c r="P357" s="787"/>
    </row>
    <row r="358" spans="12:16" x14ac:dyDescent="0.25">
      <c r="L358" s="784"/>
      <c r="M358" s="787"/>
      <c r="N358" s="787"/>
      <c r="O358" s="787"/>
      <c r="P358" s="787"/>
    </row>
    <row r="359" spans="12:16" x14ac:dyDescent="0.25">
      <c r="L359" s="784"/>
      <c r="M359" s="787"/>
      <c r="N359" s="787"/>
      <c r="O359" s="787"/>
      <c r="P359" s="787"/>
    </row>
    <row r="360" spans="12:16" x14ac:dyDescent="0.25">
      <c r="L360" s="784"/>
      <c r="M360" s="787"/>
      <c r="N360" s="787"/>
      <c r="O360" s="787"/>
      <c r="P360" s="787"/>
    </row>
    <row r="361" spans="12:16" x14ac:dyDescent="0.25">
      <c r="L361" s="784"/>
      <c r="M361" s="787"/>
      <c r="N361" s="787"/>
      <c r="O361" s="787"/>
      <c r="P361" s="787"/>
    </row>
    <row r="362" spans="12:16" x14ac:dyDescent="0.25">
      <c r="L362" s="784"/>
      <c r="M362" s="787"/>
      <c r="N362" s="787"/>
      <c r="O362" s="787"/>
      <c r="P362" s="787"/>
    </row>
    <row r="363" spans="12:16" x14ac:dyDescent="0.25">
      <c r="L363" s="784"/>
      <c r="M363" s="787"/>
      <c r="N363" s="787"/>
      <c r="O363" s="787"/>
      <c r="P363" s="787"/>
    </row>
    <row r="364" spans="12:16" x14ac:dyDescent="0.25">
      <c r="L364" s="784"/>
      <c r="M364" s="787"/>
      <c r="N364" s="787"/>
      <c r="O364" s="787"/>
      <c r="P364" s="787"/>
    </row>
    <row r="365" spans="12:16" x14ac:dyDescent="0.25">
      <c r="L365" s="784"/>
      <c r="M365" s="787"/>
      <c r="N365" s="787"/>
      <c r="O365" s="787"/>
      <c r="P365" s="787"/>
    </row>
    <row r="366" spans="12:16" x14ac:dyDescent="0.25">
      <c r="L366" s="784"/>
      <c r="M366" s="787"/>
      <c r="N366" s="787"/>
      <c r="O366" s="787"/>
      <c r="P366" s="787"/>
    </row>
    <row r="367" spans="12:16" x14ac:dyDescent="0.25">
      <c r="L367" s="784"/>
      <c r="M367" s="787"/>
      <c r="N367" s="787"/>
      <c r="O367" s="787"/>
      <c r="P367" s="787"/>
    </row>
    <row r="368" spans="12:16" x14ac:dyDescent="0.25">
      <c r="L368" s="784"/>
      <c r="M368" s="787"/>
      <c r="N368" s="787"/>
      <c r="O368" s="787"/>
      <c r="P368" s="787"/>
    </row>
    <row r="369" spans="12:16" x14ac:dyDescent="0.25">
      <c r="L369" s="784"/>
      <c r="M369" s="787"/>
      <c r="N369" s="787"/>
      <c r="O369" s="787"/>
      <c r="P369" s="787"/>
    </row>
    <row r="370" spans="12:16" x14ac:dyDescent="0.25">
      <c r="L370" s="784"/>
      <c r="M370" s="787"/>
      <c r="N370" s="787"/>
      <c r="O370" s="787"/>
      <c r="P370" s="787"/>
    </row>
    <row r="371" spans="12:16" x14ac:dyDescent="0.25">
      <c r="L371" s="784"/>
      <c r="M371" s="787"/>
      <c r="N371" s="787"/>
      <c r="O371" s="787"/>
      <c r="P371" s="787"/>
    </row>
    <row r="372" spans="12:16" x14ac:dyDescent="0.25">
      <c r="L372" s="784"/>
      <c r="M372" s="787"/>
      <c r="N372" s="787"/>
      <c r="O372" s="787"/>
      <c r="P372" s="787"/>
    </row>
    <row r="373" spans="12:16" x14ac:dyDescent="0.25">
      <c r="L373" s="784"/>
      <c r="M373" s="787"/>
      <c r="N373" s="787"/>
      <c r="O373" s="787"/>
      <c r="P373" s="787"/>
    </row>
    <row r="374" spans="12:16" x14ac:dyDescent="0.25">
      <c r="L374" s="784"/>
      <c r="M374" s="787"/>
      <c r="N374" s="787"/>
      <c r="O374" s="787"/>
      <c r="P374" s="787"/>
    </row>
    <row r="375" spans="12:16" x14ac:dyDescent="0.25">
      <c r="L375" s="784"/>
      <c r="M375" s="787"/>
      <c r="N375" s="787"/>
      <c r="O375" s="787"/>
      <c r="P375" s="787"/>
    </row>
    <row r="376" spans="12:16" x14ac:dyDescent="0.25">
      <c r="L376" s="784"/>
      <c r="M376" s="787"/>
      <c r="N376" s="787"/>
      <c r="O376" s="787"/>
      <c r="P376" s="787"/>
    </row>
    <row r="377" spans="12:16" x14ac:dyDescent="0.25">
      <c r="L377" s="784"/>
      <c r="M377" s="787"/>
      <c r="N377" s="787"/>
      <c r="O377" s="787"/>
      <c r="P377" s="787"/>
    </row>
    <row r="378" spans="12:16" x14ac:dyDescent="0.25">
      <c r="L378" s="784"/>
      <c r="M378" s="787"/>
      <c r="N378" s="787"/>
      <c r="O378" s="787"/>
      <c r="P378" s="787"/>
    </row>
    <row r="379" spans="12:16" x14ac:dyDescent="0.25">
      <c r="L379" s="784"/>
      <c r="M379" s="787"/>
      <c r="N379" s="787"/>
      <c r="O379" s="787"/>
      <c r="P379" s="787"/>
    </row>
    <row r="380" spans="12:16" x14ac:dyDescent="0.25">
      <c r="L380" s="784"/>
      <c r="M380" s="787"/>
      <c r="N380" s="787"/>
      <c r="O380" s="787"/>
      <c r="P380" s="787"/>
    </row>
    <row r="381" spans="12:16" x14ac:dyDescent="0.25">
      <c r="L381" s="784"/>
      <c r="M381" s="787"/>
      <c r="N381" s="787"/>
      <c r="O381" s="787"/>
      <c r="P381" s="787"/>
    </row>
    <row r="382" spans="12:16" x14ac:dyDescent="0.25">
      <c r="L382" s="784"/>
      <c r="M382" s="787"/>
      <c r="N382" s="787"/>
      <c r="O382" s="787"/>
      <c r="P382" s="787"/>
    </row>
    <row r="383" spans="12:16" x14ac:dyDescent="0.25">
      <c r="L383" s="784"/>
      <c r="M383" s="787"/>
      <c r="N383" s="787"/>
      <c r="O383" s="787"/>
      <c r="P383" s="787"/>
    </row>
    <row r="384" spans="12:16" x14ac:dyDescent="0.25">
      <c r="L384" s="784"/>
      <c r="M384" s="787"/>
      <c r="N384" s="787"/>
      <c r="O384" s="787"/>
      <c r="P384" s="787"/>
    </row>
    <row r="385" spans="12:16" x14ac:dyDescent="0.25">
      <c r="L385" s="784"/>
      <c r="M385" s="787"/>
      <c r="N385" s="787"/>
      <c r="O385" s="787"/>
      <c r="P385" s="787"/>
    </row>
    <row r="386" spans="12:16" x14ac:dyDescent="0.25">
      <c r="L386" s="784"/>
      <c r="M386" s="787"/>
      <c r="N386" s="787"/>
      <c r="O386" s="787"/>
      <c r="P386" s="787"/>
    </row>
    <row r="387" spans="12:16" x14ac:dyDescent="0.25">
      <c r="L387" s="784"/>
      <c r="M387" s="787"/>
      <c r="N387" s="787"/>
      <c r="O387" s="787"/>
      <c r="P387" s="787"/>
    </row>
    <row r="388" spans="12:16" x14ac:dyDescent="0.25">
      <c r="L388" s="784"/>
      <c r="M388" s="787"/>
      <c r="N388" s="787"/>
      <c r="O388" s="787"/>
      <c r="P388" s="787"/>
    </row>
    <row r="389" spans="12:16" x14ac:dyDescent="0.25">
      <c r="L389" s="784"/>
      <c r="M389" s="787"/>
      <c r="N389" s="787"/>
      <c r="O389" s="787"/>
      <c r="P389" s="787"/>
    </row>
    <row r="390" spans="12:16" x14ac:dyDescent="0.25">
      <c r="L390" s="784"/>
      <c r="M390" s="787"/>
      <c r="N390" s="787"/>
      <c r="O390" s="787"/>
      <c r="P390" s="787"/>
    </row>
    <row r="391" spans="12:16" x14ac:dyDescent="0.25">
      <c r="L391" s="784"/>
      <c r="M391" s="787"/>
      <c r="N391" s="787"/>
      <c r="O391" s="787"/>
      <c r="P391" s="787"/>
    </row>
    <row r="392" spans="12:16" x14ac:dyDescent="0.25">
      <c r="L392" s="784"/>
      <c r="M392" s="787"/>
      <c r="N392" s="787"/>
      <c r="O392" s="787"/>
      <c r="P392" s="787"/>
    </row>
    <row r="393" spans="12:16" x14ac:dyDescent="0.25">
      <c r="L393" s="784"/>
      <c r="M393" s="787"/>
      <c r="N393" s="787"/>
      <c r="O393" s="787"/>
      <c r="P393" s="787"/>
    </row>
    <row r="394" spans="12:16" x14ac:dyDescent="0.25">
      <c r="L394" s="784"/>
      <c r="M394" s="787"/>
      <c r="N394" s="787"/>
      <c r="O394" s="787"/>
      <c r="P394" s="787"/>
    </row>
    <row r="395" spans="12:16" x14ac:dyDescent="0.25">
      <c r="L395" s="784"/>
      <c r="M395" s="787"/>
      <c r="N395" s="787"/>
      <c r="O395" s="787"/>
      <c r="P395" s="787"/>
    </row>
    <row r="396" spans="12:16" x14ac:dyDescent="0.25">
      <c r="L396" s="784"/>
      <c r="M396" s="787"/>
      <c r="N396" s="787"/>
      <c r="O396" s="787"/>
      <c r="P396" s="787"/>
    </row>
    <row r="397" spans="12:16" x14ac:dyDescent="0.25">
      <c r="L397" s="784"/>
      <c r="M397" s="787"/>
      <c r="N397" s="787"/>
      <c r="O397" s="787"/>
      <c r="P397" s="787"/>
    </row>
    <row r="398" spans="12:16" x14ac:dyDescent="0.25">
      <c r="L398" s="784"/>
      <c r="M398" s="787"/>
      <c r="N398" s="787"/>
      <c r="O398" s="787"/>
      <c r="P398" s="787"/>
    </row>
    <row r="399" spans="12:16" x14ac:dyDescent="0.25">
      <c r="L399" s="784"/>
      <c r="M399" s="787"/>
      <c r="N399" s="787"/>
      <c r="O399" s="787"/>
      <c r="P399" s="787"/>
    </row>
    <row r="400" spans="12:16" x14ac:dyDescent="0.25">
      <c r="L400" s="784"/>
      <c r="M400" s="787"/>
      <c r="N400" s="787"/>
      <c r="O400" s="787"/>
      <c r="P400" s="787"/>
    </row>
    <row r="401" spans="12:16" x14ac:dyDescent="0.25">
      <c r="L401" s="784"/>
      <c r="M401" s="787"/>
      <c r="N401" s="787"/>
      <c r="O401" s="787"/>
      <c r="P401" s="787"/>
    </row>
    <row r="402" spans="12:16" x14ac:dyDescent="0.25">
      <c r="L402" s="784"/>
      <c r="M402" s="787"/>
      <c r="N402" s="787"/>
      <c r="O402" s="787"/>
      <c r="P402" s="787"/>
    </row>
    <row r="403" spans="12:16" x14ac:dyDescent="0.25">
      <c r="L403" s="784"/>
      <c r="M403" s="787"/>
      <c r="N403" s="787"/>
      <c r="O403" s="787"/>
      <c r="P403" s="787"/>
    </row>
  </sheetData>
  <autoFilter ref="A3:J331">
    <sortState ref="A3:J330">
      <sortCondition ref="H2:H330"/>
    </sortState>
  </autoFilter>
  <sortState ref="M3:P402">
    <sortCondition ref="N3:N402"/>
  </sortState>
  <mergeCells count="2">
    <mergeCell ref="A1:J1"/>
    <mergeCell ref="A2:J2"/>
  </mergeCells>
  <conditionalFormatting sqref="A4:A331">
    <cfRule type="duplicateValues" dxfId="11" priority="1"/>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499984740745262"/>
  </sheetPr>
  <dimension ref="A1:M175"/>
  <sheetViews>
    <sheetView topLeftCell="A22" workbookViewId="0">
      <selection activeCell="E77" sqref="E77"/>
    </sheetView>
  </sheetViews>
  <sheetFormatPr defaultRowHeight="15" x14ac:dyDescent="0.25"/>
  <cols>
    <col min="1" max="1" width="13.140625" customWidth="1"/>
    <col min="2" max="2" width="32" customWidth="1"/>
    <col min="3" max="3" width="16.28515625" customWidth="1"/>
    <col min="4" max="4" width="23" customWidth="1"/>
    <col min="5" max="5" width="20.7109375" customWidth="1"/>
    <col min="6" max="6" width="12.42578125" customWidth="1"/>
    <col min="7" max="7" width="28.28515625" customWidth="1"/>
    <col min="8" max="8" width="29.85546875" bestFit="1" customWidth="1"/>
    <col min="9" max="9" width="33" customWidth="1"/>
    <col min="10" max="10" width="18.5703125" customWidth="1"/>
    <col min="11" max="11" width="16.28515625" customWidth="1"/>
    <col min="12" max="13" width="20" customWidth="1"/>
    <col min="14" max="14" width="20" bestFit="1" customWidth="1"/>
    <col min="15" max="16" width="12" customWidth="1"/>
    <col min="17" max="17" width="4" customWidth="1"/>
    <col min="18" max="18" width="12" customWidth="1"/>
    <col min="19" max="19" width="9" customWidth="1"/>
    <col min="20" max="21" width="12" customWidth="1"/>
    <col min="22" max="22" width="4" customWidth="1"/>
    <col min="23" max="23" width="12" customWidth="1"/>
    <col min="24" max="24" width="4" customWidth="1"/>
    <col min="25" max="30" width="12" customWidth="1"/>
    <col min="31" max="31" width="4" customWidth="1"/>
    <col min="32" max="32" width="12" customWidth="1"/>
    <col min="33" max="33" width="11" customWidth="1"/>
    <col min="34" max="34" width="6" customWidth="1"/>
    <col min="35" max="37" width="12" customWidth="1"/>
    <col min="38" max="38" width="9" customWidth="1"/>
    <col min="39" max="40" width="12" customWidth="1"/>
    <col min="41" max="41" width="6" customWidth="1"/>
    <col min="42" max="55" width="12" customWidth="1"/>
    <col min="56" max="57" width="4" customWidth="1"/>
    <col min="58" max="58" width="12" customWidth="1"/>
    <col min="59" max="59" width="11" customWidth="1"/>
    <col min="60" max="63" width="12" customWidth="1"/>
    <col min="64" max="65" width="11" customWidth="1"/>
    <col min="66" max="68" width="12" customWidth="1"/>
    <col min="69" max="69" width="5" customWidth="1"/>
    <col min="70" max="74" width="12" customWidth="1"/>
    <col min="75" max="75" width="11" customWidth="1"/>
    <col min="76" max="91" width="12" customWidth="1"/>
    <col min="92" max="92" width="5" customWidth="1"/>
    <col min="93" max="103" width="12" customWidth="1"/>
    <col min="104" max="104" width="5" customWidth="1"/>
    <col min="105" max="112" width="12" customWidth="1"/>
    <col min="113" max="113" width="5" customWidth="1"/>
    <col min="114" max="114" width="11" customWidth="1"/>
    <col min="115" max="122" width="12" customWidth="1"/>
    <col min="123" max="123" width="11" customWidth="1"/>
    <col min="124" max="131" width="12" customWidth="1"/>
    <col min="132" max="132" width="5" customWidth="1"/>
    <col min="133" max="134" width="12" customWidth="1"/>
    <col min="135" max="136" width="11" customWidth="1"/>
    <col min="137" max="137" width="12" customWidth="1"/>
    <col min="138" max="138" width="11" customWidth="1"/>
    <col min="139" max="140" width="12" customWidth="1"/>
    <col min="141" max="141" width="5" customWidth="1"/>
    <col min="142" max="148" width="12" customWidth="1"/>
    <col min="149" max="149" width="5" customWidth="1"/>
    <col min="150" max="151" width="12" customWidth="1"/>
    <col min="152" max="152" width="11" customWidth="1"/>
    <col min="153" max="153" width="7" customWidth="1"/>
    <col min="154" max="157" width="12" customWidth="1"/>
    <col min="158" max="158" width="7" customWidth="1"/>
    <col min="159" max="163" width="5" customWidth="1"/>
    <col min="164" max="166" width="12" customWidth="1"/>
    <col min="167" max="169" width="5" customWidth="1"/>
    <col min="170" max="170" width="12" customWidth="1"/>
    <col min="171" max="172" width="6" customWidth="1"/>
    <col min="173" max="174" width="12" customWidth="1"/>
    <col min="175" max="175" width="6" customWidth="1"/>
    <col min="176" max="176" width="12" customWidth="1"/>
    <col min="177" max="177" width="6" customWidth="1"/>
    <col min="178" max="178" width="11" customWidth="1"/>
    <col min="179" max="179" width="12" customWidth="1"/>
    <col min="180" max="181" width="6" customWidth="1"/>
    <col min="182" max="184" width="12" customWidth="1"/>
    <col min="185" max="185" width="7" customWidth="1"/>
    <col min="186" max="186" width="11.28515625" customWidth="1"/>
    <col min="187" max="187" width="12.42578125" customWidth="1"/>
    <col min="188" max="188" width="9.85546875" customWidth="1"/>
    <col min="189" max="189" width="12.42578125" bestFit="1" customWidth="1"/>
    <col min="190" max="190" width="9.85546875" bestFit="1" customWidth="1"/>
    <col min="191" max="191" width="12.42578125" bestFit="1" customWidth="1"/>
    <col min="192" max="192" width="9.85546875" bestFit="1" customWidth="1"/>
    <col min="193" max="193" width="12.42578125" bestFit="1" customWidth="1"/>
    <col min="194" max="194" width="9.85546875" bestFit="1" customWidth="1"/>
    <col min="195" max="195" width="12.42578125" bestFit="1" customWidth="1"/>
    <col min="196" max="196" width="9.85546875" bestFit="1" customWidth="1"/>
    <col min="197" max="197" width="12.42578125" bestFit="1" customWidth="1"/>
    <col min="198" max="198" width="5.85546875" customWidth="1"/>
    <col min="199" max="199" width="8.85546875" customWidth="1"/>
    <col min="200" max="200" width="9.85546875" bestFit="1" customWidth="1"/>
    <col min="201" max="201" width="12.42578125" bestFit="1" customWidth="1"/>
    <col min="202" max="202" width="8.85546875" customWidth="1"/>
    <col min="203" max="203" width="11.42578125" bestFit="1" customWidth="1"/>
    <col min="204" max="204" width="8.85546875" customWidth="1"/>
    <col min="205" max="205" width="11.42578125" bestFit="1" customWidth="1"/>
    <col min="206" max="206" width="10.85546875" bestFit="1" customWidth="1"/>
    <col min="207" max="207" width="13.5703125" bestFit="1" customWidth="1"/>
    <col min="208" max="208" width="10.85546875" bestFit="1" customWidth="1"/>
    <col min="209" max="209" width="13.5703125" bestFit="1" customWidth="1"/>
    <col min="210" max="210" width="6.85546875" customWidth="1"/>
    <col min="211" max="211" width="9.85546875" bestFit="1" customWidth="1"/>
    <col min="212" max="212" width="10.85546875" bestFit="1" customWidth="1"/>
    <col min="213" max="213" width="13.5703125" bestFit="1" customWidth="1"/>
    <col min="214" max="214" width="10.85546875" bestFit="1" customWidth="1"/>
    <col min="215" max="215" width="13.5703125" bestFit="1" customWidth="1"/>
    <col min="216" max="216" width="10.85546875" bestFit="1" customWidth="1"/>
    <col min="217" max="217" width="13.5703125" bestFit="1" customWidth="1"/>
    <col min="218" max="218" width="10.85546875" bestFit="1" customWidth="1"/>
    <col min="219" max="219" width="13.5703125" bestFit="1" customWidth="1"/>
    <col min="220" max="220" width="10.85546875" bestFit="1" customWidth="1"/>
    <col min="221" max="221" width="13.5703125" bestFit="1" customWidth="1"/>
    <col min="222" max="222" width="10.85546875" bestFit="1" customWidth="1"/>
    <col min="223" max="223" width="13.5703125" bestFit="1" customWidth="1"/>
    <col min="224" max="224" width="10.85546875" bestFit="1" customWidth="1"/>
    <col min="225" max="225" width="13.5703125" bestFit="1" customWidth="1"/>
    <col min="226" max="226" width="10.85546875" bestFit="1" customWidth="1"/>
    <col min="227" max="227" width="13.5703125" bestFit="1" customWidth="1"/>
    <col min="228" max="228" width="6.85546875" customWidth="1"/>
    <col min="229" max="229" width="9.85546875" bestFit="1" customWidth="1"/>
    <col min="230" max="230" width="10.85546875" bestFit="1" customWidth="1"/>
    <col min="231" max="231" width="13.5703125" bestFit="1" customWidth="1"/>
    <col min="232" max="232" width="10.85546875" bestFit="1" customWidth="1"/>
    <col min="233" max="233" width="13.5703125" bestFit="1" customWidth="1"/>
    <col min="234" max="234" width="10.85546875" bestFit="1" customWidth="1"/>
    <col min="235" max="235" width="13.5703125" bestFit="1" customWidth="1"/>
    <col min="236" max="236" width="10.85546875" bestFit="1" customWidth="1"/>
    <col min="237" max="237" width="13.5703125" bestFit="1" customWidth="1"/>
    <col min="238" max="238" width="6.85546875" customWidth="1"/>
    <col min="239" max="239" width="9.85546875" bestFit="1" customWidth="1"/>
    <col min="240" max="240" width="10.85546875" bestFit="1" customWidth="1"/>
    <col min="241" max="241" width="13.5703125" bestFit="1" customWidth="1"/>
    <col min="242" max="242" width="10.85546875" bestFit="1" customWidth="1"/>
    <col min="243" max="243" width="13.5703125" bestFit="1" customWidth="1"/>
    <col min="244" max="244" width="10.85546875" bestFit="1" customWidth="1"/>
    <col min="245" max="245" width="13.5703125" bestFit="1" customWidth="1"/>
    <col min="246" max="246" width="10.85546875" bestFit="1" customWidth="1"/>
    <col min="247" max="247" width="13.5703125" bestFit="1" customWidth="1"/>
    <col min="248" max="248" width="10.85546875" bestFit="1" customWidth="1"/>
    <col min="249" max="249" width="13.5703125" bestFit="1" customWidth="1"/>
    <col min="250" max="250" width="10.85546875" bestFit="1" customWidth="1"/>
    <col min="251" max="251" width="13.5703125" bestFit="1" customWidth="1"/>
    <col min="252" max="252" width="10.85546875" bestFit="1" customWidth="1"/>
    <col min="253" max="253" width="13.5703125" bestFit="1" customWidth="1"/>
    <col min="254" max="254" width="10.85546875" bestFit="1" customWidth="1"/>
    <col min="255" max="255" width="13.5703125" bestFit="1" customWidth="1"/>
    <col min="256" max="256" width="9.85546875" bestFit="1" customWidth="1"/>
    <col min="257" max="257" width="12.42578125" bestFit="1" customWidth="1"/>
    <col min="258" max="258" width="10.85546875" bestFit="1" customWidth="1"/>
    <col min="259" max="259" width="13.5703125" bestFit="1" customWidth="1"/>
    <col min="260" max="260" width="10.85546875" bestFit="1" customWidth="1"/>
    <col min="261" max="261" width="13.5703125" bestFit="1" customWidth="1"/>
    <col min="262" max="262" width="10.85546875" bestFit="1" customWidth="1"/>
    <col min="263" max="263" width="13.5703125" bestFit="1" customWidth="1"/>
    <col min="264" max="264" width="10.85546875" bestFit="1" customWidth="1"/>
    <col min="265" max="265" width="13.5703125" bestFit="1" customWidth="1"/>
    <col min="266" max="266" width="10.85546875" bestFit="1" customWidth="1"/>
    <col min="267" max="267" width="13.5703125" bestFit="1" customWidth="1"/>
    <col min="268" max="268" width="10.85546875" bestFit="1" customWidth="1"/>
    <col min="269" max="269" width="13.5703125" bestFit="1" customWidth="1"/>
    <col min="270" max="270" width="10.85546875" bestFit="1" customWidth="1"/>
    <col min="271" max="271" width="13.5703125" bestFit="1" customWidth="1"/>
    <col min="272" max="272" width="10.85546875" bestFit="1" customWidth="1"/>
    <col min="273" max="273" width="13.5703125" bestFit="1" customWidth="1"/>
    <col min="274" max="274" width="6.85546875" customWidth="1"/>
    <col min="275" max="276" width="9.85546875" bestFit="1" customWidth="1"/>
    <col min="277" max="277" width="12.42578125" bestFit="1" customWidth="1"/>
    <col min="278" max="278" width="10.85546875" bestFit="1" customWidth="1"/>
    <col min="279" max="279" width="13.5703125" bestFit="1" customWidth="1"/>
    <col min="280" max="280" width="10.85546875" bestFit="1" customWidth="1"/>
    <col min="281" max="281" width="13.5703125" bestFit="1" customWidth="1"/>
    <col min="282" max="282" width="10.85546875" bestFit="1" customWidth="1"/>
    <col min="283" max="283" width="13.5703125" bestFit="1" customWidth="1"/>
    <col min="284" max="284" width="10.85546875" bestFit="1" customWidth="1"/>
    <col min="285" max="285" width="13.5703125" bestFit="1" customWidth="1"/>
    <col min="286" max="286" width="10.85546875" bestFit="1" customWidth="1"/>
    <col min="287" max="287" width="13.5703125" bestFit="1" customWidth="1"/>
    <col min="288" max="288" width="10.85546875" bestFit="1" customWidth="1"/>
    <col min="289" max="289" width="13.5703125" bestFit="1" customWidth="1"/>
    <col min="290" max="290" width="6.85546875" customWidth="1"/>
    <col min="291" max="292" width="9.85546875" bestFit="1" customWidth="1"/>
    <col min="293" max="293" width="12.42578125" bestFit="1" customWidth="1"/>
    <col min="294" max="294" width="10.85546875" bestFit="1" customWidth="1"/>
    <col min="295" max="295" width="13.5703125" bestFit="1" customWidth="1"/>
    <col min="296" max="296" width="10.85546875" bestFit="1" customWidth="1"/>
    <col min="297" max="297" width="13.5703125" bestFit="1" customWidth="1"/>
    <col min="298" max="298" width="6.85546875" customWidth="1"/>
    <col min="299" max="299" width="9.85546875" bestFit="1" customWidth="1"/>
    <col min="300" max="300" width="10.85546875" bestFit="1" customWidth="1"/>
    <col min="301" max="301" width="13.5703125" bestFit="1" customWidth="1"/>
    <col min="302" max="302" width="10.85546875" bestFit="1" customWidth="1"/>
    <col min="303" max="303" width="13.5703125" bestFit="1" customWidth="1"/>
    <col min="304" max="304" width="10.85546875" bestFit="1" customWidth="1"/>
    <col min="305" max="305" width="13.5703125" bestFit="1" customWidth="1"/>
    <col min="306" max="306" width="10.85546875" bestFit="1" customWidth="1"/>
    <col min="307" max="307" width="13.5703125" bestFit="1" customWidth="1"/>
    <col min="308" max="308" width="6.85546875" customWidth="1"/>
    <col min="309" max="309" width="9.85546875" bestFit="1" customWidth="1"/>
    <col min="310" max="310" width="10.85546875" bestFit="1" customWidth="1"/>
    <col min="311" max="311" width="13.5703125" bestFit="1" customWidth="1"/>
    <col min="312" max="312" width="10.85546875" bestFit="1" customWidth="1"/>
    <col min="313" max="313" width="13.5703125" bestFit="1" customWidth="1"/>
    <col min="314" max="314" width="10.85546875" bestFit="1" customWidth="1"/>
    <col min="315" max="315" width="13.5703125" bestFit="1" customWidth="1"/>
    <col min="316" max="316" width="10.85546875" bestFit="1" customWidth="1"/>
    <col min="317" max="317" width="13.5703125" bestFit="1" customWidth="1"/>
    <col min="318" max="318" width="9.85546875" bestFit="1" customWidth="1"/>
    <col min="319" max="319" width="12.42578125" bestFit="1" customWidth="1"/>
    <col min="320" max="320" width="6.85546875" customWidth="1"/>
    <col min="321" max="321" width="9.85546875" bestFit="1" customWidth="1"/>
    <col min="322" max="322" width="10.85546875" bestFit="1" customWidth="1"/>
    <col min="323" max="323" width="13.5703125" bestFit="1" customWidth="1"/>
    <col min="324" max="324" width="10.85546875" bestFit="1" customWidth="1"/>
    <col min="325" max="325" width="13.5703125" bestFit="1" customWidth="1"/>
    <col min="326" max="326" width="6.85546875" customWidth="1"/>
    <col min="327" max="327" width="9.85546875" bestFit="1" customWidth="1"/>
    <col min="328" max="328" width="10.85546875" bestFit="1" customWidth="1"/>
    <col min="329" max="329" width="13.5703125" bestFit="1" customWidth="1"/>
    <col min="330" max="330" width="6.85546875" customWidth="1"/>
    <col min="331" max="331" width="9.85546875" bestFit="1" customWidth="1"/>
    <col min="332" max="332" width="6.85546875" customWidth="1"/>
    <col min="333" max="333" width="9.85546875" bestFit="1" customWidth="1"/>
    <col min="334" max="334" width="10.85546875" bestFit="1" customWidth="1"/>
    <col min="335" max="335" width="13.5703125" bestFit="1" customWidth="1"/>
    <col min="336" max="336" width="10.85546875" bestFit="1" customWidth="1"/>
    <col min="337" max="337" width="13.5703125" bestFit="1" customWidth="1"/>
    <col min="338" max="338" width="6.85546875" customWidth="1"/>
    <col min="339" max="339" width="9.85546875" bestFit="1" customWidth="1"/>
    <col min="340" max="340" width="10.85546875" bestFit="1" customWidth="1"/>
    <col min="341" max="341" width="13.5703125" bestFit="1" customWidth="1"/>
    <col min="342" max="342" width="6.85546875" customWidth="1"/>
    <col min="343" max="343" width="9.85546875" bestFit="1" customWidth="1"/>
    <col min="344" max="344" width="6.85546875" customWidth="1"/>
    <col min="345" max="345" width="9.85546875" bestFit="1" customWidth="1"/>
    <col min="346" max="346" width="10.85546875" bestFit="1" customWidth="1"/>
    <col min="347" max="347" width="13.5703125" bestFit="1" customWidth="1"/>
    <col min="348" max="348" width="6.85546875" customWidth="1"/>
    <col min="349" max="349" width="9.85546875" bestFit="1" customWidth="1"/>
    <col min="350" max="350" width="6.85546875" customWidth="1"/>
    <col min="351" max="351" width="9.85546875" bestFit="1" customWidth="1"/>
    <col min="352" max="352" width="10.85546875" bestFit="1" customWidth="1"/>
    <col min="353" max="353" width="13.5703125" bestFit="1" customWidth="1"/>
    <col min="354" max="354" width="7.85546875" customWidth="1"/>
    <col min="355" max="355" width="10.85546875" bestFit="1" customWidth="1"/>
    <col min="356" max="356" width="7.85546875" customWidth="1"/>
    <col min="357" max="357" width="10.85546875" bestFit="1" customWidth="1"/>
    <col min="358" max="358" width="7.85546875" customWidth="1"/>
    <col min="359" max="359" width="10.85546875" bestFit="1" customWidth="1"/>
    <col min="360" max="360" width="7.85546875" customWidth="1"/>
    <col min="361" max="361" width="10.85546875" bestFit="1" customWidth="1"/>
    <col min="362" max="362" width="7.85546875" customWidth="1"/>
    <col min="363" max="363" width="10.85546875" bestFit="1" customWidth="1"/>
    <col min="364" max="364" width="7.85546875" customWidth="1"/>
    <col min="365" max="365" width="10.85546875" bestFit="1" customWidth="1"/>
    <col min="366" max="366" width="7.85546875" customWidth="1"/>
    <col min="367" max="367" width="10.85546875" bestFit="1" customWidth="1"/>
    <col min="368" max="368" width="7.85546875" customWidth="1"/>
    <col min="369" max="369" width="10.85546875" bestFit="1" customWidth="1"/>
    <col min="370" max="370" width="7.85546875" customWidth="1"/>
    <col min="371" max="371" width="10.85546875" bestFit="1" customWidth="1"/>
    <col min="372" max="372" width="7.85546875" customWidth="1"/>
    <col min="373" max="373" width="10.85546875" bestFit="1" customWidth="1"/>
    <col min="374" max="374" width="7.85546875" customWidth="1"/>
    <col min="375" max="375" width="10.85546875" bestFit="1" customWidth="1"/>
    <col min="376" max="376" width="7.85546875" customWidth="1"/>
    <col min="377" max="377" width="10.85546875" bestFit="1" customWidth="1"/>
    <col min="378" max="378" width="8.85546875" customWidth="1"/>
    <col min="379" max="379" width="11.85546875" bestFit="1" customWidth="1"/>
    <col min="380" max="380" width="11.28515625" bestFit="1" customWidth="1"/>
  </cols>
  <sheetData>
    <row r="1" spans="1:5" s="214" customFormat="1" x14ac:dyDescent="0.25">
      <c r="A1" s="450" t="s">
        <v>766</v>
      </c>
    </row>
    <row r="2" spans="1:5" s="341" customFormat="1" x14ac:dyDescent="0.25"/>
    <row r="3" spans="1:5" s="341" customFormat="1" x14ac:dyDescent="0.25">
      <c r="A3" s="392" t="s">
        <v>762</v>
      </c>
      <c r="B3" s="392" t="s">
        <v>763</v>
      </c>
      <c r="C3"/>
      <c r="D3"/>
      <c r="E3"/>
    </row>
    <row r="4" spans="1:5" s="341" customFormat="1" x14ac:dyDescent="0.25">
      <c r="A4" s="392" t="s">
        <v>731</v>
      </c>
      <c r="B4" s="605" t="s">
        <v>673</v>
      </c>
      <c r="C4" s="605" t="s">
        <v>674</v>
      </c>
      <c r="D4" s="605" t="s">
        <v>675</v>
      </c>
      <c r="E4" s="605" t="s">
        <v>732</v>
      </c>
    </row>
    <row r="5" spans="1:5" s="341" customFormat="1" x14ac:dyDescent="0.25">
      <c r="A5" s="292" t="s">
        <v>368</v>
      </c>
      <c r="B5" s="393">
        <v>12</v>
      </c>
      <c r="C5" s="393">
        <v>1</v>
      </c>
      <c r="D5" s="393"/>
      <c r="E5" s="393">
        <v>13</v>
      </c>
    </row>
    <row r="6" spans="1:5" s="341" customFormat="1" x14ac:dyDescent="0.25">
      <c r="A6" s="292" t="s">
        <v>390</v>
      </c>
      <c r="B6" s="393">
        <v>16</v>
      </c>
      <c r="C6" s="393"/>
      <c r="D6" s="393"/>
      <c r="E6" s="393">
        <v>16</v>
      </c>
    </row>
    <row r="7" spans="1:5" s="341" customFormat="1" x14ac:dyDescent="0.25">
      <c r="A7" s="292" t="s">
        <v>392</v>
      </c>
      <c r="B7" s="393">
        <v>26</v>
      </c>
      <c r="C7" s="393">
        <v>1</v>
      </c>
      <c r="D7" s="393"/>
      <c r="E7" s="393">
        <v>27</v>
      </c>
    </row>
    <row r="8" spans="1:5" s="341" customFormat="1" x14ac:dyDescent="0.25">
      <c r="A8" s="292" t="s">
        <v>379</v>
      </c>
      <c r="B8" s="393">
        <v>8</v>
      </c>
      <c r="C8" s="393"/>
      <c r="D8" s="393">
        <v>15</v>
      </c>
      <c r="E8" s="393">
        <v>23</v>
      </c>
    </row>
    <row r="9" spans="1:5" s="341" customFormat="1" x14ac:dyDescent="0.25">
      <c r="A9" s="292" t="s">
        <v>222</v>
      </c>
      <c r="B9" s="393">
        <v>4</v>
      </c>
      <c r="C9" s="393">
        <v>1</v>
      </c>
      <c r="D9" s="393">
        <v>5</v>
      </c>
      <c r="E9" s="393">
        <v>10</v>
      </c>
    </row>
    <row r="10" spans="1:5" s="341" customFormat="1" x14ac:dyDescent="0.25">
      <c r="A10" s="292" t="s">
        <v>363</v>
      </c>
      <c r="B10" s="393">
        <v>47</v>
      </c>
      <c r="C10" s="393">
        <v>1</v>
      </c>
      <c r="D10" s="393"/>
      <c r="E10" s="393">
        <v>48</v>
      </c>
    </row>
    <row r="11" spans="1:5" s="341" customFormat="1" x14ac:dyDescent="0.25">
      <c r="A11" s="292" t="s">
        <v>401</v>
      </c>
      <c r="B11" s="393">
        <v>7</v>
      </c>
      <c r="C11" s="393"/>
      <c r="D11" s="393">
        <v>2</v>
      </c>
      <c r="E11" s="393">
        <v>9</v>
      </c>
    </row>
    <row r="12" spans="1:5" s="341" customFormat="1" x14ac:dyDescent="0.25">
      <c r="A12" s="292" t="s">
        <v>388</v>
      </c>
      <c r="B12" s="393">
        <v>11</v>
      </c>
      <c r="C12" s="393"/>
      <c r="D12" s="393"/>
      <c r="E12" s="393">
        <v>11</v>
      </c>
    </row>
    <row r="13" spans="1:5" s="341" customFormat="1" x14ac:dyDescent="0.25">
      <c r="A13" s="292" t="s">
        <v>158</v>
      </c>
      <c r="B13" s="393"/>
      <c r="C13" s="393"/>
      <c r="D13" s="393">
        <v>95</v>
      </c>
      <c r="E13" s="393">
        <v>95</v>
      </c>
    </row>
    <row r="14" spans="1:5" s="341" customFormat="1" x14ac:dyDescent="0.25">
      <c r="A14" s="292" t="s">
        <v>373</v>
      </c>
      <c r="B14" s="393">
        <v>22</v>
      </c>
      <c r="C14" s="393"/>
      <c r="D14" s="393">
        <v>9</v>
      </c>
      <c r="E14" s="393">
        <v>31</v>
      </c>
    </row>
    <row r="15" spans="1:5" s="341" customFormat="1" x14ac:dyDescent="0.25">
      <c r="A15" s="292" t="s">
        <v>376</v>
      </c>
      <c r="B15" s="393">
        <v>38</v>
      </c>
      <c r="C15" s="393">
        <v>5</v>
      </c>
      <c r="D15" s="393">
        <v>2</v>
      </c>
      <c r="E15" s="393">
        <v>45</v>
      </c>
    </row>
    <row r="16" spans="1:5" s="341" customFormat="1" x14ac:dyDescent="0.25">
      <c r="A16" s="292" t="s">
        <v>732</v>
      </c>
      <c r="B16" s="393">
        <v>191</v>
      </c>
      <c r="C16" s="393">
        <v>9</v>
      </c>
      <c r="D16" s="393">
        <v>128</v>
      </c>
      <c r="E16" s="393">
        <v>328</v>
      </c>
    </row>
    <row r="17" spans="1:10" s="341" customFormat="1" x14ac:dyDescent="0.25">
      <c r="A17"/>
      <c r="B17" s="607">
        <f>GETPIVOTDATA("PCE",$A$3,"PCE","PCE Eligible Active")/GETPIVOTDATA("PCE",$A$3)</f>
        <v>0.58231707317073167</v>
      </c>
      <c r="C17" s="607">
        <f>GETPIVOTDATA("PCE",$A$3,"PCE","PCE Eligible Inactive")/GETPIVOTDATA("PCE",$A$3)</f>
        <v>2.7439024390243903E-2</v>
      </c>
      <c r="D17" s="607">
        <f>GETPIVOTDATA("PCE",$A$3,"PCE","PCE Ineligible")/GETPIVOTDATA("PCE",$A$3)</f>
        <v>0.3902439024390244</v>
      </c>
      <c r="E17" s="533">
        <f>SUM(B17:D17)</f>
        <v>1</v>
      </c>
    </row>
    <row r="18" spans="1:10" s="341" customFormat="1" x14ac:dyDescent="0.25"/>
    <row r="19" spans="1:10" s="214" customFormat="1" x14ac:dyDescent="0.25">
      <c r="A19" s="450" t="s">
        <v>595</v>
      </c>
    </row>
    <row r="21" spans="1:10" x14ac:dyDescent="0.25">
      <c r="A21" s="392" t="s">
        <v>731</v>
      </c>
      <c r="B21" s="605" t="s">
        <v>733</v>
      </c>
      <c r="C21" s="605" t="s">
        <v>1005</v>
      </c>
      <c r="D21" s="605" t="s">
        <v>734</v>
      </c>
      <c r="E21" s="605" t="s">
        <v>735</v>
      </c>
      <c r="F21" s="605" t="s">
        <v>736</v>
      </c>
      <c r="I21" s="392" t="s">
        <v>731</v>
      </c>
      <c r="J21" t="s">
        <v>733</v>
      </c>
    </row>
    <row r="22" spans="1:10" x14ac:dyDescent="0.25">
      <c r="A22" s="292" t="s">
        <v>368</v>
      </c>
      <c r="B22" s="394">
        <v>37485</v>
      </c>
      <c r="C22" s="394">
        <v>0</v>
      </c>
      <c r="D22" s="394">
        <v>34945</v>
      </c>
      <c r="E22" s="394">
        <v>800</v>
      </c>
      <c r="F22" s="394">
        <v>1740</v>
      </c>
      <c r="I22" s="292" t="s">
        <v>387</v>
      </c>
      <c r="J22" s="394">
        <v>104952</v>
      </c>
    </row>
    <row r="23" spans="1:10" x14ac:dyDescent="0.25">
      <c r="A23" s="292" t="s">
        <v>390</v>
      </c>
      <c r="B23" s="394">
        <v>39233</v>
      </c>
      <c r="C23" s="394">
        <v>0</v>
      </c>
      <c r="D23" s="394">
        <v>36833</v>
      </c>
      <c r="E23" s="394">
        <v>0</v>
      </c>
      <c r="F23" s="394">
        <v>2400</v>
      </c>
      <c r="I23" s="292" t="s">
        <v>358</v>
      </c>
      <c r="J23" s="394">
        <v>1230196</v>
      </c>
    </row>
    <row r="24" spans="1:10" x14ac:dyDescent="0.25">
      <c r="A24" s="292" t="s">
        <v>392</v>
      </c>
      <c r="B24" s="394">
        <v>28323</v>
      </c>
      <c r="C24" s="394">
        <v>0</v>
      </c>
      <c r="D24" s="394">
        <v>27479</v>
      </c>
      <c r="E24" s="394">
        <v>824</v>
      </c>
      <c r="F24" s="394">
        <v>44</v>
      </c>
      <c r="I24" s="292" t="s">
        <v>372</v>
      </c>
      <c r="J24" s="394">
        <v>414357</v>
      </c>
    </row>
    <row r="25" spans="1:10" x14ac:dyDescent="0.25">
      <c r="A25" s="292" t="s">
        <v>379</v>
      </c>
      <c r="B25" s="394">
        <v>57344</v>
      </c>
      <c r="C25" s="394">
        <v>8100</v>
      </c>
      <c r="D25" s="394">
        <v>30044</v>
      </c>
      <c r="E25" s="394">
        <v>19200</v>
      </c>
      <c r="F25" s="394">
        <v>0</v>
      </c>
      <c r="I25" s="292" t="s">
        <v>362</v>
      </c>
      <c r="J25" s="394">
        <v>101725</v>
      </c>
    </row>
    <row r="26" spans="1:10" x14ac:dyDescent="0.25">
      <c r="A26" s="292" t="s">
        <v>222</v>
      </c>
      <c r="B26" s="394">
        <v>62607</v>
      </c>
      <c r="C26" s="394">
        <v>0</v>
      </c>
      <c r="D26" s="394">
        <v>35232</v>
      </c>
      <c r="E26" s="394">
        <v>22875</v>
      </c>
      <c r="F26" s="394">
        <v>4500</v>
      </c>
      <c r="I26" s="292" t="s">
        <v>375</v>
      </c>
      <c r="J26" s="394">
        <v>356287.5</v>
      </c>
    </row>
    <row r="27" spans="1:10" x14ac:dyDescent="0.25">
      <c r="A27" s="292" t="s">
        <v>363</v>
      </c>
      <c r="B27" s="394">
        <v>55959</v>
      </c>
      <c r="C27" s="394">
        <v>0</v>
      </c>
      <c r="D27" s="394">
        <v>53209</v>
      </c>
      <c r="E27" s="394">
        <v>0</v>
      </c>
      <c r="F27" s="394">
        <v>2750</v>
      </c>
      <c r="I27" s="292" t="s">
        <v>732</v>
      </c>
      <c r="J27" s="394">
        <v>2207517.5</v>
      </c>
    </row>
    <row r="28" spans="1:10" x14ac:dyDescent="0.25">
      <c r="A28" s="292" t="s">
        <v>401</v>
      </c>
      <c r="B28" s="394">
        <v>40600</v>
      </c>
      <c r="C28" s="394">
        <v>17300</v>
      </c>
      <c r="D28" s="394">
        <v>23300</v>
      </c>
      <c r="E28" s="394">
        <v>0</v>
      </c>
      <c r="F28" s="394">
        <v>0</v>
      </c>
    </row>
    <row r="29" spans="1:10" x14ac:dyDescent="0.25">
      <c r="A29" s="292" t="s">
        <v>388</v>
      </c>
      <c r="B29" s="394">
        <v>25119</v>
      </c>
      <c r="C29" s="394">
        <v>0</v>
      </c>
      <c r="D29" s="394">
        <v>21959</v>
      </c>
      <c r="E29" s="394">
        <v>0</v>
      </c>
      <c r="F29" s="394">
        <v>1400</v>
      </c>
    </row>
    <row r="30" spans="1:10" x14ac:dyDescent="0.25">
      <c r="A30" s="292" t="s">
        <v>158</v>
      </c>
      <c r="B30" s="394">
        <v>1416775</v>
      </c>
      <c r="C30" s="394">
        <v>1198900</v>
      </c>
      <c r="D30" s="394">
        <v>26200</v>
      </c>
      <c r="E30" s="394">
        <v>184375</v>
      </c>
      <c r="F30" s="394">
        <v>1012</v>
      </c>
    </row>
    <row r="31" spans="1:10" x14ac:dyDescent="0.25">
      <c r="A31" s="292" t="s">
        <v>373</v>
      </c>
      <c r="B31" s="394">
        <v>414357</v>
      </c>
      <c r="C31" s="394">
        <v>70900</v>
      </c>
      <c r="D31" s="394">
        <v>130922</v>
      </c>
      <c r="E31" s="394">
        <v>210085</v>
      </c>
      <c r="F31" s="394">
        <v>0</v>
      </c>
    </row>
    <row r="32" spans="1:10" s="605" customFormat="1" x14ac:dyDescent="0.25">
      <c r="A32" s="292" t="s">
        <v>376</v>
      </c>
      <c r="B32" s="394">
        <v>29715.5</v>
      </c>
      <c r="C32" s="394">
        <v>0</v>
      </c>
      <c r="D32" s="394">
        <v>29715.5</v>
      </c>
      <c r="E32" s="394">
        <v>0</v>
      </c>
      <c r="F32" s="394">
        <v>0</v>
      </c>
    </row>
    <row r="33" spans="1:12" s="605" customFormat="1" x14ac:dyDescent="0.25">
      <c r="A33" s="292" t="s">
        <v>732</v>
      </c>
      <c r="B33" s="394">
        <v>2207517.5</v>
      </c>
      <c r="C33" s="394">
        <v>1295200</v>
      </c>
      <c r="D33" s="394">
        <v>449838.5</v>
      </c>
      <c r="E33" s="394">
        <v>438159</v>
      </c>
      <c r="F33" s="394">
        <v>13846</v>
      </c>
    </row>
    <row r="34" spans="1:12" s="605" customFormat="1" x14ac:dyDescent="0.25">
      <c r="A34"/>
      <c r="B34"/>
      <c r="C34"/>
    </row>
    <row r="35" spans="1:12" s="605" customFormat="1" x14ac:dyDescent="0.25">
      <c r="A35"/>
      <c r="B35"/>
      <c r="C35"/>
    </row>
    <row r="36" spans="1:12" s="605" customFormat="1" ht="16.5" customHeight="1" x14ac:dyDescent="0.25">
      <c r="A36"/>
      <c r="B36"/>
      <c r="C36"/>
    </row>
    <row r="37" spans="1:12" s="605" customFormat="1" x14ac:dyDescent="0.25">
      <c r="A37"/>
      <c r="B37"/>
      <c r="C37"/>
    </row>
    <row r="39" spans="1:12" x14ac:dyDescent="0.25">
      <c r="A39" s="292"/>
      <c r="B39" s="393"/>
    </row>
    <row r="41" spans="1:12" s="214" customFormat="1" x14ac:dyDescent="0.25">
      <c r="A41" s="450" t="s">
        <v>765</v>
      </c>
    </row>
    <row r="44" spans="1:12" x14ac:dyDescent="0.25">
      <c r="A44" s="392" t="s">
        <v>731</v>
      </c>
      <c r="B44" t="s">
        <v>895</v>
      </c>
      <c r="D44" s="392" t="s">
        <v>731</v>
      </c>
      <c r="E44" t="s">
        <v>895</v>
      </c>
      <c r="G44" s="392" t="s">
        <v>731</v>
      </c>
      <c r="H44" s="605" t="s">
        <v>895</v>
      </c>
      <c r="I44" s="605" t="s">
        <v>1005</v>
      </c>
      <c r="J44" s="605" t="s">
        <v>1006</v>
      </c>
      <c r="K44" s="605" t="s">
        <v>735</v>
      </c>
      <c r="L44" s="605" t="s">
        <v>736</v>
      </c>
    </row>
    <row r="45" spans="1:12" x14ac:dyDescent="0.25">
      <c r="A45" s="292" t="s">
        <v>368</v>
      </c>
      <c r="B45" s="394">
        <v>63862.538499999995</v>
      </c>
      <c r="D45" s="292" t="s">
        <v>387</v>
      </c>
      <c r="E45" s="394">
        <v>171335.36389999997</v>
      </c>
      <c r="G45" s="292" t="s">
        <v>368</v>
      </c>
      <c r="H45" s="394">
        <v>63862.538499999995</v>
      </c>
      <c r="I45" s="394">
        <v>0</v>
      </c>
      <c r="J45" s="394">
        <v>60717.303499999995</v>
      </c>
      <c r="K45" s="394">
        <v>3144.5749999999998</v>
      </c>
      <c r="L45" s="394">
        <v>0.66</v>
      </c>
    </row>
    <row r="46" spans="1:12" x14ac:dyDescent="0.25">
      <c r="A46" s="292" t="s">
        <v>390</v>
      </c>
      <c r="B46" s="394">
        <v>55093.564899999998</v>
      </c>
      <c r="D46" s="292" t="s">
        <v>358</v>
      </c>
      <c r="E46" s="394">
        <v>4458214.6495500002</v>
      </c>
      <c r="G46" s="292" t="s">
        <v>390</v>
      </c>
      <c r="H46" s="394">
        <v>55093.564899999998</v>
      </c>
      <c r="I46" s="394">
        <v>0</v>
      </c>
      <c r="J46" s="394">
        <v>52469.839900000006</v>
      </c>
      <c r="K46" s="394">
        <v>0</v>
      </c>
      <c r="L46" s="394">
        <v>2623.7249999999999</v>
      </c>
    </row>
    <row r="47" spans="1:12" x14ac:dyDescent="0.25">
      <c r="A47" s="292" t="s">
        <v>392</v>
      </c>
      <c r="B47" s="394">
        <v>54518.98514550001</v>
      </c>
      <c r="D47" s="292" t="s">
        <v>372</v>
      </c>
      <c r="E47" s="394">
        <v>790081.16024999996</v>
      </c>
      <c r="G47" s="292" t="s">
        <v>392</v>
      </c>
      <c r="H47" s="394">
        <v>54518.98514550001</v>
      </c>
      <c r="I47" s="394">
        <v>0</v>
      </c>
      <c r="J47" s="394">
        <v>50864.982145500006</v>
      </c>
      <c r="K47" s="394">
        <v>3566.2379999999998</v>
      </c>
      <c r="L47" s="394">
        <v>87.764999999999986</v>
      </c>
    </row>
    <row r="48" spans="1:12" x14ac:dyDescent="0.25">
      <c r="A48" s="292" t="s">
        <v>379</v>
      </c>
      <c r="B48" s="394">
        <v>114672.06199999999</v>
      </c>
      <c r="D48" s="292" t="s">
        <v>362</v>
      </c>
      <c r="E48" s="394">
        <v>192175.4529455</v>
      </c>
      <c r="G48" s="292" t="s">
        <v>379</v>
      </c>
      <c r="H48" s="394">
        <v>114672.06199999999</v>
      </c>
      <c r="I48" s="394">
        <v>17566</v>
      </c>
      <c r="J48" s="394">
        <v>34157.133999999998</v>
      </c>
      <c r="K48" s="394">
        <v>62948.928</v>
      </c>
      <c r="L48" s="394">
        <v>0</v>
      </c>
    </row>
    <row r="49" spans="1:12" x14ac:dyDescent="0.25">
      <c r="A49" s="292" t="s">
        <v>222</v>
      </c>
      <c r="B49" s="394">
        <v>150273.00555</v>
      </c>
      <c r="D49" s="292" t="s">
        <v>375</v>
      </c>
      <c r="E49" s="394">
        <v>940441.61810000008</v>
      </c>
      <c r="G49" s="292" t="s">
        <v>222</v>
      </c>
      <c r="H49" s="394">
        <v>150273.00555</v>
      </c>
      <c r="I49" s="394">
        <v>0</v>
      </c>
      <c r="J49" s="394">
        <v>23380.62055</v>
      </c>
      <c r="K49" s="394">
        <v>114528.38499999999</v>
      </c>
      <c r="L49" s="394">
        <v>12364</v>
      </c>
    </row>
    <row r="50" spans="1:12" x14ac:dyDescent="0.25">
      <c r="A50" s="292" t="s">
        <v>363</v>
      </c>
      <c r="B50" s="394">
        <v>96148.511700000003</v>
      </c>
      <c r="D50" s="292" t="s">
        <v>732</v>
      </c>
      <c r="E50" s="394">
        <v>6552248.2447455004</v>
      </c>
      <c r="G50" s="292" t="s">
        <v>363</v>
      </c>
      <c r="H50" s="394">
        <v>96148.511700000003</v>
      </c>
      <c r="I50" s="394">
        <v>0</v>
      </c>
      <c r="J50" s="394">
        <v>93034.6927</v>
      </c>
      <c r="K50" s="394">
        <v>0</v>
      </c>
      <c r="L50" s="394">
        <v>3113.8190000000004</v>
      </c>
    </row>
    <row r="51" spans="1:12" x14ac:dyDescent="0.25">
      <c r="A51" s="292" t="s">
        <v>401</v>
      </c>
      <c r="B51" s="394">
        <v>80326</v>
      </c>
      <c r="G51" s="292" t="s">
        <v>401</v>
      </c>
      <c r="H51" s="394">
        <v>80326</v>
      </c>
      <c r="I51" s="394">
        <v>50211</v>
      </c>
      <c r="J51" s="394">
        <v>30115</v>
      </c>
      <c r="K51" s="394">
        <v>0</v>
      </c>
      <c r="L51" s="394">
        <v>0</v>
      </c>
    </row>
    <row r="52" spans="1:12" x14ac:dyDescent="0.25">
      <c r="A52" s="292" t="s">
        <v>388</v>
      </c>
      <c r="B52" s="394">
        <v>35915.798999999999</v>
      </c>
      <c r="G52" s="292" t="s">
        <v>388</v>
      </c>
      <c r="H52" s="394">
        <v>35915.798999999999</v>
      </c>
      <c r="I52" s="394">
        <v>0</v>
      </c>
      <c r="J52" s="394">
        <v>34305.354999999996</v>
      </c>
      <c r="K52" s="394">
        <v>0</v>
      </c>
      <c r="L52" s="394">
        <v>1610.444</v>
      </c>
    </row>
    <row r="53" spans="1:12" x14ac:dyDescent="0.25">
      <c r="A53" s="292" t="s">
        <v>158</v>
      </c>
      <c r="B53" s="394">
        <v>5078287</v>
      </c>
      <c r="G53" s="292" t="s">
        <v>158</v>
      </c>
      <c r="H53" s="394">
        <v>5078287</v>
      </c>
      <c r="I53" s="394">
        <v>4677955</v>
      </c>
      <c r="J53" s="394">
        <v>191</v>
      </c>
      <c r="K53" s="394">
        <v>398747</v>
      </c>
      <c r="L53" s="394">
        <v>1394</v>
      </c>
    </row>
    <row r="54" spans="1:12" x14ac:dyDescent="0.25">
      <c r="A54" s="292" t="s">
        <v>373</v>
      </c>
      <c r="B54" s="394">
        <v>790081.16024999996</v>
      </c>
      <c r="G54" s="292" t="s">
        <v>373</v>
      </c>
      <c r="H54" s="394">
        <v>790081.16024999996</v>
      </c>
      <c r="I54" s="394">
        <v>2339</v>
      </c>
      <c r="J54" s="394">
        <v>30309.500250000001</v>
      </c>
      <c r="K54" s="394">
        <v>757432.65999999992</v>
      </c>
      <c r="L54" s="394">
        <v>0</v>
      </c>
    </row>
    <row r="55" spans="1:12" x14ac:dyDescent="0.25">
      <c r="A55" s="292" t="s">
        <v>376</v>
      </c>
      <c r="B55" s="394">
        <v>33069.617700000003</v>
      </c>
      <c r="G55" s="292" t="s">
        <v>376</v>
      </c>
      <c r="H55" s="394">
        <v>33069.617700000003</v>
      </c>
      <c r="I55" s="394">
        <v>0</v>
      </c>
      <c r="J55" s="394">
        <v>33069.617700000003</v>
      </c>
      <c r="K55" s="394">
        <v>0</v>
      </c>
      <c r="L55" s="394">
        <v>0</v>
      </c>
    </row>
    <row r="56" spans="1:12" x14ac:dyDescent="0.25">
      <c r="A56" s="292" t="s">
        <v>732</v>
      </c>
      <c r="B56" s="394">
        <v>6552248.2447455004</v>
      </c>
      <c r="G56" s="292" t="s">
        <v>732</v>
      </c>
      <c r="H56" s="394">
        <v>6552248.2447455004</v>
      </c>
      <c r="I56" s="394">
        <v>4748071</v>
      </c>
      <c r="J56" s="394">
        <v>442615.04574549996</v>
      </c>
      <c r="K56" s="394">
        <v>1340367.7859999998</v>
      </c>
      <c r="L56" s="394">
        <v>21194.413</v>
      </c>
    </row>
    <row r="59" spans="1:12" x14ac:dyDescent="0.25">
      <c r="A59" s="392" t="s">
        <v>731</v>
      </c>
      <c r="B59" s="788" t="s">
        <v>896</v>
      </c>
      <c r="C59" s="788" t="s">
        <v>899</v>
      </c>
      <c r="D59" s="788" t="s">
        <v>900</v>
      </c>
      <c r="E59" s="788" t="s">
        <v>897</v>
      </c>
      <c r="F59" s="788" t="s">
        <v>898</v>
      </c>
      <c r="G59" s="214" t="s">
        <v>901</v>
      </c>
      <c r="H59" s="214"/>
    </row>
    <row r="60" spans="1:12" x14ac:dyDescent="0.25">
      <c r="A60" s="292" t="s">
        <v>368</v>
      </c>
      <c r="B60" s="394">
        <v>60717.303499999995</v>
      </c>
      <c r="C60" s="394">
        <v>0</v>
      </c>
      <c r="D60" s="394">
        <v>0</v>
      </c>
      <c r="E60" s="394">
        <v>3144.5749999999998</v>
      </c>
      <c r="F60" s="394">
        <v>0.66</v>
      </c>
      <c r="G60" s="394">
        <f t="shared" ref="G60:G70" si="0">SUM(B60:F60)</f>
        <v>63862.538499999995</v>
      </c>
      <c r="H60" s="394">
        <f>G60-GETPIVOTDATA("Total Net Generation (1)",$A$44,"AEA Energy Region","Aleutians")</f>
        <v>0</v>
      </c>
    </row>
    <row r="61" spans="1:12" x14ac:dyDescent="0.25">
      <c r="A61" s="292" t="s">
        <v>390</v>
      </c>
      <c r="B61" s="394">
        <v>52469.839900000006</v>
      </c>
      <c r="C61" s="394">
        <v>0</v>
      </c>
      <c r="D61" s="394">
        <v>0</v>
      </c>
      <c r="E61" s="394">
        <v>0</v>
      </c>
      <c r="F61" s="394">
        <v>2623.5770000000002</v>
      </c>
      <c r="G61" s="462">
        <f t="shared" si="0"/>
        <v>55093.416900000004</v>
      </c>
      <c r="H61" s="394">
        <f>G61-GETPIVOTDATA("Total Net Generation (1)",$A$44,"AEA Energy Region","Bering Straits")</f>
        <v>-0.14799999999377178</v>
      </c>
    </row>
    <row r="62" spans="1:12" x14ac:dyDescent="0.25">
      <c r="A62" s="292" t="s">
        <v>392</v>
      </c>
      <c r="B62" s="394">
        <v>50864.982055</v>
      </c>
      <c r="C62" s="394">
        <v>0</v>
      </c>
      <c r="D62" s="394">
        <v>0</v>
      </c>
      <c r="E62" s="394">
        <v>3566.2379999999998</v>
      </c>
      <c r="F62" s="394">
        <v>87.764999999999986</v>
      </c>
      <c r="G62" s="462">
        <f t="shared" si="0"/>
        <v>54518.985054999997</v>
      </c>
      <c r="H62" s="394">
        <f>G62-GETPIVOTDATA("Total Net Generation (1)",$A$44,"AEA Energy Region","Bristol Bay")</f>
        <v>-9.0500012447591871E-5</v>
      </c>
    </row>
    <row r="63" spans="1:12" x14ac:dyDescent="0.25">
      <c r="A63" s="292" t="s">
        <v>379</v>
      </c>
      <c r="B63" s="394">
        <v>51723.133999999998</v>
      </c>
      <c r="C63" s="394">
        <v>0</v>
      </c>
      <c r="D63" s="394">
        <v>0</v>
      </c>
      <c r="E63" s="394">
        <v>62948.928</v>
      </c>
      <c r="F63" s="394">
        <v>0</v>
      </c>
      <c r="G63" s="462">
        <f t="shared" si="0"/>
        <v>114672.06200000001</v>
      </c>
      <c r="H63" s="394">
        <f>G63-GETPIVOTDATA("Total Net Generation (1)",$A$44,"AEA Energy Region","Copper River/Chugach")</f>
        <v>0</v>
      </c>
    </row>
    <row r="64" spans="1:12" x14ac:dyDescent="0.25">
      <c r="A64" s="292" t="s">
        <v>222</v>
      </c>
      <c r="B64" s="394">
        <v>23380.62055</v>
      </c>
      <c r="C64" s="394">
        <v>0</v>
      </c>
      <c r="D64" s="394">
        <v>0</v>
      </c>
      <c r="E64" s="394">
        <v>114528.38499999999</v>
      </c>
      <c r="F64" s="394">
        <v>12364</v>
      </c>
      <c r="G64" s="462">
        <f t="shared" si="0"/>
        <v>150273.00555</v>
      </c>
      <c r="H64" s="394">
        <f>G64-GETPIVOTDATA("Total Net Generation (1)",$A$44,"AEA Energy Region","Kodiak")</f>
        <v>0</v>
      </c>
    </row>
    <row r="65" spans="1:11" x14ac:dyDescent="0.25">
      <c r="A65" s="292" t="s">
        <v>363</v>
      </c>
      <c r="B65" s="394">
        <v>93034.6927</v>
      </c>
      <c r="C65" s="394">
        <v>0</v>
      </c>
      <c r="D65" s="394">
        <v>0</v>
      </c>
      <c r="E65" s="394">
        <v>0</v>
      </c>
      <c r="F65" s="394">
        <v>3113.8190000000004</v>
      </c>
      <c r="G65" s="394">
        <f t="shared" si="0"/>
        <v>96148.511700000003</v>
      </c>
      <c r="H65">
        <f>GETPIVOTDATA("Total Net Generation (1)",$A$44,"AEA Energy Region","Lower Yukon-Kuskokwim")-GETPIVOTDATA("Total Net Generation (1)",$A$44,"AEA Energy Region","Lower Yukon-Kuskokwim")</f>
        <v>0</v>
      </c>
    </row>
    <row r="66" spans="1:11" x14ac:dyDescent="0.25">
      <c r="A66" s="292" t="s">
        <v>401</v>
      </c>
      <c r="B66" s="394">
        <v>28640</v>
      </c>
      <c r="C66" s="394">
        <v>51686</v>
      </c>
      <c r="D66" s="394">
        <v>0</v>
      </c>
      <c r="E66" s="394">
        <v>0</v>
      </c>
      <c r="F66" s="394">
        <v>0</v>
      </c>
      <c r="G66" s="394">
        <f t="shared" si="0"/>
        <v>80326</v>
      </c>
      <c r="H66" s="394">
        <f>G66-GETPIVOTDATA("Total Net Generation (1)",$A$44,"AEA Energy Region","North Slope")</f>
        <v>0</v>
      </c>
    </row>
    <row r="67" spans="1:11" x14ac:dyDescent="0.25">
      <c r="A67" s="292" t="s">
        <v>388</v>
      </c>
      <c r="B67" s="394">
        <v>34305.354999999996</v>
      </c>
      <c r="C67" s="394">
        <v>0</v>
      </c>
      <c r="D67" s="394">
        <v>0</v>
      </c>
      <c r="E67" s="394">
        <v>0</v>
      </c>
      <c r="F67" s="394">
        <v>1610.444</v>
      </c>
      <c r="G67" s="394">
        <f t="shared" si="0"/>
        <v>35915.798999999999</v>
      </c>
      <c r="H67" s="394">
        <f>G67-GETPIVOTDATA("Total Net Generation (1)",$A$44,"AEA Energy Region","Northwest Arctic")</f>
        <v>0</v>
      </c>
    </row>
    <row r="68" spans="1:11" x14ac:dyDescent="0.25">
      <c r="A68" s="292" t="s">
        <v>158</v>
      </c>
      <c r="B68" s="394">
        <v>559426.34499999997</v>
      </c>
      <c r="C68" s="394">
        <v>3731560.6550000003</v>
      </c>
      <c r="D68" s="394">
        <v>387160</v>
      </c>
      <c r="E68" s="394">
        <v>398747</v>
      </c>
      <c r="F68" s="394">
        <v>1394</v>
      </c>
      <c r="G68" s="394">
        <f t="shared" si="0"/>
        <v>5078288</v>
      </c>
      <c r="H68" s="394">
        <f>G68-GETPIVOTDATA("Total Net Generation (1)",$A$44,"AEA Energy Region","Railbelt")</f>
        <v>1</v>
      </c>
    </row>
    <row r="69" spans="1:11" x14ac:dyDescent="0.25">
      <c r="A69" s="292" t="s">
        <v>373</v>
      </c>
      <c r="B69" s="394">
        <v>32648.500249999997</v>
      </c>
      <c r="C69" s="394">
        <v>0</v>
      </c>
      <c r="D69" s="394">
        <v>0</v>
      </c>
      <c r="E69" s="394">
        <v>757432.65999999992</v>
      </c>
      <c r="F69" s="394">
        <v>0</v>
      </c>
      <c r="G69" s="394">
        <f t="shared" si="0"/>
        <v>790081.16024999996</v>
      </c>
      <c r="H69" s="394">
        <f>G69-GETPIVOTDATA("Total Net Generation (1)",$A$44,"AEA Energy Region","Southeast")</f>
        <v>0</v>
      </c>
    </row>
    <row r="70" spans="1:11" x14ac:dyDescent="0.25">
      <c r="A70" s="292" t="s">
        <v>376</v>
      </c>
      <c r="B70" s="394">
        <v>33070.758699999998</v>
      </c>
      <c r="C70" s="394">
        <v>0</v>
      </c>
      <c r="D70" s="394">
        <v>0</v>
      </c>
      <c r="E70" s="394">
        <v>0</v>
      </c>
      <c r="F70" s="394">
        <v>0</v>
      </c>
      <c r="G70" s="394">
        <f t="shared" si="0"/>
        <v>33070.758699999998</v>
      </c>
      <c r="H70" s="394">
        <f>G70-GETPIVOTDATA("Total Net Generation (1)",$A$44,"AEA Energy Region","Yukon-Koyukuk/Upper Tanana")</f>
        <v>1.1409999999959837</v>
      </c>
    </row>
    <row r="71" spans="1:11" x14ac:dyDescent="0.25">
      <c r="A71" s="292" t="s">
        <v>732</v>
      </c>
      <c r="B71" s="394">
        <v>1020281.5316549999</v>
      </c>
      <c r="C71" s="394">
        <v>3783246.6550000003</v>
      </c>
      <c r="D71" s="394">
        <v>387160</v>
      </c>
      <c r="E71" s="394">
        <v>1340367.7859999998</v>
      </c>
      <c r="F71" s="394">
        <v>21194.264999999999</v>
      </c>
    </row>
    <row r="72" spans="1:11" x14ac:dyDescent="0.25">
      <c r="I72" s="392" t="s">
        <v>5</v>
      </c>
      <c r="J72" s="788" t="s">
        <v>158</v>
      </c>
    </row>
    <row r="73" spans="1:11" s="214" customFormat="1" x14ac:dyDescent="0.25">
      <c r="A73" s="214" t="s">
        <v>904</v>
      </c>
    </row>
    <row r="74" spans="1:11" x14ac:dyDescent="0.25">
      <c r="A74" s="392" t="s">
        <v>731</v>
      </c>
      <c r="B74" s="788" t="s">
        <v>1097</v>
      </c>
      <c r="C74" s="788" t="s">
        <v>902</v>
      </c>
      <c r="D74" s="788" t="s">
        <v>903</v>
      </c>
      <c r="I74" s="392" t="s">
        <v>731</v>
      </c>
      <c r="J74" t="s">
        <v>1097</v>
      </c>
    </row>
    <row r="75" spans="1:11" x14ac:dyDescent="0.25">
      <c r="A75" s="292" t="s">
        <v>368</v>
      </c>
      <c r="B75" s="394">
        <v>4221440.2</v>
      </c>
      <c r="C75" s="394">
        <v>0</v>
      </c>
      <c r="D75" s="394">
        <v>0</v>
      </c>
      <c r="I75" s="292" t="s">
        <v>642</v>
      </c>
      <c r="J75" s="394">
        <v>0</v>
      </c>
    </row>
    <row r="76" spans="1:11" x14ac:dyDescent="0.25">
      <c r="A76" s="292" t="s">
        <v>390</v>
      </c>
      <c r="B76" s="394">
        <v>3548336</v>
      </c>
      <c r="C76" s="394">
        <v>0</v>
      </c>
      <c r="D76" s="394">
        <v>0</v>
      </c>
      <c r="I76" s="292" t="s">
        <v>119</v>
      </c>
      <c r="J76" s="394">
        <v>23352</v>
      </c>
      <c r="K76" s="846">
        <f>GETPIVOTDATA("Oil (gallons)",$I$74,"Utility Name","Anchorage Municipal Light &amp; Power")/GETPIVOTDATA("Oil (gallons)",$I$74)</f>
        <v>6.7713629803740081E-4</v>
      </c>
    </row>
    <row r="77" spans="1:11" x14ac:dyDescent="0.25">
      <c r="A77" s="292" t="s">
        <v>392</v>
      </c>
      <c r="B77" s="394">
        <v>3628029.1592000001</v>
      </c>
      <c r="C77" s="394">
        <v>0</v>
      </c>
      <c r="D77" s="394">
        <v>0</v>
      </c>
      <c r="I77" s="292" t="s">
        <v>131</v>
      </c>
      <c r="J77" s="394">
        <v>0</v>
      </c>
      <c r="K77" s="846"/>
    </row>
    <row r="78" spans="1:11" x14ac:dyDescent="0.25">
      <c r="A78" s="292" t="s">
        <v>379</v>
      </c>
      <c r="B78" s="394">
        <v>4658331</v>
      </c>
      <c r="C78" s="394">
        <v>0</v>
      </c>
      <c r="D78" s="394">
        <v>0</v>
      </c>
      <c r="I78" s="292" t="s">
        <v>153</v>
      </c>
      <c r="J78" s="394">
        <v>0</v>
      </c>
      <c r="K78" s="846"/>
    </row>
    <row r="79" spans="1:11" x14ac:dyDescent="0.25">
      <c r="A79" s="292" t="s">
        <v>222</v>
      </c>
      <c r="B79" s="394">
        <v>1772553.0012000001</v>
      </c>
      <c r="C79" s="394">
        <v>0</v>
      </c>
      <c r="D79" s="394">
        <v>0</v>
      </c>
      <c r="I79" s="292" t="s">
        <v>184</v>
      </c>
      <c r="J79" s="394">
        <v>34450626</v>
      </c>
      <c r="K79" s="846">
        <f>GETPIVOTDATA("Oil (gallons)",$I$74,"Utility Name","Golden Valley Elec Assn Inc")/GETPIVOTDATA("Oil (gallons)",$I$74)</f>
        <v>0.99896237387423048</v>
      </c>
    </row>
    <row r="80" spans="1:11" x14ac:dyDescent="0.25">
      <c r="A80" s="292" t="s">
        <v>363</v>
      </c>
      <c r="B80" s="394">
        <v>7129676.909</v>
      </c>
      <c r="C80" s="394">
        <v>0</v>
      </c>
      <c r="D80" s="394">
        <v>0</v>
      </c>
      <c r="I80" s="292" t="s">
        <v>193</v>
      </c>
      <c r="J80" s="394">
        <v>10206</v>
      </c>
      <c r="K80" s="846">
        <f>GETPIVOTDATA("Oil (gallons)",$I$74,"Utility Name","Homer Electric Assn Inc")/GETPIVOTDATA("Oil (gallons)",$I$74)</f>
        <v>2.9594266263145393E-4</v>
      </c>
    </row>
    <row r="81" spans="1:13" x14ac:dyDescent="0.25">
      <c r="A81" s="292" t="s">
        <v>401</v>
      </c>
      <c r="B81" s="394">
        <v>2162790</v>
      </c>
      <c r="C81" s="394">
        <v>756309</v>
      </c>
      <c r="D81" s="394">
        <v>0</v>
      </c>
      <c r="I81" s="292" t="s">
        <v>310</v>
      </c>
      <c r="J81" s="394">
        <v>2226</v>
      </c>
      <c r="K81" s="846">
        <f>GETPIVOTDATA("Oil (gallons)",$I$74,"Utility Name","Seward, City of")/GETPIVOTDATA("Oil (gallons)",$I$74)</f>
        <v>6.4547165100687493E-5</v>
      </c>
    </row>
    <row r="82" spans="1:13" x14ac:dyDescent="0.25">
      <c r="A82" s="292" t="s">
        <v>388</v>
      </c>
      <c r="B82" s="394">
        <v>2471745.09</v>
      </c>
      <c r="C82" s="394">
        <v>0</v>
      </c>
      <c r="D82" s="394">
        <v>0</v>
      </c>
      <c r="I82" s="292" t="s">
        <v>732</v>
      </c>
      <c r="J82" s="394">
        <v>34486410</v>
      </c>
    </row>
    <row r="83" spans="1:13" x14ac:dyDescent="0.25">
      <c r="A83" s="292" t="s">
        <v>158</v>
      </c>
      <c r="B83" s="394">
        <v>34486410</v>
      </c>
      <c r="C83" s="394">
        <v>40181450</v>
      </c>
      <c r="D83" s="394">
        <v>397367</v>
      </c>
    </row>
    <row r="84" spans="1:13" x14ac:dyDescent="0.25">
      <c r="A84" s="292" t="s">
        <v>373</v>
      </c>
      <c r="B84" s="394">
        <v>2687202.0890000002</v>
      </c>
      <c r="C84" s="394">
        <v>0</v>
      </c>
      <c r="D84" s="394">
        <v>0</v>
      </c>
    </row>
    <row r="85" spans="1:13" x14ac:dyDescent="0.25">
      <c r="A85" s="292" t="s">
        <v>376</v>
      </c>
      <c r="B85" s="394">
        <v>2557161.6669999999</v>
      </c>
      <c r="C85" s="394">
        <v>0</v>
      </c>
      <c r="D85" s="394">
        <v>0</v>
      </c>
    </row>
    <row r="86" spans="1:13" x14ac:dyDescent="0.25">
      <c r="A86" s="292" t="s">
        <v>732</v>
      </c>
      <c r="B86" s="394">
        <v>69323675.115400001</v>
      </c>
      <c r="C86" s="394">
        <v>40937759</v>
      </c>
      <c r="D86" s="394">
        <v>397367</v>
      </c>
    </row>
    <row r="88" spans="1:13" s="214" customFormat="1" x14ac:dyDescent="0.25">
      <c r="A88" s="214" t="s">
        <v>756</v>
      </c>
    </row>
    <row r="89" spans="1:13" x14ac:dyDescent="0.25">
      <c r="B89" t="s">
        <v>11</v>
      </c>
      <c r="C89" t="s">
        <v>12</v>
      </c>
      <c r="D89" t="s">
        <v>13</v>
      </c>
      <c r="E89" t="s">
        <v>14</v>
      </c>
      <c r="I89" t="s">
        <v>11</v>
      </c>
      <c r="J89" t="s">
        <v>12</v>
      </c>
      <c r="K89" t="s">
        <v>13</v>
      </c>
      <c r="L89" t="s">
        <v>14</v>
      </c>
    </row>
    <row r="90" spans="1:13" x14ac:dyDescent="0.25">
      <c r="A90" s="392" t="s">
        <v>731</v>
      </c>
      <c r="B90" s="605" t="s">
        <v>905</v>
      </c>
      <c r="C90" s="605" t="s">
        <v>906</v>
      </c>
      <c r="D90" s="605" t="s">
        <v>907</v>
      </c>
      <c r="E90" s="605" t="s">
        <v>908</v>
      </c>
      <c r="H90" t="s">
        <v>731</v>
      </c>
      <c r="I90" t="s">
        <v>905</v>
      </c>
      <c r="J90" t="s">
        <v>906</v>
      </c>
      <c r="K90" t="s">
        <v>907</v>
      </c>
      <c r="L90" t="s">
        <v>908</v>
      </c>
    </row>
    <row r="91" spans="1:13" x14ac:dyDescent="0.25">
      <c r="A91" s="292" t="s">
        <v>368</v>
      </c>
      <c r="B91" s="394">
        <v>8761.0352000000003</v>
      </c>
      <c r="C91" s="394">
        <v>41422.258000000002</v>
      </c>
      <c r="D91" s="394">
        <v>9499.6170000000002</v>
      </c>
      <c r="E91" s="394">
        <v>59682.910199999998</v>
      </c>
      <c r="F91" s="394"/>
      <c r="H91" t="s">
        <v>368</v>
      </c>
      <c r="I91" s="394">
        <v>8761.0352000000003</v>
      </c>
      <c r="J91" s="394">
        <v>41422.258000000002</v>
      </c>
      <c r="K91" s="394">
        <v>9499.6170000000002</v>
      </c>
      <c r="L91" s="394">
        <f>SUM(I91:K91)</f>
        <v>59682.910199999998</v>
      </c>
      <c r="M91" s="394">
        <f>MROUND(L91,10)</f>
        <v>59680</v>
      </c>
    </row>
    <row r="92" spans="1:13" x14ac:dyDescent="0.25">
      <c r="A92" s="292" t="s">
        <v>390</v>
      </c>
      <c r="B92" s="394">
        <v>17094.776999999998</v>
      </c>
      <c r="C92" s="394">
        <v>22162.592000000004</v>
      </c>
      <c r="D92" s="394">
        <v>13217.868999999999</v>
      </c>
      <c r="E92" s="394">
        <v>52475.237999999998</v>
      </c>
      <c r="F92" s="394"/>
      <c r="H92" t="s">
        <v>390</v>
      </c>
      <c r="I92" s="394">
        <v>17094.776999999998</v>
      </c>
      <c r="J92" s="394">
        <v>22162.592000000004</v>
      </c>
      <c r="K92" s="394">
        <v>13217.868999999999</v>
      </c>
      <c r="L92" s="394">
        <f t="shared" ref="L92:L101" si="1">SUM(I92:K92)</f>
        <v>52475.238000000005</v>
      </c>
      <c r="M92" s="394">
        <f t="shared" ref="M92:M101" si="2">MROUND(L92,10)</f>
        <v>52480</v>
      </c>
    </row>
    <row r="93" spans="1:13" x14ac:dyDescent="0.25">
      <c r="A93" s="292" t="s">
        <v>392</v>
      </c>
      <c r="B93" s="394">
        <v>14797.834998000002</v>
      </c>
      <c r="C93" s="394">
        <v>24883.349548999999</v>
      </c>
      <c r="D93" s="394">
        <v>11194.617727599998</v>
      </c>
      <c r="E93" s="394">
        <v>50875.802274600006</v>
      </c>
      <c r="F93" s="394"/>
      <c r="H93" t="s">
        <v>392</v>
      </c>
      <c r="I93" s="394">
        <v>14797.834998000002</v>
      </c>
      <c r="J93" s="394">
        <v>24883.349548999999</v>
      </c>
      <c r="K93" s="394">
        <v>11194.617727599998</v>
      </c>
      <c r="L93" s="394">
        <f t="shared" si="1"/>
        <v>50875.802274599992</v>
      </c>
      <c r="M93" s="394">
        <f t="shared" si="2"/>
        <v>50880</v>
      </c>
    </row>
    <row r="94" spans="1:13" x14ac:dyDescent="0.25">
      <c r="A94" s="292" t="s">
        <v>379</v>
      </c>
      <c r="B94" s="394">
        <v>24269.100999999999</v>
      </c>
      <c r="C94" s="394">
        <v>78927.661999999997</v>
      </c>
      <c r="D94" s="394">
        <v>5288.15</v>
      </c>
      <c r="E94" s="394">
        <v>108484.913</v>
      </c>
      <c r="F94" s="394"/>
      <c r="H94" t="s">
        <v>379</v>
      </c>
      <c r="I94" s="394">
        <v>24269.100999999999</v>
      </c>
      <c r="J94" s="394">
        <v>78927.661999999997</v>
      </c>
      <c r="K94" s="394">
        <v>5288.15</v>
      </c>
      <c r="L94" s="394">
        <f t="shared" si="1"/>
        <v>108484.91299999999</v>
      </c>
      <c r="M94" s="394">
        <f t="shared" si="2"/>
        <v>108480</v>
      </c>
    </row>
    <row r="95" spans="1:13" x14ac:dyDescent="0.25">
      <c r="A95" s="292" t="s">
        <v>222</v>
      </c>
      <c r="B95" s="394">
        <v>35083.104449999999</v>
      </c>
      <c r="C95" s="394">
        <v>22237.664639999999</v>
      </c>
      <c r="D95" s="394">
        <v>86905.187363000005</v>
      </c>
      <c r="E95" s="394">
        <v>144225.95645299999</v>
      </c>
      <c r="F95" s="394"/>
      <c r="H95" t="s">
        <v>222</v>
      </c>
      <c r="I95" s="394">
        <v>35083.104449999999</v>
      </c>
      <c r="J95" s="394">
        <v>22237.664639999999</v>
      </c>
      <c r="K95" s="394">
        <v>86905.187363000005</v>
      </c>
      <c r="L95" s="394">
        <f t="shared" si="1"/>
        <v>144225.95645300002</v>
      </c>
      <c r="M95" s="394">
        <f t="shared" si="2"/>
        <v>144230</v>
      </c>
    </row>
    <row r="96" spans="1:13" x14ac:dyDescent="0.25">
      <c r="A96" s="292" t="s">
        <v>363</v>
      </c>
      <c r="B96" s="394">
        <v>31743.512999999999</v>
      </c>
      <c r="C96" s="394">
        <v>36333.631311999983</v>
      </c>
      <c r="D96" s="394">
        <v>21759.821451</v>
      </c>
      <c r="E96" s="394">
        <v>89836.965763000015</v>
      </c>
      <c r="F96" s="394"/>
      <c r="H96" t="s">
        <v>363</v>
      </c>
      <c r="I96" s="394">
        <v>31743.512999999999</v>
      </c>
      <c r="J96" s="394">
        <v>36333.631311999983</v>
      </c>
      <c r="K96" s="394">
        <v>21759.821451</v>
      </c>
      <c r="L96" s="394">
        <f t="shared" si="1"/>
        <v>89836.965762999986</v>
      </c>
      <c r="M96" s="394">
        <f t="shared" si="2"/>
        <v>89840</v>
      </c>
    </row>
    <row r="97" spans="1:13" x14ac:dyDescent="0.25">
      <c r="A97" s="292" t="s">
        <v>401</v>
      </c>
      <c r="B97" s="394">
        <v>17262.737000000001</v>
      </c>
      <c r="C97" s="394">
        <v>59042.530999999995</v>
      </c>
      <c r="D97" s="394">
        <v>1646.8980000000001</v>
      </c>
      <c r="E97" s="394">
        <v>77952.165999999997</v>
      </c>
      <c r="F97" s="394"/>
      <c r="H97" t="s">
        <v>401</v>
      </c>
      <c r="I97" s="394">
        <v>17262.737000000001</v>
      </c>
      <c r="J97" s="394">
        <v>59042.530999999995</v>
      </c>
      <c r="K97" s="394">
        <v>1646.8980000000001</v>
      </c>
      <c r="L97" s="394">
        <f t="shared" si="1"/>
        <v>77952.165999999997</v>
      </c>
      <c r="M97" s="394">
        <f t="shared" si="2"/>
        <v>77950</v>
      </c>
    </row>
    <row r="98" spans="1:13" x14ac:dyDescent="0.25">
      <c r="A98" s="292" t="s">
        <v>388</v>
      </c>
      <c r="B98" s="394">
        <v>12800.108</v>
      </c>
      <c r="C98" s="394">
        <v>13501.966999999999</v>
      </c>
      <c r="D98" s="394">
        <v>8205.24</v>
      </c>
      <c r="E98" s="394">
        <v>34507.315000000002</v>
      </c>
      <c r="F98" s="394"/>
      <c r="H98" t="s">
        <v>388</v>
      </c>
      <c r="I98" s="394">
        <v>12800.108</v>
      </c>
      <c r="J98" s="394">
        <v>13501.966999999999</v>
      </c>
      <c r="K98" s="394">
        <v>8205.24</v>
      </c>
      <c r="L98" s="394">
        <f t="shared" si="1"/>
        <v>34507.314999999995</v>
      </c>
      <c r="M98" s="394">
        <f t="shared" si="2"/>
        <v>34510</v>
      </c>
    </row>
    <row r="99" spans="1:13" x14ac:dyDescent="0.25">
      <c r="A99" s="292" t="s">
        <v>158</v>
      </c>
      <c r="B99" s="394">
        <v>1640126</v>
      </c>
      <c r="C99" s="394">
        <v>2125764</v>
      </c>
      <c r="D99" s="394">
        <v>1050834</v>
      </c>
      <c r="E99" s="394">
        <v>4816724</v>
      </c>
      <c r="F99" s="394"/>
      <c r="H99" t="s">
        <v>158</v>
      </c>
      <c r="I99" s="394">
        <v>1640126</v>
      </c>
      <c r="J99" s="394">
        <v>2125764</v>
      </c>
      <c r="K99" s="394">
        <v>1050834</v>
      </c>
      <c r="L99" s="394">
        <f t="shared" si="1"/>
        <v>4816724</v>
      </c>
      <c r="M99" s="394">
        <f t="shared" si="2"/>
        <v>4816720</v>
      </c>
    </row>
    <row r="100" spans="1:13" x14ac:dyDescent="0.25">
      <c r="A100" s="292" t="s">
        <v>373</v>
      </c>
      <c r="B100" s="394">
        <v>325049.54199999996</v>
      </c>
      <c r="C100" s="394">
        <v>319376.05599999998</v>
      </c>
      <c r="D100" s="394">
        <v>159203.1127273</v>
      </c>
      <c r="E100" s="394">
        <v>803628.71072730003</v>
      </c>
      <c r="F100" s="394"/>
      <c r="H100" t="s">
        <v>373</v>
      </c>
      <c r="I100" s="394">
        <v>325049.54199999996</v>
      </c>
      <c r="J100" s="394">
        <v>319376.05599999998</v>
      </c>
      <c r="K100" s="394">
        <v>159203.1127273</v>
      </c>
      <c r="L100" s="394">
        <f t="shared" si="1"/>
        <v>803628.71072730003</v>
      </c>
      <c r="M100" s="394">
        <f t="shared" si="2"/>
        <v>803630</v>
      </c>
    </row>
    <row r="101" spans="1:13" x14ac:dyDescent="0.25">
      <c r="A101" s="292" t="s">
        <v>376</v>
      </c>
      <c r="B101" s="394">
        <v>11390.239000000003</v>
      </c>
      <c r="C101" s="394">
        <v>7711.6253300000008</v>
      </c>
      <c r="D101" s="394">
        <v>8198.2133065999988</v>
      </c>
      <c r="E101" s="394">
        <v>27300.077636600003</v>
      </c>
      <c r="F101" s="394"/>
      <c r="H101" t="s">
        <v>376</v>
      </c>
      <c r="I101" s="394">
        <v>11390.239000000003</v>
      </c>
      <c r="J101" s="394">
        <v>7711.6253300000008</v>
      </c>
      <c r="K101" s="394">
        <v>8198.2133065999988</v>
      </c>
      <c r="L101" s="394">
        <f t="shared" si="1"/>
        <v>27300.077636600003</v>
      </c>
      <c r="M101" s="394">
        <f t="shared" si="2"/>
        <v>27300</v>
      </c>
    </row>
    <row r="102" spans="1:13" x14ac:dyDescent="0.25">
      <c r="A102" s="292" t="s">
        <v>732</v>
      </c>
      <c r="B102" s="394">
        <v>2138377.9916480002</v>
      </c>
      <c r="C102" s="394">
        <v>2751363.3368310002</v>
      </c>
      <c r="D102" s="394">
        <v>1375952.7265755001</v>
      </c>
      <c r="E102" s="394">
        <v>6265694.0550544988</v>
      </c>
      <c r="H102" t="s">
        <v>732</v>
      </c>
      <c r="I102" s="394">
        <f>SUM(I91:I101)</f>
        <v>2138377.9916480002</v>
      </c>
      <c r="J102" s="394">
        <f>SUM(J91:J101)</f>
        <v>2751363.3368310002</v>
      </c>
      <c r="K102" s="394">
        <f>SUM(K91:K101)</f>
        <v>1375952.7265755001</v>
      </c>
      <c r="L102" s="394">
        <f>SUM(L91:L101)</f>
        <v>6265694.0550544988</v>
      </c>
      <c r="M102" s="394">
        <f>SUM(M91:M101)</f>
        <v>6265700</v>
      </c>
    </row>
    <row r="103" spans="1:13" x14ac:dyDescent="0.25">
      <c r="B103" s="394"/>
      <c r="C103" s="394"/>
      <c r="D103" s="394"/>
      <c r="E103" s="394"/>
      <c r="L103" s="394"/>
    </row>
    <row r="105" spans="1:13" x14ac:dyDescent="0.25">
      <c r="B105" s="341" t="s">
        <v>11</v>
      </c>
      <c r="C105" s="341" t="s">
        <v>12</v>
      </c>
      <c r="D105" s="341" t="s">
        <v>13</v>
      </c>
      <c r="E105" s="341" t="s">
        <v>14</v>
      </c>
      <c r="I105" t="s">
        <v>11</v>
      </c>
      <c r="J105" t="s">
        <v>12</v>
      </c>
      <c r="K105" t="s">
        <v>13</v>
      </c>
      <c r="L105" t="s">
        <v>14</v>
      </c>
    </row>
    <row r="106" spans="1:13" x14ac:dyDescent="0.25">
      <c r="A106" s="392" t="s">
        <v>731</v>
      </c>
      <c r="B106" s="605" t="s">
        <v>909</v>
      </c>
      <c r="C106" s="605" t="s">
        <v>910</v>
      </c>
      <c r="D106" s="605" t="s">
        <v>911</v>
      </c>
      <c r="E106" s="605" t="s">
        <v>912</v>
      </c>
      <c r="H106" t="s">
        <v>731</v>
      </c>
      <c r="I106" t="s">
        <v>909</v>
      </c>
      <c r="J106" t="s">
        <v>910</v>
      </c>
      <c r="K106" t="s">
        <v>911</v>
      </c>
      <c r="L106" t="s">
        <v>912</v>
      </c>
    </row>
    <row r="107" spans="1:13" x14ac:dyDescent="0.25">
      <c r="A107" s="292" t="s">
        <v>368</v>
      </c>
      <c r="B107" s="394">
        <v>4292.8017855497355</v>
      </c>
      <c r="C107" s="394">
        <v>19265.285835485938</v>
      </c>
      <c r="D107" s="394">
        <v>4931.9019866135804</v>
      </c>
      <c r="E107" s="394">
        <v>28489.989607649251</v>
      </c>
      <c r="H107" t="s">
        <v>368</v>
      </c>
      <c r="I107" s="394">
        <v>4292.8017855497355</v>
      </c>
      <c r="J107" s="394">
        <v>19265.285835485938</v>
      </c>
      <c r="K107" s="394">
        <v>4931.9019866135804</v>
      </c>
      <c r="L107" s="394">
        <v>28489.989607649251</v>
      </c>
    </row>
    <row r="108" spans="1:13" x14ac:dyDescent="0.25">
      <c r="A108" s="292" t="s">
        <v>390</v>
      </c>
      <c r="B108" s="394">
        <v>7492.6586747020301</v>
      </c>
      <c r="C108" s="394">
        <v>8793.1630550649206</v>
      </c>
      <c r="D108" s="394">
        <v>5914.6893420282704</v>
      </c>
      <c r="E108" s="394">
        <v>22200.511071795219</v>
      </c>
      <c r="H108" t="s">
        <v>390</v>
      </c>
      <c r="I108" s="394">
        <v>7492.6586747020301</v>
      </c>
      <c r="J108" s="394">
        <v>8793.1630550649206</v>
      </c>
      <c r="K108" s="394">
        <v>5914.6893420282704</v>
      </c>
      <c r="L108" s="394">
        <v>22200.511071795219</v>
      </c>
    </row>
    <row r="109" spans="1:13" x14ac:dyDescent="0.25">
      <c r="A109" s="292" t="s">
        <v>392</v>
      </c>
      <c r="B109" s="394">
        <v>7549.925929978981</v>
      </c>
      <c r="C109" s="394">
        <v>12018.65717522697</v>
      </c>
      <c r="D109" s="394">
        <v>5939.6241320403196</v>
      </c>
      <c r="E109" s="394">
        <v>25508.207237246272</v>
      </c>
      <c r="H109" t="s">
        <v>392</v>
      </c>
      <c r="I109" s="394">
        <v>7549.925929978981</v>
      </c>
      <c r="J109" s="394">
        <v>12018.65717522697</v>
      </c>
      <c r="K109" s="394">
        <v>5939.6241320403196</v>
      </c>
      <c r="L109" s="394">
        <v>25508.207237246272</v>
      </c>
    </row>
    <row r="110" spans="1:13" x14ac:dyDescent="0.25">
      <c r="A110" s="292" t="s">
        <v>379</v>
      </c>
      <c r="B110" s="394">
        <v>7945.9648880723498</v>
      </c>
      <c r="C110" s="394">
        <v>22536.372799861641</v>
      </c>
      <c r="D110" s="394">
        <v>2355.30579496881</v>
      </c>
      <c r="E110" s="394">
        <v>32837.6434829028</v>
      </c>
      <c r="H110" t="s">
        <v>379</v>
      </c>
      <c r="I110" s="394">
        <v>7945.9648880723498</v>
      </c>
      <c r="J110" s="394">
        <v>22536.372799861641</v>
      </c>
      <c r="K110" s="394">
        <v>2355.30579496881</v>
      </c>
      <c r="L110" s="394">
        <v>32837.6434829028</v>
      </c>
    </row>
    <row r="111" spans="1:13" x14ac:dyDescent="0.25">
      <c r="A111" s="292" t="s">
        <v>222</v>
      </c>
      <c r="B111" s="394">
        <v>6966.4435219249999</v>
      </c>
      <c r="C111" s="394">
        <v>4306.813369425</v>
      </c>
      <c r="D111" s="394">
        <v>15286.235490219999</v>
      </c>
      <c r="E111" s="394">
        <v>26550.492381569999</v>
      </c>
      <c r="H111" t="s">
        <v>222</v>
      </c>
      <c r="I111" s="394">
        <v>6966.4435219249999</v>
      </c>
      <c r="J111" s="394">
        <v>4306.813369425</v>
      </c>
      <c r="K111" s="394">
        <v>15286.235490219999</v>
      </c>
      <c r="L111" s="394">
        <v>26550.492381569999</v>
      </c>
    </row>
    <row r="112" spans="1:13" x14ac:dyDescent="0.25">
      <c r="A112" s="292" t="s">
        <v>363</v>
      </c>
      <c r="B112" s="394">
        <v>17600.560156817639</v>
      </c>
      <c r="C112" s="394">
        <v>19435.678443522513</v>
      </c>
      <c r="D112" s="394">
        <v>11914.223078148791</v>
      </c>
      <c r="E112" s="394">
        <v>48950.461678488929</v>
      </c>
      <c r="H112" t="s">
        <v>363</v>
      </c>
      <c r="I112" s="394">
        <v>17600.560156817639</v>
      </c>
      <c r="J112" s="394">
        <v>19435.678443522513</v>
      </c>
      <c r="K112" s="394">
        <v>11914.223078148791</v>
      </c>
      <c r="L112" s="394">
        <v>48950.461678488929</v>
      </c>
    </row>
    <row r="113" spans="1:12" x14ac:dyDescent="0.25">
      <c r="A113" s="292" t="s">
        <v>401</v>
      </c>
      <c r="B113" s="394">
        <v>2142.8435899999999</v>
      </c>
      <c r="C113" s="394">
        <v>6704.6529099999998</v>
      </c>
      <c r="D113" s="394">
        <v>238.83762999999999</v>
      </c>
      <c r="E113" s="394">
        <v>9086.3341300000011</v>
      </c>
      <c r="H113" t="s">
        <v>401</v>
      </c>
      <c r="I113" s="394">
        <v>2142.8435899999999</v>
      </c>
      <c r="J113" s="394">
        <v>6704.6529099999998</v>
      </c>
      <c r="K113" s="394">
        <v>238.83762999999999</v>
      </c>
      <c r="L113" s="394">
        <v>9086.3341300000011</v>
      </c>
    </row>
    <row r="114" spans="1:12" x14ac:dyDescent="0.25">
      <c r="A114" s="292" t="s">
        <v>388</v>
      </c>
      <c r="B114" s="394">
        <v>6521.6012816499606</v>
      </c>
      <c r="C114" s="394">
        <v>6265.4480507503104</v>
      </c>
      <c r="D114" s="394">
        <v>4619.4807995777301</v>
      </c>
      <c r="E114" s="394">
        <v>17406.530131978001</v>
      </c>
      <c r="H114" t="s">
        <v>388</v>
      </c>
      <c r="I114" s="394">
        <v>6521.6012816499606</v>
      </c>
      <c r="J114" s="394">
        <v>6265.4480507503104</v>
      </c>
      <c r="K114" s="394">
        <v>4619.4807995777301</v>
      </c>
      <c r="L114" s="394">
        <v>17406.530131978001</v>
      </c>
    </row>
    <row r="115" spans="1:12" x14ac:dyDescent="0.25">
      <c r="A115" s="292" t="s">
        <v>158</v>
      </c>
      <c r="B115" s="394">
        <v>271216.7</v>
      </c>
      <c r="C115" s="394">
        <v>261744.59999999998</v>
      </c>
      <c r="D115" s="394">
        <v>165167.70000000001</v>
      </c>
      <c r="E115" s="394">
        <v>698129</v>
      </c>
      <c r="H115" t="s">
        <v>158</v>
      </c>
      <c r="I115" s="394">
        <v>271216.7</v>
      </c>
      <c r="J115" s="394">
        <v>261744.59999999998</v>
      </c>
      <c r="K115" s="394">
        <v>165167.70000000001</v>
      </c>
      <c r="L115" s="394">
        <v>698129</v>
      </c>
    </row>
    <row r="116" spans="1:12" x14ac:dyDescent="0.25">
      <c r="A116" s="292" t="s">
        <v>373</v>
      </c>
      <c r="B116" s="394">
        <v>41372.75278259637</v>
      </c>
      <c r="C116" s="394">
        <v>38216.366610005913</v>
      </c>
      <c r="D116" s="394">
        <v>17627.210486141103</v>
      </c>
      <c r="E116" s="394">
        <v>97206.329878743374</v>
      </c>
      <c r="H116" t="s">
        <v>373</v>
      </c>
      <c r="I116" s="394">
        <v>41372.75278259637</v>
      </c>
      <c r="J116" s="394">
        <v>38216.366610005913</v>
      </c>
      <c r="K116" s="394">
        <v>17627.210486141103</v>
      </c>
      <c r="L116" s="394">
        <v>97206.329878743374</v>
      </c>
    </row>
    <row r="117" spans="1:12" x14ac:dyDescent="0.25">
      <c r="A117" s="292" t="s">
        <v>376</v>
      </c>
      <c r="B117" s="394">
        <v>6518.6881558631194</v>
      </c>
      <c r="C117" s="394">
        <v>4495.3332481971111</v>
      </c>
      <c r="D117" s="394">
        <v>4804.0804940082771</v>
      </c>
      <c r="E117" s="394">
        <v>15818.101898068511</v>
      </c>
      <c r="H117" t="s">
        <v>376</v>
      </c>
      <c r="I117" s="394">
        <v>6518.6881558631194</v>
      </c>
      <c r="J117" s="394">
        <v>4495.3332481971111</v>
      </c>
      <c r="K117" s="394">
        <v>4804.0804940082771</v>
      </c>
      <c r="L117" s="394">
        <v>15818.101898068511</v>
      </c>
    </row>
    <row r="118" spans="1:12" x14ac:dyDescent="0.25">
      <c r="A118" s="292" t="s">
        <v>732</v>
      </c>
      <c r="B118" s="394">
        <v>379620.94076715526</v>
      </c>
      <c r="C118" s="394">
        <v>403782.37149754027</v>
      </c>
      <c r="D118" s="394">
        <v>238799.28923374691</v>
      </c>
      <c r="E118" s="394">
        <v>1022183.6014984425</v>
      </c>
      <c r="H118" t="s">
        <v>732</v>
      </c>
      <c r="I118" s="394">
        <v>379620.94076715526</v>
      </c>
      <c r="J118" s="394">
        <v>403782.37149754027</v>
      </c>
      <c r="K118" s="394">
        <v>238799.28923374691</v>
      </c>
      <c r="L118" s="394">
        <v>1022183.6014984425</v>
      </c>
    </row>
    <row r="121" spans="1:12" x14ac:dyDescent="0.25">
      <c r="B121" s="341" t="s">
        <v>11</v>
      </c>
      <c r="C121" s="341" t="s">
        <v>12</v>
      </c>
      <c r="D121" s="341" t="s">
        <v>13</v>
      </c>
      <c r="E121" s="341" t="s">
        <v>14</v>
      </c>
      <c r="I121" t="s">
        <v>11</v>
      </c>
      <c r="J121" t="s">
        <v>12</v>
      </c>
      <c r="K121" t="s">
        <v>13</v>
      </c>
      <c r="L121" t="s">
        <v>14</v>
      </c>
    </row>
    <row r="122" spans="1:12" x14ac:dyDescent="0.25">
      <c r="A122" s="392" t="s">
        <v>731</v>
      </c>
      <c r="B122" s="605" t="s">
        <v>913</v>
      </c>
      <c r="C122" s="605" t="s">
        <v>914</v>
      </c>
      <c r="D122" s="605" t="s">
        <v>915</v>
      </c>
      <c r="E122" s="605" t="s">
        <v>916</v>
      </c>
      <c r="H122" t="s">
        <v>731</v>
      </c>
      <c r="I122" t="s">
        <v>913</v>
      </c>
      <c r="J122" t="s">
        <v>914</v>
      </c>
      <c r="K122" t="s">
        <v>915</v>
      </c>
      <c r="L122" t="s">
        <v>916</v>
      </c>
    </row>
    <row r="123" spans="1:12" x14ac:dyDescent="0.25">
      <c r="A123" s="292" t="s">
        <v>368</v>
      </c>
      <c r="B123" s="394">
        <v>1576.7750120000001</v>
      </c>
      <c r="C123" s="394">
        <v>751.76666299999999</v>
      </c>
      <c r="D123" s="394">
        <v>368.86666809999997</v>
      </c>
      <c r="E123" s="394">
        <v>2697.4083430999999</v>
      </c>
      <c r="H123" t="s">
        <v>368</v>
      </c>
      <c r="I123" s="394">
        <v>1576.7750120000001</v>
      </c>
      <c r="J123" s="394">
        <v>751.76666299999999</v>
      </c>
      <c r="K123" s="394">
        <v>368.86666809999997</v>
      </c>
      <c r="L123" s="394">
        <v>2697.4083430999999</v>
      </c>
    </row>
    <row r="124" spans="1:12" x14ac:dyDescent="0.25">
      <c r="A124" s="292" t="s">
        <v>390</v>
      </c>
      <c r="B124" s="394">
        <v>3361.3332560000003</v>
      </c>
      <c r="C124" s="394">
        <v>527.3333275</v>
      </c>
      <c r="D124" s="394">
        <v>401.33333069999998</v>
      </c>
      <c r="E124" s="394">
        <v>4289.9999141999997</v>
      </c>
      <c r="H124" t="s">
        <v>390</v>
      </c>
      <c r="I124" s="394">
        <v>3361.3332560000003</v>
      </c>
      <c r="J124" s="394">
        <v>527.3333275</v>
      </c>
      <c r="K124" s="394">
        <v>401.33333069999998</v>
      </c>
      <c r="L124" s="394">
        <v>4289.9999141999997</v>
      </c>
    </row>
    <row r="125" spans="1:12" x14ac:dyDescent="0.25">
      <c r="A125" s="292" t="s">
        <v>392</v>
      </c>
      <c r="B125" s="394">
        <v>3099.1818119999998</v>
      </c>
      <c r="C125" s="394">
        <v>1001.969698</v>
      </c>
      <c r="D125" s="394">
        <v>519.50757069999997</v>
      </c>
      <c r="E125" s="394">
        <v>4620.6590807000002</v>
      </c>
      <c r="H125" t="s">
        <v>392</v>
      </c>
      <c r="I125" s="394">
        <v>3099.1818119999998</v>
      </c>
      <c r="J125" s="394">
        <v>1001.969698</v>
      </c>
      <c r="K125" s="394">
        <v>519.50757069999997</v>
      </c>
      <c r="L125" s="394">
        <v>4620.6590807000002</v>
      </c>
    </row>
    <row r="126" spans="1:12" x14ac:dyDescent="0.25">
      <c r="A126" s="292" t="s">
        <v>379</v>
      </c>
      <c r="B126" s="394">
        <v>4106.5833359999997</v>
      </c>
      <c r="C126" s="394">
        <v>1506.0833339999999</v>
      </c>
      <c r="D126" s="394">
        <v>152.50000119999999</v>
      </c>
      <c r="E126" s="394">
        <v>5765.1666711999997</v>
      </c>
      <c r="H126" t="s">
        <v>379</v>
      </c>
      <c r="I126" s="394">
        <v>4106.5833359999997</v>
      </c>
      <c r="J126" s="394">
        <v>1506.0833339999999</v>
      </c>
      <c r="K126" s="394">
        <v>152.50000119999999</v>
      </c>
      <c r="L126" s="394">
        <v>5765.1666711999997</v>
      </c>
    </row>
    <row r="127" spans="1:12" x14ac:dyDescent="0.25">
      <c r="A127" s="292" t="s">
        <v>222</v>
      </c>
      <c r="B127" s="394">
        <v>4923.9999950000001</v>
      </c>
      <c r="C127" s="394">
        <v>1092.0757570000001</v>
      </c>
      <c r="D127" s="394">
        <v>137.70454561000003</v>
      </c>
      <c r="E127" s="394">
        <v>6153.7802976100002</v>
      </c>
      <c r="H127" t="s">
        <v>222</v>
      </c>
      <c r="I127" s="394">
        <v>4923.9999950000001</v>
      </c>
      <c r="J127" s="394">
        <v>1092.0757570000001</v>
      </c>
      <c r="K127" s="394">
        <v>137.70454561000003</v>
      </c>
      <c r="L127" s="394">
        <v>6153.7802976100002</v>
      </c>
    </row>
    <row r="128" spans="1:12" x14ac:dyDescent="0.25">
      <c r="A128" s="292" t="s">
        <v>363</v>
      </c>
      <c r="B128" s="394">
        <v>6401.083427999999</v>
      </c>
      <c r="C128" s="394">
        <v>1642.7802690000001</v>
      </c>
      <c r="D128" s="394">
        <v>739.58333779999998</v>
      </c>
      <c r="E128" s="394">
        <v>8783.4470347999995</v>
      </c>
      <c r="H128" t="s">
        <v>363</v>
      </c>
      <c r="I128" s="394">
        <v>6401.083427999999</v>
      </c>
      <c r="J128" s="394">
        <v>1642.7802690000001</v>
      </c>
      <c r="K128" s="394">
        <v>739.58333779999998</v>
      </c>
      <c r="L128" s="394">
        <v>8783.4470347999995</v>
      </c>
    </row>
    <row r="129" spans="1:12" x14ac:dyDescent="0.25">
      <c r="A129" s="292" t="s">
        <v>401</v>
      </c>
      <c r="B129" s="394">
        <v>2167.1666759999998</v>
      </c>
      <c r="C129" s="394">
        <v>817.58333600000003</v>
      </c>
      <c r="D129" s="394">
        <v>40.3333333</v>
      </c>
      <c r="E129" s="394">
        <v>3025.0833453</v>
      </c>
      <c r="H129" t="s">
        <v>401</v>
      </c>
      <c r="I129" s="394">
        <v>2167.1666759999998</v>
      </c>
      <c r="J129" s="394">
        <v>817.58333600000003</v>
      </c>
      <c r="K129" s="394">
        <v>40.3333333</v>
      </c>
      <c r="L129" s="394">
        <v>3025.0833453</v>
      </c>
    </row>
    <row r="130" spans="1:12" x14ac:dyDescent="0.25">
      <c r="A130" s="292" t="s">
        <v>388</v>
      </c>
      <c r="B130" s="394">
        <v>1884.0833379999999</v>
      </c>
      <c r="C130" s="394">
        <v>225.805555</v>
      </c>
      <c r="D130" s="394">
        <v>240.66666731000001</v>
      </c>
      <c r="E130" s="394">
        <v>2350.5555603100001</v>
      </c>
      <c r="H130" t="s">
        <v>388</v>
      </c>
      <c r="I130" s="394">
        <v>1884.0833379999999</v>
      </c>
      <c r="J130" s="394">
        <v>225.805555</v>
      </c>
      <c r="K130" s="394">
        <v>240.66666731000001</v>
      </c>
      <c r="L130" s="394">
        <v>2350.5555603100001</v>
      </c>
    </row>
    <row r="131" spans="1:12" x14ac:dyDescent="0.25">
      <c r="A131" s="292" t="s">
        <v>158</v>
      </c>
      <c r="B131" s="394">
        <v>212792</v>
      </c>
      <c r="C131" s="394">
        <v>29946</v>
      </c>
      <c r="D131" s="394">
        <v>637</v>
      </c>
      <c r="E131" s="394">
        <v>243375</v>
      </c>
      <c r="H131" t="s">
        <v>158</v>
      </c>
      <c r="I131" s="394">
        <v>212792</v>
      </c>
      <c r="J131" s="394">
        <v>29946</v>
      </c>
      <c r="K131" s="394">
        <v>637</v>
      </c>
      <c r="L131" s="394">
        <v>243375</v>
      </c>
    </row>
    <row r="132" spans="1:12" x14ac:dyDescent="0.25">
      <c r="A132" s="292" t="s">
        <v>373</v>
      </c>
      <c r="B132" s="394">
        <v>31619.500067999998</v>
      </c>
      <c r="C132" s="394">
        <v>7865.7500215000009</v>
      </c>
      <c r="D132" s="394">
        <v>716.41666573000009</v>
      </c>
      <c r="E132" s="394">
        <v>40201.666755230006</v>
      </c>
      <c r="H132" t="s">
        <v>373</v>
      </c>
      <c r="I132" s="394">
        <v>31619.500067999998</v>
      </c>
      <c r="J132" s="394">
        <v>7865.7500215000009</v>
      </c>
      <c r="K132" s="394">
        <v>716.41666573000009</v>
      </c>
      <c r="L132" s="394">
        <v>40201.666755230006</v>
      </c>
    </row>
    <row r="133" spans="1:12" x14ac:dyDescent="0.25">
      <c r="A133" s="292" t="s">
        <v>376</v>
      </c>
      <c r="B133" s="394">
        <v>2962.3055490000002</v>
      </c>
      <c r="C133" s="394">
        <v>598.47222399999987</v>
      </c>
      <c r="D133" s="394">
        <v>476.24999869000004</v>
      </c>
      <c r="E133" s="394">
        <v>4037.0277716899996</v>
      </c>
      <c r="H133" t="s">
        <v>376</v>
      </c>
      <c r="I133" s="394">
        <v>2962.3055490000002</v>
      </c>
      <c r="J133" s="394">
        <v>598.47222399999987</v>
      </c>
      <c r="K133" s="394">
        <v>476.24999869000004</v>
      </c>
      <c r="L133" s="394">
        <v>4037.0277716899996</v>
      </c>
    </row>
    <row r="134" spans="1:12" x14ac:dyDescent="0.25">
      <c r="A134" s="292" t="s">
        <v>732</v>
      </c>
      <c r="B134" s="394">
        <v>274894.01247000002</v>
      </c>
      <c r="C134" s="394">
        <v>45975.620185</v>
      </c>
      <c r="D134" s="394">
        <v>4430.16211914</v>
      </c>
      <c r="E134" s="394">
        <v>325299.79477414</v>
      </c>
      <c r="H134" t="s">
        <v>732</v>
      </c>
      <c r="I134" s="394">
        <v>274894.01247000002</v>
      </c>
      <c r="J134" s="394">
        <v>45975.620185</v>
      </c>
      <c r="K134" s="394">
        <v>4430.16211914</v>
      </c>
      <c r="L134" s="394">
        <v>325299.79477414</v>
      </c>
    </row>
    <row r="136" spans="1:12" x14ac:dyDescent="0.25">
      <c r="I136" t="s">
        <v>11</v>
      </c>
    </row>
    <row r="137" spans="1:12" x14ac:dyDescent="0.25">
      <c r="I137" t="s">
        <v>1001</v>
      </c>
    </row>
    <row r="138" spans="1:12" x14ac:dyDescent="0.25">
      <c r="H138" s="605" t="s">
        <v>731</v>
      </c>
    </row>
    <row r="139" spans="1:12" x14ac:dyDescent="0.25">
      <c r="H139" s="605" t="s">
        <v>368</v>
      </c>
      <c r="I139" s="394">
        <f>(I91/I123)*1000</f>
        <v>5556.3001273640175</v>
      </c>
      <c r="J139" s="394">
        <f>(J91/J123)*1000</f>
        <v>55099.88675834646</v>
      </c>
    </row>
    <row r="140" spans="1:12" x14ac:dyDescent="0.25">
      <c r="H140" s="605" t="s">
        <v>390</v>
      </c>
      <c r="I140" s="394">
        <f t="shared" ref="I140:J150" si="3">(I92/I124)*1000</f>
        <v>5085.7132268827309</v>
      </c>
      <c r="J140" s="394">
        <f t="shared" si="3"/>
        <v>42027.671767057058</v>
      </c>
    </row>
    <row r="141" spans="1:12" x14ac:dyDescent="0.25">
      <c r="H141" s="605" t="s">
        <v>392</v>
      </c>
      <c r="I141" s="797">
        <f t="shared" si="3"/>
        <v>4774.7553695310608</v>
      </c>
      <c r="J141" s="394">
        <f t="shared" si="3"/>
        <v>24834.433215564168</v>
      </c>
    </row>
    <row r="142" spans="1:12" x14ac:dyDescent="0.25">
      <c r="H142" s="605" t="s">
        <v>379</v>
      </c>
      <c r="I142" s="394">
        <f t="shared" si="3"/>
        <v>5909.8036041901478</v>
      </c>
      <c r="J142" s="394">
        <f t="shared" si="3"/>
        <v>52405.906245822647</v>
      </c>
    </row>
    <row r="143" spans="1:12" x14ac:dyDescent="0.25">
      <c r="H143" s="605" t="s">
        <v>222</v>
      </c>
      <c r="I143" s="394">
        <f t="shared" si="3"/>
        <v>7124.9196762032079</v>
      </c>
      <c r="J143" s="394">
        <f t="shared" si="3"/>
        <v>20362.749101846417</v>
      </c>
    </row>
    <row r="144" spans="1:12" x14ac:dyDescent="0.25">
      <c r="H144" s="605" t="s">
        <v>363</v>
      </c>
      <c r="I144" s="394">
        <f t="shared" si="3"/>
        <v>4959.0844045471495</v>
      </c>
      <c r="J144" s="394">
        <f t="shared" si="3"/>
        <v>22117.158330686027</v>
      </c>
    </row>
    <row r="145" spans="1:10" x14ac:dyDescent="0.25">
      <c r="H145" s="605" t="s">
        <v>401</v>
      </c>
      <c r="I145" s="796">
        <f t="shared" si="3"/>
        <v>7965.5788321100981</v>
      </c>
      <c r="J145" s="394">
        <f t="shared" si="3"/>
        <v>72215.917815624358</v>
      </c>
    </row>
    <row r="146" spans="1:10" x14ac:dyDescent="0.25">
      <c r="H146" s="605" t="s">
        <v>388</v>
      </c>
      <c r="I146" s="394">
        <f t="shared" si="3"/>
        <v>6793.8120049337231</v>
      </c>
      <c r="J146" s="394">
        <f t="shared" si="3"/>
        <v>59794.662713235724</v>
      </c>
    </row>
    <row r="147" spans="1:10" x14ac:dyDescent="0.25">
      <c r="H147" s="605" t="s">
        <v>158</v>
      </c>
      <c r="I147" s="394">
        <f t="shared" si="3"/>
        <v>7707.6487837888635</v>
      </c>
      <c r="J147" s="394">
        <f t="shared" si="3"/>
        <v>70986.575836505712</v>
      </c>
    </row>
    <row r="148" spans="1:10" x14ac:dyDescent="0.25">
      <c r="H148" s="605" t="s">
        <v>373</v>
      </c>
      <c r="I148" s="796">
        <f t="shared" si="3"/>
        <v>10280.034197281982</v>
      </c>
      <c r="J148" s="394">
        <f t="shared" si="3"/>
        <v>40603.382401808762</v>
      </c>
    </row>
    <row r="149" spans="1:10" x14ac:dyDescent="0.25">
      <c r="H149" s="605" t="s">
        <v>376</v>
      </c>
      <c r="I149" s="797">
        <f t="shared" si="3"/>
        <v>3845.0587934269847</v>
      </c>
      <c r="J149" s="394">
        <f t="shared" si="3"/>
        <v>12885.519194955994</v>
      </c>
    </row>
    <row r="150" spans="1:10" x14ac:dyDescent="0.25">
      <c r="H150" s="605" t="s">
        <v>732</v>
      </c>
      <c r="I150" s="394">
        <f t="shared" si="3"/>
        <v>7778.9180362062916</v>
      </c>
      <c r="J150" s="394">
        <f t="shared" si="3"/>
        <v>59843.963512832823</v>
      </c>
    </row>
    <row r="153" spans="1:10" s="614" customFormat="1" x14ac:dyDescent="0.25">
      <c r="A153" s="614" t="s">
        <v>1002</v>
      </c>
    </row>
    <row r="155" spans="1:10" x14ac:dyDescent="0.25">
      <c r="A155" s="392" t="s">
        <v>731</v>
      </c>
      <c r="B155" t="s">
        <v>1003</v>
      </c>
    </row>
    <row r="156" spans="1:10" x14ac:dyDescent="0.25">
      <c r="A156" s="292" t="s">
        <v>368</v>
      </c>
      <c r="B156" s="615">
        <v>42827.390295708341</v>
      </c>
    </row>
    <row r="157" spans="1:10" x14ac:dyDescent="0.25">
      <c r="A157" s="292" t="s">
        <v>390</v>
      </c>
      <c r="B157" s="615">
        <v>35816.288417708347</v>
      </c>
    </row>
    <row r="158" spans="1:10" x14ac:dyDescent="0.25">
      <c r="A158" s="292" t="s">
        <v>392</v>
      </c>
      <c r="B158" s="615">
        <v>36762.253239068967</v>
      </c>
    </row>
    <row r="159" spans="1:10" x14ac:dyDescent="0.25">
      <c r="A159" s="292" t="s">
        <v>379</v>
      </c>
      <c r="B159" s="615">
        <v>46182.286050725008</v>
      </c>
    </row>
    <row r="160" spans="1:10" x14ac:dyDescent="0.25">
      <c r="A160" s="292" t="s">
        <v>222</v>
      </c>
      <c r="B160" s="615">
        <v>17982.919479049255</v>
      </c>
    </row>
    <row r="161" spans="1:7" x14ac:dyDescent="0.25">
      <c r="A161" s="292" t="s">
        <v>363</v>
      </c>
      <c r="B161" s="615">
        <v>72289.173795536044</v>
      </c>
    </row>
    <row r="162" spans="1:7" x14ac:dyDescent="0.25">
      <c r="A162" s="292" t="s">
        <v>401</v>
      </c>
      <c r="B162" s="615">
        <v>62954.565293130014</v>
      </c>
    </row>
    <row r="163" spans="1:7" x14ac:dyDescent="0.25">
      <c r="A163" s="292" t="s">
        <v>388</v>
      </c>
      <c r="B163" s="615">
        <v>24803.42219994375</v>
      </c>
    </row>
    <row r="164" spans="1:7" x14ac:dyDescent="0.25">
      <c r="A164" s="292" t="s">
        <v>158</v>
      </c>
      <c r="B164" s="615">
        <v>3155441.9407347157</v>
      </c>
    </row>
    <row r="165" spans="1:7" x14ac:dyDescent="0.25">
      <c r="A165" s="292" t="s">
        <v>373</v>
      </c>
      <c r="B165" s="615">
        <v>27262.225026673546</v>
      </c>
    </row>
    <row r="166" spans="1:7" x14ac:dyDescent="0.25">
      <c r="A166" s="292" t="s">
        <v>376</v>
      </c>
      <c r="B166" s="615">
        <v>23585.191437062287</v>
      </c>
    </row>
    <row r="167" spans="1:7" x14ac:dyDescent="0.25">
      <c r="A167" s="292" t="s">
        <v>732</v>
      </c>
      <c r="B167" s="615">
        <v>3545907.6559693213</v>
      </c>
    </row>
    <row r="170" spans="1:7" s="614" customFormat="1" x14ac:dyDescent="0.25">
      <c r="A170" s="715" t="s">
        <v>1013</v>
      </c>
    </row>
    <row r="171" spans="1:7" x14ac:dyDescent="0.25">
      <c r="A171" t="s">
        <v>1017</v>
      </c>
      <c r="E171" t="s">
        <v>1016</v>
      </c>
      <c r="F171">
        <f>GETPIVOTDATA("Residential Rate ($/kWh)",$A$172)</f>
        <v>184</v>
      </c>
    </row>
    <row r="172" spans="1:7" x14ac:dyDescent="0.25">
      <c r="A172" s="392" t="s">
        <v>731</v>
      </c>
      <c r="B172" t="s">
        <v>1012</v>
      </c>
      <c r="E172" t="s">
        <v>1198</v>
      </c>
      <c r="F172">
        <f>GETPIVOTDATA("Residential Rate ($/kWh)",$A$172,"PCE Community","YES")</f>
        <v>169</v>
      </c>
    </row>
    <row r="173" spans="1:7" x14ac:dyDescent="0.25">
      <c r="A173" s="292" t="s">
        <v>581</v>
      </c>
      <c r="B173" s="714">
        <v>15</v>
      </c>
      <c r="E173" t="s">
        <v>1014</v>
      </c>
      <c r="F173">
        <f>COUNTIFS('Table 2.5c'!H4:H187,"=YES",'Table 2.5c'!E4:E187,"&gt;0.22")</f>
        <v>61</v>
      </c>
      <c r="G173" s="607">
        <f>F173/F172</f>
        <v>0.36094674556213019</v>
      </c>
    </row>
    <row r="174" spans="1:7" x14ac:dyDescent="0.25">
      <c r="A174" s="292" t="s">
        <v>554</v>
      </c>
      <c r="B174" s="714">
        <v>169</v>
      </c>
      <c r="E174" t="s">
        <v>1015</v>
      </c>
      <c r="F174">
        <f>COUNTIFS('Table 2.5c'!H4:H187,"YES",'Table 2.5c'!E4:E187,"&gt;=0.14")</f>
        <v>158</v>
      </c>
      <c r="G174" s="607">
        <f>F174/F172</f>
        <v>0.9349112426035503</v>
      </c>
    </row>
    <row r="175" spans="1:7" x14ac:dyDescent="0.25">
      <c r="A175" s="292" t="s">
        <v>732</v>
      </c>
      <c r="B175" s="714">
        <v>184</v>
      </c>
      <c r="E175" t="s">
        <v>1197</v>
      </c>
      <c r="F175">
        <v>11</v>
      </c>
      <c r="G175" s="607">
        <f>F175/F172</f>
        <v>6.5088757396449703E-2</v>
      </c>
    </row>
  </sheetData>
  <pageMargins left="0.7" right="0.7" top="0.75" bottom="0.75" header="0.3" footer="0.3"/>
  <pageSetup orientation="portrait"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193"/>
  <sheetViews>
    <sheetView showGridLines="0" workbookViewId="0">
      <pane xSplit="2" ySplit="3" topLeftCell="C4" activePane="bottomRight" state="frozen"/>
      <selection activeCell="H24" sqref="H24"/>
      <selection pane="topRight" activeCell="H24" sqref="H24"/>
      <selection pane="bottomLeft" activeCell="H24" sqref="H24"/>
      <selection pane="bottomRight" activeCell="H24" sqref="H24"/>
    </sheetView>
  </sheetViews>
  <sheetFormatPr defaultRowHeight="15" x14ac:dyDescent="0.25"/>
  <cols>
    <col min="1" max="1" width="37.140625" style="605" customWidth="1"/>
    <col min="2" max="3" width="27.5703125" style="342" customWidth="1"/>
    <col min="4" max="4" width="14.85546875" style="605" customWidth="1"/>
    <col min="5" max="5" width="17.140625" style="605" customWidth="1"/>
    <col min="6" max="6" width="16.5703125" style="605" customWidth="1"/>
    <col min="7" max="7" width="15.85546875" style="605" customWidth="1"/>
    <col min="8" max="8" width="11.5703125" style="605" bestFit="1" customWidth="1"/>
    <col min="9" max="9" width="11.7109375" style="605" customWidth="1"/>
    <col min="10" max="12" width="9.140625" style="605"/>
    <col min="13" max="13" width="56.7109375" style="605" customWidth="1"/>
    <col min="14" max="14" width="25.5703125" style="605" customWidth="1"/>
    <col min="15" max="16384" width="9.140625" style="605"/>
  </cols>
  <sheetData>
    <row r="1" spans="1:15" ht="30" customHeight="1" x14ac:dyDescent="0.25">
      <c r="A1" s="904" t="s">
        <v>1044</v>
      </c>
      <c r="B1" s="905"/>
      <c r="C1" s="905"/>
      <c r="D1" s="905"/>
      <c r="E1" s="905"/>
      <c r="F1" s="905"/>
      <c r="G1" s="905"/>
      <c r="H1" s="905"/>
      <c r="I1" s="905"/>
    </row>
    <row r="2" spans="1:15" ht="15.75" thickBot="1" x14ac:dyDescent="0.3">
      <c r="A2" s="903" t="s">
        <v>1087</v>
      </c>
      <c r="B2" s="903"/>
      <c r="C2" s="903"/>
      <c r="D2" s="903"/>
      <c r="E2" s="903"/>
      <c r="F2" s="903"/>
      <c r="G2" s="903"/>
      <c r="H2" s="903"/>
      <c r="I2" s="903"/>
      <c r="M2"/>
      <c r="N2"/>
    </row>
    <row r="3" spans="1:15" s="342" customFormat="1" ht="31.5" customHeight="1" thickBot="1" x14ac:dyDescent="0.3">
      <c r="A3" s="96" t="s">
        <v>0</v>
      </c>
      <c r="B3" s="96" t="s">
        <v>604</v>
      </c>
      <c r="C3" s="96" t="s">
        <v>1088</v>
      </c>
      <c r="D3" s="135" t="s">
        <v>547</v>
      </c>
      <c r="E3" s="135" t="s">
        <v>548</v>
      </c>
      <c r="F3" s="135" t="s">
        <v>549</v>
      </c>
      <c r="G3" s="136" t="s">
        <v>550</v>
      </c>
      <c r="H3" s="96" t="s">
        <v>4</v>
      </c>
      <c r="I3" s="96" t="s">
        <v>551</v>
      </c>
    </row>
    <row r="4" spans="1:15" s="126" customFormat="1" x14ac:dyDescent="0.25">
      <c r="A4" s="710" t="s">
        <v>266</v>
      </c>
      <c r="B4" s="710" t="s">
        <v>267</v>
      </c>
      <c r="C4" s="710">
        <v>1</v>
      </c>
      <c r="D4" s="711">
        <v>0.95</v>
      </c>
      <c r="E4" s="711">
        <v>0.24371667</v>
      </c>
      <c r="F4" s="712">
        <v>0.70628332999999999</v>
      </c>
      <c r="G4" s="713">
        <v>0.25654386315789474</v>
      </c>
      <c r="H4" s="658" t="s">
        <v>356</v>
      </c>
      <c r="I4" s="622" t="s">
        <v>554</v>
      </c>
      <c r="M4" s="392" t="s">
        <v>731</v>
      </c>
      <c r="N4" t="s">
        <v>1091</v>
      </c>
      <c r="O4"/>
    </row>
    <row r="5" spans="1:15" s="344" customFormat="1" x14ac:dyDescent="0.25">
      <c r="A5" s="710" t="s">
        <v>300</v>
      </c>
      <c r="B5" s="710" t="s">
        <v>301</v>
      </c>
      <c r="C5" s="710">
        <v>1</v>
      </c>
      <c r="D5" s="711">
        <v>0.75</v>
      </c>
      <c r="E5" s="711">
        <v>0.2107</v>
      </c>
      <c r="F5" s="712">
        <v>0.5393</v>
      </c>
      <c r="G5" s="713">
        <v>0.28093333333333331</v>
      </c>
      <c r="H5" s="658" t="s">
        <v>356</v>
      </c>
      <c r="I5" s="622" t="s">
        <v>554</v>
      </c>
      <c r="M5" s="292" t="s">
        <v>27</v>
      </c>
      <c r="N5" s="393">
        <v>1</v>
      </c>
      <c r="O5"/>
    </row>
    <row r="6" spans="1:15" s="344" customFormat="1" x14ac:dyDescent="0.25">
      <c r="A6" s="710" t="s">
        <v>333</v>
      </c>
      <c r="B6" s="710" t="s">
        <v>334</v>
      </c>
      <c r="C6" s="710">
        <v>1</v>
      </c>
      <c r="D6" s="711">
        <v>0.67374166999999996</v>
      </c>
      <c r="E6" s="711">
        <v>0.21681666999999999</v>
      </c>
      <c r="F6" s="712">
        <v>0.45692499999999997</v>
      </c>
      <c r="G6" s="713">
        <v>0.32180979692112555</v>
      </c>
      <c r="H6" s="658" t="s">
        <v>356</v>
      </c>
      <c r="I6" s="622" t="s">
        <v>554</v>
      </c>
      <c r="M6" s="292" t="s">
        <v>29</v>
      </c>
      <c r="N6" s="393">
        <v>1</v>
      </c>
      <c r="O6"/>
    </row>
    <row r="7" spans="1:15" s="344" customFormat="1" x14ac:dyDescent="0.25">
      <c r="A7" s="710" t="s">
        <v>290</v>
      </c>
      <c r="B7" s="710" t="s">
        <v>291</v>
      </c>
      <c r="C7" s="710">
        <v>1</v>
      </c>
      <c r="D7" s="711">
        <v>0.91</v>
      </c>
      <c r="E7" s="711">
        <v>0.459675</v>
      </c>
      <c r="F7" s="712">
        <v>0.45032500000000003</v>
      </c>
      <c r="G7" s="713">
        <v>0.50513736263736264</v>
      </c>
      <c r="H7" s="658" t="s">
        <v>356</v>
      </c>
      <c r="I7" s="622" t="s">
        <v>554</v>
      </c>
      <c r="M7" s="292" t="s">
        <v>31</v>
      </c>
      <c r="N7" s="393">
        <v>1</v>
      </c>
      <c r="O7"/>
    </row>
    <row r="8" spans="1:15" s="344" customFormat="1" x14ac:dyDescent="0.25">
      <c r="A8" s="710" t="s">
        <v>323</v>
      </c>
      <c r="B8" s="710" t="s">
        <v>324</v>
      </c>
      <c r="C8" s="710">
        <v>1</v>
      </c>
      <c r="D8" s="711">
        <v>1.022</v>
      </c>
      <c r="E8" s="711">
        <v>0.57379999999999998</v>
      </c>
      <c r="F8" s="712">
        <v>0.44820000000000004</v>
      </c>
      <c r="G8" s="713">
        <v>0.56144814090019568</v>
      </c>
      <c r="H8" s="658" t="s">
        <v>356</v>
      </c>
      <c r="I8" s="622" t="s">
        <v>554</v>
      </c>
      <c r="M8" s="292" t="s">
        <v>33</v>
      </c>
      <c r="N8" s="393">
        <v>1</v>
      </c>
      <c r="O8"/>
    </row>
    <row r="9" spans="1:15" s="344" customFormat="1" x14ac:dyDescent="0.25">
      <c r="A9" s="710" t="s">
        <v>141</v>
      </c>
      <c r="B9" s="710" t="s">
        <v>142</v>
      </c>
      <c r="C9" s="710">
        <v>1</v>
      </c>
      <c r="D9" s="711">
        <v>0.95</v>
      </c>
      <c r="E9" s="711">
        <v>0.50636667000000002</v>
      </c>
      <c r="F9" s="712">
        <v>0.44363332999999994</v>
      </c>
      <c r="G9" s="713">
        <v>0.53301754736842111</v>
      </c>
      <c r="H9" s="658" t="s">
        <v>356</v>
      </c>
      <c r="I9" s="622" t="s">
        <v>554</v>
      </c>
      <c r="M9" s="292" t="s">
        <v>523</v>
      </c>
      <c r="N9" s="393">
        <v>2</v>
      </c>
      <c r="O9"/>
    </row>
    <row r="10" spans="1:15" s="344" customFormat="1" x14ac:dyDescent="0.25">
      <c r="A10" s="710" t="s">
        <v>339</v>
      </c>
      <c r="B10" s="710" t="s">
        <v>340</v>
      </c>
      <c r="C10" s="710">
        <v>1</v>
      </c>
      <c r="D10" s="711">
        <v>0.65</v>
      </c>
      <c r="E10" s="711">
        <v>0.25725832999999998</v>
      </c>
      <c r="F10" s="712">
        <v>0.39274167000000004</v>
      </c>
      <c r="G10" s="713">
        <v>0.3957820461538461</v>
      </c>
      <c r="H10" s="658" t="s">
        <v>356</v>
      </c>
      <c r="I10" s="622" t="s">
        <v>554</v>
      </c>
      <c r="M10" s="292" t="s">
        <v>43</v>
      </c>
      <c r="N10" s="393">
        <v>34</v>
      </c>
      <c r="O10"/>
    </row>
    <row r="11" spans="1:15" s="344" customFormat="1" x14ac:dyDescent="0.25">
      <c r="A11" s="710" t="s">
        <v>198</v>
      </c>
      <c r="B11" s="710" t="s">
        <v>199</v>
      </c>
      <c r="C11" s="710">
        <v>1</v>
      </c>
      <c r="D11" s="711">
        <v>0.80300000000000005</v>
      </c>
      <c r="E11" s="711">
        <v>0.41439999999999999</v>
      </c>
      <c r="F11" s="712">
        <v>0.38860000000000006</v>
      </c>
      <c r="G11" s="713">
        <v>0.51606475716064748</v>
      </c>
      <c r="H11" s="658" t="s">
        <v>356</v>
      </c>
      <c r="I11" s="622" t="s">
        <v>554</v>
      </c>
      <c r="M11" s="292" t="s">
        <v>524</v>
      </c>
      <c r="N11" s="393">
        <v>54</v>
      </c>
      <c r="O11"/>
    </row>
    <row r="12" spans="1:15" s="344" customFormat="1" x14ac:dyDescent="0.25">
      <c r="A12" s="710" t="s">
        <v>219</v>
      </c>
      <c r="B12" s="710" t="s">
        <v>220</v>
      </c>
      <c r="C12" s="710">
        <v>1</v>
      </c>
      <c r="D12" s="711">
        <v>0.87</v>
      </c>
      <c r="E12" s="711">
        <v>0.48177500000000001</v>
      </c>
      <c r="F12" s="712">
        <v>0.38822499999999999</v>
      </c>
      <c r="G12" s="713">
        <v>0.55376436781609195</v>
      </c>
      <c r="H12" s="658" t="s">
        <v>356</v>
      </c>
      <c r="I12" s="622" t="s">
        <v>554</v>
      </c>
      <c r="M12" s="292" t="s">
        <v>117</v>
      </c>
      <c r="N12" s="393">
        <v>1</v>
      </c>
      <c r="O12"/>
    </row>
    <row r="13" spans="1:15" s="344" customFormat="1" x14ac:dyDescent="0.25">
      <c r="A13" s="710" t="s">
        <v>306</v>
      </c>
      <c r="B13" s="710" t="s">
        <v>307</v>
      </c>
      <c r="C13" s="710">
        <v>1</v>
      </c>
      <c r="D13" s="711">
        <v>0.84</v>
      </c>
      <c r="E13" s="711">
        <v>0.45610833000000001</v>
      </c>
      <c r="F13" s="712">
        <v>0.38389166999999996</v>
      </c>
      <c r="G13" s="713">
        <v>0.54298610714285722</v>
      </c>
      <c r="H13" s="658" t="s">
        <v>356</v>
      </c>
      <c r="I13" s="622" t="s">
        <v>554</v>
      </c>
      <c r="M13" s="292" t="s">
        <v>893</v>
      </c>
      <c r="N13" s="393">
        <v>1</v>
      </c>
      <c r="O13"/>
    </row>
    <row r="14" spans="1:15" s="344" customFormat="1" x14ac:dyDescent="0.25">
      <c r="A14" s="710" t="s">
        <v>174</v>
      </c>
      <c r="B14" s="710" t="s">
        <v>175</v>
      </c>
      <c r="C14" s="710">
        <v>1</v>
      </c>
      <c r="D14" s="711">
        <v>0.74601667000000005</v>
      </c>
      <c r="E14" s="711">
        <v>0.36607499999999998</v>
      </c>
      <c r="F14" s="712">
        <v>0.37994167000000006</v>
      </c>
      <c r="G14" s="713">
        <v>0.49070619293265921</v>
      </c>
      <c r="H14" s="658" t="s">
        <v>356</v>
      </c>
      <c r="I14" s="622" t="s">
        <v>554</v>
      </c>
      <c r="M14" s="292" t="s">
        <v>123</v>
      </c>
      <c r="N14" s="393">
        <v>1</v>
      </c>
      <c r="O14"/>
    </row>
    <row r="15" spans="1:15" s="344" customFormat="1" x14ac:dyDescent="0.25">
      <c r="A15" s="710" t="s">
        <v>227</v>
      </c>
      <c r="B15" s="710" t="s">
        <v>228</v>
      </c>
      <c r="C15" s="710">
        <v>1</v>
      </c>
      <c r="D15" s="711">
        <v>0.9</v>
      </c>
      <c r="E15" s="711">
        <v>0.52652500000000002</v>
      </c>
      <c r="F15" s="712">
        <v>0.373475</v>
      </c>
      <c r="G15" s="713">
        <v>0.58502777777777781</v>
      </c>
      <c r="H15" s="658" t="s">
        <v>356</v>
      </c>
      <c r="I15" s="622" t="s">
        <v>554</v>
      </c>
      <c r="M15" s="292" t="s">
        <v>125</v>
      </c>
      <c r="N15" s="393">
        <v>1</v>
      </c>
      <c r="O15"/>
    </row>
    <row r="16" spans="1:15" s="344" customFormat="1" x14ac:dyDescent="0.25">
      <c r="A16" s="710" t="s">
        <v>350</v>
      </c>
      <c r="B16" s="710" t="s">
        <v>351</v>
      </c>
      <c r="C16" s="710">
        <v>1</v>
      </c>
      <c r="D16" s="711">
        <v>0.68666667000000003</v>
      </c>
      <c r="E16" s="711">
        <v>0.32996667000000002</v>
      </c>
      <c r="F16" s="712">
        <v>0.35670000000000002</v>
      </c>
      <c r="G16" s="713">
        <v>0.48053398310420398</v>
      </c>
      <c r="H16" s="658" t="s">
        <v>356</v>
      </c>
      <c r="I16" s="622" t="s">
        <v>554</v>
      </c>
      <c r="M16" s="292" t="s">
        <v>127</v>
      </c>
      <c r="N16" s="393">
        <v>1</v>
      </c>
      <c r="O16"/>
    </row>
    <row r="17" spans="1:15" s="344" customFormat="1" x14ac:dyDescent="0.25">
      <c r="A17" s="710" t="s">
        <v>129</v>
      </c>
      <c r="B17" s="710" t="s">
        <v>130</v>
      </c>
      <c r="C17" s="710">
        <v>1</v>
      </c>
      <c r="D17" s="711">
        <v>0.6986</v>
      </c>
      <c r="E17" s="711">
        <v>0.36183333000000001</v>
      </c>
      <c r="F17" s="712">
        <v>0.33676666999999999</v>
      </c>
      <c r="G17" s="713">
        <v>0.51794063841969651</v>
      </c>
      <c r="H17" s="658" t="s">
        <v>356</v>
      </c>
      <c r="I17" s="622" t="s">
        <v>554</v>
      </c>
      <c r="M17" s="292" t="s">
        <v>129</v>
      </c>
      <c r="N17" s="393">
        <v>1</v>
      </c>
      <c r="O17"/>
    </row>
    <row r="18" spans="1:15" s="344" customFormat="1" x14ac:dyDescent="0.25">
      <c r="A18" s="710" t="s">
        <v>200</v>
      </c>
      <c r="B18" s="710" t="s">
        <v>658</v>
      </c>
      <c r="C18" s="710">
        <v>3</v>
      </c>
      <c r="D18" s="711">
        <v>0.59402500000000003</v>
      </c>
      <c r="E18" s="711">
        <v>0.26124999999999998</v>
      </c>
      <c r="F18" s="712">
        <v>0.33277500000000004</v>
      </c>
      <c r="G18" s="713">
        <v>0.43979630486932364</v>
      </c>
      <c r="H18" s="658" t="s">
        <v>356</v>
      </c>
      <c r="I18" s="622" t="s">
        <v>554</v>
      </c>
      <c r="M18" s="292" t="s">
        <v>570</v>
      </c>
      <c r="N18" s="393">
        <v>1</v>
      </c>
      <c r="O18"/>
    </row>
    <row r="19" spans="1:15" s="344" customFormat="1" x14ac:dyDescent="0.25">
      <c r="A19" s="710" t="s">
        <v>268</v>
      </c>
      <c r="B19" s="710" t="s">
        <v>269</v>
      </c>
      <c r="C19" s="710">
        <v>1</v>
      </c>
      <c r="D19" s="711">
        <v>0.76500000000000001</v>
      </c>
      <c r="E19" s="711">
        <v>0.43794167000000001</v>
      </c>
      <c r="F19" s="712">
        <v>0.32705833000000001</v>
      </c>
      <c r="G19" s="713">
        <v>0.57247277124183005</v>
      </c>
      <c r="H19" s="658" t="s">
        <v>356</v>
      </c>
      <c r="I19" s="622" t="s">
        <v>554</v>
      </c>
      <c r="M19" s="292" t="s">
        <v>134</v>
      </c>
      <c r="N19" s="393">
        <v>1</v>
      </c>
      <c r="O19"/>
    </row>
    <row r="20" spans="1:15" s="344" customFormat="1" x14ac:dyDescent="0.25">
      <c r="A20" s="710" t="s">
        <v>171</v>
      </c>
      <c r="B20" s="710" t="s">
        <v>172</v>
      </c>
      <c r="C20" s="710">
        <v>1</v>
      </c>
      <c r="D20" s="711">
        <v>0.86</v>
      </c>
      <c r="E20" s="711">
        <v>0.53453333000000003</v>
      </c>
      <c r="F20" s="712">
        <v>0.32546666999999996</v>
      </c>
      <c r="G20" s="713">
        <v>0.6215503837209303</v>
      </c>
      <c r="H20" s="658" t="s">
        <v>356</v>
      </c>
      <c r="I20" s="622" t="s">
        <v>554</v>
      </c>
      <c r="M20" s="292" t="s">
        <v>502</v>
      </c>
      <c r="N20" s="393">
        <v>2</v>
      </c>
      <c r="O20"/>
    </row>
    <row r="21" spans="1:15" s="344" customFormat="1" x14ac:dyDescent="0.25">
      <c r="A21" s="710" t="s">
        <v>335</v>
      </c>
      <c r="B21" s="710" t="s">
        <v>336</v>
      </c>
      <c r="C21" s="710">
        <v>1</v>
      </c>
      <c r="D21" s="711">
        <v>0.68833332999999997</v>
      </c>
      <c r="E21" s="711">
        <v>0.37343333000000001</v>
      </c>
      <c r="F21" s="712">
        <v>0.31489999999999996</v>
      </c>
      <c r="G21" s="713">
        <v>0.54251815759088695</v>
      </c>
      <c r="H21" s="658" t="s">
        <v>356</v>
      </c>
      <c r="I21" s="622" t="s">
        <v>554</v>
      </c>
      <c r="M21" s="292" t="s">
        <v>137</v>
      </c>
      <c r="N21" s="393">
        <v>1</v>
      </c>
      <c r="O21"/>
    </row>
    <row r="22" spans="1:15" s="344" customFormat="1" x14ac:dyDescent="0.25">
      <c r="A22" s="361" t="s">
        <v>346</v>
      </c>
      <c r="B22" s="710" t="s">
        <v>347</v>
      </c>
      <c r="C22" s="710">
        <v>1</v>
      </c>
      <c r="D22" s="711">
        <v>0.8</v>
      </c>
      <c r="E22" s="711">
        <v>0.48654999999999998</v>
      </c>
      <c r="F22" s="712">
        <v>0.31345000000000006</v>
      </c>
      <c r="G22" s="713">
        <v>0.60818749999999999</v>
      </c>
      <c r="H22" s="658" t="s">
        <v>356</v>
      </c>
      <c r="I22" s="622" t="s">
        <v>554</v>
      </c>
      <c r="M22" s="292" t="s">
        <v>139</v>
      </c>
      <c r="N22" s="393">
        <v>1</v>
      </c>
    </row>
    <row r="23" spans="1:15" s="344" customFormat="1" x14ac:dyDescent="0.25">
      <c r="A23" s="710" t="s">
        <v>236</v>
      </c>
      <c r="B23" s="710" t="s">
        <v>237</v>
      </c>
      <c r="C23" s="710">
        <v>1</v>
      </c>
      <c r="D23" s="711">
        <v>0.41499999999999998</v>
      </c>
      <c r="E23" s="711">
        <v>0.1041</v>
      </c>
      <c r="F23" s="712">
        <v>0.31089999999999995</v>
      </c>
      <c r="G23" s="713">
        <v>0.2508433734939759</v>
      </c>
      <c r="H23" s="658" t="s">
        <v>356</v>
      </c>
      <c r="I23" s="622" t="s">
        <v>554</v>
      </c>
      <c r="M23" s="292" t="s">
        <v>141</v>
      </c>
      <c r="N23" s="393">
        <v>1</v>
      </c>
    </row>
    <row r="24" spans="1:15" s="344" customFormat="1" x14ac:dyDescent="0.25">
      <c r="A24" s="710" t="s">
        <v>308</v>
      </c>
      <c r="B24" s="710" t="s">
        <v>309</v>
      </c>
      <c r="C24" s="710">
        <v>1</v>
      </c>
      <c r="D24" s="711">
        <v>0.83250000000000002</v>
      </c>
      <c r="E24" s="711">
        <v>0.52456250000000004</v>
      </c>
      <c r="F24" s="712">
        <v>0.30793749999999998</v>
      </c>
      <c r="G24" s="713">
        <v>0.63010510510510509</v>
      </c>
      <c r="H24" s="658" t="s">
        <v>356</v>
      </c>
      <c r="I24" s="622" t="s">
        <v>554</v>
      </c>
      <c r="M24" s="292" t="s">
        <v>143</v>
      </c>
      <c r="N24" s="393">
        <v>1</v>
      </c>
    </row>
    <row r="25" spans="1:15" s="344" customFormat="1" x14ac:dyDescent="0.25">
      <c r="A25" s="710" t="s">
        <v>292</v>
      </c>
      <c r="B25" s="710" t="s">
        <v>293</v>
      </c>
      <c r="C25" s="710">
        <v>1</v>
      </c>
      <c r="D25" s="711">
        <v>0.68623332999999997</v>
      </c>
      <c r="E25" s="711">
        <v>0.37854167</v>
      </c>
      <c r="F25" s="712">
        <v>0.30769165999999998</v>
      </c>
      <c r="G25" s="713">
        <v>0.55162239059417295</v>
      </c>
      <c r="H25" s="658" t="s">
        <v>356</v>
      </c>
      <c r="I25" s="622" t="s">
        <v>554</v>
      </c>
      <c r="M25" s="292" t="s">
        <v>145</v>
      </c>
      <c r="N25" s="393">
        <v>1</v>
      </c>
    </row>
    <row r="26" spans="1:15" s="344" customFormat="1" x14ac:dyDescent="0.25">
      <c r="A26" s="710" t="s">
        <v>264</v>
      </c>
      <c r="B26" s="710" t="s">
        <v>265</v>
      </c>
      <c r="C26" s="710">
        <v>1</v>
      </c>
      <c r="D26" s="711">
        <v>0.57833332999999998</v>
      </c>
      <c r="E26" s="711">
        <v>0.27195000000000003</v>
      </c>
      <c r="F26" s="712">
        <v>0.30638332999999995</v>
      </c>
      <c r="G26" s="713">
        <v>0.47023055026069488</v>
      </c>
      <c r="H26" s="658" t="s">
        <v>356</v>
      </c>
      <c r="I26" s="622" t="s">
        <v>554</v>
      </c>
      <c r="M26" s="292" t="s">
        <v>147</v>
      </c>
      <c r="N26" s="393">
        <v>1</v>
      </c>
    </row>
    <row r="27" spans="1:15" s="344" customFormat="1" x14ac:dyDescent="0.25">
      <c r="A27" s="710" t="s">
        <v>145</v>
      </c>
      <c r="B27" s="710" t="s">
        <v>146</v>
      </c>
      <c r="C27" s="710">
        <v>1</v>
      </c>
      <c r="D27" s="711">
        <v>0.69174999999999998</v>
      </c>
      <c r="E27" s="711">
        <v>0.38758333</v>
      </c>
      <c r="F27" s="712">
        <v>0.30416666999999997</v>
      </c>
      <c r="G27" s="713">
        <v>0.5602939356704012</v>
      </c>
      <c r="H27" s="658" t="s">
        <v>356</v>
      </c>
      <c r="I27" s="622" t="s">
        <v>554</v>
      </c>
      <c r="M27" s="292" t="s">
        <v>149</v>
      </c>
      <c r="N27" s="393">
        <v>1</v>
      </c>
    </row>
    <row r="28" spans="1:15" s="344" customFormat="1" x14ac:dyDescent="0.25">
      <c r="A28" s="710" t="s">
        <v>238</v>
      </c>
      <c r="B28" s="710" t="s">
        <v>239</v>
      </c>
      <c r="C28" s="710">
        <v>1</v>
      </c>
      <c r="D28" s="711">
        <v>0.7</v>
      </c>
      <c r="E28" s="711">
        <v>0.39930832999999999</v>
      </c>
      <c r="F28" s="712">
        <v>0.30069166999999997</v>
      </c>
      <c r="G28" s="713">
        <v>0.57044047142857146</v>
      </c>
      <c r="H28" s="658" t="s">
        <v>356</v>
      </c>
      <c r="I28" s="622" t="s">
        <v>554</v>
      </c>
      <c r="M28" s="292" t="s">
        <v>151</v>
      </c>
      <c r="N28" s="393">
        <v>1</v>
      </c>
    </row>
    <row r="29" spans="1:15" s="344" customFormat="1" x14ac:dyDescent="0.25">
      <c r="A29" s="710" t="s">
        <v>510</v>
      </c>
      <c r="B29" s="710" t="s">
        <v>327</v>
      </c>
      <c r="C29" s="710">
        <v>1</v>
      </c>
      <c r="D29" s="711">
        <v>0.71367499999999995</v>
      </c>
      <c r="E29" s="711">
        <v>0.41390832999999999</v>
      </c>
      <c r="F29" s="712">
        <v>0.29976666999999996</v>
      </c>
      <c r="G29" s="713">
        <v>0.57996753424177672</v>
      </c>
      <c r="H29" s="658" t="s">
        <v>356</v>
      </c>
      <c r="I29" s="622" t="s">
        <v>554</v>
      </c>
      <c r="M29" s="292" t="s">
        <v>153</v>
      </c>
      <c r="N29" s="393">
        <v>9</v>
      </c>
    </row>
    <row r="30" spans="1:15" s="344" customFormat="1" x14ac:dyDescent="0.25">
      <c r="A30" s="710" t="s">
        <v>31</v>
      </c>
      <c r="B30" s="710" t="s">
        <v>32</v>
      </c>
      <c r="C30" s="710">
        <v>1</v>
      </c>
      <c r="D30" s="711">
        <v>0.63</v>
      </c>
      <c r="E30" s="711">
        <v>0.33463333000000001</v>
      </c>
      <c r="F30" s="712">
        <v>0.29536667</v>
      </c>
      <c r="G30" s="713">
        <v>0.53116401587301587</v>
      </c>
      <c r="H30" s="658" t="s">
        <v>356</v>
      </c>
      <c r="I30" s="622" t="s">
        <v>554</v>
      </c>
      <c r="M30" s="292" t="s">
        <v>160</v>
      </c>
      <c r="N30" s="393">
        <v>1</v>
      </c>
    </row>
    <row r="31" spans="1:15" s="344" customFormat="1" x14ac:dyDescent="0.25">
      <c r="A31" s="710" t="s">
        <v>1080</v>
      </c>
      <c r="B31" s="710" t="s">
        <v>330</v>
      </c>
      <c r="C31" s="710">
        <v>1</v>
      </c>
      <c r="D31" s="711">
        <v>0.81163333000000004</v>
      </c>
      <c r="E31" s="711">
        <v>0.52908332999999996</v>
      </c>
      <c r="F31" s="712">
        <v>0.28255000000000008</v>
      </c>
      <c r="G31" s="713">
        <v>0.65187481889143206</v>
      </c>
      <c r="H31" s="658" t="s">
        <v>356</v>
      </c>
      <c r="I31" s="622" t="s">
        <v>554</v>
      </c>
      <c r="M31" s="292" t="s">
        <v>162</v>
      </c>
      <c r="N31" s="393">
        <v>1</v>
      </c>
    </row>
    <row r="32" spans="1:15" s="344" customFormat="1" x14ac:dyDescent="0.25">
      <c r="A32" s="710" t="s">
        <v>533</v>
      </c>
      <c r="B32" s="710" t="s">
        <v>1092</v>
      </c>
      <c r="C32" s="710">
        <v>2</v>
      </c>
      <c r="D32" s="711">
        <v>0.42116667000000002</v>
      </c>
      <c r="E32" s="711">
        <v>0.13869999999999999</v>
      </c>
      <c r="F32" s="712">
        <v>0.28246667000000003</v>
      </c>
      <c r="G32" s="713">
        <v>0.32932330566423973</v>
      </c>
      <c r="H32" s="658" t="s">
        <v>356</v>
      </c>
      <c r="I32" s="622" t="s">
        <v>554</v>
      </c>
      <c r="M32" s="292" t="s">
        <v>164</v>
      </c>
      <c r="N32" s="393">
        <v>15</v>
      </c>
    </row>
    <row r="33" spans="1:14" s="344" customFormat="1" x14ac:dyDescent="0.25">
      <c r="A33" s="710" t="s">
        <v>123</v>
      </c>
      <c r="B33" s="710" t="s">
        <v>124</v>
      </c>
      <c r="C33" s="710">
        <v>1</v>
      </c>
      <c r="D33" s="711">
        <v>0.71872499999999995</v>
      </c>
      <c r="E33" s="711">
        <v>0.43711666999999998</v>
      </c>
      <c r="F33" s="712">
        <v>0.28160832999999996</v>
      </c>
      <c r="G33" s="713">
        <v>0.60818347768618042</v>
      </c>
      <c r="H33" s="658" t="s">
        <v>356</v>
      </c>
      <c r="I33" s="622" t="s">
        <v>554</v>
      </c>
      <c r="M33" s="292" t="s">
        <v>533</v>
      </c>
      <c r="N33" s="393">
        <v>2</v>
      </c>
    </row>
    <row r="34" spans="1:14" s="344" customFormat="1" x14ac:dyDescent="0.25">
      <c r="A34" s="710" t="s">
        <v>190</v>
      </c>
      <c r="B34" s="710" t="s">
        <v>191</v>
      </c>
      <c r="C34" s="710">
        <v>1</v>
      </c>
      <c r="D34" s="711">
        <v>0.44628332999999998</v>
      </c>
      <c r="E34" s="711">
        <v>0.17078333000000001</v>
      </c>
      <c r="F34" s="712">
        <v>0.27549999999999997</v>
      </c>
      <c r="G34" s="713">
        <v>0.38267916034416977</v>
      </c>
      <c r="H34" s="658" t="s">
        <v>356</v>
      </c>
      <c r="I34" s="622" t="s">
        <v>554</v>
      </c>
      <c r="M34" s="292" t="s">
        <v>640</v>
      </c>
      <c r="N34" s="393">
        <v>1</v>
      </c>
    </row>
    <row r="35" spans="1:14" s="344" customFormat="1" x14ac:dyDescent="0.25">
      <c r="A35" s="710" t="s">
        <v>337</v>
      </c>
      <c r="B35" s="710" t="s">
        <v>338</v>
      </c>
      <c r="C35" s="710">
        <v>1</v>
      </c>
      <c r="D35" s="711">
        <v>0.6</v>
      </c>
      <c r="E35" s="711">
        <v>0.33045000000000002</v>
      </c>
      <c r="F35" s="712">
        <v>0.26954999999999996</v>
      </c>
      <c r="G35" s="713">
        <v>0.55075000000000007</v>
      </c>
      <c r="H35" s="658" t="s">
        <v>356</v>
      </c>
      <c r="I35" s="622" t="s">
        <v>554</v>
      </c>
      <c r="M35" s="292" t="s">
        <v>171</v>
      </c>
      <c r="N35" s="393">
        <v>1</v>
      </c>
    </row>
    <row r="36" spans="1:14" s="344" customFormat="1" x14ac:dyDescent="0.25">
      <c r="A36" s="710" t="s">
        <v>176</v>
      </c>
      <c r="B36" s="710" t="s">
        <v>177</v>
      </c>
      <c r="C36" s="710">
        <v>1</v>
      </c>
      <c r="D36" s="711">
        <v>0.51319166999999999</v>
      </c>
      <c r="E36" s="711">
        <v>0.24496667</v>
      </c>
      <c r="F36" s="712">
        <v>0.26822499999999999</v>
      </c>
      <c r="G36" s="713">
        <v>0.47733952891324211</v>
      </c>
      <c r="H36" s="658" t="s">
        <v>356</v>
      </c>
      <c r="I36" s="622" t="s">
        <v>554</v>
      </c>
      <c r="M36" s="292" t="s">
        <v>174</v>
      </c>
      <c r="N36" s="393">
        <v>1</v>
      </c>
    </row>
    <row r="37" spans="1:14" s="344" customFormat="1" x14ac:dyDescent="0.25">
      <c r="A37" s="710" t="s">
        <v>242</v>
      </c>
      <c r="B37" s="710" t="s">
        <v>243</v>
      </c>
      <c r="C37" s="710">
        <v>1</v>
      </c>
      <c r="D37" s="711">
        <v>0.55000000000000004</v>
      </c>
      <c r="E37" s="711">
        <v>0.28505833000000003</v>
      </c>
      <c r="F37" s="712">
        <v>0.26494167000000002</v>
      </c>
      <c r="G37" s="713">
        <v>0.51828787272727272</v>
      </c>
      <c r="H37" s="658" t="s">
        <v>356</v>
      </c>
      <c r="I37" s="622" t="s">
        <v>554</v>
      </c>
      <c r="M37" s="292" t="s">
        <v>176</v>
      </c>
      <c r="N37" s="393">
        <v>1</v>
      </c>
    </row>
    <row r="38" spans="1:14" s="126" customFormat="1" x14ac:dyDescent="0.25">
      <c r="A38" s="710" t="s">
        <v>160</v>
      </c>
      <c r="B38" s="710" t="s">
        <v>161</v>
      </c>
      <c r="C38" s="710">
        <v>1</v>
      </c>
      <c r="D38" s="711">
        <v>0.77449166999999997</v>
      </c>
      <c r="E38" s="711">
        <v>0.51212500000000005</v>
      </c>
      <c r="F38" s="712">
        <v>0.26236666999999991</v>
      </c>
      <c r="G38" s="713">
        <v>0.66124016543651154</v>
      </c>
      <c r="H38" s="658" t="s">
        <v>356</v>
      </c>
      <c r="I38" s="622" t="s">
        <v>554</v>
      </c>
      <c r="M38" s="292" t="s">
        <v>178</v>
      </c>
      <c r="N38" s="393">
        <v>1</v>
      </c>
    </row>
    <row r="39" spans="1:14" s="344" customFormat="1" x14ac:dyDescent="0.25">
      <c r="A39" s="710" t="s">
        <v>43</v>
      </c>
      <c r="B39" s="710" t="s">
        <v>65</v>
      </c>
      <c r="C39" s="710">
        <v>1</v>
      </c>
      <c r="D39" s="711">
        <v>0.59952499999999997</v>
      </c>
      <c r="E39" s="711">
        <v>0.3377</v>
      </c>
      <c r="F39" s="712">
        <v>0.26182499999999997</v>
      </c>
      <c r="G39" s="713">
        <v>0.56327926274967688</v>
      </c>
      <c r="H39" s="658" t="s">
        <v>356</v>
      </c>
      <c r="I39" s="622" t="s">
        <v>554</v>
      </c>
      <c r="M39" s="292" t="s">
        <v>180</v>
      </c>
      <c r="N39" s="393">
        <v>1</v>
      </c>
    </row>
    <row r="40" spans="1:14" s="344" customFormat="1" x14ac:dyDescent="0.25">
      <c r="A40" s="710" t="s">
        <v>151</v>
      </c>
      <c r="B40" s="710" t="s">
        <v>152</v>
      </c>
      <c r="C40" s="710">
        <v>1</v>
      </c>
      <c r="D40" s="711">
        <v>0.62916667000000004</v>
      </c>
      <c r="E40" s="711">
        <v>0.36809999999999998</v>
      </c>
      <c r="F40" s="712">
        <v>0.26106667000000006</v>
      </c>
      <c r="G40" s="713">
        <v>0.58505959954935305</v>
      </c>
      <c r="H40" s="658" t="s">
        <v>356</v>
      </c>
      <c r="I40" s="622" t="s">
        <v>554</v>
      </c>
      <c r="M40" s="292" t="s">
        <v>182</v>
      </c>
      <c r="N40" s="393">
        <v>1</v>
      </c>
    </row>
    <row r="41" spans="1:14" s="344" customFormat="1" x14ac:dyDescent="0.25">
      <c r="A41" s="710" t="s">
        <v>217</v>
      </c>
      <c r="B41" s="710" t="s">
        <v>218</v>
      </c>
      <c r="C41" s="710">
        <v>1</v>
      </c>
      <c r="D41" s="711">
        <v>0.57383333000000003</v>
      </c>
      <c r="E41" s="711">
        <v>0.31459166999999999</v>
      </c>
      <c r="F41" s="712">
        <v>0.25924166000000004</v>
      </c>
      <c r="G41" s="713">
        <v>0.54822829827608655</v>
      </c>
      <c r="H41" s="658" t="s">
        <v>356</v>
      </c>
      <c r="I41" s="622" t="s">
        <v>554</v>
      </c>
      <c r="M41" s="292" t="s">
        <v>184</v>
      </c>
      <c r="N41" s="393">
        <v>25</v>
      </c>
    </row>
    <row r="42" spans="1:14" s="344" customFormat="1" x14ac:dyDescent="0.25">
      <c r="A42" s="710" t="s">
        <v>285</v>
      </c>
      <c r="B42" s="710" t="s">
        <v>286</v>
      </c>
      <c r="C42" s="710">
        <v>1</v>
      </c>
      <c r="D42" s="711">
        <v>0.53</v>
      </c>
      <c r="E42" s="711">
        <v>0.27150000000000002</v>
      </c>
      <c r="F42" s="712">
        <v>0.25850000000000001</v>
      </c>
      <c r="G42" s="713">
        <v>0.51226415094339628</v>
      </c>
      <c r="H42" s="658" t="s">
        <v>356</v>
      </c>
      <c r="I42" s="622" t="s">
        <v>554</v>
      </c>
      <c r="M42" s="292" t="s">
        <v>894</v>
      </c>
      <c r="N42" s="393">
        <v>1</v>
      </c>
    </row>
    <row r="43" spans="1:14" s="344" customFormat="1" x14ac:dyDescent="0.25">
      <c r="A43" s="710" t="s">
        <v>117</v>
      </c>
      <c r="B43" s="710" t="s">
        <v>118</v>
      </c>
      <c r="C43" s="710">
        <v>1</v>
      </c>
      <c r="D43" s="711">
        <v>0.6</v>
      </c>
      <c r="E43" s="711">
        <v>0.34909167000000002</v>
      </c>
      <c r="F43" s="712">
        <v>0.25090832999999996</v>
      </c>
      <c r="G43" s="713">
        <v>0.58181945000000002</v>
      </c>
      <c r="H43" s="658" t="s">
        <v>356</v>
      </c>
      <c r="I43" s="622" t="s">
        <v>554</v>
      </c>
      <c r="M43" s="292" t="s">
        <v>188</v>
      </c>
      <c r="N43" s="393">
        <v>1</v>
      </c>
    </row>
    <row r="44" spans="1:14" s="344" customFormat="1" x14ac:dyDescent="0.25">
      <c r="A44" s="710" t="s">
        <v>260</v>
      </c>
      <c r="B44" s="710" t="s">
        <v>261</v>
      </c>
      <c r="C44" s="710">
        <v>1</v>
      </c>
      <c r="D44" s="711">
        <v>0.82538332999999997</v>
      </c>
      <c r="E44" s="711">
        <v>0.57527499999999998</v>
      </c>
      <c r="F44" s="712">
        <v>0.25010832999999999</v>
      </c>
      <c r="G44" s="713">
        <v>0.69697918420523464</v>
      </c>
      <c r="H44" s="658" t="s">
        <v>356</v>
      </c>
      <c r="I44" s="622" t="s">
        <v>554</v>
      </c>
      <c r="M44" s="292" t="s">
        <v>190</v>
      </c>
      <c r="N44" s="393">
        <v>1</v>
      </c>
    </row>
    <row r="45" spans="1:14" s="344" customFormat="1" x14ac:dyDescent="0.25">
      <c r="A45" s="710" t="s">
        <v>188</v>
      </c>
      <c r="B45" s="710" t="s">
        <v>189</v>
      </c>
      <c r="C45" s="710">
        <v>1</v>
      </c>
      <c r="D45" s="711">
        <v>0.57750000000000001</v>
      </c>
      <c r="E45" s="711">
        <v>0.33065</v>
      </c>
      <c r="F45" s="712">
        <v>0.24685000000000001</v>
      </c>
      <c r="G45" s="713">
        <v>0.57255411255411259</v>
      </c>
      <c r="H45" s="658" t="s">
        <v>356</v>
      </c>
      <c r="I45" s="622" t="s">
        <v>554</v>
      </c>
      <c r="M45" s="292" t="s">
        <v>535</v>
      </c>
      <c r="N45" s="393">
        <v>1</v>
      </c>
    </row>
    <row r="46" spans="1:14" s="344" customFormat="1" x14ac:dyDescent="0.25">
      <c r="A46" s="710" t="s">
        <v>233</v>
      </c>
      <c r="B46" s="710" t="s">
        <v>234</v>
      </c>
      <c r="C46" s="710">
        <v>1</v>
      </c>
      <c r="D46" s="711">
        <v>0.52</v>
      </c>
      <c r="E46" s="711">
        <v>0.2742</v>
      </c>
      <c r="F46" s="712">
        <v>0.24580000000000002</v>
      </c>
      <c r="G46" s="713">
        <v>0.52730769230769226</v>
      </c>
      <c r="H46" s="658" t="s">
        <v>356</v>
      </c>
      <c r="I46" s="622" t="s">
        <v>554</v>
      </c>
      <c r="M46" s="292" t="s">
        <v>193</v>
      </c>
      <c r="N46" s="393">
        <v>25</v>
      </c>
    </row>
    <row r="47" spans="1:14" s="344" customFormat="1" x14ac:dyDescent="0.25">
      <c r="A47" s="710" t="s">
        <v>258</v>
      </c>
      <c r="B47" s="710" t="s">
        <v>682</v>
      </c>
      <c r="C47" s="710">
        <v>3</v>
      </c>
      <c r="D47" s="711">
        <v>0.50455833000000005</v>
      </c>
      <c r="E47" s="711">
        <v>0.26014999999999999</v>
      </c>
      <c r="F47" s="712">
        <v>0.24440833000000006</v>
      </c>
      <c r="G47" s="713">
        <v>0.51559945507192395</v>
      </c>
      <c r="H47" s="658" t="s">
        <v>356</v>
      </c>
      <c r="I47" s="622" t="s">
        <v>554</v>
      </c>
      <c r="M47" s="292" t="s">
        <v>196</v>
      </c>
      <c r="N47" s="393">
        <v>1</v>
      </c>
    </row>
    <row r="48" spans="1:14" s="344" customFormat="1" x14ac:dyDescent="0.25">
      <c r="A48" s="710" t="s">
        <v>637</v>
      </c>
      <c r="B48" s="710" t="s">
        <v>492</v>
      </c>
      <c r="C48" s="710">
        <v>1</v>
      </c>
      <c r="D48" s="711">
        <v>0.44580832999999997</v>
      </c>
      <c r="E48" s="711">
        <v>0.20428333000000001</v>
      </c>
      <c r="F48" s="712">
        <v>0.24152499999999996</v>
      </c>
      <c r="G48" s="713">
        <v>0.45823129863903628</v>
      </c>
      <c r="H48" s="658" t="s">
        <v>356</v>
      </c>
      <c r="I48" s="622" t="s">
        <v>554</v>
      </c>
      <c r="M48" s="292" t="s">
        <v>198</v>
      </c>
      <c r="N48" s="393">
        <v>1</v>
      </c>
    </row>
    <row r="49" spans="1:14" s="344" customFormat="1" x14ac:dyDescent="0.25">
      <c r="A49" s="710" t="s">
        <v>182</v>
      </c>
      <c r="B49" s="710" t="s">
        <v>183</v>
      </c>
      <c r="C49" s="710">
        <v>1</v>
      </c>
      <c r="D49" s="711">
        <v>0.77562500000000001</v>
      </c>
      <c r="E49" s="711">
        <v>0.53647500000000004</v>
      </c>
      <c r="F49" s="712">
        <v>0.23914999999999997</v>
      </c>
      <c r="G49" s="713">
        <v>0.69166800966962128</v>
      </c>
      <c r="H49" s="658" t="s">
        <v>356</v>
      </c>
      <c r="I49" s="622" t="s">
        <v>554</v>
      </c>
      <c r="M49" s="292" t="s">
        <v>200</v>
      </c>
      <c r="N49" s="393">
        <v>3</v>
      </c>
    </row>
    <row r="50" spans="1:14" s="126" customFormat="1" x14ac:dyDescent="0.25">
      <c r="A50" s="710" t="s">
        <v>231</v>
      </c>
      <c r="B50" s="710" t="s">
        <v>232</v>
      </c>
      <c r="C50" s="710">
        <v>1</v>
      </c>
      <c r="D50" s="711">
        <v>0.49166666999999997</v>
      </c>
      <c r="E50" s="711">
        <v>0.25533333000000002</v>
      </c>
      <c r="F50" s="712">
        <v>0.23633333999999995</v>
      </c>
      <c r="G50" s="713">
        <v>0.51932202359781687</v>
      </c>
      <c r="H50" s="658" t="s">
        <v>356</v>
      </c>
      <c r="I50" s="622" t="s">
        <v>554</v>
      </c>
      <c r="M50" s="292" t="s">
        <v>201</v>
      </c>
      <c r="N50" s="393">
        <v>5</v>
      </c>
    </row>
    <row r="51" spans="1:14" s="344" customFormat="1" x14ac:dyDescent="0.25">
      <c r="A51" s="710" t="s">
        <v>524</v>
      </c>
      <c r="B51" s="710" t="s">
        <v>72</v>
      </c>
      <c r="C51" s="710">
        <v>1</v>
      </c>
      <c r="D51" s="711">
        <v>0.58745000000000003</v>
      </c>
      <c r="E51" s="711">
        <v>0.35848332999999999</v>
      </c>
      <c r="F51" s="712">
        <v>0.22896667000000004</v>
      </c>
      <c r="G51" s="713">
        <v>0.61023632649587189</v>
      </c>
      <c r="H51" s="658" t="s">
        <v>356</v>
      </c>
      <c r="I51" s="622" t="s">
        <v>554</v>
      </c>
      <c r="M51" s="292" t="s">
        <v>207</v>
      </c>
      <c r="N51" s="393">
        <v>1</v>
      </c>
    </row>
    <row r="52" spans="1:14" s="344" customFormat="1" x14ac:dyDescent="0.25">
      <c r="A52" s="710" t="s">
        <v>147</v>
      </c>
      <c r="B52" s="710" t="s">
        <v>148</v>
      </c>
      <c r="C52" s="710">
        <v>1</v>
      </c>
      <c r="D52" s="711">
        <v>0.67300000000000004</v>
      </c>
      <c r="E52" s="711">
        <v>0.44423332999999998</v>
      </c>
      <c r="F52" s="712">
        <v>0.22876667000000006</v>
      </c>
      <c r="G52" s="713">
        <v>0.66007924219910841</v>
      </c>
      <c r="H52" s="658" t="s">
        <v>356</v>
      </c>
      <c r="I52" s="622" t="s">
        <v>554</v>
      </c>
      <c r="M52" s="292" t="s">
        <v>209</v>
      </c>
      <c r="N52" s="393">
        <v>1</v>
      </c>
    </row>
    <row r="53" spans="1:14" s="344" customFormat="1" x14ac:dyDescent="0.25">
      <c r="A53" s="710" t="s">
        <v>43</v>
      </c>
      <c r="B53" s="710" t="s">
        <v>51</v>
      </c>
      <c r="C53" s="710">
        <v>1</v>
      </c>
      <c r="D53" s="711">
        <v>0.82661667000000005</v>
      </c>
      <c r="E53" s="711">
        <v>0.59830000000000005</v>
      </c>
      <c r="F53" s="712">
        <v>0.22831667</v>
      </c>
      <c r="G53" s="713">
        <v>0.72379377493076691</v>
      </c>
      <c r="H53" s="658" t="s">
        <v>356</v>
      </c>
      <c r="I53" s="622" t="s">
        <v>554</v>
      </c>
      <c r="M53" s="292" t="s">
        <v>215</v>
      </c>
      <c r="N53" s="393">
        <v>1</v>
      </c>
    </row>
    <row r="54" spans="1:14" s="344" customFormat="1" x14ac:dyDescent="0.25">
      <c r="A54" s="710" t="s">
        <v>178</v>
      </c>
      <c r="B54" s="710" t="s">
        <v>179</v>
      </c>
      <c r="C54" s="710">
        <v>1</v>
      </c>
      <c r="D54" s="711">
        <v>0.71516667</v>
      </c>
      <c r="E54" s="711">
        <v>0.48702499999999999</v>
      </c>
      <c r="F54" s="712">
        <v>0.22814167000000002</v>
      </c>
      <c r="G54" s="713">
        <v>0.68099510286182663</v>
      </c>
      <c r="H54" s="658" t="s">
        <v>356</v>
      </c>
      <c r="I54" s="622" t="s">
        <v>554</v>
      </c>
      <c r="M54" s="292" t="s">
        <v>217</v>
      </c>
      <c r="N54" s="393">
        <v>1</v>
      </c>
    </row>
    <row r="55" spans="1:14" s="344" customFormat="1" x14ac:dyDescent="0.25">
      <c r="A55" s="710" t="s">
        <v>262</v>
      </c>
      <c r="B55" s="710" t="s">
        <v>263</v>
      </c>
      <c r="C55" s="710">
        <v>1</v>
      </c>
      <c r="D55" s="711">
        <v>0.63749999999999996</v>
      </c>
      <c r="E55" s="711">
        <v>0.41102499999999997</v>
      </c>
      <c r="F55" s="712">
        <v>0.22647499999999998</v>
      </c>
      <c r="G55" s="713">
        <v>0.64474509803921565</v>
      </c>
      <c r="H55" s="658" t="s">
        <v>356</v>
      </c>
      <c r="I55" s="622" t="s">
        <v>554</v>
      </c>
      <c r="M55" s="292" t="s">
        <v>219</v>
      </c>
      <c r="N55" s="393">
        <v>1</v>
      </c>
    </row>
    <row r="56" spans="1:14" s="344" customFormat="1" x14ac:dyDescent="0.25">
      <c r="A56" s="710" t="s">
        <v>272</v>
      </c>
      <c r="B56" s="710" t="s">
        <v>273</v>
      </c>
      <c r="C56" s="710">
        <v>1</v>
      </c>
      <c r="D56" s="711">
        <v>0.80417499999999997</v>
      </c>
      <c r="E56" s="711">
        <v>0.57782500000000003</v>
      </c>
      <c r="F56" s="712">
        <v>0.22634999999999994</v>
      </c>
      <c r="G56" s="713">
        <v>0.71853141418223654</v>
      </c>
      <c r="H56" s="658" t="s">
        <v>356</v>
      </c>
      <c r="I56" s="622" t="s">
        <v>554</v>
      </c>
      <c r="M56" s="292" t="s">
        <v>221</v>
      </c>
      <c r="N56" s="393">
        <v>5</v>
      </c>
    </row>
    <row r="57" spans="1:14" s="126" customFormat="1" x14ac:dyDescent="0.25">
      <c r="A57" s="710" t="s">
        <v>201</v>
      </c>
      <c r="B57" s="710" t="s">
        <v>202</v>
      </c>
      <c r="C57" s="710">
        <v>1</v>
      </c>
      <c r="D57" s="711">
        <v>0.62529999999999997</v>
      </c>
      <c r="E57" s="711">
        <v>0.39946667000000002</v>
      </c>
      <c r="F57" s="712">
        <v>0.22583332999999994</v>
      </c>
      <c r="G57" s="713">
        <v>0.63884002878618273</v>
      </c>
      <c r="H57" s="658" t="s">
        <v>356</v>
      </c>
      <c r="I57" s="622" t="s">
        <v>554</v>
      </c>
      <c r="M57" s="292" t="s">
        <v>227</v>
      </c>
      <c r="N57" s="393">
        <v>1</v>
      </c>
    </row>
    <row r="58" spans="1:14" s="344" customFormat="1" x14ac:dyDescent="0.25">
      <c r="A58" s="710" t="s">
        <v>29</v>
      </c>
      <c r="B58" s="710" t="s">
        <v>30</v>
      </c>
      <c r="C58" s="710">
        <v>1</v>
      </c>
      <c r="D58" s="711">
        <v>0.60499999999999998</v>
      </c>
      <c r="E58" s="711">
        <v>0.38092500000000001</v>
      </c>
      <c r="F58" s="712">
        <v>0.22407499999999997</v>
      </c>
      <c r="G58" s="713">
        <v>0.62962809917355378</v>
      </c>
      <c r="H58" s="658" t="s">
        <v>356</v>
      </c>
      <c r="I58" s="622" t="s">
        <v>554</v>
      </c>
      <c r="M58" s="292" t="s">
        <v>229</v>
      </c>
      <c r="N58" s="393">
        <v>1</v>
      </c>
    </row>
    <row r="59" spans="1:14" s="344" customFormat="1" x14ac:dyDescent="0.25">
      <c r="A59" s="710" t="s">
        <v>201</v>
      </c>
      <c r="B59" s="710" t="s">
        <v>206</v>
      </c>
      <c r="C59" s="710">
        <v>1</v>
      </c>
      <c r="D59" s="711">
        <v>0.62294167</v>
      </c>
      <c r="E59" s="711">
        <v>0.39946667000000002</v>
      </c>
      <c r="F59" s="712">
        <v>0.22347499999999998</v>
      </c>
      <c r="G59" s="713">
        <v>0.64125854672717597</v>
      </c>
      <c r="H59" s="658" t="s">
        <v>356</v>
      </c>
      <c r="I59" s="622" t="s">
        <v>554</v>
      </c>
      <c r="M59" s="292" t="s">
        <v>231</v>
      </c>
      <c r="N59" s="393">
        <v>1</v>
      </c>
    </row>
    <row r="60" spans="1:14" s="344" customFormat="1" x14ac:dyDescent="0.25">
      <c r="A60" s="710" t="s">
        <v>201</v>
      </c>
      <c r="B60" s="710" t="s">
        <v>204</v>
      </c>
      <c r="C60" s="710">
        <v>1</v>
      </c>
      <c r="D60" s="711">
        <v>0.62158332999999999</v>
      </c>
      <c r="E60" s="711">
        <v>0.39946667000000002</v>
      </c>
      <c r="F60" s="712">
        <v>0.22211665999999997</v>
      </c>
      <c r="G60" s="713">
        <v>0.64265988278675368</v>
      </c>
      <c r="H60" s="658" t="s">
        <v>356</v>
      </c>
      <c r="I60" s="622" t="s">
        <v>554</v>
      </c>
      <c r="M60" s="292" t="s">
        <v>233</v>
      </c>
      <c r="N60" s="393">
        <v>1</v>
      </c>
    </row>
    <row r="61" spans="1:14" s="344" customFormat="1" x14ac:dyDescent="0.25">
      <c r="A61" s="710" t="s">
        <v>524</v>
      </c>
      <c r="B61" s="710" t="s">
        <v>173</v>
      </c>
      <c r="C61" s="710">
        <v>1</v>
      </c>
      <c r="D61" s="711">
        <v>0.74070000000000003</v>
      </c>
      <c r="E61" s="711">
        <v>0.51876</v>
      </c>
      <c r="F61" s="712">
        <v>0.22194000000000003</v>
      </c>
      <c r="G61" s="713">
        <v>0.70036452004860261</v>
      </c>
      <c r="H61" s="658" t="s">
        <v>356</v>
      </c>
      <c r="I61" s="622" t="s">
        <v>554</v>
      </c>
      <c r="M61" s="292" t="s">
        <v>641</v>
      </c>
      <c r="N61" s="393">
        <v>1</v>
      </c>
    </row>
    <row r="62" spans="1:14" s="344" customFormat="1" x14ac:dyDescent="0.25">
      <c r="A62" s="710" t="s">
        <v>201</v>
      </c>
      <c r="B62" s="710" t="s">
        <v>203</v>
      </c>
      <c r="C62" s="710">
        <v>1</v>
      </c>
      <c r="D62" s="711">
        <v>0.62075833000000002</v>
      </c>
      <c r="E62" s="711">
        <v>0.39946667000000002</v>
      </c>
      <c r="F62" s="712">
        <v>0.22129166</v>
      </c>
      <c r="G62" s="713">
        <v>0.64351399038012103</v>
      </c>
      <c r="H62" s="658" t="s">
        <v>356</v>
      </c>
      <c r="I62" s="622" t="s">
        <v>554</v>
      </c>
      <c r="M62" s="292" t="s">
        <v>236</v>
      </c>
      <c r="N62" s="393">
        <v>1</v>
      </c>
    </row>
    <row r="63" spans="1:14" s="344" customFormat="1" x14ac:dyDescent="0.25">
      <c r="A63" s="710" t="s">
        <v>201</v>
      </c>
      <c r="B63" s="710" t="s">
        <v>205</v>
      </c>
      <c r="C63" s="710">
        <v>1</v>
      </c>
      <c r="D63" s="711">
        <v>0.62041667</v>
      </c>
      <c r="E63" s="711">
        <v>0.39946667000000002</v>
      </c>
      <c r="F63" s="712">
        <v>0.22094999999999998</v>
      </c>
      <c r="G63" s="713">
        <v>0.64386836994563668</v>
      </c>
      <c r="H63" s="658" t="s">
        <v>356</v>
      </c>
      <c r="I63" s="622" t="s">
        <v>554</v>
      </c>
      <c r="M63" s="292" t="s">
        <v>238</v>
      </c>
      <c r="N63" s="393">
        <v>1</v>
      </c>
    </row>
    <row r="64" spans="1:14" s="126" customFormat="1" x14ac:dyDescent="0.25">
      <c r="A64" s="710" t="s">
        <v>524</v>
      </c>
      <c r="B64" s="710" t="s">
        <v>93</v>
      </c>
      <c r="C64" s="710">
        <v>1</v>
      </c>
      <c r="D64" s="711">
        <v>0.73998333000000005</v>
      </c>
      <c r="E64" s="711">
        <v>0.51951667000000001</v>
      </c>
      <c r="F64" s="712">
        <v>0.22046666000000004</v>
      </c>
      <c r="G64" s="713">
        <v>0.70206536949960752</v>
      </c>
      <c r="H64" s="658" t="s">
        <v>356</v>
      </c>
      <c r="I64" s="622" t="s">
        <v>554</v>
      </c>
      <c r="M64" s="292" t="s">
        <v>240</v>
      </c>
      <c r="N64" s="393">
        <v>1</v>
      </c>
    </row>
    <row r="65" spans="1:14" s="344" customFormat="1" x14ac:dyDescent="0.25">
      <c r="A65" s="710" t="s">
        <v>524</v>
      </c>
      <c r="B65" s="710" t="s">
        <v>994</v>
      </c>
      <c r="C65" s="710">
        <v>2</v>
      </c>
      <c r="D65" s="711">
        <v>0.72724999999999995</v>
      </c>
      <c r="E65" s="711">
        <v>0.50739999999999996</v>
      </c>
      <c r="F65" s="712">
        <v>0.21984999999999999</v>
      </c>
      <c r="G65" s="713">
        <v>0.69769680302509451</v>
      </c>
      <c r="H65" s="658" t="s">
        <v>356</v>
      </c>
      <c r="I65" s="622" t="s">
        <v>554</v>
      </c>
      <c r="M65" s="292" t="s">
        <v>242</v>
      </c>
      <c r="N65" s="393">
        <v>1</v>
      </c>
    </row>
    <row r="66" spans="1:14" s="344" customFormat="1" x14ac:dyDescent="0.25">
      <c r="A66" s="710" t="s">
        <v>524</v>
      </c>
      <c r="B66" s="710" t="s">
        <v>82</v>
      </c>
      <c r="C66" s="710">
        <v>1</v>
      </c>
      <c r="D66" s="711">
        <v>0.65162500000000001</v>
      </c>
      <c r="E66" s="711">
        <v>0.43556666999999999</v>
      </c>
      <c r="F66" s="712">
        <v>0.21605833000000002</v>
      </c>
      <c r="G66" s="713">
        <v>0.6684314905045079</v>
      </c>
      <c r="H66" s="658" t="s">
        <v>356</v>
      </c>
      <c r="I66" s="622" t="s">
        <v>554</v>
      </c>
      <c r="M66" s="292" t="s">
        <v>487</v>
      </c>
      <c r="N66" s="393">
        <v>29</v>
      </c>
    </row>
    <row r="67" spans="1:14" s="344" customFormat="1" x14ac:dyDescent="0.25">
      <c r="A67" s="710" t="s">
        <v>524</v>
      </c>
      <c r="B67" s="710" t="s">
        <v>116</v>
      </c>
      <c r="C67" s="710">
        <v>1</v>
      </c>
      <c r="D67" s="711">
        <v>0.64396666999999996</v>
      </c>
      <c r="E67" s="711">
        <v>0.42826667000000002</v>
      </c>
      <c r="F67" s="712">
        <v>0.21569999999999995</v>
      </c>
      <c r="G67" s="713">
        <v>0.6650447763080658</v>
      </c>
      <c r="H67" s="658" t="s">
        <v>356</v>
      </c>
      <c r="I67" s="622" t="s">
        <v>554</v>
      </c>
      <c r="M67" s="292" t="s">
        <v>509</v>
      </c>
      <c r="N67" s="393">
        <v>1</v>
      </c>
    </row>
    <row r="68" spans="1:14" s="344" customFormat="1" x14ac:dyDescent="0.25">
      <c r="A68" s="710" t="s">
        <v>524</v>
      </c>
      <c r="B68" s="710" t="s">
        <v>83</v>
      </c>
      <c r="C68" s="710">
        <v>1</v>
      </c>
      <c r="D68" s="711">
        <v>0.63886666999999997</v>
      </c>
      <c r="E68" s="711">
        <v>0.42344166999999999</v>
      </c>
      <c r="F68" s="712">
        <v>0.21542499999999998</v>
      </c>
      <c r="G68" s="713">
        <v>0.66280131658770058</v>
      </c>
      <c r="H68" s="658" t="s">
        <v>356</v>
      </c>
      <c r="I68" s="622" t="s">
        <v>554</v>
      </c>
      <c r="M68" s="292" t="s">
        <v>245</v>
      </c>
      <c r="N68" s="393">
        <v>1</v>
      </c>
    </row>
    <row r="69" spans="1:14" s="344" customFormat="1" x14ac:dyDescent="0.25">
      <c r="A69" s="710" t="s">
        <v>524</v>
      </c>
      <c r="B69" s="710" t="s">
        <v>67</v>
      </c>
      <c r="C69" s="710">
        <v>1</v>
      </c>
      <c r="D69" s="711">
        <v>0.63168332999999999</v>
      </c>
      <c r="E69" s="711">
        <v>0.41661667000000002</v>
      </c>
      <c r="F69" s="712">
        <v>0.21506665999999997</v>
      </c>
      <c r="G69" s="713">
        <v>0.65953405799073406</v>
      </c>
      <c r="H69" s="658" t="s">
        <v>356</v>
      </c>
      <c r="I69" s="622" t="s">
        <v>554</v>
      </c>
      <c r="M69" s="292" t="s">
        <v>250</v>
      </c>
      <c r="N69" s="393">
        <v>5</v>
      </c>
    </row>
    <row r="70" spans="1:14" s="344" customFormat="1" x14ac:dyDescent="0.25">
      <c r="A70" s="710" t="s">
        <v>524</v>
      </c>
      <c r="B70" s="710" t="s">
        <v>111</v>
      </c>
      <c r="C70" s="710">
        <v>1</v>
      </c>
      <c r="D70" s="711">
        <v>0.62324166999999997</v>
      </c>
      <c r="E70" s="711">
        <v>0.40858333000000002</v>
      </c>
      <c r="F70" s="712">
        <v>0.21465833999999995</v>
      </c>
      <c r="G70" s="713">
        <v>0.65557768305190511</v>
      </c>
      <c r="H70" s="658" t="s">
        <v>356</v>
      </c>
      <c r="I70" s="622" t="s">
        <v>554</v>
      </c>
      <c r="M70" s="292" t="s">
        <v>256</v>
      </c>
      <c r="N70" s="393">
        <v>1</v>
      </c>
    </row>
    <row r="71" spans="1:14" s="344" customFormat="1" x14ac:dyDescent="0.25">
      <c r="A71" s="710" t="s">
        <v>524</v>
      </c>
      <c r="B71" s="710" t="s">
        <v>91</v>
      </c>
      <c r="C71" s="710">
        <v>1</v>
      </c>
      <c r="D71" s="711">
        <v>0.62085833000000001</v>
      </c>
      <c r="E71" s="711">
        <v>0.40630833</v>
      </c>
      <c r="F71" s="712">
        <v>0.21455000000000002</v>
      </c>
      <c r="G71" s="713">
        <v>0.65443002109676129</v>
      </c>
      <c r="H71" s="658" t="s">
        <v>356</v>
      </c>
      <c r="I71" s="622" t="s">
        <v>554</v>
      </c>
      <c r="M71" s="292" t="s">
        <v>258</v>
      </c>
      <c r="N71" s="393">
        <v>3</v>
      </c>
    </row>
    <row r="72" spans="1:14" s="126" customFormat="1" x14ac:dyDescent="0.25">
      <c r="A72" s="710" t="s">
        <v>524</v>
      </c>
      <c r="B72" s="710" t="s">
        <v>94</v>
      </c>
      <c r="C72" s="710">
        <v>1</v>
      </c>
      <c r="D72" s="711">
        <v>0.61409166999999998</v>
      </c>
      <c r="E72" s="711">
        <v>0.39989166999999998</v>
      </c>
      <c r="F72" s="712">
        <v>0.2142</v>
      </c>
      <c r="G72" s="713">
        <v>0.65119214204615405</v>
      </c>
      <c r="H72" s="658" t="s">
        <v>356</v>
      </c>
      <c r="I72" s="622" t="s">
        <v>554</v>
      </c>
      <c r="M72" s="292" t="s">
        <v>260</v>
      </c>
      <c r="N72" s="393">
        <v>1</v>
      </c>
    </row>
    <row r="73" spans="1:14" s="344" customFormat="1" x14ac:dyDescent="0.25">
      <c r="A73" s="710" t="s">
        <v>524</v>
      </c>
      <c r="B73" s="710" t="s">
        <v>71</v>
      </c>
      <c r="C73" s="710">
        <v>1</v>
      </c>
      <c r="D73" s="711">
        <v>0.60357499999999997</v>
      </c>
      <c r="E73" s="711">
        <v>0.38990833000000003</v>
      </c>
      <c r="F73" s="712">
        <v>0.21366666999999995</v>
      </c>
      <c r="G73" s="713">
        <v>0.64599814438967829</v>
      </c>
      <c r="H73" s="658" t="s">
        <v>356</v>
      </c>
      <c r="I73" s="622" t="s">
        <v>554</v>
      </c>
      <c r="M73" s="292" t="s">
        <v>262</v>
      </c>
      <c r="N73" s="393">
        <v>1</v>
      </c>
    </row>
    <row r="74" spans="1:14" s="344" customFormat="1" x14ac:dyDescent="0.25">
      <c r="A74" s="710" t="s">
        <v>524</v>
      </c>
      <c r="B74" s="710" t="s">
        <v>106</v>
      </c>
      <c r="C74" s="710">
        <v>1</v>
      </c>
      <c r="D74" s="711">
        <v>0.60007500000000003</v>
      </c>
      <c r="E74" s="711">
        <v>0.38659167</v>
      </c>
      <c r="F74" s="712">
        <v>0.21348333000000003</v>
      </c>
      <c r="G74" s="713">
        <v>0.64423892013498307</v>
      </c>
      <c r="H74" s="658" t="s">
        <v>356</v>
      </c>
      <c r="I74" s="622" t="s">
        <v>554</v>
      </c>
      <c r="M74" s="292" t="s">
        <v>264</v>
      </c>
      <c r="N74" s="393">
        <v>1</v>
      </c>
    </row>
    <row r="75" spans="1:14" s="344" customFormat="1" x14ac:dyDescent="0.25">
      <c r="A75" s="710" t="s">
        <v>524</v>
      </c>
      <c r="B75" s="710" t="s">
        <v>96</v>
      </c>
      <c r="C75" s="710">
        <v>1</v>
      </c>
      <c r="D75" s="711">
        <v>0.53463000000000005</v>
      </c>
      <c r="E75" s="711">
        <v>0.32116666999999999</v>
      </c>
      <c r="F75" s="712">
        <v>0.21346333000000006</v>
      </c>
      <c r="G75" s="713">
        <v>0.60072698875858066</v>
      </c>
      <c r="H75" s="658" t="s">
        <v>356</v>
      </c>
      <c r="I75" s="622" t="s">
        <v>554</v>
      </c>
      <c r="M75" s="292" t="s">
        <v>266</v>
      </c>
      <c r="N75" s="393">
        <v>1</v>
      </c>
    </row>
    <row r="76" spans="1:14" s="344" customFormat="1" x14ac:dyDescent="0.25">
      <c r="A76" s="710" t="s">
        <v>524</v>
      </c>
      <c r="B76" s="710" t="s">
        <v>66</v>
      </c>
      <c r="C76" s="710">
        <v>1</v>
      </c>
      <c r="D76" s="711">
        <v>0.59294999999999998</v>
      </c>
      <c r="E76" s="711">
        <v>0.37985000000000002</v>
      </c>
      <c r="F76" s="712">
        <v>0.21309999999999996</v>
      </c>
      <c r="G76" s="713">
        <v>0.6406105067880935</v>
      </c>
      <c r="H76" s="658" t="s">
        <v>356</v>
      </c>
      <c r="I76" s="622" t="s">
        <v>554</v>
      </c>
      <c r="M76" s="292" t="s">
        <v>268</v>
      </c>
      <c r="N76" s="393">
        <v>1</v>
      </c>
    </row>
    <row r="77" spans="1:14" s="344" customFormat="1" x14ac:dyDescent="0.25">
      <c r="A77" s="710" t="s">
        <v>524</v>
      </c>
      <c r="B77" s="710" t="s">
        <v>68</v>
      </c>
      <c r="C77" s="710">
        <v>1</v>
      </c>
      <c r="D77" s="711">
        <v>0.59096667000000003</v>
      </c>
      <c r="E77" s="711">
        <v>0.37790833000000001</v>
      </c>
      <c r="F77" s="712">
        <v>0.21305834000000001</v>
      </c>
      <c r="G77" s="713">
        <v>0.639474862431751</v>
      </c>
      <c r="H77" s="658" t="s">
        <v>356</v>
      </c>
      <c r="I77" s="622" t="s">
        <v>554</v>
      </c>
      <c r="M77" s="292" t="s">
        <v>270</v>
      </c>
      <c r="N77" s="393">
        <v>1</v>
      </c>
    </row>
    <row r="78" spans="1:14" s="344" customFormat="1" x14ac:dyDescent="0.25">
      <c r="A78" s="710" t="s">
        <v>524</v>
      </c>
      <c r="B78" s="710" t="s">
        <v>108</v>
      </c>
      <c r="C78" s="710">
        <v>1</v>
      </c>
      <c r="D78" s="711">
        <v>0.591275</v>
      </c>
      <c r="E78" s="711">
        <v>0.37822499999999998</v>
      </c>
      <c r="F78" s="712">
        <v>0.21305000000000002</v>
      </c>
      <c r="G78" s="713">
        <v>0.63967696926134199</v>
      </c>
      <c r="H78" s="658" t="s">
        <v>356</v>
      </c>
      <c r="I78" s="622" t="s">
        <v>554</v>
      </c>
      <c r="M78" s="292" t="s">
        <v>272</v>
      </c>
      <c r="N78" s="393">
        <v>1</v>
      </c>
    </row>
    <row r="79" spans="1:14" s="344" customFormat="1" x14ac:dyDescent="0.25">
      <c r="A79" s="710" t="s">
        <v>524</v>
      </c>
      <c r="B79" s="710" t="s">
        <v>75</v>
      </c>
      <c r="C79" s="710">
        <v>1</v>
      </c>
      <c r="D79" s="711">
        <v>0.58979999999999999</v>
      </c>
      <c r="E79" s="711">
        <v>0.37681667000000002</v>
      </c>
      <c r="F79" s="712">
        <v>0.21298332999999997</v>
      </c>
      <c r="G79" s="713">
        <v>0.63888889454052222</v>
      </c>
      <c r="H79" s="658" t="s">
        <v>356</v>
      </c>
      <c r="I79" s="622" t="s">
        <v>554</v>
      </c>
      <c r="M79" s="292" t="s">
        <v>891</v>
      </c>
      <c r="N79" s="393">
        <v>1</v>
      </c>
    </row>
    <row r="80" spans="1:14" s="344" customFormat="1" x14ac:dyDescent="0.25">
      <c r="A80" s="710" t="s">
        <v>524</v>
      </c>
      <c r="B80" s="710" t="s">
        <v>89</v>
      </c>
      <c r="C80" s="710">
        <v>1</v>
      </c>
      <c r="D80" s="711">
        <v>0.58937499999999998</v>
      </c>
      <c r="E80" s="711">
        <v>0.37645000000000001</v>
      </c>
      <c r="F80" s="712">
        <v>0.21292499999999998</v>
      </c>
      <c r="G80" s="713">
        <v>0.63872746553552495</v>
      </c>
      <c r="H80" s="658" t="s">
        <v>356</v>
      </c>
      <c r="I80" s="622" t="s">
        <v>554</v>
      </c>
      <c r="M80" s="292" t="s">
        <v>277</v>
      </c>
      <c r="N80" s="393">
        <v>7</v>
      </c>
    </row>
    <row r="81" spans="1:14" s="344" customFormat="1" x14ac:dyDescent="0.25">
      <c r="A81" s="710" t="s">
        <v>524</v>
      </c>
      <c r="B81" s="710" t="s">
        <v>84</v>
      </c>
      <c r="C81" s="710">
        <v>1</v>
      </c>
      <c r="D81" s="711">
        <v>0.58574999999999999</v>
      </c>
      <c r="E81" s="711">
        <v>0.372975</v>
      </c>
      <c r="F81" s="712">
        <v>0.21277499999999999</v>
      </c>
      <c r="G81" s="713">
        <v>0.63674775928297056</v>
      </c>
      <c r="H81" s="658" t="s">
        <v>356</v>
      </c>
      <c r="I81" s="622" t="s">
        <v>554</v>
      </c>
      <c r="M81" s="292" t="s">
        <v>285</v>
      </c>
      <c r="N81" s="393">
        <v>1</v>
      </c>
    </row>
    <row r="82" spans="1:14" s="344" customFormat="1" x14ac:dyDescent="0.25">
      <c r="A82" s="710" t="s">
        <v>524</v>
      </c>
      <c r="B82" s="710" t="s">
        <v>997</v>
      </c>
      <c r="C82" s="710">
        <v>1</v>
      </c>
      <c r="D82" s="711">
        <v>0.57994999999999997</v>
      </c>
      <c r="E82" s="711">
        <v>0.36745833</v>
      </c>
      <c r="F82" s="712">
        <v>0.21249166999999997</v>
      </c>
      <c r="G82" s="713">
        <v>0.63360346581601867</v>
      </c>
      <c r="H82" s="658" t="s">
        <v>356</v>
      </c>
      <c r="I82" s="622" t="s">
        <v>554</v>
      </c>
      <c r="M82" s="292" t="s">
        <v>536</v>
      </c>
      <c r="N82" s="393">
        <v>2</v>
      </c>
    </row>
    <row r="83" spans="1:14" s="344" customFormat="1" x14ac:dyDescent="0.25">
      <c r="A83" s="710" t="s">
        <v>524</v>
      </c>
      <c r="B83" s="710" t="s">
        <v>86</v>
      </c>
      <c r="C83" s="710">
        <v>1</v>
      </c>
      <c r="D83" s="711">
        <v>0.57994999999999997</v>
      </c>
      <c r="E83" s="711">
        <v>0.36745833</v>
      </c>
      <c r="F83" s="712">
        <v>0.21249166999999997</v>
      </c>
      <c r="G83" s="713">
        <v>0.63360346581601867</v>
      </c>
      <c r="H83" s="658" t="s">
        <v>356</v>
      </c>
      <c r="I83" s="622" t="s">
        <v>554</v>
      </c>
      <c r="M83" s="292" t="s">
        <v>288</v>
      </c>
      <c r="N83" s="393">
        <v>1</v>
      </c>
    </row>
    <row r="84" spans="1:14" s="344" customFormat="1" x14ac:dyDescent="0.25">
      <c r="A84" s="710" t="s">
        <v>524</v>
      </c>
      <c r="B84" s="710" t="s">
        <v>97</v>
      </c>
      <c r="C84" s="710">
        <v>1</v>
      </c>
      <c r="D84" s="711">
        <v>0.57622499999999999</v>
      </c>
      <c r="E84" s="711">
        <v>0.36396666999999999</v>
      </c>
      <c r="F84" s="712">
        <v>0.21225833</v>
      </c>
      <c r="G84" s="713">
        <v>0.63163984554644448</v>
      </c>
      <c r="H84" s="658" t="s">
        <v>356</v>
      </c>
      <c r="I84" s="622" t="s">
        <v>554</v>
      </c>
      <c r="M84" s="292" t="s">
        <v>290</v>
      </c>
      <c r="N84" s="393">
        <v>1</v>
      </c>
    </row>
    <row r="85" spans="1:14" s="344" customFormat="1" x14ac:dyDescent="0.25">
      <c r="A85" s="710" t="s">
        <v>524</v>
      </c>
      <c r="B85" s="710" t="s">
        <v>107</v>
      </c>
      <c r="C85" s="710">
        <v>1</v>
      </c>
      <c r="D85" s="711">
        <v>0.57519167000000004</v>
      </c>
      <c r="E85" s="711">
        <v>0.36294999999999999</v>
      </c>
      <c r="F85" s="712">
        <v>0.21224167000000005</v>
      </c>
      <c r="G85" s="713">
        <v>0.63100705196234841</v>
      </c>
      <c r="H85" s="658" t="s">
        <v>356</v>
      </c>
      <c r="I85" s="622" t="s">
        <v>554</v>
      </c>
      <c r="M85" s="292" t="s">
        <v>292</v>
      </c>
      <c r="N85" s="393">
        <v>1</v>
      </c>
    </row>
    <row r="86" spans="1:14" s="344" customFormat="1" x14ac:dyDescent="0.25">
      <c r="A86" s="710" t="s">
        <v>524</v>
      </c>
      <c r="B86" s="710" t="s">
        <v>105</v>
      </c>
      <c r="C86" s="710">
        <v>1</v>
      </c>
      <c r="D86" s="711">
        <v>0.57445833000000002</v>
      </c>
      <c r="E86" s="711">
        <v>0.36225833000000002</v>
      </c>
      <c r="F86" s="712">
        <v>0.2122</v>
      </c>
      <c r="G86" s="713">
        <v>0.63060854213742534</v>
      </c>
      <c r="H86" s="658" t="s">
        <v>356</v>
      </c>
      <c r="I86" s="622" t="s">
        <v>554</v>
      </c>
      <c r="M86" s="292" t="s">
        <v>294</v>
      </c>
      <c r="N86" s="393">
        <v>1</v>
      </c>
    </row>
    <row r="87" spans="1:14" s="344" customFormat="1" x14ac:dyDescent="0.25">
      <c r="A87" s="710" t="s">
        <v>535</v>
      </c>
      <c r="B87" s="710" t="s">
        <v>192</v>
      </c>
      <c r="C87" s="710">
        <v>1</v>
      </c>
      <c r="D87" s="711">
        <v>0.59759167000000002</v>
      </c>
      <c r="E87" s="711">
        <v>0.38570832999999999</v>
      </c>
      <c r="F87" s="712">
        <v>0.21188334000000003</v>
      </c>
      <c r="G87" s="713">
        <v>0.64543792921343768</v>
      </c>
      <c r="H87" s="658" t="s">
        <v>356</v>
      </c>
      <c r="I87" s="622" t="s">
        <v>554</v>
      </c>
      <c r="M87" s="292" t="s">
        <v>296</v>
      </c>
      <c r="N87" s="393">
        <v>1</v>
      </c>
    </row>
    <row r="88" spans="1:14" s="344" customFormat="1" x14ac:dyDescent="0.25">
      <c r="A88" s="710" t="s">
        <v>524</v>
      </c>
      <c r="B88" s="710" t="s">
        <v>112</v>
      </c>
      <c r="C88" s="710">
        <v>1</v>
      </c>
      <c r="D88" s="711">
        <v>0.56834167000000002</v>
      </c>
      <c r="E88" s="711">
        <v>0.35647499999999999</v>
      </c>
      <c r="F88" s="712">
        <v>0.21186667000000003</v>
      </c>
      <c r="G88" s="713">
        <v>0.62721953855679802</v>
      </c>
      <c r="H88" s="658" t="s">
        <v>356</v>
      </c>
      <c r="I88" s="622" t="s">
        <v>554</v>
      </c>
      <c r="M88" s="292" t="s">
        <v>298</v>
      </c>
      <c r="N88" s="393">
        <v>1</v>
      </c>
    </row>
    <row r="89" spans="1:14" s="344" customFormat="1" x14ac:dyDescent="0.25">
      <c r="A89" s="710" t="s">
        <v>524</v>
      </c>
      <c r="B89" s="710" t="s">
        <v>104</v>
      </c>
      <c r="C89" s="710">
        <v>1</v>
      </c>
      <c r="D89" s="711">
        <v>0.56645000000000001</v>
      </c>
      <c r="E89" s="711">
        <v>0.35464167000000002</v>
      </c>
      <c r="F89" s="712">
        <v>0.21180832999999999</v>
      </c>
      <c r="G89" s="713">
        <v>0.62607762379733434</v>
      </c>
      <c r="H89" s="658" t="s">
        <v>356</v>
      </c>
      <c r="I89" s="622" t="s">
        <v>554</v>
      </c>
      <c r="M89" s="292" t="s">
        <v>300</v>
      </c>
      <c r="N89" s="393">
        <v>1</v>
      </c>
    </row>
    <row r="90" spans="1:14" s="344" customFormat="1" x14ac:dyDescent="0.25">
      <c r="A90" s="710" t="s">
        <v>524</v>
      </c>
      <c r="B90" s="710" t="s">
        <v>110</v>
      </c>
      <c r="C90" s="710">
        <v>1</v>
      </c>
      <c r="D90" s="711">
        <v>0.55827499999999997</v>
      </c>
      <c r="E90" s="711">
        <v>0.34686666999999999</v>
      </c>
      <c r="F90" s="712">
        <v>0.21140832999999998</v>
      </c>
      <c r="G90" s="713">
        <v>0.6213186512023644</v>
      </c>
      <c r="H90" s="658" t="s">
        <v>356</v>
      </c>
      <c r="I90" s="622" t="s">
        <v>554</v>
      </c>
      <c r="M90" s="292" t="s">
        <v>302</v>
      </c>
      <c r="N90" s="393">
        <v>1</v>
      </c>
    </row>
    <row r="91" spans="1:14" s="126" customFormat="1" x14ac:dyDescent="0.25">
      <c r="A91" s="710" t="s">
        <v>524</v>
      </c>
      <c r="B91" s="710" t="s">
        <v>76</v>
      </c>
      <c r="C91" s="710">
        <v>1</v>
      </c>
      <c r="D91" s="711">
        <v>0.55513332999999998</v>
      </c>
      <c r="E91" s="711">
        <v>0.34387499999999999</v>
      </c>
      <c r="F91" s="712">
        <v>0.21125832999999999</v>
      </c>
      <c r="G91" s="713">
        <v>0.61944578251138338</v>
      </c>
      <c r="H91" s="658" t="s">
        <v>356</v>
      </c>
      <c r="I91" s="622" t="s">
        <v>554</v>
      </c>
      <c r="M91" s="292" t="s">
        <v>304</v>
      </c>
      <c r="N91" s="393">
        <v>1</v>
      </c>
    </row>
    <row r="92" spans="1:14" s="344" customFormat="1" x14ac:dyDescent="0.25">
      <c r="A92" s="710" t="s">
        <v>524</v>
      </c>
      <c r="B92" s="710" t="s">
        <v>102</v>
      </c>
      <c r="C92" s="710">
        <v>1</v>
      </c>
      <c r="D92" s="711">
        <v>0.55336666999999995</v>
      </c>
      <c r="E92" s="711">
        <v>0.34223333</v>
      </c>
      <c r="F92" s="712">
        <v>0.21113333999999995</v>
      </c>
      <c r="G92" s="713">
        <v>0.61845670972557854</v>
      </c>
      <c r="H92" s="658" t="s">
        <v>356</v>
      </c>
      <c r="I92" s="622" t="s">
        <v>554</v>
      </c>
      <c r="M92" s="292" t="s">
        <v>306</v>
      </c>
      <c r="N92" s="393">
        <v>1</v>
      </c>
    </row>
    <row r="93" spans="1:14" s="344" customFormat="1" x14ac:dyDescent="0.25">
      <c r="A93" s="710" t="s">
        <v>524</v>
      </c>
      <c r="B93" s="710" t="s">
        <v>73</v>
      </c>
      <c r="C93" s="710">
        <v>1</v>
      </c>
      <c r="D93" s="711">
        <v>0.55097499999999999</v>
      </c>
      <c r="E93" s="711">
        <v>0.33993332999999998</v>
      </c>
      <c r="F93" s="712">
        <v>0.21104167000000001</v>
      </c>
      <c r="G93" s="713">
        <v>0.61696688597486271</v>
      </c>
      <c r="H93" s="658" t="s">
        <v>356</v>
      </c>
      <c r="I93" s="622" t="s">
        <v>554</v>
      </c>
      <c r="M93" s="292" t="s">
        <v>308</v>
      </c>
      <c r="N93" s="393">
        <v>1</v>
      </c>
    </row>
    <row r="94" spans="1:14" s="344" customFormat="1" x14ac:dyDescent="0.25">
      <c r="A94" s="710" t="s">
        <v>524</v>
      </c>
      <c r="B94" s="710" t="s">
        <v>85</v>
      </c>
      <c r="C94" s="710">
        <v>1</v>
      </c>
      <c r="D94" s="711">
        <v>0.55073333000000002</v>
      </c>
      <c r="E94" s="711">
        <v>0.33969167</v>
      </c>
      <c r="F94" s="712">
        <v>0.21104166000000002</v>
      </c>
      <c r="G94" s="713">
        <v>0.61679882348867465</v>
      </c>
      <c r="H94" s="658" t="s">
        <v>356</v>
      </c>
      <c r="I94" s="622" t="s">
        <v>554</v>
      </c>
      <c r="M94" s="292" t="s">
        <v>633</v>
      </c>
      <c r="N94" s="393">
        <v>1</v>
      </c>
    </row>
    <row r="95" spans="1:14" s="344" customFormat="1" x14ac:dyDescent="0.25">
      <c r="A95" s="710" t="s">
        <v>524</v>
      </c>
      <c r="B95" s="710" t="s">
        <v>99</v>
      </c>
      <c r="C95" s="710">
        <v>1</v>
      </c>
      <c r="D95" s="711">
        <v>0.49639</v>
      </c>
      <c r="E95" s="711">
        <v>0.28547499999999998</v>
      </c>
      <c r="F95" s="712">
        <v>0.21091500000000002</v>
      </c>
      <c r="G95" s="713">
        <v>0.57510223815951167</v>
      </c>
      <c r="H95" s="658" t="s">
        <v>356</v>
      </c>
      <c r="I95" s="622" t="s">
        <v>554</v>
      </c>
      <c r="M95" s="292" t="s">
        <v>310</v>
      </c>
      <c r="N95" s="393">
        <v>5</v>
      </c>
    </row>
    <row r="96" spans="1:14" s="344" customFormat="1" x14ac:dyDescent="0.25">
      <c r="A96" s="710" t="s">
        <v>524</v>
      </c>
      <c r="B96" s="710" t="s">
        <v>101</v>
      </c>
      <c r="C96" s="710">
        <v>1</v>
      </c>
      <c r="D96" s="711">
        <v>0.54639167</v>
      </c>
      <c r="E96" s="711">
        <v>0.33558333000000001</v>
      </c>
      <c r="F96" s="712">
        <v>0.21080833999999998</v>
      </c>
      <c r="G96" s="713">
        <v>0.61418090433186878</v>
      </c>
      <c r="H96" s="658" t="s">
        <v>356</v>
      </c>
      <c r="I96" s="622" t="s">
        <v>554</v>
      </c>
      <c r="M96" s="292" t="s">
        <v>1089</v>
      </c>
      <c r="N96" s="393">
        <v>1</v>
      </c>
    </row>
    <row r="97" spans="1:14" s="344" customFormat="1" x14ac:dyDescent="0.25">
      <c r="A97" s="710" t="s">
        <v>524</v>
      </c>
      <c r="B97" s="710" t="s">
        <v>88</v>
      </c>
      <c r="C97" s="710">
        <v>1</v>
      </c>
      <c r="D97" s="711">
        <v>0.54693333</v>
      </c>
      <c r="E97" s="711">
        <v>0.33612500000000001</v>
      </c>
      <c r="F97" s="712">
        <v>0.21080832999999999</v>
      </c>
      <c r="G97" s="713">
        <v>0.61456302178548894</v>
      </c>
      <c r="H97" s="658" t="s">
        <v>356</v>
      </c>
      <c r="I97" s="622" t="s">
        <v>554</v>
      </c>
      <c r="M97" s="292" t="s">
        <v>321</v>
      </c>
      <c r="N97" s="393">
        <v>1</v>
      </c>
    </row>
    <row r="98" spans="1:14" s="344" customFormat="1" x14ac:dyDescent="0.25">
      <c r="A98" s="710" t="s">
        <v>524</v>
      </c>
      <c r="B98" s="710" t="s">
        <v>90</v>
      </c>
      <c r="C98" s="710">
        <v>1</v>
      </c>
      <c r="D98" s="711">
        <v>0.54399167000000004</v>
      </c>
      <c r="E98" s="711">
        <v>0.33329999999999999</v>
      </c>
      <c r="F98" s="712">
        <v>0.21069167000000005</v>
      </c>
      <c r="G98" s="713">
        <v>0.61269320539411931</v>
      </c>
      <c r="H98" s="658" t="s">
        <v>356</v>
      </c>
      <c r="I98" s="622" t="s">
        <v>554</v>
      </c>
      <c r="M98" s="292" t="s">
        <v>323</v>
      </c>
      <c r="N98" s="393">
        <v>1</v>
      </c>
    </row>
    <row r="99" spans="1:14" s="344" customFormat="1" x14ac:dyDescent="0.25">
      <c r="A99" s="710" t="s">
        <v>524</v>
      </c>
      <c r="B99" s="710" t="s">
        <v>79</v>
      </c>
      <c r="C99" s="710">
        <v>1</v>
      </c>
      <c r="D99" s="711">
        <v>0.54396666999999999</v>
      </c>
      <c r="E99" s="711">
        <v>0.33329166999999998</v>
      </c>
      <c r="F99" s="712">
        <v>0.210675</v>
      </c>
      <c r="G99" s="713">
        <v>0.6127060505379861</v>
      </c>
      <c r="H99" s="658" t="s">
        <v>356</v>
      </c>
      <c r="I99" s="622" t="s">
        <v>554</v>
      </c>
      <c r="M99" s="292" t="s">
        <v>325</v>
      </c>
      <c r="N99" s="393">
        <v>1</v>
      </c>
    </row>
    <row r="100" spans="1:14" s="344" customFormat="1" x14ac:dyDescent="0.25">
      <c r="A100" s="710" t="s">
        <v>524</v>
      </c>
      <c r="B100" s="710" t="s">
        <v>100</v>
      </c>
      <c r="C100" s="710">
        <v>1</v>
      </c>
      <c r="D100" s="711">
        <v>0.53666667000000001</v>
      </c>
      <c r="E100" s="711">
        <v>0.32635832999999997</v>
      </c>
      <c r="F100" s="712">
        <v>0.21030834000000004</v>
      </c>
      <c r="G100" s="713">
        <v>0.60812110802409247</v>
      </c>
      <c r="H100" s="658" t="s">
        <v>356</v>
      </c>
      <c r="I100" s="622" t="s">
        <v>554</v>
      </c>
      <c r="M100" s="292" t="s">
        <v>510</v>
      </c>
      <c r="N100" s="393">
        <v>1</v>
      </c>
    </row>
    <row r="101" spans="1:14" s="344" customFormat="1" x14ac:dyDescent="0.25">
      <c r="A101" s="710" t="s">
        <v>524</v>
      </c>
      <c r="B101" s="710" t="s">
        <v>69</v>
      </c>
      <c r="C101" s="710">
        <v>1</v>
      </c>
      <c r="D101" s="711">
        <v>0.53576667</v>
      </c>
      <c r="E101" s="711">
        <v>0.32549167000000001</v>
      </c>
      <c r="F101" s="712">
        <v>0.21027499999999999</v>
      </c>
      <c r="G101" s="713">
        <v>0.60752504443772137</v>
      </c>
      <c r="H101" s="658" t="s">
        <v>356</v>
      </c>
      <c r="I101" s="622" t="s">
        <v>554</v>
      </c>
      <c r="M101" s="292" t="s">
        <v>328</v>
      </c>
      <c r="N101" s="393">
        <v>1</v>
      </c>
    </row>
    <row r="102" spans="1:14" s="344" customFormat="1" x14ac:dyDescent="0.25">
      <c r="A102" s="710" t="s">
        <v>524</v>
      </c>
      <c r="B102" s="710" t="s">
        <v>98</v>
      </c>
      <c r="C102" s="710">
        <v>1</v>
      </c>
      <c r="D102" s="711">
        <v>0.53568333000000001</v>
      </c>
      <c r="E102" s="711">
        <v>0.32542500000000002</v>
      </c>
      <c r="F102" s="712">
        <v>0.21025832999999999</v>
      </c>
      <c r="G102" s="713">
        <v>0.60749510349706048</v>
      </c>
      <c r="H102" s="658" t="s">
        <v>356</v>
      </c>
      <c r="I102" s="622" t="s">
        <v>554</v>
      </c>
      <c r="M102" s="292" t="s">
        <v>1090</v>
      </c>
      <c r="N102" s="393">
        <v>1</v>
      </c>
    </row>
    <row r="103" spans="1:14" s="344" customFormat="1" x14ac:dyDescent="0.25">
      <c r="A103" s="710" t="s">
        <v>524</v>
      </c>
      <c r="B103" s="710" t="s">
        <v>92</v>
      </c>
      <c r="C103" s="710">
        <v>1</v>
      </c>
      <c r="D103" s="711">
        <v>0.51793999999999996</v>
      </c>
      <c r="E103" s="711">
        <v>0.30769999999999997</v>
      </c>
      <c r="F103" s="712">
        <v>0.21023999999999998</v>
      </c>
      <c r="G103" s="713">
        <v>0.59408425686372934</v>
      </c>
      <c r="H103" s="658" t="s">
        <v>356</v>
      </c>
      <c r="I103" s="622" t="s">
        <v>554</v>
      </c>
      <c r="M103" s="292" t="s">
        <v>331</v>
      </c>
      <c r="N103" s="393">
        <v>1</v>
      </c>
    </row>
    <row r="104" spans="1:14" s="344" customFormat="1" x14ac:dyDescent="0.25">
      <c r="A104" s="710" t="s">
        <v>524</v>
      </c>
      <c r="B104" s="710" t="s">
        <v>114</v>
      </c>
      <c r="C104" s="710">
        <v>1</v>
      </c>
      <c r="D104" s="711">
        <v>0.51793999999999996</v>
      </c>
      <c r="E104" s="711">
        <v>0.30769999999999997</v>
      </c>
      <c r="F104" s="712">
        <v>0.21023999999999998</v>
      </c>
      <c r="G104" s="713">
        <v>0.59408425686372934</v>
      </c>
      <c r="H104" s="658" t="s">
        <v>356</v>
      </c>
      <c r="I104" s="622" t="s">
        <v>554</v>
      </c>
      <c r="M104" s="292" t="s">
        <v>333</v>
      </c>
      <c r="N104" s="393">
        <v>1</v>
      </c>
    </row>
    <row r="105" spans="1:14" s="344" customFormat="1" x14ac:dyDescent="0.25">
      <c r="A105" s="710" t="s">
        <v>524</v>
      </c>
      <c r="B105" s="710" t="s">
        <v>77</v>
      </c>
      <c r="C105" s="710">
        <v>1</v>
      </c>
      <c r="D105" s="711">
        <v>0.53326667000000005</v>
      </c>
      <c r="E105" s="711">
        <v>0.323125</v>
      </c>
      <c r="F105" s="712">
        <v>0.21014167000000006</v>
      </c>
      <c r="G105" s="713">
        <v>0.60593511310204318</v>
      </c>
      <c r="H105" s="658" t="s">
        <v>356</v>
      </c>
      <c r="I105" s="622" t="s">
        <v>554</v>
      </c>
      <c r="M105" s="292" t="s">
        <v>539</v>
      </c>
      <c r="N105" s="393">
        <v>1</v>
      </c>
    </row>
    <row r="106" spans="1:14" s="344" customFormat="1" x14ac:dyDescent="0.25">
      <c r="A106" s="710" t="s">
        <v>524</v>
      </c>
      <c r="B106" s="710" t="s">
        <v>95</v>
      </c>
      <c r="C106" s="710">
        <v>1</v>
      </c>
      <c r="D106" s="711">
        <v>0.53249999999999997</v>
      </c>
      <c r="E106" s="711">
        <v>0.32240833000000002</v>
      </c>
      <c r="F106" s="712">
        <v>0.21009166999999995</v>
      </c>
      <c r="G106" s="713">
        <v>0.60546165258215967</v>
      </c>
      <c r="H106" s="658" t="s">
        <v>356</v>
      </c>
      <c r="I106" s="622" t="s">
        <v>554</v>
      </c>
      <c r="M106" s="292" t="s">
        <v>335</v>
      </c>
      <c r="N106" s="393">
        <v>1</v>
      </c>
    </row>
    <row r="107" spans="1:14" s="344" customFormat="1" x14ac:dyDescent="0.25">
      <c r="A107" s="710" t="s">
        <v>524</v>
      </c>
      <c r="B107" s="710" t="s">
        <v>992</v>
      </c>
      <c r="C107" s="710">
        <v>2</v>
      </c>
      <c r="D107" s="711">
        <v>0.53120833000000001</v>
      </c>
      <c r="E107" s="711">
        <v>0.32116666999999999</v>
      </c>
      <c r="F107" s="712">
        <v>0.21004166000000002</v>
      </c>
      <c r="G107" s="713">
        <v>0.60459644900523302</v>
      </c>
      <c r="H107" s="658" t="s">
        <v>356</v>
      </c>
      <c r="I107" s="622" t="s">
        <v>554</v>
      </c>
      <c r="M107" s="292" t="s">
        <v>337</v>
      </c>
      <c r="N107" s="393">
        <v>1</v>
      </c>
    </row>
    <row r="108" spans="1:14" s="344" customFormat="1" x14ac:dyDescent="0.25">
      <c r="A108" s="710" t="s">
        <v>524</v>
      </c>
      <c r="B108" s="710" t="s">
        <v>74</v>
      </c>
      <c r="C108" s="710">
        <v>1</v>
      </c>
      <c r="D108" s="711">
        <v>0.52198332999999997</v>
      </c>
      <c r="E108" s="711">
        <v>0.31240833000000001</v>
      </c>
      <c r="F108" s="712">
        <v>0.20957499999999996</v>
      </c>
      <c r="G108" s="713">
        <v>0.59850250390180093</v>
      </c>
      <c r="H108" s="658" t="s">
        <v>356</v>
      </c>
      <c r="I108" s="622" t="s">
        <v>554</v>
      </c>
      <c r="M108" s="292" t="s">
        <v>339</v>
      </c>
      <c r="N108" s="393">
        <v>1</v>
      </c>
    </row>
    <row r="109" spans="1:14" s="344" customFormat="1" x14ac:dyDescent="0.25">
      <c r="A109" s="710" t="s">
        <v>524</v>
      </c>
      <c r="B109" s="710" t="s">
        <v>80</v>
      </c>
      <c r="C109" s="710">
        <v>1</v>
      </c>
      <c r="D109" s="711">
        <v>0.51991666999999997</v>
      </c>
      <c r="E109" s="711">
        <v>0.31046667</v>
      </c>
      <c r="F109" s="712">
        <v>0.20944999999999997</v>
      </c>
      <c r="G109" s="713">
        <v>0.59714698126528631</v>
      </c>
      <c r="H109" s="658" t="s">
        <v>356</v>
      </c>
      <c r="I109" s="622" t="s">
        <v>554</v>
      </c>
      <c r="M109" s="292" t="s">
        <v>341</v>
      </c>
      <c r="N109" s="393">
        <v>1</v>
      </c>
    </row>
    <row r="110" spans="1:14" s="344" customFormat="1" x14ac:dyDescent="0.25">
      <c r="A110" s="710" t="s">
        <v>524</v>
      </c>
      <c r="B110" s="710" t="s">
        <v>996</v>
      </c>
      <c r="C110" s="710">
        <v>3</v>
      </c>
      <c r="D110" s="711">
        <v>0.51705000000000001</v>
      </c>
      <c r="E110" s="711">
        <v>0.30769999999999997</v>
      </c>
      <c r="F110" s="712">
        <v>0.20935000000000004</v>
      </c>
      <c r="G110" s="713">
        <v>0.59510685620346193</v>
      </c>
      <c r="H110" s="658" t="s">
        <v>356</v>
      </c>
      <c r="I110" s="622" t="s">
        <v>554</v>
      </c>
      <c r="M110" s="292" t="s">
        <v>343</v>
      </c>
      <c r="N110" s="393">
        <v>1</v>
      </c>
    </row>
    <row r="111" spans="1:14" s="344" customFormat="1" x14ac:dyDescent="0.25">
      <c r="A111" s="710" t="s">
        <v>524</v>
      </c>
      <c r="B111" s="710" t="s">
        <v>78</v>
      </c>
      <c r="C111" s="710">
        <v>1</v>
      </c>
      <c r="D111" s="711">
        <v>0.51734999999999998</v>
      </c>
      <c r="E111" s="711">
        <v>0.30801666999999999</v>
      </c>
      <c r="F111" s="712">
        <v>0.20933332999999998</v>
      </c>
      <c r="G111" s="713">
        <v>0.59537386682130089</v>
      </c>
      <c r="H111" s="658" t="s">
        <v>356</v>
      </c>
      <c r="I111" s="622" t="s">
        <v>554</v>
      </c>
      <c r="M111" s="292" t="s">
        <v>537</v>
      </c>
      <c r="N111" s="393">
        <v>1</v>
      </c>
    </row>
    <row r="112" spans="1:14" s="344" customFormat="1" x14ac:dyDescent="0.25">
      <c r="A112" s="710" t="s">
        <v>328</v>
      </c>
      <c r="B112" s="710" t="s">
        <v>329</v>
      </c>
      <c r="C112" s="710">
        <v>1</v>
      </c>
      <c r="D112" s="711">
        <v>0.62490000000000001</v>
      </c>
      <c r="E112" s="711">
        <v>0.41562500000000002</v>
      </c>
      <c r="F112" s="712">
        <v>0.20927499999999999</v>
      </c>
      <c r="G112" s="713">
        <v>0.66510641702672435</v>
      </c>
      <c r="H112" s="658" t="s">
        <v>356</v>
      </c>
      <c r="I112" s="622" t="s">
        <v>554</v>
      </c>
      <c r="M112" s="292" t="s">
        <v>637</v>
      </c>
      <c r="N112" s="393">
        <v>2</v>
      </c>
    </row>
    <row r="113" spans="1:14" s="344" customFormat="1" x14ac:dyDescent="0.25">
      <c r="A113" s="710" t="s">
        <v>524</v>
      </c>
      <c r="B113" s="710" t="s">
        <v>87</v>
      </c>
      <c r="C113" s="710">
        <v>1</v>
      </c>
      <c r="D113" s="711">
        <v>0.50402499999999995</v>
      </c>
      <c r="E113" s="711">
        <v>0.295325</v>
      </c>
      <c r="F113" s="712">
        <v>0.20869999999999994</v>
      </c>
      <c r="G113" s="713">
        <v>0.58593323743861914</v>
      </c>
      <c r="H113" s="658" t="s">
        <v>356</v>
      </c>
      <c r="I113" s="622" t="s">
        <v>554</v>
      </c>
      <c r="M113" s="292" t="s">
        <v>346</v>
      </c>
      <c r="N113" s="393">
        <v>1</v>
      </c>
    </row>
    <row r="114" spans="1:14" s="344" customFormat="1" x14ac:dyDescent="0.25">
      <c r="A114" s="710" t="s">
        <v>633</v>
      </c>
      <c r="B114" s="710" t="s">
        <v>320</v>
      </c>
      <c r="C114" s="710">
        <v>1</v>
      </c>
      <c r="D114" s="711">
        <v>0.51916667000000005</v>
      </c>
      <c r="E114" s="711">
        <v>0.31095</v>
      </c>
      <c r="F114" s="712">
        <v>0.20821667000000005</v>
      </c>
      <c r="G114" s="713">
        <v>0.59894060610632027</v>
      </c>
      <c r="H114" s="658" t="s">
        <v>356</v>
      </c>
      <c r="I114" s="622" t="s">
        <v>554</v>
      </c>
      <c r="M114" s="292" t="s">
        <v>348</v>
      </c>
      <c r="N114" s="393">
        <v>1</v>
      </c>
    </row>
    <row r="115" spans="1:14" s="126" customFormat="1" x14ac:dyDescent="0.25">
      <c r="A115" s="710" t="s">
        <v>524</v>
      </c>
      <c r="B115" s="710" t="s">
        <v>993</v>
      </c>
      <c r="C115" s="710">
        <v>3</v>
      </c>
      <c r="D115" s="711">
        <v>0.49364166999999998</v>
      </c>
      <c r="E115" s="711">
        <v>0.28547499999999998</v>
      </c>
      <c r="F115" s="712">
        <v>0.20816667</v>
      </c>
      <c r="G115" s="713">
        <v>0.57830409657272241</v>
      </c>
      <c r="H115" s="658" t="s">
        <v>356</v>
      </c>
      <c r="I115" s="622" t="s">
        <v>554</v>
      </c>
      <c r="M115" s="292" t="s">
        <v>350</v>
      </c>
      <c r="N115" s="393">
        <v>1</v>
      </c>
    </row>
    <row r="116" spans="1:14" s="344" customFormat="1" x14ac:dyDescent="0.25">
      <c r="A116" s="710" t="s">
        <v>524</v>
      </c>
      <c r="B116" s="710" t="s">
        <v>103</v>
      </c>
      <c r="C116" s="710">
        <v>1</v>
      </c>
      <c r="D116" s="711">
        <v>0.49088333000000001</v>
      </c>
      <c r="E116" s="711">
        <v>0.28286666999999999</v>
      </c>
      <c r="F116" s="712">
        <v>0.20801666000000002</v>
      </c>
      <c r="G116" s="713">
        <v>0.57624012206729447</v>
      </c>
      <c r="H116" s="658" t="s">
        <v>356</v>
      </c>
      <c r="I116" s="622" t="s">
        <v>554</v>
      </c>
      <c r="M116" s="292" t="s">
        <v>352</v>
      </c>
      <c r="N116" s="393">
        <v>1</v>
      </c>
    </row>
    <row r="117" spans="1:14" s="344" customFormat="1" x14ac:dyDescent="0.25">
      <c r="A117" s="710" t="s">
        <v>524</v>
      </c>
      <c r="B117" s="710" t="s">
        <v>70</v>
      </c>
      <c r="C117" s="710">
        <v>1</v>
      </c>
      <c r="D117" s="711">
        <v>0.48440833</v>
      </c>
      <c r="E117" s="711">
        <v>0.2767</v>
      </c>
      <c r="F117" s="712">
        <v>0.20770833</v>
      </c>
      <c r="G117" s="713">
        <v>0.5712123076000778</v>
      </c>
      <c r="H117" s="658" t="s">
        <v>356</v>
      </c>
      <c r="I117" s="622" t="s">
        <v>554</v>
      </c>
      <c r="M117" s="292" t="s">
        <v>354</v>
      </c>
      <c r="N117" s="393">
        <v>1</v>
      </c>
    </row>
    <row r="118" spans="1:14" s="344" customFormat="1" x14ac:dyDescent="0.25">
      <c r="A118" s="710" t="s">
        <v>302</v>
      </c>
      <c r="B118" s="710" t="s">
        <v>303</v>
      </c>
      <c r="C118" s="710">
        <v>1</v>
      </c>
      <c r="D118" s="711">
        <v>0.55844167</v>
      </c>
      <c r="E118" s="711">
        <v>0.35175000000000001</v>
      </c>
      <c r="F118" s="712">
        <v>0.20669166999999999</v>
      </c>
      <c r="G118" s="713">
        <v>0.62987778114767112</v>
      </c>
      <c r="H118" s="658" t="s">
        <v>356</v>
      </c>
      <c r="I118" s="622" t="s">
        <v>554</v>
      </c>
      <c r="M118" s="292" t="s">
        <v>732</v>
      </c>
      <c r="N118" s="393">
        <v>328</v>
      </c>
    </row>
    <row r="119" spans="1:14" s="126" customFormat="1" x14ac:dyDescent="0.25">
      <c r="A119" s="710" t="s">
        <v>196</v>
      </c>
      <c r="B119" s="710" t="s">
        <v>197</v>
      </c>
      <c r="C119" s="710">
        <v>1</v>
      </c>
      <c r="D119" s="711">
        <v>0.71</v>
      </c>
      <c r="E119" s="711">
        <v>0.50509166999999999</v>
      </c>
      <c r="F119" s="712">
        <v>0.20490832999999997</v>
      </c>
      <c r="G119" s="713">
        <v>0.71139671830985918</v>
      </c>
      <c r="H119" s="658" t="s">
        <v>356</v>
      </c>
      <c r="I119" s="622" t="s">
        <v>554</v>
      </c>
    </row>
    <row r="120" spans="1:14" s="344" customFormat="1" x14ac:dyDescent="0.25">
      <c r="A120" s="710" t="s">
        <v>641</v>
      </c>
      <c r="B120" s="710" t="s">
        <v>235</v>
      </c>
      <c r="C120" s="710">
        <v>1</v>
      </c>
      <c r="D120" s="711">
        <v>0.59750000000000003</v>
      </c>
      <c r="E120" s="711">
        <v>0.39340000000000003</v>
      </c>
      <c r="F120" s="712">
        <v>0.2041</v>
      </c>
      <c r="G120" s="713">
        <v>0.65841004184100416</v>
      </c>
      <c r="H120" s="658" t="s">
        <v>356</v>
      </c>
      <c r="I120" s="622" t="s">
        <v>554</v>
      </c>
    </row>
    <row r="121" spans="1:14" s="344" customFormat="1" x14ac:dyDescent="0.25">
      <c r="A121" s="710" t="s">
        <v>127</v>
      </c>
      <c r="B121" s="710" t="s">
        <v>128</v>
      </c>
      <c r="C121" s="710">
        <v>1</v>
      </c>
      <c r="D121" s="711">
        <v>0.70166667000000005</v>
      </c>
      <c r="E121" s="711">
        <v>0.49935000000000002</v>
      </c>
      <c r="F121" s="712">
        <v>0.20231667000000003</v>
      </c>
      <c r="G121" s="713">
        <v>0.71166270445765933</v>
      </c>
      <c r="H121" s="658" t="s">
        <v>356</v>
      </c>
      <c r="I121" s="622" t="s">
        <v>554</v>
      </c>
    </row>
    <row r="122" spans="1:14" s="344" customFormat="1" x14ac:dyDescent="0.25">
      <c r="A122" s="710" t="s">
        <v>343</v>
      </c>
      <c r="B122" s="710" t="s">
        <v>344</v>
      </c>
      <c r="C122" s="710">
        <v>1</v>
      </c>
      <c r="D122" s="711">
        <v>0.6</v>
      </c>
      <c r="E122" s="711">
        <v>0.4002</v>
      </c>
      <c r="F122" s="712">
        <v>0.19979999999999998</v>
      </c>
      <c r="G122" s="713">
        <v>0.66700000000000004</v>
      </c>
      <c r="H122" s="658" t="s">
        <v>356</v>
      </c>
      <c r="I122" s="622" t="s">
        <v>554</v>
      </c>
    </row>
    <row r="123" spans="1:14" s="344" customFormat="1" x14ac:dyDescent="0.25">
      <c r="A123" s="710" t="s">
        <v>536</v>
      </c>
      <c r="B123" s="710" t="s">
        <v>687</v>
      </c>
      <c r="C123" s="710">
        <v>2</v>
      </c>
      <c r="D123" s="711">
        <v>0.40021667</v>
      </c>
      <c r="E123" s="711">
        <v>0.20178333000000001</v>
      </c>
      <c r="F123" s="712">
        <v>0.19843333999999999</v>
      </c>
      <c r="G123" s="713">
        <v>0.50418522047070158</v>
      </c>
      <c r="H123" s="658" t="s">
        <v>356</v>
      </c>
      <c r="I123" s="622" t="s">
        <v>554</v>
      </c>
    </row>
    <row r="124" spans="1:14" s="344" customFormat="1" x14ac:dyDescent="0.25">
      <c r="A124" s="710" t="s">
        <v>288</v>
      </c>
      <c r="B124" s="710" t="s">
        <v>289</v>
      </c>
      <c r="C124" s="710">
        <v>1</v>
      </c>
      <c r="D124" s="711">
        <v>0.41422500000000001</v>
      </c>
      <c r="E124" s="711">
        <v>0.21595</v>
      </c>
      <c r="F124" s="712">
        <v>0.19827500000000001</v>
      </c>
      <c r="G124" s="713">
        <v>0.52133502323616387</v>
      </c>
      <c r="H124" s="658" t="s">
        <v>356</v>
      </c>
      <c r="I124" s="622" t="s">
        <v>554</v>
      </c>
    </row>
    <row r="125" spans="1:14" s="344" customFormat="1" x14ac:dyDescent="0.25">
      <c r="A125" s="710" t="s">
        <v>43</v>
      </c>
      <c r="B125" s="710" t="s">
        <v>678</v>
      </c>
      <c r="C125" s="710">
        <v>1</v>
      </c>
      <c r="D125" s="711">
        <v>0.85897500000000004</v>
      </c>
      <c r="E125" s="711">
        <v>0.66300000000000003</v>
      </c>
      <c r="F125" s="712">
        <v>0.19597500000000001</v>
      </c>
      <c r="G125" s="713">
        <v>0.77185017026106695</v>
      </c>
      <c r="H125" s="658" t="s">
        <v>356</v>
      </c>
      <c r="I125" s="622" t="s">
        <v>554</v>
      </c>
    </row>
    <row r="126" spans="1:14" s="344" customFormat="1" x14ac:dyDescent="0.25">
      <c r="A126" s="710" t="s">
        <v>537</v>
      </c>
      <c r="B126" s="710" t="s">
        <v>345</v>
      </c>
      <c r="C126" s="710">
        <v>1</v>
      </c>
      <c r="D126" s="711">
        <v>0.39138332999999997</v>
      </c>
      <c r="E126" s="711">
        <v>0.197325</v>
      </c>
      <c r="F126" s="712">
        <v>0.19405832999999997</v>
      </c>
      <c r="G126" s="713">
        <v>0.50417323599346964</v>
      </c>
      <c r="H126" s="658" t="s">
        <v>356</v>
      </c>
      <c r="I126" s="622" t="s">
        <v>554</v>
      </c>
    </row>
    <row r="127" spans="1:14" s="344" customFormat="1" x14ac:dyDescent="0.25">
      <c r="A127" s="710" t="s">
        <v>139</v>
      </c>
      <c r="B127" s="710" t="s">
        <v>140</v>
      </c>
      <c r="C127" s="710">
        <v>1</v>
      </c>
      <c r="D127" s="711">
        <v>0.47410000000000002</v>
      </c>
      <c r="E127" s="711">
        <v>0.280225</v>
      </c>
      <c r="F127" s="712">
        <v>0.19387500000000002</v>
      </c>
      <c r="G127" s="713">
        <v>0.5910672853828306</v>
      </c>
      <c r="H127" s="658" t="s">
        <v>356</v>
      </c>
      <c r="I127" s="622" t="s">
        <v>554</v>
      </c>
    </row>
    <row r="128" spans="1:14" s="344" customFormat="1" x14ac:dyDescent="0.25">
      <c r="A128" s="710" t="s">
        <v>331</v>
      </c>
      <c r="B128" s="710" t="s">
        <v>332</v>
      </c>
      <c r="C128" s="710">
        <v>1</v>
      </c>
      <c r="D128" s="711">
        <v>0.58409166999999995</v>
      </c>
      <c r="E128" s="711">
        <v>0.39076666999999998</v>
      </c>
      <c r="F128" s="712">
        <v>0.19332499999999997</v>
      </c>
      <c r="G128" s="713">
        <v>0.66901599538305356</v>
      </c>
      <c r="H128" s="658" t="s">
        <v>356</v>
      </c>
      <c r="I128" s="622" t="s">
        <v>554</v>
      </c>
    </row>
    <row r="129" spans="1:9" s="344" customFormat="1" x14ac:dyDescent="0.25">
      <c r="A129" s="710" t="s">
        <v>274</v>
      </c>
      <c r="B129" s="710" t="s">
        <v>276</v>
      </c>
      <c r="C129" s="710">
        <v>1</v>
      </c>
      <c r="D129" s="711">
        <v>0.36220000000000002</v>
      </c>
      <c r="E129" s="711">
        <v>0.16927500000000001</v>
      </c>
      <c r="F129" s="712">
        <v>0.19292500000000001</v>
      </c>
      <c r="G129" s="713">
        <v>0.46735229155162894</v>
      </c>
      <c r="H129" s="658" t="s">
        <v>356</v>
      </c>
      <c r="I129" s="622" t="s">
        <v>554</v>
      </c>
    </row>
    <row r="130" spans="1:9" s="344" customFormat="1" x14ac:dyDescent="0.25">
      <c r="A130" s="710" t="s">
        <v>43</v>
      </c>
      <c r="B130" s="710" t="s">
        <v>55</v>
      </c>
      <c r="C130" s="710">
        <v>1</v>
      </c>
      <c r="D130" s="711">
        <v>0.67206666999999998</v>
      </c>
      <c r="E130" s="711">
        <v>0.47995832999999999</v>
      </c>
      <c r="F130" s="712">
        <v>0.19210833999999999</v>
      </c>
      <c r="G130" s="713">
        <v>0.71415285331736511</v>
      </c>
      <c r="H130" s="658" t="s">
        <v>356</v>
      </c>
      <c r="I130" s="622" t="s">
        <v>554</v>
      </c>
    </row>
    <row r="131" spans="1:9" s="344" customFormat="1" x14ac:dyDescent="0.25">
      <c r="A131" s="710" t="s">
        <v>325</v>
      </c>
      <c r="B131" s="710" t="s">
        <v>326</v>
      </c>
      <c r="C131" s="710">
        <v>1</v>
      </c>
      <c r="D131" s="711">
        <v>0.68272500000000003</v>
      </c>
      <c r="E131" s="711">
        <v>0.49322500000000002</v>
      </c>
      <c r="F131" s="712">
        <v>0.1895</v>
      </c>
      <c r="G131" s="713">
        <v>0.72243582701673437</v>
      </c>
      <c r="H131" s="658" t="s">
        <v>356</v>
      </c>
      <c r="I131" s="622" t="s">
        <v>554</v>
      </c>
    </row>
    <row r="132" spans="1:9" s="344" customFormat="1" x14ac:dyDescent="0.25">
      <c r="A132" s="710" t="s">
        <v>250</v>
      </c>
      <c r="B132" s="710" t="s">
        <v>255</v>
      </c>
      <c r="C132" s="710">
        <v>1</v>
      </c>
      <c r="D132" s="711">
        <v>0.84950000000000003</v>
      </c>
      <c r="E132" s="711">
        <v>0.66042500000000004</v>
      </c>
      <c r="F132" s="712">
        <v>0.18907499999999999</v>
      </c>
      <c r="G132" s="713">
        <v>0.77742789876397878</v>
      </c>
      <c r="H132" s="658" t="s">
        <v>356</v>
      </c>
      <c r="I132" s="622" t="s">
        <v>554</v>
      </c>
    </row>
    <row r="133" spans="1:9" s="344" customFormat="1" x14ac:dyDescent="0.25">
      <c r="A133" s="710" t="s">
        <v>250</v>
      </c>
      <c r="B133" s="710" t="s">
        <v>254</v>
      </c>
      <c r="C133" s="710">
        <v>1</v>
      </c>
      <c r="D133" s="711">
        <v>0.84948332999999998</v>
      </c>
      <c r="E133" s="711">
        <v>0.66042500000000004</v>
      </c>
      <c r="F133" s="712">
        <v>0.18905832999999994</v>
      </c>
      <c r="G133" s="713">
        <v>0.77744315477032377</v>
      </c>
      <c r="H133" s="658" t="s">
        <v>356</v>
      </c>
      <c r="I133" s="622" t="s">
        <v>554</v>
      </c>
    </row>
    <row r="134" spans="1:9" s="344" customFormat="1" x14ac:dyDescent="0.25">
      <c r="A134" s="710" t="s">
        <v>250</v>
      </c>
      <c r="B134" s="710" t="s">
        <v>251</v>
      </c>
      <c r="C134" s="710">
        <v>1</v>
      </c>
      <c r="D134" s="711">
        <v>0.84947499999999998</v>
      </c>
      <c r="E134" s="711">
        <v>0.66042500000000004</v>
      </c>
      <c r="F134" s="712">
        <v>0.18904999999999994</v>
      </c>
      <c r="G134" s="713">
        <v>0.77745077842196653</v>
      </c>
      <c r="H134" s="658" t="s">
        <v>356</v>
      </c>
      <c r="I134" s="622" t="s">
        <v>554</v>
      </c>
    </row>
    <row r="135" spans="1:9" s="344" customFormat="1" x14ac:dyDescent="0.25">
      <c r="A135" s="710" t="s">
        <v>250</v>
      </c>
      <c r="B135" s="710" t="s">
        <v>252</v>
      </c>
      <c r="C135" s="710">
        <v>1</v>
      </c>
      <c r="D135" s="711">
        <v>0.84946666999999998</v>
      </c>
      <c r="E135" s="711">
        <v>0.66042500000000004</v>
      </c>
      <c r="F135" s="712">
        <v>0.18904166999999994</v>
      </c>
      <c r="G135" s="713">
        <v>0.77745840222312668</v>
      </c>
      <c r="H135" s="658" t="s">
        <v>356</v>
      </c>
      <c r="I135" s="622" t="s">
        <v>554</v>
      </c>
    </row>
    <row r="136" spans="1:9" s="344" customFormat="1" x14ac:dyDescent="0.25">
      <c r="A136" s="710" t="s">
        <v>250</v>
      </c>
      <c r="B136" s="710" t="s">
        <v>253</v>
      </c>
      <c r="C136" s="710">
        <v>1</v>
      </c>
      <c r="D136" s="711">
        <v>0.84931667</v>
      </c>
      <c r="E136" s="711">
        <v>0.66042500000000004</v>
      </c>
      <c r="F136" s="712">
        <v>0.18889166999999996</v>
      </c>
      <c r="G136" s="713">
        <v>0.77759571114976467</v>
      </c>
      <c r="H136" s="658" t="s">
        <v>356</v>
      </c>
      <c r="I136" s="622" t="s">
        <v>554</v>
      </c>
    </row>
    <row r="137" spans="1:9" s="344" customFormat="1" x14ac:dyDescent="0.25">
      <c r="A137" s="710" t="s">
        <v>43</v>
      </c>
      <c r="B137" s="710" t="s">
        <v>995</v>
      </c>
      <c r="C137" s="710">
        <v>1</v>
      </c>
      <c r="D137" s="711">
        <v>0.67160832999999998</v>
      </c>
      <c r="E137" s="711">
        <v>0.48381667</v>
      </c>
      <c r="F137" s="712">
        <v>0.18779165999999997</v>
      </c>
      <c r="G137" s="713">
        <v>0.72038515365049149</v>
      </c>
      <c r="H137" s="658" t="s">
        <v>356</v>
      </c>
      <c r="I137" s="622" t="s">
        <v>554</v>
      </c>
    </row>
    <row r="138" spans="1:9" s="344" customFormat="1" x14ac:dyDescent="0.25">
      <c r="A138" s="710" t="s">
        <v>43</v>
      </c>
      <c r="B138" s="710" t="s">
        <v>46</v>
      </c>
      <c r="C138" s="710">
        <v>1</v>
      </c>
      <c r="D138" s="711">
        <v>0.67158333000000003</v>
      </c>
      <c r="E138" s="711">
        <v>0.48381667</v>
      </c>
      <c r="F138" s="712">
        <v>0.18776666000000003</v>
      </c>
      <c r="G138" s="713">
        <v>0.72041197032094284</v>
      </c>
      <c r="H138" s="658" t="s">
        <v>356</v>
      </c>
      <c r="I138" s="622" t="s">
        <v>554</v>
      </c>
    </row>
    <row r="139" spans="1:9" s="126" customFormat="1" x14ac:dyDescent="0.25">
      <c r="A139" s="710" t="s">
        <v>341</v>
      </c>
      <c r="B139" s="710" t="s">
        <v>342</v>
      </c>
      <c r="C139" s="710">
        <v>1</v>
      </c>
      <c r="D139" s="711">
        <v>0.55467500000000003</v>
      </c>
      <c r="E139" s="711">
        <v>0.36836667000000001</v>
      </c>
      <c r="F139" s="712">
        <v>0.18630833000000002</v>
      </c>
      <c r="G139" s="713">
        <v>0.66411262450984809</v>
      </c>
      <c r="H139" s="658" t="s">
        <v>356</v>
      </c>
      <c r="I139" s="622" t="s">
        <v>554</v>
      </c>
    </row>
    <row r="140" spans="1:9" s="344" customFormat="1" x14ac:dyDescent="0.25">
      <c r="A140" s="710" t="s">
        <v>43</v>
      </c>
      <c r="B140" s="710" t="s">
        <v>683</v>
      </c>
      <c r="C140" s="710">
        <v>2</v>
      </c>
      <c r="D140" s="711">
        <v>0.66501666999999998</v>
      </c>
      <c r="E140" s="711">
        <v>0.47889166999999999</v>
      </c>
      <c r="F140" s="712">
        <v>0.18612499999999998</v>
      </c>
      <c r="G140" s="713">
        <v>0.72011979789920155</v>
      </c>
      <c r="H140" s="658" t="s">
        <v>356</v>
      </c>
      <c r="I140" s="622" t="s">
        <v>554</v>
      </c>
    </row>
    <row r="141" spans="1:9" s="344" customFormat="1" x14ac:dyDescent="0.25">
      <c r="A141" s="710" t="s">
        <v>43</v>
      </c>
      <c r="B141" s="710" t="s">
        <v>680</v>
      </c>
      <c r="C141" s="710">
        <v>2</v>
      </c>
      <c r="D141" s="711">
        <v>0.63519999999999999</v>
      </c>
      <c r="E141" s="711">
        <v>0.45052500000000001</v>
      </c>
      <c r="F141" s="712">
        <v>0.18467499999999998</v>
      </c>
      <c r="G141" s="713">
        <v>0.70926479848866497</v>
      </c>
      <c r="H141" s="658" t="s">
        <v>356</v>
      </c>
      <c r="I141" s="622" t="s">
        <v>554</v>
      </c>
    </row>
    <row r="142" spans="1:9" s="344" customFormat="1" x14ac:dyDescent="0.25">
      <c r="A142" s="710" t="s">
        <v>43</v>
      </c>
      <c r="B142" s="710" t="s">
        <v>56</v>
      </c>
      <c r="C142" s="710">
        <v>1</v>
      </c>
      <c r="D142" s="711">
        <v>0.55281667000000001</v>
      </c>
      <c r="E142" s="711">
        <v>0.37011666999999998</v>
      </c>
      <c r="F142" s="712">
        <v>0.18270000000000003</v>
      </c>
      <c r="G142" s="713">
        <v>0.66951068968307337</v>
      </c>
      <c r="H142" s="658" t="s">
        <v>356</v>
      </c>
      <c r="I142" s="622" t="s">
        <v>554</v>
      </c>
    </row>
    <row r="143" spans="1:9" s="344" customFormat="1" x14ac:dyDescent="0.25">
      <c r="A143" s="710" t="s">
        <v>43</v>
      </c>
      <c r="B143" s="710" t="s">
        <v>686</v>
      </c>
      <c r="C143" s="710">
        <v>2</v>
      </c>
      <c r="D143" s="711">
        <v>0.59460000000000002</v>
      </c>
      <c r="E143" s="711">
        <v>0.41197499999999998</v>
      </c>
      <c r="F143" s="712">
        <v>0.18262500000000004</v>
      </c>
      <c r="G143" s="713">
        <v>0.69286074672048426</v>
      </c>
      <c r="H143" s="658" t="s">
        <v>356</v>
      </c>
      <c r="I143" s="622" t="s">
        <v>554</v>
      </c>
    </row>
    <row r="144" spans="1:9" s="126" customFormat="1" x14ac:dyDescent="0.25">
      <c r="A144" s="710" t="s">
        <v>43</v>
      </c>
      <c r="B144" s="710" t="s">
        <v>47</v>
      </c>
      <c r="C144" s="710">
        <v>1</v>
      </c>
      <c r="D144" s="711">
        <v>0.46661667000000001</v>
      </c>
      <c r="E144" s="711">
        <v>0.28821667000000001</v>
      </c>
      <c r="F144" s="712">
        <v>0.1784</v>
      </c>
      <c r="G144" s="713">
        <v>0.61767332487285553</v>
      </c>
      <c r="H144" s="658" t="s">
        <v>356</v>
      </c>
      <c r="I144" s="622" t="s">
        <v>554</v>
      </c>
    </row>
    <row r="145" spans="1:9" s="344" customFormat="1" x14ac:dyDescent="0.25">
      <c r="A145" s="710" t="s">
        <v>43</v>
      </c>
      <c r="B145" s="710" t="s">
        <v>62</v>
      </c>
      <c r="C145" s="710">
        <v>1</v>
      </c>
      <c r="D145" s="711">
        <v>0.49043333</v>
      </c>
      <c r="E145" s="711">
        <v>0.31230000000000002</v>
      </c>
      <c r="F145" s="712">
        <v>0.17813332999999998</v>
      </c>
      <c r="G145" s="713">
        <v>0.63678380097046017</v>
      </c>
      <c r="H145" s="658" t="s">
        <v>356</v>
      </c>
      <c r="I145" s="622" t="s">
        <v>554</v>
      </c>
    </row>
    <row r="146" spans="1:9" s="344" customFormat="1" x14ac:dyDescent="0.25">
      <c r="A146" s="710" t="s">
        <v>43</v>
      </c>
      <c r="B146" s="710" t="s">
        <v>684</v>
      </c>
      <c r="C146" s="710">
        <v>2</v>
      </c>
      <c r="D146" s="711">
        <v>0.49041667</v>
      </c>
      <c r="E146" s="711">
        <v>0.31230000000000002</v>
      </c>
      <c r="F146" s="712">
        <v>0.17811666999999998</v>
      </c>
      <c r="G146" s="713">
        <v>0.6368054332247719</v>
      </c>
      <c r="H146" s="658" t="s">
        <v>356</v>
      </c>
      <c r="I146" s="622" t="s">
        <v>554</v>
      </c>
    </row>
    <row r="147" spans="1:9" s="344" customFormat="1" x14ac:dyDescent="0.25">
      <c r="A147" s="710" t="s">
        <v>43</v>
      </c>
      <c r="B147" s="710" t="s">
        <v>685</v>
      </c>
      <c r="C147" s="710">
        <v>2</v>
      </c>
      <c r="D147" s="711">
        <v>0.49040833</v>
      </c>
      <c r="E147" s="711">
        <v>0.31230000000000002</v>
      </c>
      <c r="F147" s="712">
        <v>0.17810832999999998</v>
      </c>
      <c r="G147" s="713">
        <v>0.63681626288851989</v>
      </c>
      <c r="H147" s="658" t="s">
        <v>356</v>
      </c>
      <c r="I147" s="622" t="s">
        <v>554</v>
      </c>
    </row>
    <row r="148" spans="1:9" s="344" customFormat="1" x14ac:dyDescent="0.25">
      <c r="A148" s="710" t="s">
        <v>509</v>
      </c>
      <c r="B148" s="710" t="s">
        <v>244</v>
      </c>
      <c r="C148" s="710">
        <v>1</v>
      </c>
      <c r="D148" s="711">
        <v>0.50934999999999997</v>
      </c>
      <c r="E148" s="711">
        <v>0.33663333000000001</v>
      </c>
      <c r="F148" s="712">
        <v>0.17271666999999996</v>
      </c>
      <c r="G148" s="713">
        <v>0.66090768626681073</v>
      </c>
      <c r="H148" s="658" t="s">
        <v>356</v>
      </c>
      <c r="I148" s="622" t="s">
        <v>554</v>
      </c>
    </row>
    <row r="149" spans="1:9" s="344" customFormat="1" x14ac:dyDescent="0.25">
      <c r="A149" s="710" t="s">
        <v>354</v>
      </c>
      <c r="B149" s="710" t="s">
        <v>355</v>
      </c>
      <c r="C149" s="710">
        <v>1</v>
      </c>
      <c r="D149" s="711">
        <v>0.50305833</v>
      </c>
      <c r="E149" s="711">
        <v>0.33380832999999999</v>
      </c>
      <c r="F149" s="712">
        <v>0.16925000000000001</v>
      </c>
      <c r="G149" s="713">
        <v>0.66355790192361985</v>
      </c>
      <c r="H149" s="658" t="s">
        <v>356</v>
      </c>
      <c r="I149" s="622" t="s">
        <v>554</v>
      </c>
    </row>
    <row r="150" spans="1:9" s="344" customFormat="1" x14ac:dyDescent="0.25">
      <c r="A150" s="710" t="s">
        <v>502</v>
      </c>
      <c r="B150" s="710" t="s">
        <v>679</v>
      </c>
      <c r="C150" s="710">
        <v>2</v>
      </c>
      <c r="D150" s="711">
        <v>0.51338333000000003</v>
      </c>
      <c r="E150" s="711">
        <v>0.34568333000000001</v>
      </c>
      <c r="F150" s="712">
        <v>0.16770000000000002</v>
      </c>
      <c r="G150" s="713">
        <v>0.67334350338177129</v>
      </c>
      <c r="H150" s="658" t="s">
        <v>356</v>
      </c>
      <c r="I150" s="622" t="s">
        <v>554</v>
      </c>
    </row>
    <row r="151" spans="1:9" s="344" customFormat="1" x14ac:dyDescent="0.25">
      <c r="A151" s="710" t="s">
        <v>215</v>
      </c>
      <c r="B151" s="710" t="s">
        <v>216</v>
      </c>
      <c r="C151" s="710">
        <v>1</v>
      </c>
      <c r="D151" s="711">
        <v>0.28012500000000001</v>
      </c>
      <c r="E151" s="711">
        <v>0.12025833</v>
      </c>
      <c r="F151" s="712">
        <v>0.15986667000000002</v>
      </c>
      <c r="G151" s="713">
        <v>0.4293023828647925</v>
      </c>
      <c r="H151" s="658" t="s">
        <v>356</v>
      </c>
      <c r="I151" s="622" t="s">
        <v>554</v>
      </c>
    </row>
    <row r="152" spans="1:9" s="344" customFormat="1" x14ac:dyDescent="0.25">
      <c r="A152" s="710" t="s">
        <v>43</v>
      </c>
      <c r="B152" s="710" t="s">
        <v>48</v>
      </c>
      <c r="C152" s="710">
        <v>1</v>
      </c>
      <c r="D152" s="711">
        <v>0.24024166999999999</v>
      </c>
      <c r="E152" s="711">
        <v>8.4058330000000001E-2</v>
      </c>
      <c r="F152" s="712">
        <v>0.15618334</v>
      </c>
      <c r="G152" s="713">
        <v>0.34989071629413832</v>
      </c>
      <c r="H152" s="658" t="s">
        <v>356</v>
      </c>
      <c r="I152" s="622" t="s">
        <v>554</v>
      </c>
    </row>
    <row r="153" spans="1:9" s="344" customFormat="1" x14ac:dyDescent="0.25">
      <c r="A153" s="710" t="s">
        <v>43</v>
      </c>
      <c r="B153" s="710" t="s">
        <v>53</v>
      </c>
      <c r="C153" s="710">
        <v>1</v>
      </c>
      <c r="D153" s="711">
        <v>0.24023332999999999</v>
      </c>
      <c r="E153" s="711">
        <v>8.4058330000000001E-2</v>
      </c>
      <c r="F153" s="712">
        <v>0.15617500000000001</v>
      </c>
      <c r="G153" s="713">
        <v>0.34990286318721886</v>
      </c>
      <c r="H153" s="658" t="s">
        <v>356</v>
      </c>
      <c r="I153" s="622" t="s">
        <v>554</v>
      </c>
    </row>
    <row r="154" spans="1:9" s="344" customFormat="1" x14ac:dyDescent="0.25">
      <c r="A154" s="710" t="s">
        <v>43</v>
      </c>
      <c r="B154" s="710" t="s">
        <v>54</v>
      </c>
      <c r="C154" s="710">
        <v>1</v>
      </c>
      <c r="D154" s="711">
        <v>0.24023332999999999</v>
      </c>
      <c r="E154" s="711">
        <v>8.4058330000000001E-2</v>
      </c>
      <c r="F154" s="712">
        <v>0.15617500000000001</v>
      </c>
      <c r="G154" s="713">
        <v>0.34990286318721886</v>
      </c>
      <c r="H154" s="658" t="s">
        <v>356</v>
      </c>
      <c r="I154" s="622" t="s">
        <v>554</v>
      </c>
    </row>
    <row r="155" spans="1:9" s="344" customFormat="1" x14ac:dyDescent="0.25">
      <c r="A155" s="710" t="s">
        <v>43</v>
      </c>
      <c r="B155" s="710" t="s">
        <v>52</v>
      </c>
      <c r="C155" s="710">
        <v>1</v>
      </c>
      <c r="D155" s="711">
        <v>0.24022499999999999</v>
      </c>
      <c r="E155" s="711">
        <v>8.4058330000000001E-2</v>
      </c>
      <c r="F155" s="712">
        <v>0.15616667000000001</v>
      </c>
      <c r="G155" s="713">
        <v>0.34991499635758144</v>
      </c>
      <c r="H155" s="658" t="s">
        <v>356</v>
      </c>
      <c r="I155" s="622" t="s">
        <v>554</v>
      </c>
    </row>
    <row r="156" spans="1:9" s="344" customFormat="1" x14ac:dyDescent="0.25">
      <c r="A156" s="710" t="s">
        <v>43</v>
      </c>
      <c r="B156" s="710" t="s">
        <v>681</v>
      </c>
      <c r="C156" s="710">
        <v>2</v>
      </c>
      <c r="D156" s="711">
        <v>0.2402</v>
      </c>
      <c r="E156" s="711">
        <v>8.4058330000000001E-2</v>
      </c>
      <c r="F156" s="712">
        <v>0.15614167000000001</v>
      </c>
      <c r="G156" s="713">
        <v>0.34995141548709408</v>
      </c>
      <c r="H156" s="658" t="s">
        <v>356</v>
      </c>
      <c r="I156" s="622" t="s">
        <v>554</v>
      </c>
    </row>
    <row r="157" spans="1:9" s="344" customFormat="1" x14ac:dyDescent="0.25">
      <c r="A157" s="710" t="s">
        <v>43</v>
      </c>
      <c r="B157" s="710" t="s">
        <v>651</v>
      </c>
      <c r="C157" s="710">
        <v>2</v>
      </c>
      <c r="D157" s="711">
        <v>0.22019167000000001</v>
      </c>
      <c r="E157" s="711">
        <v>6.6233330000000007E-2</v>
      </c>
      <c r="F157" s="712">
        <v>0.15395834</v>
      </c>
      <c r="G157" s="713">
        <v>0.30079852702874732</v>
      </c>
      <c r="H157" s="658" t="s">
        <v>356</v>
      </c>
      <c r="I157" s="622" t="s">
        <v>554</v>
      </c>
    </row>
    <row r="158" spans="1:9" s="344" customFormat="1" x14ac:dyDescent="0.25">
      <c r="A158" s="710" t="s">
        <v>134</v>
      </c>
      <c r="B158" s="710" t="s">
        <v>135</v>
      </c>
      <c r="C158" s="710">
        <v>1</v>
      </c>
      <c r="D158" s="711">
        <v>0.65</v>
      </c>
      <c r="E158" s="711">
        <v>0.49825000000000003</v>
      </c>
      <c r="F158" s="712">
        <v>0.15175</v>
      </c>
      <c r="G158" s="713">
        <v>0.7665384615384615</v>
      </c>
      <c r="H158" s="658" t="s">
        <v>356</v>
      </c>
      <c r="I158" s="622" t="s">
        <v>554</v>
      </c>
    </row>
    <row r="159" spans="1:9" s="344" customFormat="1" x14ac:dyDescent="0.25">
      <c r="A159" s="710" t="s">
        <v>229</v>
      </c>
      <c r="B159" s="710" t="s">
        <v>230</v>
      </c>
      <c r="C159" s="710">
        <v>1</v>
      </c>
      <c r="D159" s="711">
        <v>0.41756666999999997</v>
      </c>
      <c r="E159" s="711">
        <v>0.26684999999999998</v>
      </c>
      <c r="F159" s="712">
        <v>0.15071667</v>
      </c>
      <c r="G159" s="713">
        <v>0.63905962609515743</v>
      </c>
      <c r="H159" s="658" t="s">
        <v>356</v>
      </c>
      <c r="I159" s="622" t="s">
        <v>554</v>
      </c>
    </row>
    <row r="160" spans="1:9" s="344" customFormat="1" x14ac:dyDescent="0.25">
      <c r="A160" s="710" t="s">
        <v>149</v>
      </c>
      <c r="B160" s="710" t="s">
        <v>150</v>
      </c>
      <c r="C160" s="710">
        <v>1</v>
      </c>
      <c r="D160" s="711">
        <v>0.47556667000000002</v>
      </c>
      <c r="E160" s="711">
        <v>0.32815833</v>
      </c>
      <c r="F160" s="712">
        <v>0.14740834000000003</v>
      </c>
      <c r="G160" s="713">
        <v>0.6900364359007749</v>
      </c>
      <c r="H160" s="658" t="s">
        <v>356</v>
      </c>
      <c r="I160" s="622" t="s">
        <v>554</v>
      </c>
    </row>
    <row r="161" spans="1:9" s="344" customFormat="1" x14ac:dyDescent="0.25">
      <c r="A161" s="710" t="s">
        <v>270</v>
      </c>
      <c r="B161" s="710" t="s">
        <v>271</v>
      </c>
      <c r="C161" s="710">
        <v>1</v>
      </c>
      <c r="D161" s="711">
        <v>0.505</v>
      </c>
      <c r="E161" s="711">
        <v>0.36094999999999999</v>
      </c>
      <c r="F161" s="712">
        <v>0.14405000000000001</v>
      </c>
      <c r="G161" s="713">
        <v>0.71475247524752472</v>
      </c>
      <c r="H161" s="658" t="s">
        <v>356</v>
      </c>
      <c r="I161" s="622" t="s">
        <v>554</v>
      </c>
    </row>
    <row r="162" spans="1:9" s="344" customFormat="1" x14ac:dyDescent="0.25">
      <c r="A162" s="710" t="s">
        <v>143</v>
      </c>
      <c r="B162" s="710" t="s">
        <v>144</v>
      </c>
      <c r="C162" s="710">
        <v>1</v>
      </c>
      <c r="D162" s="711">
        <v>0.435</v>
      </c>
      <c r="E162" s="711">
        <v>0.29594999999999999</v>
      </c>
      <c r="F162" s="712">
        <v>0.13905000000000001</v>
      </c>
      <c r="G162" s="713">
        <v>0.68034482758620685</v>
      </c>
      <c r="H162" s="658" t="s">
        <v>356</v>
      </c>
      <c r="I162" s="622" t="s">
        <v>554</v>
      </c>
    </row>
    <row r="163" spans="1:9" s="344" customFormat="1" x14ac:dyDescent="0.25">
      <c r="A163" s="710" t="s">
        <v>33</v>
      </c>
      <c r="B163" s="710" t="s">
        <v>34</v>
      </c>
      <c r="C163" s="710">
        <v>1</v>
      </c>
      <c r="D163" s="711">
        <v>0.32300000000000001</v>
      </c>
      <c r="E163" s="711">
        <v>0.18395</v>
      </c>
      <c r="F163" s="712">
        <v>0.13905000000000001</v>
      </c>
      <c r="G163" s="713">
        <v>0.56950464396284828</v>
      </c>
      <c r="H163" s="658" t="s">
        <v>356</v>
      </c>
      <c r="I163" s="622" t="s">
        <v>554</v>
      </c>
    </row>
    <row r="164" spans="1:9" s="344" customFormat="1" x14ac:dyDescent="0.25">
      <c r="A164" s="710" t="s">
        <v>277</v>
      </c>
      <c r="B164" s="710" t="s">
        <v>278</v>
      </c>
      <c r="C164" s="710">
        <v>1</v>
      </c>
      <c r="D164" s="711">
        <v>0.15</v>
      </c>
      <c r="E164" s="711">
        <v>1.095E-2</v>
      </c>
      <c r="F164" s="712">
        <v>0.13905000000000001</v>
      </c>
      <c r="G164" s="713">
        <v>7.2999999999999995E-2</v>
      </c>
      <c r="H164" s="658" t="s">
        <v>356</v>
      </c>
      <c r="I164" s="622" t="s">
        <v>554</v>
      </c>
    </row>
    <row r="165" spans="1:9" s="344" customFormat="1" x14ac:dyDescent="0.25">
      <c r="A165" s="710" t="s">
        <v>277</v>
      </c>
      <c r="B165" s="710" t="s">
        <v>279</v>
      </c>
      <c r="C165" s="710">
        <v>1</v>
      </c>
      <c r="D165" s="711">
        <v>0.15</v>
      </c>
      <c r="E165" s="711">
        <v>1.095E-2</v>
      </c>
      <c r="F165" s="712">
        <v>0.13905000000000001</v>
      </c>
      <c r="G165" s="713">
        <v>7.2999999999999995E-2</v>
      </c>
      <c r="H165" s="658" t="s">
        <v>356</v>
      </c>
      <c r="I165" s="622" t="s">
        <v>554</v>
      </c>
    </row>
    <row r="166" spans="1:9" s="126" customFormat="1" x14ac:dyDescent="0.25">
      <c r="A166" s="710" t="s">
        <v>277</v>
      </c>
      <c r="B166" s="710" t="s">
        <v>280</v>
      </c>
      <c r="C166" s="710">
        <v>1</v>
      </c>
      <c r="D166" s="711">
        <v>0.15</v>
      </c>
      <c r="E166" s="711">
        <v>1.095E-2</v>
      </c>
      <c r="F166" s="712">
        <v>0.13905000000000001</v>
      </c>
      <c r="G166" s="713">
        <v>7.2999999999999995E-2</v>
      </c>
      <c r="H166" s="658" t="s">
        <v>356</v>
      </c>
      <c r="I166" s="622" t="s">
        <v>554</v>
      </c>
    </row>
    <row r="167" spans="1:9" s="344" customFormat="1" x14ac:dyDescent="0.25">
      <c r="A167" s="710" t="s">
        <v>277</v>
      </c>
      <c r="B167" s="710" t="s">
        <v>282</v>
      </c>
      <c r="C167" s="710">
        <v>1</v>
      </c>
      <c r="D167" s="711">
        <v>0.15</v>
      </c>
      <c r="E167" s="711">
        <v>1.095E-2</v>
      </c>
      <c r="F167" s="712">
        <v>0.13905000000000001</v>
      </c>
      <c r="G167" s="713">
        <v>7.2999999999999995E-2</v>
      </c>
      <c r="H167" s="658" t="s">
        <v>356</v>
      </c>
      <c r="I167" s="622" t="s">
        <v>554</v>
      </c>
    </row>
    <row r="168" spans="1:9" s="344" customFormat="1" x14ac:dyDescent="0.25">
      <c r="A168" s="710" t="s">
        <v>277</v>
      </c>
      <c r="B168" s="710" t="s">
        <v>283</v>
      </c>
      <c r="C168" s="710">
        <v>1</v>
      </c>
      <c r="D168" s="711">
        <v>0.15</v>
      </c>
      <c r="E168" s="711">
        <v>1.095E-2</v>
      </c>
      <c r="F168" s="712">
        <v>0.13905000000000001</v>
      </c>
      <c r="G168" s="713">
        <v>7.2999999999999995E-2</v>
      </c>
      <c r="H168" s="658" t="s">
        <v>356</v>
      </c>
      <c r="I168" s="622" t="s">
        <v>554</v>
      </c>
    </row>
    <row r="169" spans="1:9" s="344" customFormat="1" x14ac:dyDescent="0.25">
      <c r="A169" s="710" t="s">
        <v>277</v>
      </c>
      <c r="B169" s="710" t="s">
        <v>284</v>
      </c>
      <c r="C169" s="710">
        <v>1</v>
      </c>
      <c r="D169" s="711">
        <v>0.15</v>
      </c>
      <c r="E169" s="711">
        <v>1.095E-2</v>
      </c>
      <c r="F169" s="712">
        <v>0.13905000000000001</v>
      </c>
      <c r="G169" s="713">
        <v>7.2999999999999995E-2</v>
      </c>
      <c r="H169" s="658" t="s">
        <v>356</v>
      </c>
      <c r="I169" s="622" t="s">
        <v>554</v>
      </c>
    </row>
    <row r="170" spans="1:9" s="344" customFormat="1" x14ac:dyDescent="0.25">
      <c r="A170" s="710" t="s">
        <v>640</v>
      </c>
      <c r="B170" s="710" t="s">
        <v>170</v>
      </c>
      <c r="C170" s="710">
        <v>1</v>
      </c>
      <c r="D170" s="711">
        <v>0.6</v>
      </c>
      <c r="E170" s="711">
        <v>0.46095000000000003</v>
      </c>
      <c r="F170" s="712">
        <v>0.13904999999999995</v>
      </c>
      <c r="G170" s="713">
        <v>0.7682500000000001</v>
      </c>
      <c r="H170" s="658" t="s">
        <v>356</v>
      </c>
      <c r="I170" s="622" t="s">
        <v>554</v>
      </c>
    </row>
    <row r="171" spans="1:9" s="126" customFormat="1" x14ac:dyDescent="0.25">
      <c r="A171" s="710" t="s">
        <v>296</v>
      </c>
      <c r="B171" s="710" t="s">
        <v>297</v>
      </c>
      <c r="C171" s="710">
        <v>1</v>
      </c>
      <c r="D171" s="711">
        <v>0.5</v>
      </c>
      <c r="E171" s="711">
        <v>0.36175833000000002</v>
      </c>
      <c r="F171" s="712">
        <v>0.13824166999999998</v>
      </c>
      <c r="G171" s="713">
        <v>0.72351666000000003</v>
      </c>
      <c r="H171" s="658" t="s">
        <v>356</v>
      </c>
      <c r="I171" s="622" t="s">
        <v>554</v>
      </c>
    </row>
    <row r="172" spans="1:9" s="344" customFormat="1" x14ac:dyDescent="0.25">
      <c r="A172" s="710" t="s">
        <v>277</v>
      </c>
      <c r="B172" s="710" t="s">
        <v>281</v>
      </c>
      <c r="C172" s="710">
        <v>1</v>
      </c>
      <c r="D172" s="711">
        <v>0.08</v>
      </c>
      <c r="E172" s="711">
        <v>0</v>
      </c>
      <c r="F172" s="712">
        <v>0.08</v>
      </c>
      <c r="G172" s="713">
        <v>0</v>
      </c>
      <c r="H172" s="658" t="s">
        <v>356</v>
      </c>
      <c r="I172" s="622" t="s">
        <v>554</v>
      </c>
    </row>
    <row r="173" spans="1:9" x14ac:dyDescent="0.25">
      <c r="A173" s="279"/>
      <c r="B173" s="275"/>
      <c r="C173" s="275"/>
      <c r="D173" s="58"/>
      <c r="E173" s="58"/>
      <c r="F173" s="58"/>
      <c r="G173" s="60"/>
      <c r="H173" s="275"/>
      <c r="I173" s="271"/>
    </row>
    <row r="174" spans="1:9" x14ac:dyDescent="0.25">
      <c r="A174" s="279"/>
      <c r="B174" s="275"/>
      <c r="C174" s="275"/>
      <c r="D174" s="58"/>
      <c r="E174" s="58"/>
      <c r="F174" s="58"/>
      <c r="G174" s="60"/>
      <c r="H174" s="275"/>
      <c r="I174" s="271"/>
    </row>
    <row r="175" spans="1:9" x14ac:dyDescent="0.25">
      <c r="A175" s="279"/>
      <c r="B175" s="279"/>
      <c r="C175" s="279"/>
      <c r="D175" s="58"/>
      <c r="E175" s="58"/>
      <c r="F175" s="58"/>
      <c r="G175" s="60"/>
      <c r="H175" s="275"/>
      <c r="I175" s="271"/>
    </row>
    <row r="176" spans="1:9" x14ac:dyDescent="0.25">
      <c r="A176" s="279"/>
      <c r="B176" s="279"/>
      <c r="C176" s="279"/>
      <c r="D176" s="58"/>
      <c r="E176" s="58"/>
      <c r="F176" s="58"/>
      <c r="G176" s="60"/>
      <c r="H176" s="275"/>
      <c r="I176" s="271"/>
    </row>
    <row r="177" spans="1:9" x14ac:dyDescent="0.25">
      <c r="A177" s="279"/>
      <c r="B177" s="279"/>
      <c r="C177" s="279"/>
      <c r="D177" s="58"/>
      <c r="E177" s="58"/>
      <c r="F177" s="58"/>
      <c r="G177" s="60"/>
      <c r="H177" s="275"/>
      <c r="I177" s="271"/>
    </row>
    <row r="178" spans="1:9" x14ac:dyDescent="0.25">
      <c r="A178" s="279"/>
      <c r="B178" s="275"/>
      <c r="C178" s="275"/>
      <c r="D178" s="58"/>
      <c r="E178" s="58"/>
      <c r="F178" s="58"/>
      <c r="G178" s="60"/>
      <c r="H178" s="275"/>
      <c r="I178" s="271"/>
    </row>
    <row r="179" spans="1:9" x14ac:dyDescent="0.25">
      <c r="A179" s="279"/>
      <c r="B179" s="279"/>
      <c r="C179" s="279"/>
      <c r="D179" s="58"/>
      <c r="E179" s="58"/>
      <c r="F179" s="58"/>
      <c r="G179" s="60"/>
      <c r="H179" s="275"/>
      <c r="I179" s="271"/>
    </row>
    <row r="180" spans="1:9" x14ac:dyDescent="0.25">
      <c r="A180" s="279"/>
      <c r="B180" s="279"/>
      <c r="C180" s="279"/>
      <c r="D180" s="58"/>
      <c r="E180" s="58"/>
      <c r="F180" s="58"/>
      <c r="G180" s="60"/>
      <c r="H180" s="275"/>
      <c r="I180" s="271"/>
    </row>
    <row r="181" spans="1:9" x14ac:dyDescent="0.25">
      <c r="A181" s="279"/>
      <c r="B181" s="275"/>
      <c r="C181" s="275"/>
      <c r="D181" s="58"/>
      <c r="E181" s="58"/>
      <c r="F181" s="59"/>
      <c r="G181" s="61"/>
      <c r="H181" s="275"/>
      <c r="I181" s="271"/>
    </row>
    <row r="182" spans="1:9" x14ac:dyDescent="0.25">
      <c r="A182" s="279"/>
      <c r="B182" s="279"/>
      <c r="C182" s="279"/>
      <c r="D182" s="58"/>
      <c r="E182" s="58"/>
      <c r="F182" s="59"/>
      <c r="G182" s="61"/>
      <c r="H182" s="275"/>
      <c r="I182" s="271"/>
    </row>
    <row r="183" spans="1:9" x14ac:dyDescent="0.25">
      <c r="A183" s="279"/>
      <c r="B183" s="275"/>
      <c r="C183" s="275"/>
      <c r="D183" s="58"/>
      <c r="E183" s="58"/>
      <c r="F183" s="59"/>
      <c r="G183" s="61"/>
      <c r="H183" s="275"/>
      <c r="I183" s="271"/>
    </row>
    <row r="184" spans="1:9" x14ac:dyDescent="0.25">
      <c r="A184" s="279"/>
      <c r="B184" s="279"/>
      <c r="C184" s="279"/>
      <c r="D184" s="58"/>
      <c r="E184" s="58"/>
      <c r="F184" s="59"/>
      <c r="G184" s="61"/>
      <c r="H184" s="275"/>
      <c r="I184" s="271"/>
    </row>
    <row r="185" spans="1:9" x14ac:dyDescent="0.25">
      <c r="A185" s="279"/>
      <c r="B185" s="279"/>
      <c r="C185" s="279"/>
      <c r="D185" s="58"/>
      <c r="E185" s="58"/>
      <c r="F185" s="59"/>
      <c r="G185" s="61"/>
      <c r="H185" s="275"/>
      <c r="I185" s="271"/>
    </row>
    <row r="186" spans="1:9" x14ac:dyDescent="0.25">
      <c r="A186" s="279"/>
      <c r="B186" s="279"/>
      <c r="C186" s="279"/>
      <c r="D186" s="58"/>
      <c r="E186" s="58"/>
      <c r="F186" s="59"/>
      <c r="G186" s="61"/>
      <c r="H186" s="275"/>
      <c r="I186" s="271"/>
    </row>
    <row r="187" spans="1:9" x14ac:dyDescent="0.25">
      <c r="A187" s="279"/>
      <c r="B187" s="271"/>
      <c r="C187" s="271"/>
      <c r="H187" s="282"/>
      <c r="I187" s="271"/>
    </row>
    <row r="188" spans="1:9" x14ac:dyDescent="0.25">
      <c r="A188" s="279"/>
      <c r="B188" s="279"/>
      <c r="C188" s="279"/>
      <c r="D188" s="58"/>
      <c r="E188" s="58"/>
      <c r="F188" s="59"/>
      <c r="G188" s="61"/>
      <c r="H188" s="275"/>
      <c r="I188" s="271"/>
    </row>
    <row r="189" spans="1:9" x14ac:dyDescent="0.25">
      <c r="A189" s="279"/>
      <c r="B189" s="275"/>
      <c r="C189" s="275"/>
      <c r="D189" s="58"/>
      <c r="H189" s="275"/>
      <c r="I189" s="271"/>
    </row>
    <row r="190" spans="1:9" x14ac:dyDescent="0.25">
      <c r="A190" s="279"/>
      <c r="B190" s="275"/>
      <c r="C190" s="275"/>
      <c r="D190" s="58"/>
      <c r="E190" s="58"/>
      <c r="F190" s="59"/>
      <c r="G190" s="61"/>
      <c r="H190" s="275"/>
      <c r="I190" s="271"/>
    </row>
    <row r="191" spans="1:9" x14ac:dyDescent="0.25">
      <c r="A191" s="279"/>
      <c r="B191" s="282"/>
      <c r="C191" s="282"/>
      <c r="F191" s="58"/>
      <c r="G191" s="60"/>
      <c r="H191" s="282"/>
      <c r="I191" s="271"/>
    </row>
    <row r="192" spans="1:9" x14ac:dyDescent="0.25">
      <c r="A192" s="279"/>
      <c r="B192" s="54"/>
      <c r="C192" s="54"/>
      <c r="F192" s="58"/>
      <c r="G192" s="60"/>
      <c r="H192" s="282"/>
      <c r="I192" s="271"/>
    </row>
    <row r="193" spans="1:9" x14ac:dyDescent="0.25">
      <c r="A193" s="279"/>
      <c r="B193" s="282"/>
      <c r="C193" s="282"/>
      <c r="F193" s="58"/>
      <c r="G193" s="60"/>
      <c r="H193" s="282"/>
      <c r="I193" s="271"/>
    </row>
  </sheetData>
  <autoFilter ref="A3:I172">
    <sortState ref="A4:I172">
      <sortCondition descending="1" ref="F3:F172"/>
    </sortState>
  </autoFilter>
  <mergeCells count="2">
    <mergeCell ref="A1:I1"/>
    <mergeCell ref="A2:I2"/>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2"/>
  <sheetViews>
    <sheetView showGridLines="0" workbookViewId="0"/>
  </sheetViews>
  <sheetFormatPr defaultRowHeight="15" x14ac:dyDescent="0.25"/>
  <sheetData>
    <row r="2" spans="2:3" x14ac:dyDescent="0.25">
      <c r="B2" s="429" t="s">
        <v>1120</v>
      </c>
      <c r="C2" s="429"/>
    </row>
  </sheetData>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T517"/>
  <sheetViews>
    <sheetView showGridLines="0" topLeftCell="A121" workbookViewId="0">
      <selection activeCell="N132" sqref="N132"/>
    </sheetView>
  </sheetViews>
  <sheetFormatPr defaultRowHeight="15" x14ac:dyDescent="0.25"/>
  <cols>
    <col min="6" max="6" width="10.42578125" bestFit="1" customWidth="1"/>
    <col min="14" max="14" width="39" bestFit="1" customWidth="1"/>
    <col min="15" max="15" width="11" bestFit="1" customWidth="1"/>
    <col min="16" max="16" width="24.85546875" bestFit="1" customWidth="1"/>
    <col min="18" max="18" width="11" bestFit="1" customWidth="1"/>
    <col min="19" max="19" width="11.5703125" bestFit="1" customWidth="1"/>
    <col min="20" max="20" width="6.140625" bestFit="1" customWidth="1"/>
  </cols>
  <sheetData>
    <row r="2" spans="1:1" x14ac:dyDescent="0.25">
      <c r="A2" s="429" t="s">
        <v>1117</v>
      </c>
    </row>
    <row r="20" spans="1:1" x14ac:dyDescent="0.25">
      <c r="A20" s="290" t="s">
        <v>1110</v>
      </c>
    </row>
    <row r="22" spans="1:1" x14ac:dyDescent="0.25">
      <c r="A22" s="429" t="s">
        <v>1118</v>
      </c>
    </row>
    <row r="36" spans="1:1" x14ac:dyDescent="0.25">
      <c r="A36" s="808" t="s">
        <v>1104</v>
      </c>
    </row>
    <row r="38" spans="1:1" x14ac:dyDescent="0.25">
      <c r="A38" s="809" t="s">
        <v>1119</v>
      </c>
    </row>
    <row r="59" spans="1:16" ht="50.25" customHeight="1" x14ac:dyDescent="0.25">
      <c r="A59" s="870" t="s">
        <v>1105</v>
      </c>
      <c r="B59" s="870"/>
      <c r="C59" s="870"/>
      <c r="D59" s="870"/>
      <c r="E59" s="870"/>
      <c r="F59" s="870"/>
      <c r="G59" s="870"/>
      <c r="H59" s="870"/>
      <c r="I59" s="870"/>
      <c r="J59" s="870"/>
    </row>
    <row r="60" spans="1:16" x14ac:dyDescent="0.25">
      <c r="A60" s="808" t="s">
        <v>1106</v>
      </c>
    </row>
    <row r="63" spans="1:16" x14ac:dyDescent="0.25">
      <c r="A63" s="429" t="s">
        <v>1131</v>
      </c>
    </row>
    <row r="64" spans="1:16" x14ac:dyDescent="0.25">
      <c r="N64" s="395" t="s">
        <v>760</v>
      </c>
      <c r="O64" s="404" t="s">
        <v>761</v>
      </c>
      <c r="P64" s="395" t="s">
        <v>1008</v>
      </c>
    </row>
    <row r="65" spans="14:16" x14ac:dyDescent="0.25">
      <c r="N65" s="405" t="s">
        <v>1004</v>
      </c>
      <c r="O65" s="406">
        <f>MROUND(GETPIVOTDATA("Sum of Fossil Fuel Turbines",'Summary PivotTables'!$A$21),10)</f>
        <v>1295200</v>
      </c>
      <c r="P65" s="407">
        <f>O65/$O$69</f>
        <v>0.58951776245419996</v>
      </c>
    </row>
    <row r="66" spans="14:16" x14ac:dyDescent="0.25">
      <c r="N66" s="408" t="s">
        <v>759</v>
      </c>
      <c r="O66" s="409">
        <f>MROUND(GETPIVOTDATA("Sum of Internal Combustion",'Summary PivotTables'!$A$21),10)</f>
        <v>449840</v>
      </c>
      <c r="P66" s="400">
        <f>O66/$O$69</f>
        <v>0.20474727475478482</v>
      </c>
    </row>
    <row r="67" spans="14:16" x14ac:dyDescent="0.25">
      <c r="N67" s="408" t="s">
        <v>8</v>
      </c>
      <c r="O67" s="409">
        <f>MROUND(GETPIVOTDATA("Sum of Hydroelectric",'Summary PivotTables'!$A$21),10)</f>
        <v>438160</v>
      </c>
      <c r="P67" s="400">
        <f>O67/$O$69</f>
        <v>0.19943105527866911</v>
      </c>
    </row>
    <row r="68" spans="14:16" x14ac:dyDescent="0.25">
      <c r="N68" s="408" t="s">
        <v>10</v>
      </c>
      <c r="O68" s="409">
        <f>MROUND(GETPIVOTDATA("Sum of Wind Turbine",'Summary PivotTables'!$A$21),10)</f>
        <v>13850</v>
      </c>
      <c r="P68" s="449">
        <f>O68/$O$69</f>
        <v>6.3039075123461005E-3</v>
      </c>
    </row>
    <row r="69" spans="14:16" x14ac:dyDescent="0.25">
      <c r="N69" s="413" t="s">
        <v>14</v>
      </c>
      <c r="O69" s="414">
        <f>SUM(O65:O68)</f>
        <v>2197050</v>
      </c>
      <c r="P69" s="403">
        <f>SUM(P65:P68)</f>
        <v>1</v>
      </c>
    </row>
    <row r="85" spans="1:1" s="788" customFormat="1" x14ac:dyDescent="0.25">
      <c r="A85" s="808" t="s">
        <v>1109</v>
      </c>
    </row>
    <row r="87" spans="1:1" x14ac:dyDescent="0.25">
      <c r="A87" s="429" t="s">
        <v>1132</v>
      </c>
    </row>
    <row r="103" spans="1:1" x14ac:dyDescent="0.25">
      <c r="A103" s="808" t="s">
        <v>1108</v>
      </c>
    </row>
    <row r="104" spans="1:1" s="788" customFormat="1" x14ac:dyDescent="0.25">
      <c r="A104" s="808"/>
    </row>
    <row r="105" spans="1:1" x14ac:dyDescent="0.25">
      <c r="A105" s="422" t="s">
        <v>1133</v>
      </c>
    </row>
    <row r="121" spans="1:1" x14ac:dyDescent="0.25">
      <c r="A121" s="290" t="s">
        <v>1107</v>
      </c>
    </row>
    <row r="123" spans="1:1" x14ac:dyDescent="0.25">
      <c r="A123" s="429" t="s">
        <v>1200</v>
      </c>
    </row>
    <row r="144" spans="1:1" x14ac:dyDescent="0.25">
      <c r="A144" s="808" t="s">
        <v>1111</v>
      </c>
    </row>
    <row r="146" spans="1:1" x14ac:dyDescent="0.25">
      <c r="A146" s="430" t="s">
        <v>1134</v>
      </c>
    </row>
    <row r="162" spans="1:6" x14ac:dyDescent="0.25">
      <c r="A162" s="808" t="s">
        <v>1112</v>
      </c>
    </row>
    <row r="163" spans="1:6" x14ac:dyDescent="0.25">
      <c r="A163" s="290" t="s">
        <v>1113</v>
      </c>
      <c r="F163" s="811">
        <f>SUM('Summary Tables'!C92:E92)</f>
        <v>59360210</v>
      </c>
    </row>
    <row r="165" spans="1:6" x14ac:dyDescent="0.25">
      <c r="A165" s="429" t="s">
        <v>1135</v>
      </c>
    </row>
    <row r="186" spans="1:1" x14ac:dyDescent="0.25">
      <c r="A186" s="290" t="s">
        <v>1112</v>
      </c>
    </row>
    <row r="188" spans="1:1" x14ac:dyDescent="0.25">
      <c r="A188" s="429" t="s">
        <v>1136</v>
      </c>
    </row>
    <row r="189" spans="1:1" s="788" customFormat="1" x14ac:dyDescent="0.25">
      <c r="A189" s="429"/>
    </row>
    <row r="190" spans="1:1" s="788" customFormat="1" x14ac:dyDescent="0.25">
      <c r="A190" s="429"/>
    </row>
    <row r="191" spans="1:1" s="788" customFormat="1" x14ac:dyDescent="0.25">
      <c r="A191" s="429"/>
    </row>
    <row r="192" spans="1:1" s="788" customFormat="1" x14ac:dyDescent="0.25">
      <c r="A192" s="429"/>
    </row>
    <row r="193" spans="1:20" s="788" customFormat="1" x14ac:dyDescent="0.25">
      <c r="A193" s="429"/>
    </row>
    <row r="194" spans="1:20" s="788" customFormat="1" x14ac:dyDescent="0.25">
      <c r="A194" s="429"/>
    </row>
    <row r="195" spans="1:20" s="788" customFormat="1" x14ac:dyDescent="0.25">
      <c r="A195" s="429"/>
    </row>
    <row r="196" spans="1:20" s="788" customFormat="1" x14ac:dyDescent="0.25">
      <c r="A196" s="429"/>
    </row>
    <row r="197" spans="1:20" s="788" customFormat="1" x14ac:dyDescent="0.25">
      <c r="A197" s="429"/>
    </row>
    <row r="198" spans="1:20" s="788" customFormat="1" x14ac:dyDescent="0.25">
      <c r="A198" s="429"/>
    </row>
    <row r="199" spans="1:20" s="788" customFormat="1" x14ac:dyDescent="0.25">
      <c r="A199" s="429"/>
    </row>
    <row r="200" spans="1:20" s="788" customFormat="1" x14ac:dyDescent="0.25">
      <c r="A200" s="429"/>
    </row>
    <row r="201" spans="1:20" s="788" customFormat="1" x14ac:dyDescent="0.25">
      <c r="A201" s="429"/>
    </row>
    <row r="202" spans="1:20" s="788" customFormat="1" x14ac:dyDescent="0.25">
      <c r="A202" s="429"/>
    </row>
    <row r="203" spans="1:20" s="788" customFormat="1" x14ac:dyDescent="0.25">
      <c r="A203" s="429"/>
    </row>
    <row r="204" spans="1:20" s="788" customFormat="1" x14ac:dyDescent="0.25">
      <c r="A204" s="290" t="s">
        <v>1123</v>
      </c>
    </row>
    <row r="205" spans="1:20" s="788" customFormat="1" x14ac:dyDescent="0.25">
      <c r="A205" s="290" t="s">
        <v>1199</v>
      </c>
    </row>
    <row r="206" spans="1:20" s="788" customFormat="1" x14ac:dyDescent="0.25">
      <c r="A206" s="429"/>
    </row>
    <row r="207" spans="1:20" s="788" customFormat="1" x14ac:dyDescent="0.25">
      <c r="A207" s="429" t="s">
        <v>1137</v>
      </c>
    </row>
    <row r="208" spans="1:20" x14ac:dyDescent="0.25">
      <c r="N208" s="341"/>
      <c r="O208" s="399" t="s">
        <v>11</v>
      </c>
      <c r="P208" s="399" t="s">
        <v>12</v>
      </c>
      <c r="Q208" s="399" t="s">
        <v>13</v>
      </c>
      <c r="R208" s="399" t="s">
        <v>11</v>
      </c>
      <c r="S208" s="399" t="s">
        <v>12</v>
      </c>
      <c r="T208" s="399" t="s">
        <v>13</v>
      </c>
    </row>
    <row r="209" spans="14:20" x14ac:dyDescent="0.25">
      <c r="N209" s="812" t="s">
        <v>756</v>
      </c>
      <c r="O209" s="394">
        <f>'Summary Tables'!C109</f>
        <v>2138370</v>
      </c>
      <c r="P209" s="394">
        <f>'Summary Tables'!D109</f>
        <v>2751350</v>
      </c>
      <c r="Q209" s="394">
        <f>'Summary Tables'!E109</f>
        <v>1375960</v>
      </c>
      <c r="R209" s="607">
        <f>O209/SUM($O209:$Q209)</f>
        <v>0.34128298923660322</v>
      </c>
      <c r="S209" s="607">
        <f>P209/SUM($O$209:$Q$209)</f>
        <v>0.4391143499189234</v>
      </c>
      <c r="T209" s="607">
        <f>Q209/SUM($O$209:$Q$209)</f>
        <v>0.21960266084447339</v>
      </c>
    </row>
    <row r="210" spans="14:20" x14ac:dyDescent="0.25">
      <c r="N210" s="399" t="s">
        <v>757</v>
      </c>
      <c r="O210" s="394">
        <f>'Summary Tables'!C127</f>
        <v>379620</v>
      </c>
      <c r="P210" s="394">
        <f>'Summary Tables'!D127</f>
        <v>403800</v>
      </c>
      <c r="Q210" s="394">
        <f>'Summary Tables'!E127</f>
        <v>238800</v>
      </c>
      <c r="R210" s="607">
        <f>O210/SUM($O210:$Q210)</f>
        <v>0.37136819862651876</v>
      </c>
      <c r="S210" s="607">
        <f>P210/SUM($O210:$Q210)</f>
        <v>0.39502259787521277</v>
      </c>
      <c r="T210" s="607">
        <f>Q210/SUM($O210:$Q210)</f>
        <v>0.23360920349826847</v>
      </c>
    </row>
    <row r="211" spans="14:20" x14ac:dyDescent="0.25">
      <c r="N211" s="399" t="s">
        <v>758</v>
      </c>
      <c r="O211" s="394">
        <f>'Summary Tables'!C145</f>
        <v>274890</v>
      </c>
      <c r="P211" s="394">
        <f>'Summary Tables'!D145</f>
        <v>45990</v>
      </c>
      <c r="Q211" s="394">
        <f>'Summary Tables'!E145</f>
        <v>4440</v>
      </c>
      <c r="R211" s="607">
        <f>O211/SUM($O211:$Q211)</f>
        <v>0.84498340095905566</v>
      </c>
      <c r="S211" s="607">
        <f>P211/SUM($O211:$Q211)</f>
        <v>0.14136849870896348</v>
      </c>
      <c r="T211" s="607">
        <f>Q211/SUM($O211:$Q211)</f>
        <v>1.3648100331980819E-2</v>
      </c>
    </row>
    <row r="225" spans="1:1" x14ac:dyDescent="0.25">
      <c r="A225" s="808" t="s">
        <v>1112</v>
      </c>
    </row>
    <row r="226" spans="1:1" x14ac:dyDescent="0.25">
      <c r="A226" s="808" t="s">
        <v>1114</v>
      </c>
    </row>
    <row r="228" spans="1:1" x14ac:dyDescent="0.25">
      <c r="A228" s="429" t="s">
        <v>1156</v>
      </c>
    </row>
    <row r="244" spans="1:1" x14ac:dyDescent="0.25">
      <c r="A244" s="290" t="s">
        <v>1115</v>
      </c>
    </row>
    <row r="245" spans="1:1" s="788" customFormat="1" x14ac:dyDescent="0.25">
      <c r="A245" s="290"/>
    </row>
    <row r="246" spans="1:1" x14ac:dyDescent="0.25">
      <c r="A246" s="813" t="s">
        <v>1157</v>
      </c>
    </row>
    <row r="263" spans="1:1" x14ac:dyDescent="0.25">
      <c r="A263" s="290" t="s">
        <v>1115</v>
      </c>
    </row>
    <row r="264" spans="1:1" x14ac:dyDescent="0.25">
      <c r="A264" s="290" t="s">
        <v>1116</v>
      </c>
    </row>
    <row r="266" spans="1:1" x14ac:dyDescent="0.25">
      <c r="A266" s="429" t="s">
        <v>1165</v>
      </c>
    </row>
    <row r="281" spans="1:1" s="788" customFormat="1" x14ac:dyDescent="0.25"/>
    <row r="282" spans="1:1" x14ac:dyDescent="0.25">
      <c r="A282" s="290" t="s">
        <v>1159</v>
      </c>
    </row>
    <row r="284" spans="1:1" x14ac:dyDescent="0.25">
      <c r="A284" s="429" t="s">
        <v>1158</v>
      </c>
    </row>
    <row r="300" spans="1:1" x14ac:dyDescent="0.25">
      <c r="A300" s="808" t="s">
        <v>1159</v>
      </c>
    </row>
    <row r="301" spans="1:1" s="788" customFormat="1" x14ac:dyDescent="0.25">
      <c r="A301" s="808"/>
    </row>
    <row r="302" spans="1:1" x14ac:dyDescent="0.25">
      <c r="A302" s="833" t="s">
        <v>1166</v>
      </c>
    </row>
    <row r="317" spans="1:1" s="788" customFormat="1" x14ac:dyDescent="0.25">
      <c r="A317" s="290" t="s">
        <v>1161</v>
      </c>
    </row>
    <row r="319" spans="1:1" x14ac:dyDescent="0.25">
      <c r="A319" s="833" t="s">
        <v>1167</v>
      </c>
    </row>
    <row r="335" spans="1:1" x14ac:dyDescent="0.25">
      <c r="A335" s="808" t="s">
        <v>1112</v>
      </c>
    </row>
    <row r="336" spans="1:1" s="788" customFormat="1" x14ac:dyDescent="0.25">
      <c r="A336" s="808"/>
    </row>
    <row r="337" spans="1:1" x14ac:dyDescent="0.25">
      <c r="A337" s="429" t="s">
        <v>1184</v>
      </c>
    </row>
    <row r="353" spans="1:1" x14ac:dyDescent="0.25">
      <c r="A353" s="808" t="s">
        <v>1160</v>
      </c>
    </row>
    <row r="355" spans="1:1" x14ac:dyDescent="0.25">
      <c r="A355" s="833" t="s">
        <v>1168</v>
      </c>
    </row>
    <row r="372" spans="1:1" x14ac:dyDescent="0.25">
      <c r="A372" s="290" t="s">
        <v>1160</v>
      </c>
    </row>
    <row r="374" spans="1:1" x14ac:dyDescent="0.25">
      <c r="A374" s="833" t="s">
        <v>1169</v>
      </c>
    </row>
    <row r="388" spans="1:1" x14ac:dyDescent="0.25">
      <c r="A388" s="290" t="s">
        <v>1160</v>
      </c>
    </row>
    <row r="390" spans="1:1" x14ac:dyDescent="0.25">
      <c r="A390" s="829" t="s">
        <v>1170</v>
      </c>
    </row>
    <row r="404" spans="1:1" x14ac:dyDescent="0.25">
      <c r="A404" s="808" t="s">
        <v>1162</v>
      </c>
    </row>
    <row r="406" spans="1:1" x14ac:dyDescent="0.25">
      <c r="A406" s="833" t="s">
        <v>1171</v>
      </c>
    </row>
    <row r="422" spans="1:1" x14ac:dyDescent="0.25">
      <c r="A422" s="808" t="s">
        <v>1163</v>
      </c>
    </row>
    <row r="424" spans="1:1" x14ac:dyDescent="0.25">
      <c r="A424" s="429" t="s">
        <v>1172</v>
      </c>
    </row>
    <row r="439" spans="1:1" x14ac:dyDescent="0.25">
      <c r="A439" s="808" t="s">
        <v>1164</v>
      </c>
    </row>
    <row r="441" spans="1:1" x14ac:dyDescent="0.25">
      <c r="A441" s="833" t="s">
        <v>1173</v>
      </c>
    </row>
    <row r="460" spans="1:1" x14ac:dyDescent="0.25">
      <c r="A460" s="290" t="s">
        <v>1164</v>
      </c>
    </row>
    <row r="462" spans="1:1" x14ac:dyDescent="0.25">
      <c r="A462" s="833" t="s">
        <v>1185</v>
      </c>
    </row>
    <row r="479" spans="1:1" x14ac:dyDescent="0.25">
      <c r="A479" s="808" t="s">
        <v>1106</v>
      </c>
    </row>
    <row r="481" spans="1:1" x14ac:dyDescent="0.25">
      <c r="A481" s="833" t="s">
        <v>1186</v>
      </c>
    </row>
    <row r="498" spans="1:1" x14ac:dyDescent="0.25">
      <c r="A498" s="808" t="s">
        <v>1106</v>
      </c>
    </row>
    <row r="500" spans="1:1" x14ac:dyDescent="0.25">
      <c r="A500" s="429" t="s">
        <v>1187</v>
      </c>
    </row>
    <row r="516" spans="1:1" x14ac:dyDescent="0.25">
      <c r="A516" s="808" t="s">
        <v>1106</v>
      </c>
    </row>
    <row r="517" spans="1:1" x14ac:dyDescent="0.25">
      <c r="A517" s="832"/>
    </row>
  </sheetData>
  <mergeCells count="1">
    <mergeCell ref="A59:J5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Q70"/>
  <sheetViews>
    <sheetView showGridLines="0" workbookViewId="0">
      <selection activeCell="O71" sqref="O71"/>
    </sheetView>
  </sheetViews>
  <sheetFormatPr defaultRowHeight="15" x14ac:dyDescent="0.25"/>
  <sheetData>
    <row r="2" spans="1:16" ht="18.75" x14ac:dyDescent="0.3">
      <c r="A2" s="843" t="s">
        <v>1189</v>
      </c>
      <c r="P2" s="845" t="s">
        <v>1192</v>
      </c>
    </row>
    <row r="24" spans="1:16" x14ac:dyDescent="0.25">
      <c r="P24" s="832" t="s">
        <v>1195</v>
      </c>
    </row>
    <row r="26" spans="1:16" ht="18.75" x14ac:dyDescent="0.3">
      <c r="A26" s="843" t="s">
        <v>1190</v>
      </c>
      <c r="P26" s="844" t="s">
        <v>1191</v>
      </c>
    </row>
    <row r="54" spans="1:1" x14ac:dyDescent="0.25">
      <c r="A54" s="832" t="s">
        <v>1193</v>
      </c>
    </row>
    <row r="70" spans="17:17" x14ac:dyDescent="0.25">
      <c r="Q70" s="832" t="s">
        <v>1194</v>
      </c>
    </row>
  </sheetData>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T247"/>
  <sheetViews>
    <sheetView showGridLines="0" zoomScaleNormal="100" workbookViewId="0">
      <pane xSplit="3" ySplit="3" topLeftCell="D4" activePane="bottomRight" state="frozen"/>
      <selection pane="topRight" activeCell="D1" sqref="D1"/>
      <selection pane="bottomLeft" activeCell="A5" sqref="A5"/>
      <selection pane="bottomRight" activeCell="C152" sqref="C152"/>
    </sheetView>
  </sheetViews>
  <sheetFormatPr defaultRowHeight="15" x14ac:dyDescent="0.25"/>
  <cols>
    <col min="1" max="1" width="35.85546875" bestFit="1" customWidth="1"/>
    <col min="2" max="2" width="34.7109375" style="341" bestFit="1" customWidth="1"/>
    <col min="3" max="3" width="33.5703125" bestFit="1" customWidth="1"/>
    <col min="4" max="4" width="21.85546875" bestFit="1" customWidth="1"/>
    <col min="5" max="5" width="12.5703125" bestFit="1" customWidth="1"/>
    <col min="6" max="6" width="14" bestFit="1" customWidth="1"/>
    <col min="7" max="7" width="15.140625" bestFit="1" customWidth="1"/>
    <col min="8" max="8" width="15.5703125" bestFit="1" customWidth="1"/>
    <col min="9" max="9" width="22.5703125" style="292" bestFit="1" customWidth="1"/>
    <col min="10" max="10" width="24.140625" bestFit="1" customWidth="1"/>
    <col min="11" max="12" width="22.85546875" style="348" customWidth="1"/>
    <col min="13" max="13" width="38.7109375" bestFit="1" customWidth="1"/>
    <col min="14" max="14" width="21.42578125" customWidth="1"/>
    <col min="15" max="15" width="25.5703125" bestFit="1" customWidth="1"/>
    <col min="16" max="16" width="27.140625" bestFit="1" customWidth="1"/>
    <col min="17" max="17" width="15.5703125" bestFit="1" customWidth="1"/>
    <col min="18" max="19" width="22.7109375" customWidth="1"/>
    <col min="20" max="20" width="7.85546875" customWidth="1"/>
  </cols>
  <sheetData>
    <row r="1" spans="1:20" ht="133.5" customHeight="1" x14ac:dyDescent="0.25">
      <c r="A1" s="871" t="s">
        <v>1040</v>
      </c>
      <c r="B1" s="871"/>
      <c r="C1" s="872"/>
      <c r="D1" s="872"/>
      <c r="E1" s="872"/>
      <c r="F1" s="872"/>
      <c r="G1" s="872"/>
      <c r="H1" s="872"/>
      <c r="I1" s="872"/>
      <c r="J1" s="872"/>
      <c r="K1" s="872"/>
      <c r="L1" s="872"/>
      <c r="M1" s="872"/>
      <c r="N1" s="872"/>
      <c r="O1" s="238"/>
      <c r="P1" s="238"/>
      <c r="Q1" s="238"/>
      <c r="R1" s="238"/>
      <c r="S1" s="238"/>
      <c r="T1" s="223"/>
    </row>
    <row r="2" spans="1:20" s="294" customFormat="1" ht="15.75" customHeight="1" thickBot="1" x14ac:dyDescent="0.3">
      <c r="A2" s="873" t="s">
        <v>1138</v>
      </c>
      <c r="B2" s="873"/>
      <c r="C2" s="873"/>
      <c r="D2" s="873"/>
      <c r="E2" s="873"/>
      <c r="F2" s="873"/>
      <c r="G2" s="873"/>
      <c r="H2" s="873"/>
      <c r="I2" s="873"/>
      <c r="J2" s="873"/>
      <c r="K2" s="873"/>
      <c r="L2" s="873"/>
      <c r="M2" s="873"/>
      <c r="N2" s="873"/>
      <c r="O2" s="873"/>
      <c r="P2" s="873"/>
      <c r="Q2" s="732"/>
      <c r="R2" s="732"/>
      <c r="S2" s="732"/>
      <c r="T2" s="732"/>
    </row>
    <row r="3" spans="1:20" s="294" customFormat="1" ht="30.75" thickBot="1" x14ac:dyDescent="0.3">
      <c r="A3" s="77" t="s">
        <v>661</v>
      </c>
      <c r="B3" s="77" t="s">
        <v>1</v>
      </c>
      <c r="C3" s="299" t="s">
        <v>604</v>
      </c>
      <c r="D3" s="300" t="s">
        <v>646</v>
      </c>
      <c r="E3" s="300" t="s">
        <v>1004</v>
      </c>
      <c r="F3" s="300" t="s">
        <v>600</v>
      </c>
      <c r="G3" s="301" t="s">
        <v>8</v>
      </c>
      <c r="H3" s="300" t="s">
        <v>3</v>
      </c>
      <c r="I3" s="122" t="s">
        <v>4</v>
      </c>
      <c r="J3" s="96" t="s">
        <v>716</v>
      </c>
      <c r="K3" s="77" t="s">
        <v>20</v>
      </c>
      <c r="L3" s="302" t="s">
        <v>990</v>
      </c>
      <c r="M3" s="302" t="s">
        <v>5</v>
      </c>
      <c r="N3" s="302" t="s">
        <v>6</v>
      </c>
      <c r="O3" s="302" t="s">
        <v>552</v>
      </c>
      <c r="P3" s="302" t="s">
        <v>553</v>
      </c>
      <c r="Q3" s="355"/>
      <c r="R3" s="356"/>
    </row>
    <row r="4" spans="1:20" s="344" customFormat="1" x14ac:dyDescent="0.25">
      <c r="A4" s="733" t="s">
        <v>27</v>
      </c>
      <c r="B4" s="347" t="s">
        <v>28</v>
      </c>
      <c r="C4" s="725" t="s">
        <v>28</v>
      </c>
      <c r="D4" s="354">
        <v>360</v>
      </c>
      <c r="E4" s="734">
        <v>0</v>
      </c>
      <c r="F4" s="734">
        <v>360</v>
      </c>
      <c r="G4" s="734">
        <v>0</v>
      </c>
      <c r="H4" s="734">
        <v>0</v>
      </c>
      <c r="I4" s="736" t="s">
        <v>1022</v>
      </c>
      <c r="J4" s="170" t="str">
        <f t="array" ref="J4">IFERROR(INDEX(UtilityList!$H$4:$H$251,MATCH('Table 2.1a'!$A4&amp;'Table 2.1a'!$B4&amp;'Table 2.1a'!$C4,UtilityList!$A$4:$A$251&amp;UtilityList!$B$4:$B$251&amp;UtilityList!$C$4:$C$251,0)),"")</f>
        <v>PCE Eligible Inactive</v>
      </c>
      <c r="K4" s="369">
        <f t="array" ref="K4">IFERROR(INDEX(UtilityList!$Q$4:$Q$251,MATCH('Table 2.1a'!$A4&amp;'Table 2.1a'!$B4&amp;'Table 2.1a'!$C4,UtilityList!$A$4:$A$251&amp;UtilityList!$B$4:$B$251&amp;UtilityList!$C$4:$C$251,0)),"")</f>
        <v>0</v>
      </c>
      <c r="L4" s="369" t="str">
        <f t="array" ref="L4">IFERROR(INDEX(UtilityList!$I$4:$I$251,MATCH('Table 2.1a'!$A4&amp;'Table 2.1a'!$B4&amp;'Table 2.1a'!$C4,UtilityList!$A$4:$A$251&amp;UtilityList!$B$4:$B$251&amp;UtilityList!$C$4:$C$251,0)),"")</f>
        <v>AKHIK</v>
      </c>
      <c r="M4" s="369" t="str">
        <f t="array" ref="M4">IFERROR(INDEX(UtilityList!$J$4:$J$251,MATCH('Table 2.1a'!$A4&amp;'Table 2.1a'!$B4&amp;'Table 2.1a'!$C4,UtilityList!$A$4:$A$251&amp;UtilityList!$B$4:$B$251&amp;UtilityList!$C$4:$C$251,0)),"")</f>
        <v>Kodiak</v>
      </c>
      <c r="N4" s="369" t="str">
        <f t="array" ref="N4">IFERROR(INDEX(UtilityList!$K$4:$K$251,MATCH('Table 2.1a'!$A4&amp;'Table 2.1a'!$B4&amp;'Table 2.1a'!$C4,UtilityList!$A$4:$A$251&amp;UtilityList!$B$4:$B$251&amp;UtilityList!$C$4:$C$251,0)),"")</f>
        <v>Kodiak Island</v>
      </c>
      <c r="O4" s="369" t="str">
        <f t="array" ref="O4">IFERROR(INDEX(UtilityList!$L$4:$L$251,MATCH('Table 2.1a'!$A4&amp;'Table 2.1a'!$B4&amp;'Table 2.1a'!$C4,UtilityList!$A$4:$A$251&amp;UtilityList!$B$4:$B$251&amp;UtilityList!$C$4:$C$251,0)),"")</f>
        <v>Koniag</v>
      </c>
      <c r="P4" s="369" t="str">
        <f t="array" ref="P4">IFERROR(INDEX(UtilityList!$M$4:$M$251,MATCH('Table 2.1a'!$A4&amp;'Table 2.1a'!$B4&amp;'Table 2.1a'!$C4,UtilityList!$A$4:$A$251&amp;UtilityList!$B$4:$B$251&amp;UtilityList!$C$4:$C$251,0)),"")</f>
        <v>SC</v>
      </c>
      <c r="Q4" s="376"/>
    </row>
    <row r="5" spans="1:20" s="344" customFormat="1" x14ac:dyDescent="0.25">
      <c r="A5" s="619" t="s">
        <v>29</v>
      </c>
      <c r="B5" s="361" t="s">
        <v>30</v>
      </c>
      <c r="C5" s="350" t="s">
        <v>30</v>
      </c>
      <c r="D5" s="620">
        <v>1500</v>
      </c>
      <c r="E5" s="621">
        <v>0</v>
      </c>
      <c r="F5" s="621">
        <v>1500</v>
      </c>
      <c r="G5" s="621">
        <v>0</v>
      </c>
      <c r="H5" s="621">
        <v>0</v>
      </c>
      <c r="I5" s="452" t="s">
        <v>1022</v>
      </c>
      <c r="J5" s="622" t="str">
        <f t="array" ref="J5">IFERROR(INDEX(UtilityList!$H$4:$H$251,MATCH('Table 2.1a'!$A5&amp;'Table 2.1a'!$B5&amp;'Table 2.1a'!$C5,UtilityList!$A$4:$A$251&amp;UtilityList!$B$4:$B$251&amp;UtilityList!$C$4:$C$251,0)),"")</f>
        <v>PCE Eligible Active</v>
      </c>
      <c r="K5" s="709">
        <f t="array" ref="K5">IFERROR(INDEX(UtilityList!$Q$4:$Q$251,MATCH('Table 2.1a'!$A5&amp;'Table 2.1a'!$B5&amp;'Table 2.1a'!$C5,UtilityList!$A$4:$A$251&amp;UtilityList!$B$4:$B$251&amp;UtilityList!$C$4:$C$251,0)),"")</f>
        <v>0</v>
      </c>
      <c r="L5" s="622" t="str">
        <f t="array" ref="L5">IFERROR(INDEX(UtilityList!$I$4:$I$251,MATCH('Table 2.1a'!$A5&amp;'Table 2.1a'!$B5&amp;'Table 2.1a'!$C5,UtilityList!$A$4:$A$251&amp;UtilityList!$B$4:$B$251&amp;UtilityList!$C$4:$C$251,0)),"")</f>
        <v>AKIANCE</v>
      </c>
      <c r="M5" s="369" t="str">
        <f t="array" ref="M5">IFERROR(INDEX(UtilityList!$J$4:$J$251,MATCH('Table 2.1a'!$A5&amp;'Table 2.1a'!$B5&amp;'Table 2.1a'!$C5,UtilityList!$A$4:$A$251&amp;UtilityList!$B$4:$B$251&amp;UtilityList!$C$4:$C$251,0)),"")</f>
        <v>Lower Yukon-Kuskokwim</v>
      </c>
      <c r="N5" s="369" t="str">
        <f t="array" ref="N5">IFERROR(INDEX(UtilityList!$K$4:$K$251,MATCH('Table 2.1a'!$A5&amp;'Table 2.1a'!$B5&amp;'Table 2.1a'!$C5,UtilityList!$A$4:$A$251&amp;UtilityList!$B$4:$B$251&amp;UtilityList!$C$4:$C$251,0)),"")</f>
        <v>Bethel (CA)</v>
      </c>
      <c r="O5" s="369" t="str">
        <f t="array" ref="O5">IFERROR(INDEX(UtilityList!$L$4:$L$251,MATCH('Table 2.1a'!$A5&amp;'Table 2.1a'!$B5&amp;'Table 2.1a'!$C5,UtilityList!$A$4:$A$251&amp;UtilityList!$B$4:$B$251&amp;UtilityList!$C$4:$C$251,0)),"")</f>
        <v>Calista</v>
      </c>
      <c r="P5" s="369" t="str">
        <f t="array" ref="P5">IFERROR(INDEX(UtilityList!$M$4:$M$251,MATCH('Table 2.1a'!$A5&amp;'Table 2.1a'!$B5&amp;'Table 2.1a'!$C5,UtilityList!$A$4:$A$251&amp;UtilityList!$B$4:$B$251&amp;UtilityList!$C$4:$C$251,0)),"")</f>
        <v>SW</v>
      </c>
    </row>
    <row r="6" spans="1:20" s="344" customFormat="1" x14ac:dyDescent="0.25">
      <c r="A6" s="619" t="s">
        <v>31</v>
      </c>
      <c r="B6" s="361" t="s">
        <v>32</v>
      </c>
      <c r="C6" s="350" t="s">
        <v>32</v>
      </c>
      <c r="D6" s="620">
        <v>920</v>
      </c>
      <c r="E6" s="621">
        <v>0</v>
      </c>
      <c r="F6" s="621">
        <v>920</v>
      </c>
      <c r="G6" s="621">
        <v>0</v>
      </c>
      <c r="H6" s="621">
        <v>0</v>
      </c>
      <c r="I6" s="452" t="s">
        <v>1022</v>
      </c>
      <c r="J6" s="622" t="str">
        <f t="array" ref="J6">IFERROR(INDEX(UtilityList!$H$4:$H$251,MATCH('Table 2.1a'!$A6&amp;'Table 2.1a'!$B6&amp;'Table 2.1a'!$C6,UtilityList!$A$4:$A$251&amp;UtilityList!$B$4:$B$251&amp;UtilityList!$C$4:$C$251,0)),"")</f>
        <v>PCE Eligible Active</v>
      </c>
      <c r="K6" s="709">
        <f t="array" ref="K6">IFERROR(INDEX(UtilityList!$Q$4:$Q$251,MATCH('Table 2.1a'!$A6&amp;'Table 2.1a'!$B6&amp;'Table 2.1a'!$C6,UtilityList!$A$4:$A$251&amp;UtilityList!$B$4:$B$251&amp;UtilityList!$C$4:$C$251,0)),"")</f>
        <v>0</v>
      </c>
      <c r="L6" s="622" t="str">
        <f t="array" ref="L6">IFERROR(INDEX(UtilityList!$I$4:$I$251,MATCH('Table 2.1a'!$A6&amp;'Table 2.1a'!$B6&amp;'Table 2.1a'!$C6,UtilityList!$A$4:$A$251&amp;UtilityList!$B$4:$B$251&amp;UtilityList!$C$4:$C$251,0)),"")</f>
        <v>AKIA</v>
      </c>
      <c r="M6" s="369" t="str">
        <f t="array" ref="M6">IFERROR(INDEX(UtilityList!$J$4:$J$251,MATCH('Table 2.1a'!$A6&amp;'Table 2.1a'!$B6&amp;'Table 2.1a'!$C6,UtilityList!$A$4:$A$251&amp;UtilityList!$B$4:$B$251&amp;UtilityList!$C$4:$C$251,0)),"")</f>
        <v>Lower Yukon-Kuskokwim</v>
      </c>
      <c r="N6" s="369" t="str">
        <f t="array" ref="N6">IFERROR(INDEX(UtilityList!$K$4:$K$251,MATCH('Table 2.1a'!$A6&amp;'Table 2.1a'!$B6&amp;'Table 2.1a'!$C6,UtilityList!$A$4:$A$251&amp;UtilityList!$B$4:$B$251&amp;UtilityList!$C$4:$C$251,0)),"")</f>
        <v>Bethel (CA)</v>
      </c>
      <c r="O6" s="369" t="str">
        <f t="array" ref="O6">IFERROR(INDEX(UtilityList!$L$4:$L$251,MATCH('Table 2.1a'!$A6&amp;'Table 2.1a'!$B6&amp;'Table 2.1a'!$C6,UtilityList!$A$4:$A$251&amp;UtilityList!$B$4:$B$251&amp;UtilityList!$C$4:$C$251,0)),"")</f>
        <v>Calista</v>
      </c>
      <c r="P6" s="369" t="str">
        <f t="array" ref="P6">IFERROR(INDEX(UtilityList!$M$4:$M$251,MATCH('Table 2.1a'!$A6&amp;'Table 2.1a'!$B6&amp;'Table 2.1a'!$C6,UtilityList!$A$4:$A$251&amp;UtilityList!$B$4:$B$251&amp;UtilityList!$C$4:$C$251,0)),"")</f>
        <v>SW</v>
      </c>
    </row>
    <row r="7" spans="1:20" s="344" customFormat="1" x14ac:dyDescent="0.25">
      <c r="A7" s="619" t="s">
        <v>33</v>
      </c>
      <c r="B7" s="361" t="s">
        <v>34</v>
      </c>
      <c r="C7" s="350" t="s">
        <v>34</v>
      </c>
      <c r="D7" s="620">
        <v>407</v>
      </c>
      <c r="E7" s="621">
        <v>0</v>
      </c>
      <c r="F7" s="621">
        <v>407</v>
      </c>
      <c r="G7" s="621">
        <v>0</v>
      </c>
      <c r="H7" s="621">
        <v>0</v>
      </c>
      <c r="I7" s="452" t="s">
        <v>1022</v>
      </c>
      <c r="J7" s="622" t="str">
        <f t="array" ref="J7">IFERROR(INDEX(UtilityList!$H$4:$H$251,MATCH('Table 2.1a'!$A7&amp;'Table 2.1a'!$B7&amp;'Table 2.1a'!$C7,UtilityList!$A$4:$A$251&amp;UtilityList!$B$4:$B$251&amp;UtilityList!$C$4:$C$251,0)),"")</f>
        <v>PCE Eligible Active</v>
      </c>
      <c r="K7" s="709">
        <f t="array" ref="K7">IFERROR(INDEX(UtilityList!$Q$4:$Q$251,MATCH('Table 2.1a'!$A7&amp;'Table 2.1a'!$B7&amp;'Table 2.1a'!$C7,UtilityList!$A$4:$A$251&amp;UtilityList!$B$4:$B$251&amp;UtilityList!$C$4:$C$251,0)),"")</f>
        <v>0</v>
      </c>
      <c r="L7" s="622" t="str">
        <f t="array" ref="L7">IFERROR(INDEX(UtilityList!$I$4:$I$251,MATCH('Table 2.1a'!$A7&amp;'Table 2.1a'!$B7&amp;'Table 2.1a'!$C7,UtilityList!$A$4:$A$251&amp;UtilityList!$B$4:$B$251&amp;UtilityList!$C$4:$C$251,0)),"")</f>
        <v>AKUT</v>
      </c>
      <c r="M7" s="369" t="str">
        <f t="array" ref="M7">IFERROR(INDEX(UtilityList!$J$4:$J$251,MATCH('Table 2.1a'!$A7&amp;'Table 2.1a'!$B7&amp;'Table 2.1a'!$C7,UtilityList!$A$4:$A$251&amp;UtilityList!$B$4:$B$251&amp;UtilityList!$C$4:$C$251,0)),"")</f>
        <v>Aleutians</v>
      </c>
      <c r="N7" s="369" t="str">
        <f t="array" ref="N7">IFERROR(INDEX(UtilityList!$K$4:$K$251,MATCH('Table 2.1a'!$A7&amp;'Table 2.1a'!$B7&amp;'Table 2.1a'!$C7,UtilityList!$A$4:$A$251&amp;UtilityList!$B$4:$B$251&amp;UtilityList!$C$4:$C$251,0)),"")</f>
        <v>Aleutians East</v>
      </c>
      <c r="O7" s="369" t="str">
        <f t="array" ref="O7">IFERROR(INDEX(UtilityList!$L$4:$L$251,MATCH('Table 2.1a'!$A7&amp;'Table 2.1a'!$B7&amp;'Table 2.1a'!$C7,UtilityList!$A$4:$A$251&amp;UtilityList!$B$4:$B$251&amp;UtilityList!$C$4:$C$251,0)),"")</f>
        <v>Aleut</v>
      </c>
      <c r="P7" s="369" t="str">
        <f t="array" ref="P7">IFERROR(INDEX(UtilityList!$M$4:$M$251,MATCH('Table 2.1a'!$A7&amp;'Table 2.1a'!$B7&amp;'Table 2.1a'!$C7,UtilityList!$A$4:$A$251&amp;UtilityList!$B$4:$B$251&amp;UtilityList!$C$4:$C$251,0)),"")</f>
        <v>SW</v>
      </c>
    </row>
    <row r="8" spans="1:20" s="344" customFormat="1" x14ac:dyDescent="0.25">
      <c r="A8" s="619" t="s">
        <v>523</v>
      </c>
      <c r="B8" s="361" t="s">
        <v>35</v>
      </c>
      <c r="C8" s="350" t="s">
        <v>36</v>
      </c>
      <c r="D8" s="620">
        <v>4000</v>
      </c>
      <c r="E8" s="621">
        <v>0</v>
      </c>
      <c r="F8" s="621">
        <v>0</v>
      </c>
      <c r="G8" s="621">
        <v>4000</v>
      </c>
      <c r="H8" s="621">
        <v>0</v>
      </c>
      <c r="I8" s="452" t="s">
        <v>1020</v>
      </c>
      <c r="J8" s="622" t="str">
        <f t="array" ref="J8">IFERROR(INDEX(UtilityList!$H$4:$H$251,MATCH('Table 2.1a'!$A8&amp;'Table 2.1a'!$B8&amp;'Table 2.1a'!$C8,UtilityList!$A$4:$A$251&amp;UtilityList!$B$4:$B$251&amp;UtilityList!$C$4:$C$251,0)),"")</f>
        <v>PCE Ineligible</v>
      </c>
      <c r="K8" s="709">
        <f t="array" ref="K8">IFERROR(INDEX(UtilityList!$Q$4:$Q$251,MATCH('Table 2.1a'!$A8&amp;'Table 2.1a'!$B8&amp;'Table 2.1a'!$C8,UtilityList!$A$4:$A$251&amp;UtilityList!$B$4:$B$251&amp;UtilityList!$C$4:$C$251,0)),"")</f>
        <v>0</v>
      </c>
      <c r="L8" s="622" t="str">
        <f t="array" ref="L8">IFERROR(INDEX(UtilityList!$I$4:$I$251,MATCH('Table 2.1a'!$A8&amp;'Table 2.1a'!$B8&amp;'Table 2.1a'!$C8,UtilityList!$A$4:$A$251&amp;UtilityList!$B$4:$B$251&amp;UtilityList!$C$4:$C$251,0)),"")</f>
        <v>AEL&amp;P</v>
      </c>
      <c r="M8" s="369" t="str">
        <f t="array" ref="M8">IFERROR(INDEX(UtilityList!$J$4:$J$251,MATCH('Table 2.1a'!$A8&amp;'Table 2.1a'!$B8&amp;'Table 2.1a'!$C8,UtilityList!$A$4:$A$251&amp;UtilityList!$B$4:$B$251&amp;UtilityList!$C$4:$C$251,0)),"")</f>
        <v>Southeast</v>
      </c>
      <c r="N8" s="369" t="str">
        <f t="array" ref="N8">IFERROR(INDEX(UtilityList!$K$4:$K$251,MATCH('Table 2.1a'!$A8&amp;'Table 2.1a'!$B8&amp;'Table 2.1a'!$C8,UtilityList!$A$4:$A$251&amp;UtilityList!$B$4:$B$251&amp;UtilityList!$C$4:$C$251,0)),"")</f>
        <v>Juneau</v>
      </c>
      <c r="O8" s="369" t="str">
        <f t="array" ref="O8">IFERROR(INDEX(UtilityList!$L$4:$L$251,MATCH('Table 2.1a'!$A8&amp;'Table 2.1a'!$B8&amp;'Table 2.1a'!$C8,UtilityList!$A$4:$A$251&amp;UtilityList!$B$4:$B$251&amp;UtilityList!$C$4:$C$251,0)),"")</f>
        <v>Sealaska</v>
      </c>
      <c r="P8" s="369" t="str">
        <f t="array" ref="P8">IFERROR(INDEX(UtilityList!$M$4:$M$251,MATCH('Table 2.1a'!$A8&amp;'Table 2.1a'!$B8&amp;'Table 2.1a'!$C8,UtilityList!$A$4:$A$251&amp;UtilityList!$B$4:$B$251&amp;UtilityList!$C$4:$C$251,0)),"")</f>
        <v>SE</v>
      </c>
    </row>
    <row r="9" spans="1:20" s="344" customFormat="1" x14ac:dyDescent="0.25">
      <c r="A9" s="619" t="s">
        <v>523</v>
      </c>
      <c r="B9" s="361" t="s">
        <v>37</v>
      </c>
      <c r="C9" s="350" t="s">
        <v>36</v>
      </c>
      <c r="D9" s="620">
        <v>36200</v>
      </c>
      <c r="E9" s="621">
        <v>33700</v>
      </c>
      <c r="F9" s="621">
        <v>2500</v>
      </c>
      <c r="G9" s="621">
        <v>0</v>
      </c>
      <c r="H9" s="621">
        <v>0</v>
      </c>
      <c r="I9" s="452" t="s">
        <v>1020</v>
      </c>
      <c r="J9" s="622" t="str">
        <f t="array" ref="J9">IFERROR(INDEX(UtilityList!$H$4:$H$251,MATCH('Table 2.1a'!$A9&amp;'Table 2.1a'!$B9&amp;'Table 2.1a'!$C9,UtilityList!$A$4:$A$251&amp;UtilityList!$B$4:$B$251&amp;UtilityList!$C$4:$C$251,0)),"")</f>
        <v>PCE Ineligible</v>
      </c>
      <c r="K9" s="709">
        <f t="array" ref="K9">IFERROR(INDEX(UtilityList!$Q$4:$Q$251,MATCH('Table 2.1a'!$A9&amp;'Table 2.1a'!$B9&amp;'Table 2.1a'!$C9,UtilityList!$A$4:$A$251&amp;UtilityList!$B$4:$B$251&amp;UtilityList!$C$4:$C$251,0)),"")</f>
        <v>0</v>
      </c>
      <c r="L9" s="622" t="str">
        <f t="array" ref="L9">IFERROR(INDEX(UtilityList!$I$4:$I$251,MATCH('Table 2.1a'!$A9&amp;'Table 2.1a'!$B9&amp;'Table 2.1a'!$C9,UtilityList!$A$4:$A$251&amp;UtilityList!$B$4:$B$251&amp;UtilityList!$C$4:$C$251,0)),"")</f>
        <v>AEL&amp;P</v>
      </c>
      <c r="M9" s="369" t="str">
        <f t="array" ref="M9">IFERROR(INDEX(UtilityList!$J$4:$J$251,MATCH('Table 2.1a'!$A9&amp;'Table 2.1a'!$B9&amp;'Table 2.1a'!$C9,UtilityList!$A$4:$A$251&amp;UtilityList!$B$4:$B$251&amp;UtilityList!$C$4:$C$251,0)),"")</f>
        <v>Southeast</v>
      </c>
      <c r="N9" s="369" t="str">
        <f t="array" ref="N9">IFERROR(INDEX(UtilityList!$K$4:$K$251,MATCH('Table 2.1a'!$A9&amp;'Table 2.1a'!$B9&amp;'Table 2.1a'!$C9,UtilityList!$A$4:$A$251&amp;UtilityList!$B$4:$B$251&amp;UtilityList!$C$4:$C$251,0)),"")</f>
        <v>Juneau</v>
      </c>
      <c r="O9" s="369" t="str">
        <f t="array" ref="O9">IFERROR(INDEX(UtilityList!$L$4:$L$251,MATCH('Table 2.1a'!$A9&amp;'Table 2.1a'!$B9&amp;'Table 2.1a'!$C9,UtilityList!$A$4:$A$251&amp;UtilityList!$B$4:$B$251&amp;UtilityList!$C$4:$C$251,0)),"")</f>
        <v>Sealaska</v>
      </c>
      <c r="P9" s="369" t="str">
        <f t="array" ref="P9">IFERROR(INDEX(UtilityList!$M$4:$M$251,MATCH('Table 2.1a'!$A9&amp;'Table 2.1a'!$B9&amp;'Table 2.1a'!$C9,UtilityList!$A$4:$A$251&amp;UtilityList!$B$4:$B$251&amp;UtilityList!$C$4:$C$251,0)),"")</f>
        <v>SE</v>
      </c>
    </row>
    <row r="10" spans="1:20" s="344" customFormat="1" x14ac:dyDescent="0.25">
      <c r="A10" s="619" t="s">
        <v>523</v>
      </c>
      <c r="B10" s="361" t="s">
        <v>38</v>
      </c>
      <c r="C10" s="350" t="s">
        <v>36</v>
      </c>
      <c r="D10" s="620">
        <v>9700</v>
      </c>
      <c r="E10" s="621">
        <v>0</v>
      </c>
      <c r="F10" s="621">
        <v>8100</v>
      </c>
      <c r="G10" s="621">
        <v>1600</v>
      </c>
      <c r="H10" s="621">
        <v>0</v>
      </c>
      <c r="I10" s="452" t="s">
        <v>1020</v>
      </c>
      <c r="J10" s="622" t="str">
        <f t="array" ref="J10">IFERROR(INDEX(UtilityList!$H$4:$H$251,MATCH('Table 2.1a'!$A10&amp;'Table 2.1a'!$B10&amp;'Table 2.1a'!$C10,UtilityList!$A$4:$A$251&amp;UtilityList!$B$4:$B$251&amp;UtilityList!$C$4:$C$251,0)),"")</f>
        <v>PCE Ineligible</v>
      </c>
      <c r="K10" s="709">
        <f t="array" ref="K10">IFERROR(INDEX(UtilityList!$Q$4:$Q$251,MATCH('Table 2.1a'!$A10&amp;'Table 2.1a'!$B10&amp;'Table 2.1a'!$C10,UtilityList!$A$4:$A$251&amp;UtilityList!$B$4:$B$251&amp;UtilityList!$C$4:$C$251,0)),"")</f>
        <v>0</v>
      </c>
      <c r="L10" s="622" t="str">
        <f t="array" ref="L10">IFERROR(INDEX(UtilityList!$I$4:$I$251,MATCH('Table 2.1a'!$A10&amp;'Table 2.1a'!$B10&amp;'Table 2.1a'!$C10,UtilityList!$A$4:$A$251&amp;UtilityList!$B$4:$B$251&amp;UtilityList!$C$4:$C$251,0)),"")</f>
        <v>AEL&amp;P</v>
      </c>
      <c r="M10" s="369" t="str">
        <f t="array" ref="M10">IFERROR(INDEX(UtilityList!$J$4:$J$251,MATCH('Table 2.1a'!$A10&amp;'Table 2.1a'!$B10&amp;'Table 2.1a'!$C10,UtilityList!$A$4:$A$251&amp;UtilityList!$B$4:$B$251&amp;UtilityList!$C$4:$C$251,0)),"")</f>
        <v>Southeast</v>
      </c>
      <c r="N10" s="369" t="str">
        <f t="array" ref="N10">IFERROR(INDEX(UtilityList!$K$4:$K$251,MATCH('Table 2.1a'!$A10&amp;'Table 2.1a'!$B10&amp;'Table 2.1a'!$C10,UtilityList!$A$4:$A$251&amp;UtilityList!$B$4:$B$251&amp;UtilityList!$C$4:$C$251,0)),"")</f>
        <v>Juneau</v>
      </c>
      <c r="O10" s="369" t="str">
        <f t="array" ref="O10">IFERROR(INDEX(UtilityList!$L$4:$L$251,MATCH('Table 2.1a'!$A10&amp;'Table 2.1a'!$B10&amp;'Table 2.1a'!$C10,UtilityList!$A$4:$A$251&amp;UtilityList!$B$4:$B$251&amp;UtilityList!$C$4:$C$251,0)),"")</f>
        <v>Sealaska</v>
      </c>
      <c r="P10" s="369" t="str">
        <f t="array" ref="P10">IFERROR(INDEX(UtilityList!$M$4:$M$251,MATCH('Table 2.1a'!$A10&amp;'Table 2.1a'!$B10&amp;'Table 2.1a'!$C10,UtilityList!$A$4:$A$251&amp;UtilityList!$B$4:$B$251&amp;UtilityList!$C$4:$C$251,0)),"")</f>
        <v>SE</v>
      </c>
    </row>
    <row r="11" spans="1:20" s="344" customFormat="1" x14ac:dyDescent="0.25">
      <c r="A11" s="619" t="s">
        <v>523</v>
      </c>
      <c r="B11" s="361" t="s">
        <v>39</v>
      </c>
      <c r="C11" s="350" t="s">
        <v>36</v>
      </c>
      <c r="D11" s="620">
        <v>14300</v>
      </c>
      <c r="E11" s="621">
        <v>0</v>
      </c>
      <c r="F11" s="621">
        <v>0</v>
      </c>
      <c r="G11" s="621">
        <v>14300</v>
      </c>
      <c r="H11" s="621">
        <v>0</v>
      </c>
      <c r="I11" s="452" t="s">
        <v>1020</v>
      </c>
      <c r="J11" s="622" t="str">
        <f t="array" ref="J11">IFERROR(INDEX(UtilityList!$H$4:$H$251,MATCH('Table 2.1a'!$A11&amp;'Table 2.1a'!$B11&amp;'Table 2.1a'!$C11,UtilityList!$A$4:$A$251&amp;UtilityList!$B$4:$B$251&amp;UtilityList!$C$4:$C$251,0)),"")</f>
        <v>PCE Ineligible</v>
      </c>
      <c r="K11" s="709">
        <f t="array" ref="K11">IFERROR(INDEX(UtilityList!$Q$4:$Q$251,MATCH('Table 2.1a'!$A11&amp;'Table 2.1a'!$B11&amp;'Table 2.1a'!$C11,UtilityList!$A$4:$A$251&amp;UtilityList!$B$4:$B$251&amp;UtilityList!$C$4:$C$251,0)),"")</f>
        <v>0</v>
      </c>
      <c r="L11" s="622" t="str">
        <f t="array" ref="L11">IFERROR(INDEX(UtilityList!$I$4:$I$251,MATCH('Table 2.1a'!$A11&amp;'Table 2.1a'!$B11&amp;'Table 2.1a'!$C11,UtilityList!$A$4:$A$251&amp;UtilityList!$B$4:$B$251&amp;UtilityList!$C$4:$C$251,0)),"")</f>
        <v>AEL&amp;P</v>
      </c>
      <c r="M11" s="369" t="str">
        <f t="array" ref="M11">IFERROR(INDEX(UtilityList!$J$4:$J$251,MATCH('Table 2.1a'!$A11&amp;'Table 2.1a'!$B11&amp;'Table 2.1a'!$C11,UtilityList!$A$4:$A$251&amp;UtilityList!$B$4:$B$251&amp;UtilityList!$C$4:$C$251,0)),"")</f>
        <v>Southeast</v>
      </c>
      <c r="N11" s="369" t="str">
        <f t="array" ref="N11">IFERROR(INDEX(UtilityList!$K$4:$K$251,MATCH('Table 2.1a'!$A11&amp;'Table 2.1a'!$B11&amp;'Table 2.1a'!$C11,UtilityList!$A$4:$A$251&amp;UtilityList!$B$4:$B$251&amp;UtilityList!$C$4:$C$251,0)),"")</f>
        <v>Juneau</v>
      </c>
      <c r="O11" s="369" t="str">
        <f t="array" ref="O11">IFERROR(INDEX(UtilityList!$L$4:$L$251,MATCH('Table 2.1a'!$A11&amp;'Table 2.1a'!$B11&amp;'Table 2.1a'!$C11,UtilityList!$A$4:$A$251&amp;UtilityList!$B$4:$B$251&amp;UtilityList!$C$4:$C$251,0)),"")</f>
        <v>Sealaska</v>
      </c>
      <c r="P11" s="369" t="str">
        <f t="array" ref="P11">IFERROR(INDEX(UtilityList!$M$4:$M$251,MATCH('Table 2.1a'!$A11&amp;'Table 2.1a'!$B11&amp;'Table 2.1a'!$C11,UtilityList!$A$4:$A$251&amp;UtilityList!$B$4:$B$251&amp;UtilityList!$C$4:$C$251,0)),"")</f>
        <v>SE</v>
      </c>
    </row>
    <row r="12" spans="1:20" s="344" customFormat="1" x14ac:dyDescent="0.25">
      <c r="A12" s="619" t="s">
        <v>523</v>
      </c>
      <c r="B12" s="361" t="s">
        <v>40</v>
      </c>
      <c r="C12" s="350" t="s">
        <v>36</v>
      </c>
      <c r="D12" s="620">
        <v>61700</v>
      </c>
      <c r="E12" s="621">
        <v>37200</v>
      </c>
      <c r="F12" s="621">
        <v>24500</v>
      </c>
      <c r="G12" s="621">
        <v>0</v>
      </c>
      <c r="H12" s="621">
        <v>0</v>
      </c>
      <c r="I12" s="452" t="s">
        <v>1020</v>
      </c>
      <c r="J12" s="622" t="str">
        <f t="array" ref="J12">IFERROR(INDEX(UtilityList!$H$4:$H$251,MATCH('Table 2.1a'!$A12&amp;'Table 2.1a'!$B12&amp;'Table 2.1a'!$C12,UtilityList!$A$4:$A$251&amp;UtilityList!$B$4:$B$251&amp;UtilityList!$C$4:$C$251,0)),"")</f>
        <v>PCE Ineligible</v>
      </c>
      <c r="K12" s="709">
        <f t="array" ref="K12">IFERROR(INDEX(UtilityList!$Q$4:$Q$251,MATCH('Table 2.1a'!$A12&amp;'Table 2.1a'!$B12&amp;'Table 2.1a'!$C12,UtilityList!$A$4:$A$251&amp;UtilityList!$B$4:$B$251&amp;UtilityList!$C$4:$C$251,0)),"")</f>
        <v>0</v>
      </c>
      <c r="L12" s="622" t="str">
        <f t="array" ref="L12">IFERROR(INDEX(UtilityList!$I$4:$I$251,MATCH('Table 2.1a'!$A12&amp;'Table 2.1a'!$B12&amp;'Table 2.1a'!$C12,UtilityList!$A$4:$A$251&amp;UtilityList!$B$4:$B$251&amp;UtilityList!$C$4:$C$251,0)),"")</f>
        <v>AEL&amp;P</v>
      </c>
      <c r="M12" s="369" t="str">
        <f t="array" ref="M12">IFERROR(INDEX(UtilityList!$J$4:$J$251,MATCH('Table 2.1a'!$A12&amp;'Table 2.1a'!$B12&amp;'Table 2.1a'!$C12,UtilityList!$A$4:$A$251&amp;UtilityList!$B$4:$B$251&amp;UtilityList!$C$4:$C$251,0)),"")</f>
        <v>Southeast</v>
      </c>
      <c r="N12" s="369" t="str">
        <f t="array" ref="N12">IFERROR(INDEX(UtilityList!$K$4:$K$251,MATCH('Table 2.1a'!$A12&amp;'Table 2.1a'!$B12&amp;'Table 2.1a'!$C12,UtilityList!$A$4:$A$251&amp;UtilityList!$B$4:$B$251&amp;UtilityList!$C$4:$C$251,0)),"")</f>
        <v>Juneau</v>
      </c>
      <c r="O12" s="369" t="str">
        <f t="array" ref="O12">IFERROR(INDEX(UtilityList!$L$4:$L$251,MATCH('Table 2.1a'!$A12&amp;'Table 2.1a'!$B12&amp;'Table 2.1a'!$C12,UtilityList!$A$4:$A$251&amp;UtilityList!$B$4:$B$251&amp;UtilityList!$C$4:$C$251,0)),"")</f>
        <v>Sealaska</v>
      </c>
      <c r="P12" s="369" t="str">
        <f t="array" ref="P12">IFERROR(INDEX(UtilityList!$M$4:$M$251,MATCH('Table 2.1a'!$A12&amp;'Table 2.1a'!$B12&amp;'Table 2.1a'!$C12,UtilityList!$A$4:$A$251&amp;UtilityList!$B$4:$B$251&amp;UtilityList!$C$4:$C$251,0)),"")</f>
        <v>SE</v>
      </c>
    </row>
    <row r="13" spans="1:20" s="344" customFormat="1" x14ac:dyDescent="0.25">
      <c r="A13" s="619" t="s">
        <v>523</v>
      </c>
      <c r="B13" s="361" t="s">
        <v>41</v>
      </c>
      <c r="C13" s="350" t="s">
        <v>36</v>
      </c>
      <c r="D13" s="620">
        <v>8500</v>
      </c>
      <c r="E13" s="621">
        <v>0</v>
      </c>
      <c r="F13" s="621">
        <v>0</v>
      </c>
      <c r="G13" s="621">
        <v>8500</v>
      </c>
      <c r="H13" s="621">
        <v>0</v>
      </c>
      <c r="I13" s="452" t="s">
        <v>1020</v>
      </c>
      <c r="J13" s="622" t="str">
        <f t="array" ref="J13">IFERROR(INDEX(UtilityList!$H$4:$H$251,MATCH('Table 2.1a'!$A13&amp;'Table 2.1a'!$B13&amp;'Table 2.1a'!$C13,UtilityList!$A$4:$A$251&amp;UtilityList!$B$4:$B$251&amp;UtilityList!$C$4:$C$251,0)),"")</f>
        <v>PCE Ineligible</v>
      </c>
      <c r="K13" s="709">
        <f t="array" ref="K13">IFERROR(INDEX(UtilityList!$Q$4:$Q$251,MATCH('Table 2.1a'!$A13&amp;'Table 2.1a'!$B13&amp;'Table 2.1a'!$C13,UtilityList!$A$4:$A$251&amp;UtilityList!$B$4:$B$251&amp;UtilityList!$C$4:$C$251,0)),"")</f>
        <v>0</v>
      </c>
      <c r="L13" s="622" t="str">
        <f t="array" ref="L13">IFERROR(INDEX(UtilityList!$I$4:$I$251,MATCH('Table 2.1a'!$A13&amp;'Table 2.1a'!$B13&amp;'Table 2.1a'!$C13,UtilityList!$A$4:$A$251&amp;UtilityList!$B$4:$B$251&amp;UtilityList!$C$4:$C$251,0)),"")</f>
        <v>AEL&amp;P</v>
      </c>
      <c r="M13" s="369" t="str">
        <f t="array" ref="M13">IFERROR(INDEX(UtilityList!$J$4:$J$251,MATCH('Table 2.1a'!$A13&amp;'Table 2.1a'!$B13&amp;'Table 2.1a'!$C13,UtilityList!$A$4:$A$251&amp;UtilityList!$B$4:$B$251&amp;UtilityList!$C$4:$C$251,0)),"")</f>
        <v>Southeast</v>
      </c>
      <c r="N13" s="369" t="str">
        <f t="array" ref="N13">IFERROR(INDEX(UtilityList!$K$4:$K$251,MATCH('Table 2.1a'!$A13&amp;'Table 2.1a'!$B13&amp;'Table 2.1a'!$C13,UtilityList!$A$4:$A$251&amp;UtilityList!$B$4:$B$251&amp;UtilityList!$C$4:$C$251,0)),"")</f>
        <v>Juneau</v>
      </c>
      <c r="O13" s="369" t="str">
        <f t="array" ref="O13">IFERROR(INDEX(UtilityList!$L$4:$L$251,MATCH('Table 2.1a'!$A13&amp;'Table 2.1a'!$B13&amp;'Table 2.1a'!$C13,UtilityList!$A$4:$A$251&amp;UtilityList!$B$4:$B$251&amp;UtilityList!$C$4:$C$251,0)),"")</f>
        <v>Sealaska</v>
      </c>
      <c r="P13" s="369" t="str">
        <f t="array" ref="P13">IFERROR(INDEX(UtilityList!$M$4:$M$251,MATCH('Table 2.1a'!$A13&amp;'Table 2.1a'!$B13&amp;'Table 2.1a'!$C13,UtilityList!$A$4:$A$251&amp;UtilityList!$B$4:$B$251&amp;UtilityList!$C$4:$C$251,0)),"")</f>
        <v>SE</v>
      </c>
    </row>
    <row r="14" spans="1:20" s="344" customFormat="1" x14ac:dyDescent="0.25">
      <c r="A14" s="619" t="s">
        <v>523</v>
      </c>
      <c r="B14" s="361" t="s">
        <v>42</v>
      </c>
      <c r="C14" s="350" t="s">
        <v>36</v>
      </c>
      <c r="D14" s="620">
        <v>78200</v>
      </c>
      <c r="E14" s="621">
        <v>0</v>
      </c>
      <c r="F14" s="621">
        <v>0</v>
      </c>
      <c r="G14" s="621">
        <v>78200</v>
      </c>
      <c r="H14" s="621">
        <v>0</v>
      </c>
      <c r="I14" s="452" t="s">
        <v>1020</v>
      </c>
      <c r="J14" s="622" t="str">
        <f t="array" ref="J14">IFERROR(INDEX(UtilityList!$H$4:$H$251,MATCH('Table 2.1a'!$A14&amp;'Table 2.1a'!$B14&amp;'Table 2.1a'!$C14,UtilityList!$A$4:$A$251&amp;UtilityList!$B$4:$B$251&amp;UtilityList!$C$4:$C$251,0)),"")</f>
        <v>PCE Ineligible</v>
      </c>
      <c r="K14" s="709">
        <f t="array" ref="K14">IFERROR(INDEX(UtilityList!$Q$4:$Q$251,MATCH('Table 2.1a'!$A14&amp;'Table 2.1a'!$B14&amp;'Table 2.1a'!$C14,UtilityList!$A$4:$A$251&amp;UtilityList!$B$4:$B$251&amp;UtilityList!$C$4:$C$251,0)),"")</f>
        <v>0</v>
      </c>
      <c r="L14" s="622" t="str">
        <f t="array" ref="L14">IFERROR(INDEX(UtilityList!$I$4:$I$251,MATCH('Table 2.1a'!$A14&amp;'Table 2.1a'!$B14&amp;'Table 2.1a'!$C14,UtilityList!$A$4:$A$251&amp;UtilityList!$B$4:$B$251&amp;UtilityList!$C$4:$C$251,0)),"")</f>
        <v>AEL&amp;P</v>
      </c>
      <c r="M14" s="369" t="str">
        <f t="array" ref="M14">IFERROR(INDEX(UtilityList!$J$4:$J$251,MATCH('Table 2.1a'!$A14&amp;'Table 2.1a'!$B14&amp;'Table 2.1a'!$C14,UtilityList!$A$4:$A$251&amp;UtilityList!$B$4:$B$251&amp;UtilityList!$C$4:$C$251,0)),"")</f>
        <v>Southeast</v>
      </c>
      <c r="N14" s="369" t="str">
        <f t="array" ref="N14">IFERROR(INDEX(UtilityList!$K$4:$K$251,MATCH('Table 2.1a'!$A14&amp;'Table 2.1a'!$B14&amp;'Table 2.1a'!$C14,UtilityList!$A$4:$A$251&amp;UtilityList!$B$4:$B$251&amp;UtilityList!$C$4:$C$251,0)),"")</f>
        <v>Juneau</v>
      </c>
      <c r="O14" s="369" t="str">
        <f t="array" ref="O14">IFERROR(INDEX(UtilityList!$L$4:$L$251,MATCH('Table 2.1a'!$A14&amp;'Table 2.1a'!$B14&amp;'Table 2.1a'!$C14,UtilityList!$A$4:$A$251&amp;UtilityList!$B$4:$B$251&amp;UtilityList!$C$4:$C$251,0)),"")</f>
        <v>Sealaska</v>
      </c>
      <c r="P14" s="369" t="str">
        <f t="array" ref="P14">IFERROR(INDEX(UtilityList!$M$4:$M$251,MATCH('Table 2.1a'!$A14&amp;'Table 2.1a'!$B14&amp;'Table 2.1a'!$C14,UtilityList!$A$4:$A$251&amp;UtilityList!$B$4:$B$251&amp;UtilityList!$C$4:$C$251,0)),"")</f>
        <v>SE</v>
      </c>
    </row>
    <row r="15" spans="1:20" s="344" customFormat="1" ht="90" x14ac:dyDescent="0.25">
      <c r="A15" s="619" t="s">
        <v>642</v>
      </c>
      <c r="B15" s="361" t="s">
        <v>666</v>
      </c>
      <c r="C15" s="350"/>
      <c r="D15" s="620">
        <v>1000</v>
      </c>
      <c r="E15" s="621">
        <v>0</v>
      </c>
      <c r="F15" s="621">
        <v>0</v>
      </c>
      <c r="G15" s="621">
        <v>0</v>
      </c>
      <c r="H15" s="621">
        <v>1012</v>
      </c>
      <c r="I15" s="452" t="s">
        <v>1021</v>
      </c>
      <c r="J15" s="622" t="str">
        <f t="array" ref="J15">IFERROR(INDEX(UtilityList!$H$4:$H$251,MATCH('Table 2.1a'!$A15&amp;'Table 2.1a'!$B15&amp;'Table 2.1a'!$C15,UtilityList!$A$4:$A$251&amp;UtilityList!$B$4:$B$251&amp;UtilityList!$C$4:$C$251,0)),"")</f>
        <v>PCE Ineligible</v>
      </c>
      <c r="K15" s="709" t="str">
        <f t="array" ref="K15">IFERROR(INDEX(UtilityList!$Q$4:$Q$251,MATCH('Table 2.1a'!$A15&amp;'Table 2.1a'!$B15&amp;'Table 2.1a'!$C15,UtilityList!$A$4:$A$251&amp;UtilityList!$B$4:$B$251&amp;UtilityList!$C$4:$C$251,0)),"")</f>
        <v>Plant is also know as Delta Wind. Alaska Environmental LLC is an independent power producer that sells all its power to GVEA.</v>
      </c>
      <c r="L15" s="622" t="str">
        <f t="array" ref="L15">IFERROR(INDEX(UtilityList!$I$4:$I$251,MATCH('Table 2.1a'!$A15&amp;'Table 2.1a'!$B15&amp;'Table 2.1a'!$C15,UtilityList!$A$4:$A$251&amp;UtilityList!$B$4:$B$251&amp;UtilityList!$C$4:$C$251,0)),"")</f>
        <v>AKENV</v>
      </c>
      <c r="M15" s="369" t="str">
        <f t="array" ref="M15">IFERROR(INDEX(UtilityList!$J$4:$J$251,MATCH('Table 2.1a'!$A15&amp;'Table 2.1a'!$B15&amp;'Table 2.1a'!$C15,UtilityList!$A$4:$A$251&amp;UtilityList!$B$4:$B$251&amp;UtilityList!$C$4:$C$251,0)),"")</f>
        <v>Railbelt</v>
      </c>
      <c r="N15" s="369" t="str">
        <f t="array" ref="N15">IFERROR(INDEX(UtilityList!$K$4:$K$251,MATCH('Table 2.1a'!$A15&amp;'Table 2.1a'!$B15&amp;'Table 2.1a'!$C15,UtilityList!$A$4:$A$251&amp;UtilityList!$B$4:$B$251&amp;UtilityList!$C$4:$C$251,0)),"")</f>
        <v>Southeast Fairbanks (CA)</v>
      </c>
      <c r="O15" s="369" t="str">
        <f t="array" ref="O15">IFERROR(INDEX(UtilityList!$L$4:$L$251,MATCH('Table 2.1a'!$A15&amp;'Table 2.1a'!$B15&amp;'Table 2.1a'!$C15,UtilityList!$A$4:$A$251&amp;UtilityList!$B$4:$B$251&amp;UtilityList!$C$4:$C$251,0)),"")</f>
        <v>Doyon</v>
      </c>
      <c r="P15" s="369" t="str">
        <f t="array" ref="P15">IFERROR(INDEX(UtilityList!$M$4:$M$251,MATCH('Table 2.1a'!$A15&amp;'Table 2.1a'!$B15&amp;'Table 2.1a'!$C15,UtilityList!$A$4:$A$251&amp;UtilityList!$B$4:$B$251&amp;UtilityList!$C$4:$C$251,0)),"")</f>
        <v>YU</v>
      </c>
    </row>
    <row r="16" spans="1:20" s="344" customFormat="1" ht="60" x14ac:dyDescent="0.25">
      <c r="A16" s="619" t="s">
        <v>43</v>
      </c>
      <c r="B16" s="361" t="s">
        <v>44</v>
      </c>
      <c r="C16" s="350" t="s">
        <v>678</v>
      </c>
      <c r="D16" s="620">
        <v>525</v>
      </c>
      <c r="E16" s="621">
        <v>0</v>
      </c>
      <c r="F16" s="621">
        <v>525</v>
      </c>
      <c r="G16" s="621">
        <v>0</v>
      </c>
      <c r="H16" s="621">
        <v>0</v>
      </c>
      <c r="I16" s="452" t="s">
        <v>1022</v>
      </c>
      <c r="J16" s="622" t="str">
        <f t="array" ref="J16">IFERROR(INDEX(UtilityList!$H$4:$H$251,MATCH('Table 2.1a'!$A16&amp;'Table 2.1a'!$B16&amp;'Table 2.1a'!$C16,UtilityList!$A$4:$A$251&amp;UtilityList!$B$4:$B$251&amp;UtilityList!$C$4:$C$251,0)),"")</f>
        <v>PCE Eligible Active</v>
      </c>
      <c r="K16" s="709" t="str">
        <f t="array" ref="K16">IFERROR(INDEX(UtilityList!$Q$4:$Q$251,MATCH('Table 2.1a'!$A16&amp;'Table 2.1a'!$B16&amp;'Table 2.1a'!$C16,UtilityList!$A$4:$A$251&amp;UtilityList!$B$4:$B$251&amp;UtilityList!$C$4:$C$251,0)),"")</f>
        <v>Provides power to Alatna via intertie. Data includes Alatna's information.</v>
      </c>
      <c r="L16" s="622" t="str">
        <f t="array" ref="L16">IFERROR(INDEX(UtilityList!$I$4:$I$251,MATCH('Table 2.1a'!$A16&amp;'Table 2.1a'!$B16&amp;'Table 2.1a'!$C16,UtilityList!$A$4:$A$251&amp;UtilityList!$B$4:$B$251&amp;UtilityList!$C$4:$C$251,0)),"")</f>
        <v>ALASPCA</v>
      </c>
      <c r="M16" s="369" t="str">
        <f t="array" ref="M16">IFERROR(INDEX(UtilityList!$J$4:$J$251,MATCH('Table 2.1a'!$A16&amp;'Table 2.1a'!$B16&amp;'Table 2.1a'!$C16,UtilityList!$A$4:$A$251&amp;UtilityList!$B$4:$B$251&amp;UtilityList!$C$4:$C$251,0)),"")</f>
        <v>Yukon-Koyukuk/Upper Tanana</v>
      </c>
      <c r="N16" s="369" t="str">
        <f t="array" ref="N16">IFERROR(INDEX(UtilityList!$K$4:$K$251,MATCH('Table 2.1a'!$A16&amp;'Table 2.1a'!$B16&amp;'Table 2.1a'!$C16,UtilityList!$A$4:$A$251&amp;UtilityList!$B$4:$B$251&amp;UtilityList!$C$4:$C$251,0)),"")</f>
        <v>Yukon-Koyukuk (CA)</v>
      </c>
      <c r="O16" s="369" t="str">
        <f t="array" ref="O16">IFERROR(INDEX(UtilityList!$L$4:$L$251,MATCH('Table 2.1a'!$A16&amp;'Table 2.1a'!$B16&amp;'Table 2.1a'!$C16,UtilityList!$A$4:$A$251&amp;UtilityList!$B$4:$B$251&amp;UtilityList!$C$4:$C$251,0)),"")</f>
        <v>Doyon</v>
      </c>
      <c r="P16" s="369" t="str">
        <f t="array" ref="P16">IFERROR(INDEX(UtilityList!$M$4:$M$251,MATCH('Table 2.1a'!$A16&amp;'Table 2.1a'!$B16&amp;'Table 2.1a'!$C16,UtilityList!$A$4:$A$251&amp;UtilityList!$B$4:$B$251&amp;UtilityList!$C$4:$C$251,0)),"")</f>
        <v>YU</v>
      </c>
    </row>
    <row r="17" spans="1:16" s="344" customFormat="1" ht="75" x14ac:dyDescent="0.25">
      <c r="A17" s="619" t="s">
        <v>43</v>
      </c>
      <c r="B17" s="361" t="s">
        <v>45</v>
      </c>
      <c r="C17" s="350" t="s">
        <v>680</v>
      </c>
      <c r="D17" s="620">
        <v>600</v>
      </c>
      <c r="E17" s="621">
        <v>0</v>
      </c>
      <c r="F17" s="621">
        <v>600</v>
      </c>
      <c r="G17" s="621">
        <v>0</v>
      </c>
      <c r="H17" s="621">
        <v>0</v>
      </c>
      <c r="I17" s="452" t="s">
        <v>1022</v>
      </c>
      <c r="J17" s="622" t="str">
        <f t="array" ref="J17">IFERROR(INDEX(UtilityList!$H$4:$H$251,MATCH('Table 2.1a'!$A17&amp;'Table 2.1a'!$B17&amp;'Table 2.1a'!$C17,UtilityList!$A$4:$A$251&amp;UtilityList!$B$4:$B$251&amp;UtilityList!$C$4:$C$251,0)),"")</f>
        <v>PCE Eligible Active</v>
      </c>
      <c r="K17" s="709" t="str">
        <f t="array" ref="K17">IFERROR(INDEX(UtilityList!$Q$4:$Q$251,MATCH('Table 2.1a'!$A17&amp;'Table 2.1a'!$B17&amp;'Table 2.1a'!$C17,UtilityList!$A$4:$A$251&amp;UtilityList!$B$4:$B$251&amp;UtilityList!$C$4:$C$251,0)),"")</f>
        <v>Provides power to Evansville via intertie. Data includes Evansville's information.</v>
      </c>
      <c r="L17" s="622" t="str">
        <f t="array" ref="L17">IFERROR(INDEX(UtilityList!$I$4:$I$251,MATCH('Table 2.1a'!$A17&amp;'Table 2.1a'!$B17&amp;'Table 2.1a'!$C17,UtilityList!$A$4:$A$251&amp;UtilityList!$B$4:$B$251&amp;UtilityList!$C$4:$C$251,0)),"")</f>
        <v>ALASPCA</v>
      </c>
      <c r="M17" s="369" t="str">
        <f t="array" ref="M17">IFERROR(INDEX(UtilityList!$J$4:$J$251,MATCH('Table 2.1a'!$A17&amp;'Table 2.1a'!$B17&amp;'Table 2.1a'!$C17,UtilityList!$A$4:$A$251&amp;UtilityList!$B$4:$B$251&amp;UtilityList!$C$4:$C$251,0)),"")</f>
        <v>Yukon-Koyukuk/Upper Tanana</v>
      </c>
      <c r="N17" s="369" t="str">
        <f t="array" ref="N17">IFERROR(INDEX(UtilityList!$K$4:$K$251,MATCH('Table 2.1a'!$A17&amp;'Table 2.1a'!$B17&amp;'Table 2.1a'!$C17,UtilityList!$A$4:$A$251&amp;UtilityList!$B$4:$B$251&amp;UtilityList!$C$4:$C$251,0)),"")</f>
        <v>Yukon-Koyukuk (CA)</v>
      </c>
      <c r="O17" s="369" t="str">
        <f t="array" ref="O17">IFERROR(INDEX(UtilityList!$L$4:$L$251,MATCH('Table 2.1a'!$A17&amp;'Table 2.1a'!$B17&amp;'Table 2.1a'!$C17,UtilityList!$A$4:$A$251&amp;UtilityList!$B$4:$B$251&amp;UtilityList!$C$4:$C$251,0)),"")</f>
        <v>Doyon</v>
      </c>
      <c r="P17" s="369" t="str">
        <f t="array" ref="P17">IFERROR(INDEX(UtilityList!$M$4:$M$251,MATCH('Table 2.1a'!$A17&amp;'Table 2.1a'!$B17&amp;'Table 2.1a'!$C17,UtilityList!$A$4:$A$251&amp;UtilityList!$B$4:$B$251&amp;UtilityList!$C$4:$C$251,0)),"")</f>
        <v>YU</v>
      </c>
    </row>
    <row r="18" spans="1:16" s="344" customFormat="1" ht="30" x14ac:dyDescent="0.25">
      <c r="A18" s="619" t="s">
        <v>43</v>
      </c>
      <c r="B18" s="361" t="s">
        <v>46</v>
      </c>
      <c r="C18" s="350" t="s">
        <v>46</v>
      </c>
      <c r="D18" s="620">
        <v>200</v>
      </c>
      <c r="E18" s="621">
        <v>0</v>
      </c>
      <c r="F18" s="621">
        <v>200</v>
      </c>
      <c r="G18" s="621">
        <v>0</v>
      </c>
      <c r="H18" s="621">
        <v>0</v>
      </c>
      <c r="I18" s="452" t="s">
        <v>1022</v>
      </c>
      <c r="J18" s="622" t="str">
        <f t="array" ref="J18">IFERROR(INDEX(UtilityList!$H$4:$H$251,MATCH('Table 2.1a'!$A18&amp;'Table 2.1a'!$B18&amp;'Table 2.1a'!$C18,UtilityList!$A$4:$A$251&amp;UtilityList!$B$4:$B$251&amp;UtilityList!$C$4:$C$251,0)),"")</f>
        <v>PCE Eligible Active</v>
      </c>
      <c r="K18" s="709" t="str">
        <f t="array" ref="K18">IFERROR(INDEX(UtilityList!$Q$4:$Q$251,MATCH('Table 2.1a'!$A18&amp;'Table 2.1a'!$B18&amp;'Table 2.1a'!$C18,UtilityList!$A$4:$A$251&amp;UtilityList!$B$4:$B$251&amp;UtilityList!$C$4:$C$251,0)),"")</f>
        <v>Receives power from Slana via intertie.</v>
      </c>
      <c r="L18" s="622" t="str">
        <f t="array" ref="L18">IFERROR(INDEX(UtilityList!$I$4:$I$251,MATCH('Table 2.1a'!$A18&amp;'Table 2.1a'!$B18&amp;'Table 2.1a'!$C18,UtilityList!$A$4:$A$251&amp;UtilityList!$B$4:$B$251&amp;UtilityList!$C$4:$C$251,0)),"")</f>
        <v>ALASPCA</v>
      </c>
      <c r="M18" s="369" t="str">
        <f t="array" ref="M18">IFERROR(INDEX(UtilityList!$J$4:$J$251,MATCH('Table 2.1a'!$A18&amp;'Table 2.1a'!$B18&amp;'Table 2.1a'!$C18,UtilityList!$A$4:$A$251&amp;UtilityList!$B$4:$B$251&amp;UtilityList!$C$4:$C$251,0)),"")</f>
        <v>Copper River/Chugach</v>
      </c>
      <c r="N18" s="369" t="str">
        <f t="array" ref="N18">IFERROR(INDEX(UtilityList!$K$4:$K$251,MATCH('Table 2.1a'!$A18&amp;'Table 2.1a'!$B18&amp;'Table 2.1a'!$C18,UtilityList!$A$4:$A$251&amp;UtilityList!$B$4:$B$251&amp;UtilityList!$C$4:$C$251,0)),"")</f>
        <v>Valdez-Cordova (CA)</v>
      </c>
      <c r="O18" s="369" t="str">
        <f t="array" ref="O18">IFERROR(INDEX(UtilityList!$L$4:$L$251,MATCH('Table 2.1a'!$A18&amp;'Table 2.1a'!$B18&amp;'Table 2.1a'!$C18,UtilityList!$A$4:$A$251&amp;UtilityList!$B$4:$B$251&amp;UtilityList!$C$4:$C$251,0)),"")</f>
        <v>Ahtna</v>
      </c>
      <c r="P18" s="369" t="str">
        <f t="array" ref="P18">IFERROR(INDEX(UtilityList!$M$4:$M$251,MATCH('Table 2.1a'!$A18&amp;'Table 2.1a'!$B18&amp;'Table 2.1a'!$C18,UtilityList!$A$4:$A$251&amp;UtilityList!$B$4:$B$251&amp;UtilityList!$C$4:$C$251,0)),"")</f>
        <v>YU</v>
      </c>
    </row>
    <row r="19" spans="1:16" s="344" customFormat="1" ht="60" x14ac:dyDescent="0.25">
      <c r="A19" s="619" t="s">
        <v>43</v>
      </c>
      <c r="B19" s="361" t="s">
        <v>47</v>
      </c>
      <c r="C19" s="350" t="s">
        <v>47</v>
      </c>
      <c r="D19" s="620">
        <v>660</v>
      </c>
      <c r="E19" s="621">
        <v>0</v>
      </c>
      <c r="F19" s="621">
        <v>660</v>
      </c>
      <c r="G19" s="621">
        <v>0</v>
      </c>
      <c r="H19" s="621">
        <v>0</v>
      </c>
      <c r="I19" s="452" t="s">
        <v>1022</v>
      </c>
      <c r="J19" s="622" t="str">
        <f t="array" ref="J19">IFERROR(INDEX(UtilityList!$H$4:$H$251,MATCH('Table 2.1a'!$A19&amp;'Table 2.1a'!$B19&amp;'Table 2.1a'!$C19,UtilityList!$A$4:$A$251&amp;UtilityList!$B$4:$B$251&amp;UtilityList!$C$4:$C$251,0)),"")</f>
        <v>PCE Eligible Active</v>
      </c>
      <c r="K19" s="709" t="str">
        <f t="array" ref="K19">IFERROR(INDEX(UtilityList!$Q$4:$Q$251,MATCH('Table 2.1a'!$A19&amp;'Table 2.1a'!$B19&amp;'Table 2.1a'!$C19,UtilityList!$A$4:$A$251&amp;UtilityList!$B$4:$B$251&amp;UtilityList!$C$4:$C$251,0)),"")</f>
        <v>Part of the Alaska Power Company's grid on Prince of Wales Island.</v>
      </c>
      <c r="L19" s="622" t="str">
        <f t="array" ref="L19">IFERROR(INDEX(UtilityList!$I$4:$I$251,MATCH('Table 2.1a'!$A19&amp;'Table 2.1a'!$B19&amp;'Table 2.1a'!$C19,UtilityList!$A$4:$A$251&amp;UtilityList!$B$4:$B$251&amp;UtilityList!$C$4:$C$251,0)),"")</f>
        <v>ALASPCA</v>
      </c>
      <c r="M19" s="369" t="str">
        <f t="array" ref="M19">IFERROR(INDEX(UtilityList!$J$4:$J$251,MATCH('Table 2.1a'!$A19&amp;'Table 2.1a'!$B19&amp;'Table 2.1a'!$C19,UtilityList!$A$4:$A$251&amp;UtilityList!$B$4:$B$251&amp;UtilityList!$C$4:$C$251,0)),"")</f>
        <v>Southeast</v>
      </c>
      <c r="N19" s="369" t="str">
        <f t="array" ref="N19">IFERROR(INDEX(UtilityList!$K$4:$K$251,MATCH('Table 2.1a'!$A19&amp;'Table 2.1a'!$B19&amp;'Table 2.1a'!$C19,UtilityList!$A$4:$A$251&amp;UtilityList!$B$4:$B$251&amp;UtilityList!$C$4:$C$251,0)),"")</f>
        <v>Prince of Wales-Hyder (CA)</v>
      </c>
      <c r="O19" s="369" t="str">
        <f t="array" ref="O19">IFERROR(INDEX(UtilityList!$L$4:$L$251,MATCH('Table 2.1a'!$A19&amp;'Table 2.1a'!$B19&amp;'Table 2.1a'!$C19,UtilityList!$A$4:$A$251&amp;UtilityList!$B$4:$B$251&amp;UtilityList!$C$4:$C$251,0)),"")</f>
        <v>Sealaska</v>
      </c>
      <c r="P19" s="369" t="str">
        <f t="array" ref="P19">IFERROR(INDEX(UtilityList!$M$4:$M$251,MATCH('Table 2.1a'!$A19&amp;'Table 2.1a'!$B19&amp;'Table 2.1a'!$C19,UtilityList!$A$4:$A$251&amp;UtilityList!$B$4:$B$251&amp;UtilityList!$C$4:$C$251,0)),"")</f>
        <v>SE</v>
      </c>
    </row>
    <row r="20" spans="1:16" s="344" customFormat="1" ht="60" x14ac:dyDescent="0.25">
      <c r="A20" s="619" t="s">
        <v>43</v>
      </c>
      <c r="B20" s="361" t="s">
        <v>49</v>
      </c>
      <c r="C20" s="350" t="s">
        <v>48</v>
      </c>
      <c r="D20" s="620">
        <v>1000</v>
      </c>
      <c r="E20" s="621">
        <v>0</v>
      </c>
      <c r="F20" s="621">
        <v>1000</v>
      </c>
      <c r="G20" s="621">
        <v>0</v>
      </c>
      <c r="H20" s="621">
        <v>0</v>
      </c>
      <c r="I20" s="452" t="s">
        <v>1020</v>
      </c>
      <c r="J20" s="622" t="str">
        <f t="array" ref="J20">IFERROR(INDEX(UtilityList!$H$4:$H$251,MATCH('Table 2.1a'!$A20&amp;'Table 2.1a'!$B20&amp;'Table 2.1a'!$C20,UtilityList!$A$4:$A$251&amp;UtilityList!$B$4:$B$251&amp;UtilityList!$C$4:$C$251,0)),"")</f>
        <v>PCE Eligible Active</v>
      </c>
      <c r="K20" s="709" t="str">
        <f t="array" ref="K20">IFERROR(INDEX(UtilityList!$Q$4:$Q$251,MATCH('Table 2.1a'!$A20&amp;'Table 2.1a'!$B20&amp;'Table 2.1a'!$C20,UtilityList!$A$4:$A$251&amp;UtilityList!$B$4:$B$251&amp;UtilityList!$C$4:$C$251,0)),"")</f>
        <v>Provides power to Hollis, Klawock, Thorne Bay/Kasaan and Hydaburg via intertie.</v>
      </c>
      <c r="L20" s="622" t="str">
        <f t="array" ref="L20">IFERROR(INDEX(UtilityList!$I$4:$I$251,MATCH('Table 2.1a'!$A20&amp;'Table 2.1a'!$B20&amp;'Table 2.1a'!$C20,UtilityList!$A$4:$A$251&amp;UtilityList!$B$4:$B$251&amp;UtilityList!$C$4:$C$251,0)),"")</f>
        <v>ALASPCA</v>
      </c>
      <c r="M20" s="369" t="str">
        <f t="array" ref="M20">IFERROR(INDEX(UtilityList!$J$4:$J$251,MATCH('Table 2.1a'!$A20&amp;'Table 2.1a'!$B20&amp;'Table 2.1a'!$C20,UtilityList!$A$4:$A$251&amp;UtilityList!$B$4:$B$251&amp;UtilityList!$C$4:$C$251,0)),"")</f>
        <v>Southeast</v>
      </c>
      <c r="N20" s="369" t="str">
        <f t="array" ref="N20">IFERROR(INDEX(UtilityList!$K$4:$K$251,MATCH('Table 2.1a'!$A20&amp;'Table 2.1a'!$B20&amp;'Table 2.1a'!$C20,UtilityList!$A$4:$A$251&amp;UtilityList!$B$4:$B$251&amp;UtilityList!$C$4:$C$251,0)),"")</f>
        <v>Prince of Wales-Hyder (CA)</v>
      </c>
      <c r="O20" s="369" t="str">
        <f t="array" ref="O20">IFERROR(INDEX(UtilityList!$L$4:$L$251,MATCH('Table 2.1a'!$A20&amp;'Table 2.1a'!$B20&amp;'Table 2.1a'!$C20,UtilityList!$A$4:$A$251&amp;UtilityList!$B$4:$B$251&amp;UtilityList!$C$4:$C$251,0)),"")</f>
        <v>Sealaska</v>
      </c>
      <c r="P20" s="369" t="str">
        <f t="array" ref="P20">IFERROR(INDEX(UtilityList!$M$4:$M$251,MATCH('Table 2.1a'!$A20&amp;'Table 2.1a'!$B20&amp;'Table 2.1a'!$C20,UtilityList!$A$4:$A$251&amp;UtilityList!$B$4:$B$251&amp;UtilityList!$C$4:$C$251,0)),"")</f>
        <v>SE</v>
      </c>
    </row>
    <row r="21" spans="1:16" s="344" customFormat="1" ht="105" x14ac:dyDescent="0.25">
      <c r="A21" s="619" t="s">
        <v>43</v>
      </c>
      <c r="B21" s="361" t="s">
        <v>48</v>
      </c>
      <c r="C21" s="350" t="s">
        <v>991</v>
      </c>
      <c r="D21" s="620">
        <v>4400</v>
      </c>
      <c r="E21" s="621">
        <v>0</v>
      </c>
      <c r="F21" s="621">
        <v>4400</v>
      </c>
      <c r="G21" s="621">
        <v>0</v>
      </c>
      <c r="H21" s="621">
        <v>0</v>
      </c>
      <c r="I21" s="452" t="s">
        <v>1020</v>
      </c>
      <c r="J21" s="622" t="str">
        <f t="array" ref="J21">IFERROR(INDEX(UtilityList!$H$4:$H$251,MATCH('Table 2.1a'!$A21&amp;'Table 2.1a'!$B21&amp;'Table 2.1a'!$C21,UtilityList!$A$4:$A$251&amp;UtilityList!$B$4:$B$251&amp;UtilityList!$C$4:$C$251,0)),"")</f>
        <v>PCE Eligible Active</v>
      </c>
      <c r="K21" s="709" t="str">
        <f t="array" ref="K21">IFERROR(INDEX(UtilityList!$Q$4:$Q$251,MATCH('Table 2.1a'!$A21&amp;'Table 2.1a'!$B21&amp;'Table 2.1a'!$C21,UtilityList!$A$4:$A$251&amp;UtilityList!$B$4:$B$251&amp;UtilityList!$C$4:$C$251,0)),"")</f>
        <v>Part of the Alaska Power Company's grid on Prince of Wales Island. Provides to Hollis, Hydaburg, Klawock, Thorne Bay and Kaasan.</v>
      </c>
      <c r="L21" s="622" t="str">
        <f t="array" ref="L21">IFERROR(INDEX(UtilityList!$I$4:$I$251,MATCH('Table 2.1a'!$A21&amp;'Table 2.1a'!$B21&amp;'Table 2.1a'!$C21,UtilityList!$A$4:$A$251&amp;UtilityList!$B$4:$B$251&amp;UtilityList!$C$4:$C$251,0)),"")</f>
        <v>ALASPCA</v>
      </c>
      <c r="M21" s="369" t="str">
        <f t="array" ref="M21">IFERROR(INDEX(UtilityList!$J$4:$J$251,MATCH('Table 2.1a'!$A21&amp;'Table 2.1a'!$B21&amp;'Table 2.1a'!$C21,UtilityList!$A$4:$A$251&amp;UtilityList!$B$4:$B$251&amp;UtilityList!$C$4:$C$251,0)),"")</f>
        <v>Southeast</v>
      </c>
      <c r="N21" s="369" t="str">
        <f t="array" ref="N21">IFERROR(INDEX(UtilityList!$K$4:$K$251,MATCH('Table 2.1a'!$A21&amp;'Table 2.1a'!$B21&amp;'Table 2.1a'!$C21,UtilityList!$A$4:$A$251&amp;UtilityList!$B$4:$B$251&amp;UtilityList!$C$4:$C$251,0)),"")</f>
        <v>Prince of Wales-Hyder (CA)</v>
      </c>
      <c r="O21" s="369" t="str">
        <f t="array" ref="O21">IFERROR(INDEX(UtilityList!$L$4:$L$251,MATCH('Table 2.1a'!$A21&amp;'Table 2.1a'!$B21&amp;'Table 2.1a'!$C21,UtilityList!$A$4:$A$251&amp;UtilityList!$B$4:$B$251&amp;UtilityList!$C$4:$C$251,0)),"")</f>
        <v>Sealaska</v>
      </c>
      <c r="P21" s="369" t="str">
        <f t="array" ref="P21">IFERROR(INDEX(UtilityList!$M$4:$M$251,MATCH('Table 2.1a'!$A21&amp;'Table 2.1a'!$B21&amp;'Table 2.1a'!$C21,UtilityList!$A$4:$A$251&amp;UtilityList!$B$4:$B$251&amp;UtilityList!$C$4:$C$251,0)),"")</f>
        <v>SE</v>
      </c>
    </row>
    <row r="22" spans="1:16" s="344" customFormat="1" ht="60" x14ac:dyDescent="0.25">
      <c r="A22" s="619" t="s">
        <v>43</v>
      </c>
      <c r="B22" s="361" t="s">
        <v>58</v>
      </c>
      <c r="C22" s="351" t="s">
        <v>649</v>
      </c>
      <c r="D22" s="620">
        <v>4500</v>
      </c>
      <c r="E22" s="621">
        <v>0</v>
      </c>
      <c r="F22" s="621">
        <v>0</v>
      </c>
      <c r="G22" s="621">
        <v>4500</v>
      </c>
      <c r="H22" s="621">
        <v>0</v>
      </c>
      <c r="I22" s="452" t="s">
        <v>1020</v>
      </c>
      <c r="J22" s="622" t="str">
        <f t="array" ref="J22">IFERROR(INDEX(UtilityList!$H$4:$H$251,MATCH('Table 2.1a'!$A22&amp;'Table 2.1a'!$B22&amp;'Table 2.1a'!$C22,UtilityList!$A$4:$A$251&amp;UtilityList!$B$4:$B$251&amp;UtilityList!$C$4:$C$251,0)),"")</f>
        <v>PCE Eligible Active</v>
      </c>
      <c r="K22" s="709" t="str">
        <f t="array" ref="K22">IFERROR(INDEX(UtilityList!$Q$4:$Q$251,MATCH('Table 2.1a'!$A22&amp;'Table 2.1a'!$B22&amp;'Table 2.1a'!$C22,UtilityList!$A$4:$A$251&amp;UtilityList!$B$4:$B$251&amp;UtilityList!$C$4:$C$251,0)),"")</f>
        <v>Provides power to Hollis, Klawock, Thorne Bay/Kasaan and Hydaburg via intertie.</v>
      </c>
      <c r="L22" s="622" t="str">
        <f t="array" ref="L22">IFERROR(INDEX(UtilityList!$I$4:$I$251,MATCH('Table 2.1a'!$A22&amp;'Table 2.1a'!$B22&amp;'Table 2.1a'!$C22,UtilityList!$A$4:$A$251&amp;UtilityList!$B$4:$B$251&amp;UtilityList!$C$4:$C$251,0)),"")</f>
        <v>ALASPCA</v>
      </c>
      <c r="M22" s="369" t="str">
        <f t="array" ref="M22">IFERROR(INDEX(UtilityList!$J$4:$J$251,MATCH('Table 2.1a'!$A22&amp;'Table 2.1a'!$B22&amp;'Table 2.1a'!$C22,UtilityList!$A$4:$A$251&amp;UtilityList!$B$4:$B$251&amp;UtilityList!$C$4:$C$251,0)),"")</f>
        <v>Southeast</v>
      </c>
      <c r="N22" s="369" t="str">
        <f t="array" ref="N22">IFERROR(INDEX(UtilityList!$K$4:$K$251,MATCH('Table 2.1a'!$A22&amp;'Table 2.1a'!$B22&amp;'Table 2.1a'!$C22,UtilityList!$A$4:$A$251&amp;UtilityList!$B$4:$B$251&amp;UtilityList!$C$4:$C$251,0)),"")</f>
        <v>Prince of Wales-Hyder (CA)</v>
      </c>
      <c r="O22" s="369" t="str">
        <f t="array" ref="O22">IFERROR(INDEX(UtilityList!$L$4:$L$251,MATCH('Table 2.1a'!$A22&amp;'Table 2.1a'!$B22&amp;'Table 2.1a'!$C22,UtilityList!$A$4:$A$251&amp;UtilityList!$B$4:$B$251&amp;UtilityList!$C$4:$C$251,0)),"")</f>
        <v>Sealaska</v>
      </c>
      <c r="P22" s="369" t="str">
        <f t="array" ref="P22">IFERROR(INDEX(UtilityList!$M$4:$M$251,MATCH('Table 2.1a'!$A22&amp;'Table 2.1a'!$B22&amp;'Table 2.1a'!$C22,UtilityList!$A$4:$A$251&amp;UtilityList!$B$4:$B$251&amp;UtilityList!$C$4:$C$251,0)),"")</f>
        <v>SE</v>
      </c>
    </row>
    <row r="23" spans="1:16" s="344" customFormat="1" ht="30" x14ac:dyDescent="0.25">
      <c r="A23" s="619" t="s">
        <v>43</v>
      </c>
      <c r="B23" s="339" t="s">
        <v>59</v>
      </c>
      <c r="C23" s="351" t="s">
        <v>649</v>
      </c>
      <c r="D23" s="620">
        <v>2000</v>
      </c>
      <c r="E23" s="621">
        <v>0</v>
      </c>
      <c r="F23" s="621">
        <v>0</v>
      </c>
      <c r="G23" s="735">
        <v>2000</v>
      </c>
      <c r="H23" s="621">
        <v>0</v>
      </c>
      <c r="I23" s="452" t="s">
        <v>1020</v>
      </c>
      <c r="J23" s="622" t="str">
        <f t="array" ref="J23">IFERROR(INDEX(UtilityList!$H$4:$H$251,MATCH('Table 2.1a'!$A23&amp;'Table 2.1a'!$B23&amp;'Table 2.1a'!$C23,UtilityList!$A$4:$A$251&amp;UtilityList!$B$4:$B$251&amp;UtilityList!$C$4:$C$251,0)),"")</f>
        <v>PCE Eligible Active</v>
      </c>
      <c r="K23" s="709" t="str">
        <f t="array" ref="K23">IFERROR(INDEX(UtilityList!$Q$4:$Q$251,MATCH('Table 2.1a'!$A23&amp;'Table 2.1a'!$B23&amp;'Table 2.1a'!$C23,UtilityList!$A$4:$A$251&amp;UtilityList!$B$4:$B$251&amp;UtilityList!$C$4:$C$251,0)),"")</f>
        <v>Receives power from Craig via intertie.</v>
      </c>
      <c r="L23" s="622" t="str">
        <f t="array" ref="L23">IFERROR(INDEX(UtilityList!$I$4:$I$251,MATCH('Table 2.1a'!$A23&amp;'Table 2.1a'!$B23&amp;'Table 2.1a'!$C23,UtilityList!$A$4:$A$251&amp;UtilityList!$B$4:$B$251&amp;UtilityList!$C$4:$C$251,0)),"")</f>
        <v>ALASPCA</v>
      </c>
      <c r="M23" s="369" t="str">
        <f t="array" ref="M23">IFERROR(INDEX(UtilityList!$J$4:$J$251,MATCH('Table 2.1a'!$A23&amp;'Table 2.1a'!$B23&amp;'Table 2.1a'!$C23,UtilityList!$A$4:$A$251&amp;UtilityList!$B$4:$B$251&amp;UtilityList!$C$4:$C$251,0)),"")</f>
        <v>Southeast</v>
      </c>
      <c r="N23" s="369" t="str">
        <f t="array" ref="N23">IFERROR(INDEX(UtilityList!$K$4:$K$251,MATCH('Table 2.1a'!$A23&amp;'Table 2.1a'!$B23&amp;'Table 2.1a'!$C23,UtilityList!$A$4:$A$251&amp;UtilityList!$B$4:$B$251&amp;UtilityList!$C$4:$C$251,0)),"")</f>
        <v>Prince of Wales-Hyder (CA)</v>
      </c>
      <c r="O23" s="369" t="str">
        <f t="array" ref="O23">IFERROR(INDEX(UtilityList!$L$4:$L$251,MATCH('Table 2.1a'!$A23&amp;'Table 2.1a'!$B23&amp;'Table 2.1a'!$C23,UtilityList!$A$4:$A$251&amp;UtilityList!$B$4:$B$251&amp;UtilityList!$C$4:$C$251,0)),"")</f>
        <v>Sealaska</v>
      </c>
      <c r="P23" s="369" t="str">
        <f t="array" ref="P23">IFERROR(INDEX(UtilityList!$M$4:$M$251,MATCH('Table 2.1a'!$A23&amp;'Table 2.1a'!$B23&amp;'Table 2.1a'!$C23,UtilityList!$A$4:$A$251&amp;UtilityList!$B$4:$B$251&amp;UtilityList!$C$4:$C$251,0)),"")</f>
        <v>SE</v>
      </c>
    </row>
    <row r="24" spans="1:16" s="344" customFormat="1" ht="60" x14ac:dyDescent="0.25">
      <c r="A24" s="619" t="s">
        <v>43</v>
      </c>
      <c r="B24" s="361" t="s">
        <v>493</v>
      </c>
      <c r="C24" s="350" t="s">
        <v>686</v>
      </c>
      <c r="D24" s="620">
        <v>450</v>
      </c>
      <c r="E24" s="621">
        <v>0</v>
      </c>
      <c r="F24" s="621">
        <v>450</v>
      </c>
      <c r="G24" s="621">
        <v>0</v>
      </c>
      <c r="H24" s="621">
        <v>0</v>
      </c>
      <c r="I24" s="452" t="s">
        <v>1022</v>
      </c>
      <c r="J24" s="622" t="str">
        <f t="array" ref="J24">IFERROR(INDEX(UtilityList!$H$4:$H$251,MATCH('Table 2.1a'!$A24&amp;'Table 2.1a'!$B24&amp;'Table 2.1a'!$C24,UtilityList!$A$4:$A$251&amp;UtilityList!$B$4:$B$251&amp;UtilityList!$C$4:$C$251,0)),"")</f>
        <v>PCE Eligible Active</v>
      </c>
      <c r="K24" s="709" t="str">
        <f t="array" ref="K24">IFERROR(INDEX(UtilityList!$Q$4:$Q$251,MATCH('Table 2.1a'!$A24&amp;'Table 2.1a'!$B24&amp;'Table 2.1a'!$C24,UtilityList!$A$4:$A$251&amp;UtilityList!$B$4:$B$251&amp;UtilityList!$C$4:$C$251,0)),"")</f>
        <v>Provides power to Eagle Village via intertie. Data includes Eagle Village's information.</v>
      </c>
      <c r="L24" s="622" t="str">
        <f t="array" ref="L24">IFERROR(INDEX(UtilityList!$I$4:$I$251,MATCH('Table 2.1a'!$A24&amp;'Table 2.1a'!$B24&amp;'Table 2.1a'!$C24,UtilityList!$A$4:$A$251&amp;UtilityList!$B$4:$B$251&amp;UtilityList!$C$4:$C$251,0)),"")</f>
        <v>ALASPCA</v>
      </c>
      <c r="M24" s="369" t="str">
        <f t="array" ref="M24">IFERROR(INDEX(UtilityList!$J$4:$J$251,MATCH('Table 2.1a'!$A24&amp;'Table 2.1a'!$B24&amp;'Table 2.1a'!$C24,UtilityList!$A$4:$A$251&amp;UtilityList!$B$4:$B$251&amp;UtilityList!$C$4:$C$251,0)),"")</f>
        <v>Yukon-Koyukuk/Upper Tanana</v>
      </c>
      <c r="N24" s="369" t="str">
        <f t="array" ref="N24">IFERROR(INDEX(UtilityList!$K$4:$K$251,MATCH('Table 2.1a'!$A24&amp;'Table 2.1a'!$B24&amp;'Table 2.1a'!$C24,UtilityList!$A$4:$A$251&amp;UtilityList!$B$4:$B$251&amp;UtilityList!$C$4:$C$251,0)),"")</f>
        <v>Southeast Fairbanks (CA)</v>
      </c>
      <c r="O24" s="369" t="str">
        <f t="array" ref="O24">IFERROR(INDEX(UtilityList!$L$4:$L$251,MATCH('Table 2.1a'!$A24&amp;'Table 2.1a'!$B24&amp;'Table 2.1a'!$C24,UtilityList!$A$4:$A$251&amp;UtilityList!$B$4:$B$251&amp;UtilityList!$C$4:$C$251,0)),"")</f>
        <v>Doyon</v>
      </c>
      <c r="P24" s="369" t="str">
        <f t="array" ref="P24">IFERROR(INDEX(UtilityList!$M$4:$M$251,MATCH('Table 2.1a'!$A24&amp;'Table 2.1a'!$B24&amp;'Table 2.1a'!$C24,UtilityList!$A$4:$A$251&amp;UtilityList!$B$4:$B$251&amp;UtilityList!$C$4:$C$251,0)),"")</f>
        <v>YU</v>
      </c>
    </row>
    <row r="25" spans="1:16" s="344" customFormat="1" ht="60" x14ac:dyDescent="0.25">
      <c r="A25" s="619" t="s">
        <v>43</v>
      </c>
      <c r="B25" s="361" t="s">
        <v>518</v>
      </c>
      <c r="C25" s="351" t="s">
        <v>650</v>
      </c>
      <c r="D25" s="620">
        <v>4000</v>
      </c>
      <c r="E25" s="621">
        <v>0</v>
      </c>
      <c r="F25" s="621">
        <v>0</v>
      </c>
      <c r="G25" s="621">
        <v>4000</v>
      </c>
      <c r="H25" s="621">
        <v>0</v>
      </c>
      <c r="I25" s="452" t="s">
        <v>1020</v>
      </c>
      <c r="J25" s="622" t="str">
        <f t="array" ref="J25">IFERROR(INDEX(UtilityList!$H$4:$H$251,MATCH('Table 2.1a'!$A25&amp;'Table 2.1a'!$B25&amp;'Table 2.1a'!$C25,UtilityList!$A$4:$A$251&amp;UtilityList!$B$4:$B$251&amp;UtilityList!$C$4:$C$251,0)),"")</f>
        <v>PCE Eligible Active</v>
      </c>
      <c r="K25" s="709" t="str">
        <f t="array" ref="K25">IFERROR(INDEX(UtilityList!$Q$4:$Q$251,MATCH('Table 2.1a'!$A25&amp;'Table 2.1a'!$B25&amp;'Table 2.1a'!$C25,UtilityList!$A$4:$A$251&amp;UtilityList!$B$4:$B$251&amp;UtilityList!$C$4:$C$251,0)),"")</f>
        <v>Part of the Alaska Power Company's grid in the Upper Lynn Canal service area.</v>
      </c>
      <c r="L25" s="622" t="str">
        <f t="array" ref="L25">IFERROR(INDEX(UtilityList!$I$4:$I$251,MATCH('Table 2.1a'!$A25&amp;'Table 2.1a'!$B25&amp;'Table 2.1a'!$C25,UtilityList!$A$4:$A$251&amp;UtilityList!$B$4:$B$251&amp;UtilityList!$C$4:$C$251,0)),"")</f>
        <v>ALASPCA</v>
      </c>
      <c r="M25" s="369" t="str">
        <f t="array" ref="M25">IFERROR(INDEX(UtilityList!$J$4:$J$251,MATCH('Table 2.1a'!$A25&amp;'Table 2.1a'!$B25&amp;'Table 2.1a'!$C25,UtilityList!$A$4:$A$251&amp;UtilityList!$B$4:$B$251&amp;UtilityList!$C$4:$C$251,0)),"")</f>
        <v>Southeast</v>
      </c>
      <c r="N25" s="369" t="str">
        <f t="array" ref="N25">IFERROR(INDEX(UtilityList!$K$4:$K$251,MATCH('Table 2.1a'!$A25&amp;'Table 2.1a'!$B25&amp;'Table 2.1a'!$C25,UtilityList!$A$4:$A$251&amp;UtilityList!$B$4:$B$251&amp;UtilityList!$C$4:$C$251,0)),"")</f>
        <v>Skagway</v>
      </c>
      <c r="O25" s="369" t="str">
        <f t="array" ref="O25">IFERROR(INDEX(UtilityList!$L$4:$L$251,MATCH('Table 2.1a'!$A25&amp;'Table 2.1a'!$B25&amp;'Table 2.1a'!$C25,UtilityList!$A$4:$A$251&amp;UtilityList!$B$4:$B$251&amp;UtilityList!$C$4:$C$251,0)),"")</f>
        <v>Sealaska</v>
      </c>
      <c r="P25" s="369" t="str">
        <f t="array" ref="P25">IFERROR(INDEX(UtilityList!$M$4:$M$251,MATCH('Table 2.1a'!$A25&amp;'Table 2.1a'!$B25&amp;'Table 2.1a'!$C25,UtilityList!$A$4:$A$251&amp;UtilityList!$B$4:$B$251&amp;UtilityList!$C$4:$C$251,0)),"")</f>
        <v>SE</v>
      </c>
    </row>
    <row r="26" spans="1:16" s="344" customFormat="1" ht="90" x14ac:dyDescent="0.25">
      <c r="A26" s="619" t="s">
        <v>43</v>
      </c>
      <c r="B26" s="361" t="s">
        <v>50</v>
      </c>
      <c r="C26" s="619" t="s">
        <v>50</v>
      </c>
      <c r="D26" s="620">
        <v>6485</v>
      </c>
      <c r="E26" s="621">
        <v>0</v>
      </c>
      <c r="F26" s="621">
        <v>6200</v>
      </c>
      <c r="G26" s="621">
        <v>285</v>
      </c>
      <c r="H26" s="621">
        <v>0</v>
      </c>
      <c r="I26" s="452" t="s">
        <v>1018</v>
      </c>
      <c r="J26" s="622" t="str">
        <f t="array" ref="J26">IFERROR(INDEX(UtilityList!$H$4:$H$251,MATCH('Table 2.1a'!$A26&amp;'Table 2.1a'!$B26&amp;'Table 2.1a'!$C26,UtilityList!$A$4:$A$251&amp;UtilityList!$B$4:$B$251&amp;UtilityList!$C$4:$C$251,0)),"")</f>
        <v>PCE Eligible Active</v>
      </c>
      <c r="K26" s="709" t="str">
        <f t="array" ref="K26">IFERROR(INDEX(UtilityList!$Q$4:$Q$251,MATCH('Table 2.1a'!$A26&amp;'Table 2.1a'!$B26&amp;'Table 2.1a'!$C26,UtilityList!$A$4:$A$251&amp;UtilityList!$B$4:$B$251&amp;UtilityList!$C$4:$C$251,0)),"")</f>
        <v>Plant is also referred to as Lutak. Part of the Alaska Power Company's grid in the Upper Lynn Canal service area.</v>
      </c>
      <c r="L26" s="622" t="str">
        <f t="array" ref="L26">IFERROR(INDEX(UtilityList!$I$4:$I$251,MATCH('Table 2.1a'!$A26&amp;'Table 2.1a'!$B26&amp;'Table 2.1a'!$C26,UtilityList!$A$4:$A$251&amp;UtilityList!$B$4:$B$251&amp;UtilityList!$C$4:$C$251,0)),"")</f>
        <v>ALASPCA</v>
      </c>
      <c r="M26" s="369" t="str">
        <f t="array" ref="M26">IFERROR(INDEX(UtilityList!$J$4:$J$251,MATCH('Table 2.1a'!$A26&amp;'Table 2.1a'!$B26&amp;'Table 2.1a'!$C26,UtilityList!$A$4:$A$251&amp;UtilityList!$B$4:$B$251&amp;UtilityList!$C$4:$C$251,0)),"")</f>
        <v>Southeast</v>
      </c>
      <c r="N26" s="369" t="str">
        <f t="array" ref="N26">IFERROR(INDEX(UtilityList!$K$4:$K$251,MATCH('Table 2.1a'!$A26&amp;'Table 2.1a'!$B26&amp;'Table 2.1a'!$C26,UtilityList!$A$4:$A$251&amp;UtilityList!$B$4:$B$251&amp;UtilityList!$C$4:$C$251,0)),"")</f>
        <v>Haines</v>
      </c>
      <c r="O26" s="369" t="str">
        <f t="array" ref="O26">IFERROR(INDEX(UtilityList!$L$4:$L$251,MATCH('Table 2.1a'!$A26&amp;'Table 2.1a'!$B26&amp;'Table 2.1a'!$C26,UtilityList!$A$4:$A$251&amp;UtilityList!$B$4:$B$251&amp;UtilityList!$C$4:$C$251,0)),"")</f>
        <v>Sealaska</v>
      </c>
      <c r="P26" s="369" t="str">
        <f t="array" ref="P26">IFERROR(INDEX(UtilityList!$M$4:$M$251,MATCH('Table 2.1a'!$A26&amp;'Table 2.1a'!$B26&amp;'Table 2.1a'!$C26,UtilityList!$A$4:$A$251&amp;UtilityList!$B$4:$B$251&amp;UtilityList!$C$4:$C$251,0)),"")</f>
        <v>SE</v>
      </c>
    </row>
    <row r="27" spans="1:16" s="344" customFormat="1" ht="90" x14ac:dyDescent="0.25">
      <c r="A27" s="619" t="s">
        <v>43</v>
      </c>
      <c r="B27" s="361" t="s">
        <v>60</v>
      </c>
      <c r="C27" s="350" t="s">
        <v>60</v>
      </c>
      <c r="D27" s="620">
        <v>4400</v>
      </c>
      <c r="E27" s="621">
        <v>0</v>
      </c>
      <c r="F27" s="621">
        <v>3400</v>
      </c>
      <c r="G27" s="621">
        <v>1000</v>
      </c>
      <c r="H27" s="621">
        <v>0</v>
      </c>
      <c r="I27" s="452" t="s">
        <v>1020</v>
      </c>
      <c r="J27" s="622" t="str">
        <f t="array" ref="J27">IFERROR(INDEX(UtilityList!$H$4:$H$251,MATCH('Table 2.1a'!$A27&amp;'Table 2.1a'!$B27&amp;'Table 2.1a'!$C27,UtilityList!$A$4:$A$251&amp;UtilityList!$B$4:$B$251&amp;UtilityList!$C$4:$C$251,0)),"")</f>
        <v>PCE Eligible Active</v>
      </c>
      <c r="K27" s="709" t="str">
        <f t="array" ref="K27">IFERROR(INDEX(UtilityList!$Q$4:$Q$251,MATCH('Table 2.1a'!$A27&amp;'Table 2.1a'!$B27&amp;'Table 2.1a'!$C27,UtilityList!$A$4:$A$251&amp;UtilityList!$B$4:$B$251&amp;UtilityList!$C$4:$C$251,0)),"")</f>
        <v>Plant is also referred to as Dewey Lake. Part of the Alaska Power Company's grid in the Upper Lynn Canal service area.</v>
      </c>
      <c r="L27" s="622" t="str">
        <f t="array" ref="L27">IFERROR(INDEX(UtilityList!$I$4:$I$251,MATCH('Table 2.1a'!$A27&amp;'Table 2.1a'!$B27&amp;'Table 2.1a'!$C27,UtilityList!$A$4:$A$251&amp;UtilityList!$B$4:$B$251&amp;UtilityList!$C$4:$C$251,0)),"")</f>
        <v>ALASPCA</v>
      </c>
      <c r="M27" s="369" t="str">
        <f t="array" ref="M27">IFERROR(INDEX(UtilityList!$J$4:$J$251,MATCH('Table 2.1a'!$A27&amp;'Table 2.1a'!$B27&amp;'Table 2.1a'!$C27,UtilityList!$A$4:$A$251&amp;UtilityList!$B$4:$B$251&amp;UtilityList!$C$4:$C$251,0)),"")</f>
        <v>Southeast</v>
      </c>
      <c r="N27" s="369" t="str">
        <f t="array" ref="N27">IFERROR(INDEX(UtilityList!$K$4:$K$251,MATCH('Table 2.1a'!$A27&amp;'Table 2.1a'!$B27&amp;'Table 2.1a'!$C27,UtilityList!$A$4:$A$251&amp;UtilityList!$B$4:$B$251&amp;UtilityList!$C$4:$C$251,0)),"")</f>
        <v>Skagway</v>
      </c>
      <c r="O27" s="369" t="str">
        <f t="array" ref="O27">IFERROR(INDEX(UtilityList!$L$4:$L$251,MATCH('Table 2.1a'!$A27&amp;'Table 2.1a'!$B27&amp;'Table 2.1a'!$C27,UtilityList!$A$4:$A$251&amp;UtilityList!$B$4:$B$251&amp;UtilityList!$C$4:$C$251,0)),"")</f>
        <v>Sealaska</v>
      </c>
      <c r="P27" s="369" t="str">
        <f t="array" ref="P27">IFERROR(INDEX(UtilityList!$M$4:$M$251,MATCH('Table 2.1a'!$A27&amp;'Table 2.1a'!$B27&amp;'Table 2.1a'!$C27,UtilityList!$A$4:$A$251&amp;UtilityList!$B$4:$B$251&amp;UtilityList!$C$4:$C$251,0)),"")</f>
        <v>SE</v>
      </c>
    </row>
    <row r="28" spans="1:16" s="344" customFormat="1" ht="30" x14ac:dyDescent="0.25">
      <c r="A28" s="619" t="s">
        <v>43</v>
      </c>
      <c r="B28" s="361" t="s">
        <v>51</v>
      </c>
      <c r="C28" s="350" t="s">
        <v>51</v>
      </c>
      <c r="D28" s="620">
        <v>83</v>
      </c>
      <c r="E28" s="621">
        <v>0</v>
      </c>
      <c r="F28" s="621">
        <v>83</v>
      </c>
      <c r="G28" s="621">
        <v>0</v>
      </c>
      <c r="H28" s="621">
        <v>0</v>
      </c>
      <c r="I28" s="452" t="s">
        <v>1022</v>
      </c>
      <c r="J28" s="622" t="str">
        <f t="array" ref="J28">IFERROR(INDEX(UtilityList!$H$4:$H$251,MATCH('Table 2.1a'!$A28&amp;'Table 2.1a'!$B28&amp;'Table 2.1a'!$C28,UtilityList!$A$4:$A$251&amp;UtilityList!$B$4:$B$251&amp;UtilityList!$C$4:$C$251,0)),"")</f>
        <v>PCE Eligible Active</v>
      </c>
      <c r="K28" s="709">
        <f t="array" ref="K28">IFERROR(INDEX(UtilityList!$Q$4:$Q$251,MATCH('Table 2.1a'!$A28&amp;'Table 2.1a'!$B28&amp;'Table 2.1a'!$C28,UtilityList!$A$4:$A$251&amp;UtilityList!$B$4:$B$251&amp;UtilityList!$C$4:$C$251,0)),"")</f>
        <v>0</v>
      </c>
      <c r="L28" s="622" t="str">
        <f t="array" ref="L28">IFERROR(INDEX(UtilityList!$I$4:$I$251,MATCH('Table 2.1a'!$A28&amp;'Table 2.1a'!$B28&amp;'Table 2.1a'!$C28,UtilityList!$A$4:$A$251&amp;UtilityList!$B$4:$B$251&amp;UtilityList!$C$4:$C$251,0)),"")</f>
        <v>ALASPCA</v>
      </c>
      <c r="M28" s="369" t="str">
        <f t="array" ref="M28">IFERROR(INDEX(UtilityList!$J$4:$J$251,MATCH('Table 2.1a'!$A28&amp;'Table 2.1a'!$B28&amp;'Table 2.1a'!$C28,UtilityList!$A$4:$A$251&amp;UtilityList!$B$4:$B$251&amp;UtilityList!$C$4:$C$251,0)),"")</f>
        <v>Yukon-Koyukuk/Upper Tanana</v>
      </c>
      <c r="N28" s="369" t="str">
        <f t="array" ref="N28">IFERROR(INDEX(UtilityList!$K$4:$K$251,MATCH('Table 2.1a'!$A28&amp;'Table 2.1a'!$B28&amp;'Table 2.1a'!$C28,UtilityList!$A$4:$A$251&amp;UtilityList!$B$4:$B$251&amp;UtilityList!$C$4:$C$251,0)),"")</f>
        <v>Southeast Fairbanks (CA)</v>
      </c>
      <c r="O28" s="369" t="str">
        <f t="array" ref="O28">IFERROR(INDEX(UtilityList!$L$4:$L$251,MATCH('Table 2.1a'!$A28&amp;'Table 2.1a'!$B28&amp;'Table 2.1a'!$C28,UtilityList!$A$4:$A$251&amp;UtilityList!$B$4:$B$251&amp;UtilityList!$C$4:$C$251,0)),"")</f>
        <v>Doyon</v>
      </c>
      <c r="P28" s="369" t="str">
        <f t="array" ref="P28">IFERROR(INDEX(UtilityList!$M$4:$M$251,MATCH('Table 2.1a'!$A28&amp;'Table 2.1a'!$B28&amp;'Table 2.1a'!$C28,UtilityList!$A$4:$A$251&amp;UtilityList!$B$4:$B$251&amp;UtilityList!$C$4:$C$251,0)),"")</f>
        <v>YU</v>
      </c>
    </row>
    <row r="29" spans="1:16" s="344" customFormat="1" ht="105" x14ac:dyDescent="0.25">
      <c r="A29" s="619" t="s">
        <v>43</v>
      </c>
      <c r="B29" s="361" t="s">
        <v>52</v>
      </c>
      <c r="C29" s="350" t="s">
        <v>52</v>
      </c>
      <c r="D29" s="620">
        <v>450</v>
      </c>
      <c r="E29" s="621">
        <v>0</v>
      </c>
      <c r="F29" s="621">
        <v>450</v>
      </c>
      <c r="G29" s="621">
        <v>0</v>
      </c>
      <c r="H29" s="621">
        <v>0</v>
      </c>
      <c r="I29" s="452" t="s">
        <v>1022</v>
      </c>
      <c r="J29" s="622" t="str">
        <f t="array" ref="J29">IFERROR(INDEX(UtilityList!$H$4:$H$251,MATCH('Table 2.1a'!$A29&amp;'Table 2.1a'!$B29&amp;'Table 2.1a'!$C29,UtilityList!$A$4:$A$251&amp;UtilityList!$B$4:$B$251&amp;UtilityList!$C$4:$C$251,0)),"")</f>
        <v>PCE Eligible Active</v>
      </c>
      <c r="K29" s="709" t="str">
        <f t="array" ref="K29">IFERROR(INDEX(UtilityList!$Q$4:$Q$251,MATCH('Table 2.1a'!$A29&amp;'Table 2.1a'!$B29&amp;'Table 2.1a'!$C29,UtilityList!$A$4:$A$251&amp;UtilityList!$B$4:$B$251&amp;UtilityList!$C$4:$C$251,0)),"")</f>
        <v>Part of the Alaska Power Company's grid on Prince of Wales Island. Receives power from Craig. Refer to Craig for fuel use and cost.</v>
      </c>
      <c r="L29" s="622" t="str">
        <f t="array" ref="L29">IFERROR(INDEX(UtilityList!$I$4:$I$251,MATCH('Table 2.1a'!$A29&amp;'Table 2.1a'!$B29&amp;'Table 2.1a'!$C29,UtilityList!$A$4:$A$251&amp;UtilityList!$B$4:$B$251&amp;UtilityList!$C$4:$C$251,0)),"")</f>
        <v>ALASPCA</v>
      </c>
      <c r="M29" s="369" t="str">
        <f t="array" ref="M29">IFERROR(INDEX(UtilityList!$J$4:$J$251,MATCH('Table 2.1a'!$A29&amp;'Table 2.1a'!$B29&amp;'Table 2.1a'!$C29,UtilityList!$A$4:$A$251&amp;UtilityList!$B$4:$B$251&amp;UtilityList!$C$4:$C$251,0)),"")</f>
        <v>Southeast</v>
      </c>
      <c r="N29" s="369" t="str">
        <f t="array" ref="N29">IFERROR(INDEX(UtilityList!$K$4:$K$251,MATCH('Table 2.1a'!$A29&amp;'Table 2.1a'!$B29&amp;'Table 2.1a'!$C29,UtilityList!$A$4:$A$251&amp;UtilityList!$B$4:$B$251&amp;UtilityList!$C$4:$C$251,0)),"")</f>
        <v>Prince of Wales-Hyder (CA)</v>
      </c>
      <c r="O29" s="369" t="str">
        <f t="array" ref="O29">IFERROR(INDEX(UtilityList!$L$4:$L$251,MATCH('Table 2.1a'!$A29&amp;'Table 2.1a'!$B29&amp;'Table 2.1a'!$C29,UtilityList!$A$4:$A$251&amp;UtilityList!$B$4:$B$251&amp;UtilityList!$C$4:$C$251,0)),"")</f>
        <v>Sealaska</v>
      </c>
      <c r="P29" s="369" t="str">
        <f t="array" ref="P29">IFERROR(INDEX(UtilityList!$M$4:$M$251,MATCH('Table 2.1a'!$A29&amp;'Table 2.1a'!$B29&amp;'Table 2.1a'!$C29,UtilityList!$A$4:$A$251&amp;UtilityList!$B$4:$B$251&amp;UtilityList!$C$4:$C$251,0)),"")</f>
        <v>SE</v>
      </c>
    </row>
    <row r="30" spans="1:16" s="344" customFormat="1" ht="105" x14ac:dyDescent="0.25">
      <c r="A30" s="619" t="s">
        <v>43</v>
      </c>
      <c r="B30" s="361" t="s">
        <v>53</v>
      </c>
      <c r="C30" s="350" t="s">
        <v>53</v>
      </c>
      <c r="D30" s="620">
        <v>1000</v>
      </c>
      <c r="E30" s="621">
        <v>0</v>
      </c>
      <c r="F30" s="621">
        <v>1000</v>
      </c>
      <c r="G30" s="621">
        <v>0</v>
      </c>
      <c r="H30" s="621">
        <v>0</v>
      </c>
      <c r="I30" s="452" t="s">
        <v>1020</v>
      </c>
      <c r="J30" s="622" t="str">
        <f t="array" ref="J30">IFERROR(INDEX(UtilityList!$H$4:$H$251,MATCH('Table 2.1a'!$A30&amp;'Table 2.1a'!$B30&amp;'Table 2.1a'!$C30,UtilityList!$A$4:$A$251&amp;UtilityList!$B$4:$B$251&amp;UtilityList!$C$4:$C$251,0)),"")</f>
        <v>PCE Eligible Active</v>
      </c>
      <c r="K30" s="709" t="str">
        <f t="array" ref="K30">IFERROR(INDEX(UtilityList!$Q$4:$Q$251,MATCH('Table 2.1a'!$A30&amp;'Table 2.1a'!$B30&amp;'Table 2.1a'!$C30,UtilityList!$A$4:$A$251&amp;UtilityList!$B$4:$B$251&amp;UtilityList!$C$4:$C$251,0)),"")</f>
        <v>Part of the Alaska Power Company's grid on Prince of Wales Island. Receives power from Craig. Refer to Craig for fuel use and cost.</v>
      </c>
      <c r="L30" s="622" t="str">
        <f t="array" ref="L30">IFERROR(INDEX(UtilityList!$I$4:$I$251,MATCH('Table 2.1a'!$A30&amp;'Table 2.1a'!$B30&amp;'Table 2.1a'!$C30,UtilityList!$A$4:$A$251&amp;UtilityList!$B$4:$B$251&amp;UtilityList!$C$4:$C$251,0)),"")</f>
        <v>ALASPCA</v>
      </c>
      <c r="M30" s="369" t="str">
        <f t="array" ref="M30">IFERROR(INDEX(UtilityList!$J$4:$J$251,MATCH('Table 2.1a'!$A30&amp;'Table 2.1a'!$B30&amp;'Table 2.1a'!$C30,UtilityList!$A$4:$A$251&amp;UtilityList!$B$4:$B$251&amp;UtilityList!$C$4:$C$251,0)),"")</f>
        <v>Southeast</v>
      </c>
      <c r="N30" s="369" t="str">
        <f t="array" ref="N30">IFERROR(INDEX(UtilityList!$K$4:$K$251,MATCH('Table 2.1a'!$A30&amp;'Table 2.1a'!$B30&amp;'Table 2.1a'!$C30,UtilityList!$A$4:$A$251&amp;UtilityList!$B$4:$B$251&amp;UtilityList!$C$4:$C$251,0)),"")</f>
        <v>Prince of Wales-Hyder (CA)</v>
      </c>
      <c r="O30" s="369" t="str">
        <f t="array" ref="O30">IFERROR(INDEX(UtilityList!$L$4:$L$251,MATCH('Table 2.1a'!$A30&amp;'Table 2.1a'!$B30&amp;'Table 2.1a'!$C30,UtilityList!$A$4:$A$251&amp;UtilityList!$B$4:$B$251&amp;UtilityList!$C$4:$C$251,0)),"")</f>
        <v>Sealaska</v>
      </c>
      <c r="P30" s="369" t="str">
        <f t="array" ref="P30">IFERROR(INDEX(UtilityList!$M$4:$M$251,MATCH('Table 2.1a'!$A30&amp;'Table 2.1a'!$B30&amp;'Table 2.1a'!$C30,UtilityList!$A$4:$A$251&amp;UtilityList!$B$4:$B$251&amp;UtilityList!$C$4:$C$251,0)),"")</f>
        <v>SE</v>
      </c>
    </row>
    <row r="31" spans="1:16" s="344" customFormat="1" ht="30" x14ac:dyDescent="0.25">
      <c r="A31" s="619" t="s">
        <v>43</v>
      </c>
      <c r="B31" s="361" t="s">
        <v>56</v>
      </c>
      <c r="C31" s="350" t="s">
        <v>56</v>
      </c>
      <c r="D31" s="620">
        <v>488</v>
      </c>
      <c r="E31" s="621">
        <v>0</v>
      </c>
      <c r="F31" s="621">
        <v>488</v>
      </c>
      <c r="G31" s="621">
        <v>0</v>
      </c>
      <c r="H31" s="621">
        <v>0</v>
      </c>
      <c r="I31" s="452" t="s">
        <v>1022</v>
      </c>
      <c r="J31" s="622" t="str">
        <f t="array" ref="J31">IFERROR(INDEX(UtilityList!$H$4:$H$251,MATCH('Table 2.1a'!$A31&amp;'Table 2.1a'!$B31&amp;'Table 2.1a'!$C31,UtilityList!$A$4:$A$251&amp;UtilityList!$B$4:$B$251&amp;UtilityList!$C$4:$C$251,0)),"")</f>
        <v>PCE Eligible Active</v>
      </c>
      <c r="K31" s="709">
        <f t="array" ref="K31">IFERROR(INDEX(UtilityList!$Q$4:$Q$251,MATCH('Table 2.1a'!$A31&amp;'Table 2.1a'!$B31&amp;'Table 2.1a'!$C31,UtilityList!$A$4:$A$251&amp;UtilityList!$B$4:$B$251&amp;UtilityList!$C$4:$C$251,0)),"")</f>
        <v>0</v>
      </c>
      <c r="L31" s="622" t="str">
        <f t="array" ref="L31">IFERROR(INDEX(UtilityList!$I$4:$I$251,MATCH('Table 2.1a'!$A31&amp;'Table 2.1a'!$B31&amp;'Table 2.1a'!$C31,UtilityList!$A$4:$A$251&amp;UtilityList!$B$4:$B$251&amp;UtilityList!$C$4:$C$251,0)),"")</f>
        <v>ALASPCA</v>
      </c>
      <c r="M31" s="369" t="str">
        <f t="array" ref="M31">IFERROR(INDEX(UtilityList!$J$4:$J$251,MATCH('Table 2.1a'!$A31&amp;'Table 2.1a'!$B31&amp;'Table 2.1a'!$C31,UtilityList!$A$4:$A$251&amp;UtilityList!$B$4:$B$251&amp;UtilityList!$C$4:$C$251,0)),"")</f>
        <v>Southeast</v>
      </c>
      <c r="N31" s="369" t="str">
        <f t="array" ref="N31">IFERROR(INDEX(UtilityList!$K$4:$K$251,MATCH('Table 2.1a'!$A31&amp;'Table 2.1a'!$B31&amp;'Table 2.1a'!$C31,UtilityList!$A$4:$A$251&amp;UtilityList!$B$4:$B$251&amp;UtilityList!$C$4:$C$251,0)),"")</f>
        <v>Prince of Wales-Hyder (CA)</v>
      </c>
      <c r="O31" s="369" t="str">
        <f t="array" ref="O31">IFERROR(INDEX(UtilityList!$L$4:$L$251,MATCH('Table 2.1a'!$A31&amp;'Table 2.1a'!$B31&amp;'Table 2.1a'!$C31,UtilityList!$A$4:$A$251&amp;UtilityList!$B$4:$B$251&amp;UtilityList!$C$4:$C$251,0)),"")</f>
        <v>Sealaska</v>
      </c>
      <c r="P31" s="369" t="str">
        <f t="array" ref="P31">IFERROR(INDEX(UtilityList!$M$4:$M$251,MATCH('Table 2.1a'!$A31&amp;'Table 2.1a'!$B31&amp;'Table 2.1a'!$C31,UtilityList!$A$4:$A$251&amp;UtilityList!$B$4:$B$251&amp;UtilityList!$C$4:$C$251,0)),"")</f>
        <v>SE</v>
      </c>
    </row>
    <row r="32" spans="1:16" s="344" customFormat="1" ht="75" x14ac:dyDescent="0.25">
      <c r="A32" s="619" t="s">
        <v>43</v>
      </c>
      <c r="B32" s="361" t="s">
        <v>57</v>
      </c>
      <c r="C32" s="350" t="s">
        <v>683</v>
      </c>
      <c r="D32" s="620">
        <v>1100</v>
      </c>
      <c r="E32" s="621">
        <v>0</v>
      </c>
      <c r="F32" s="621">
        <v>1100</v>
      </c>
      <c r="G32" s="621">
        <v>0</v>
      </c>
      <c r="H32" s="621">
        <v>0</v>
      </c>
      <c r="I32" s="452" t="s">
        <v>1020</v>
      </c>
      <c r="J32" s="622" t="str">
        <f t="array" ref="J32">IFERROR(INDEX(UtilityList!$H$4:$H$251,MATCH('Table 2.1a'!$A32&amp;'Table 2.1a'!$B32&amp;'Table 2.1a'!$C32,UtilityList!$A$4:$A$251&amp;UtilityList!$B$4:$B$251&amp;UtilityList!$C$4:$C$251,0)),"")</f>
        <v>PCE Eligible Active</v>
      </c>
      <c r="K32" s="709" t="str">
        <f t="array" ref="K32">IFERROR(INDEX(UtilityList!$Q$4:$Q$251,MATCH('Table 2.1a'!$A32&amp;'Table 2.1a'!$B32&amp;'Table 2.1a'!$C32,UtilityList!$A$4:$A$251&amp;UtilityList!$B$4:$B$251&amp;UtilityList!$C$4:$C$251,0)),"")</f>
        <v>Provides power to Northway Village via intertie. Data includes Northway Village's information.</v>
      </c>
      <c r="L32" s="622" t="str">
        <f t="array" ref="L32">IFERROR(INDEX(UtilityList!$I$4:$I$251,MATCH('Table 2.1a'!$A32&amp;'Table 2.1a'!$B32&amp;'Table 2.1a'!$C32,UtilityList!$A$4:$A$251&amp;UtilityList!$B$4:$B$251&amp;UtilityList!$C$4:$C$251,0)),"")</f>
        <v>ALASPCA</v>
      </c>
      <c r="M32" s="369" t="str">
        <f t="array" ref="M32">IFERROR(INDEX(UtilityList!$J$4:$J$251,MATCH('Table 2.1a'!$A32&amp;'Table 2.1a'!$B32&amp;'Table 2.1a'!$C32,UtilityList!$A$4:$A$251&amp;UtilityList!$B$4:$B$251&amp;UtilityList!$C$4:$C$251,0)),"")</f>
        <v>Yukon-Koyukuk/Upper Tanana</v>
      </c>
      <c r="N32" s="369" t="str">
        <f t="array" ref="N32">IFERROR(INDEX(UtilityList!$K$4:$K$251,MATCH('Table 2.1a'!$A32&amp;'Table 2.1a'!$B32&amp;'Table 2.1a'!$C32,UtilityList!$A$4:$A$251&amp;UtilityList!$B$4:$B$251&amp;UtilityList!$C$4:$C$251,0)),"")</f>
        <v>Southeast Fairbanks (CA)</v>
      </c>
      <c r="O32" s="369" t="str">
        <f t="array" ref="O32">IFERROR(INDEX(UtilityList!$L$4:$L$251,MATCH('Table 2.1a'!$A32&amp;'Table 2.1a'!$B32&amp;'Table 2.1a'!$C32,UtilityList!$A$4:$A$251&amp;UtilityList!$B$4:$B$251&amp;UtilityList!$C$4:$C$251,0)),"")</f>
        <v>Doyon</v>
      </c>
      <c r="P32" s="369" t="str">
        <f t="array" ref="P32">IFERROR(INDEX(UtilityList!$M$4:$M$251,MATCH('Table 2.1a'!$A32&amp;'Table 2.1a'!$B32&amp;'Table 2.1a'!$C32,UtilityList!$A$4:$A$251&amp;UtilityList!$B$4:$B$251&amp;UtilityList!$C$4:$C$251,0)),"")</f>
        <v>YU</v>
      </c>
    </row>
    <row r="33" spans="1:16" s="344" customFormat="1" ht="60" x14ac:dyDescent="0.25">
      <c r="A33" s="619" t="s">
        <v>43</v>
      </c>
      <c r="B33" s="361" t="s">
        <v>519</v>
      </c>
      <c r="C33" s="350" t="s">
        <v>60</v>
      </c>
      <c r="D33" s="620">
        <v>3000</v>
      </c>
      <c r="E33" s="621">
        <v>0</v>
      </c>
      <c r="F33" s="621">
        <v>0</v>
      </c>
      <c r="G33" s="621">
        <v>3000</v>
      </c>
      <c r="H33" s="621">
        <v>0</v>
      </c>
      <c r="I33" s="452" t="s">
        <v>1020</v>
      </c>
      <c r="J33" s="622" t="str">
        <f t="array" ref="J33">IFERROR(INDEX(UtilityList!$H$4:$H$251,MATCH('Table 2.1a'!$A33&amp;'Table 2.1a'!$B33&amp;'Table 2.1a'!$C33,UtilityList!$A$4:$A$251&amp;UtilityList!$B$4:$B$251&amp;UtilityList!$C$4:$C$251,0)),"")</f>
        <v>PCE Eligible Active</v>
      </c>
      <c r="K33" s="709" t="str">
        <f t="array" ref="K33">IFERROR(INDEX(UtilityList!$Q$4:$Q$251,MATCH('Table 2.1a'!$A33&amp;'Table 2.1a'!$B33&amp;'Table 2.1a'!$C33,UtilityList!$A$4:$A$251&amp;UtilityList!$B$4:$B$251&amp;UtilityList!$C$4:$C$251,0)),"")</f>
        <v>Part of the Alaska Power Company's grid in the Upper Lynn Canal service area.</v>
      </c>
      <c r="L33" s="622" t="str">
        <f t="array" ref="L33">IFERROR(INDEX(UtilityList!$I$4:$I$251,MATCH('Table 2.1a'!$A33&amp;'Table 2.1a'!$B33&amp;'Table 2.1a'!$C33,UtilityList!$A$4:$A$251&amp;UtilityList!$B$4:$B$251&amp;UtilityList!$C$4:$C$251,0)),"")</f>
        <v>ALASPCA</v>
      </c>
      <c r="M33" s="369" t="str">
        <f t="array" ref="M33">IFERROR(INDEX(UtilityList!$J$4:$J$251,MATCH('Table 2.1a'!$A33&amp;'Table 2.1a'!$B33&amp;'Table 2.1a'!$C33,UtilityList!$A$4:$A$251&amp;UtilityList!$B$4:$B$251&amp;UtilityList!$C$4:$C$251,0)),"")</f>
        <v>Southeast</v>
      </c>
      <c r="N33" s="369" t="str">
        <f t="array" ref="N33">IFERROR(INDEX(UtilityList!$K$4:$K$251,MATCH('Table 2.1a'!$A33&amp;'Table 2.1a'!$B33&amp;'Table 2.1a'!$C33,UtilityList!$A$4:$A$251&amp;UtilityList!$B$4:$B$251&amp;UtilityList!$C$4:$C$251,0)),"")</f>
        <v>Skagway</v>
      </c>
      <c r="O33" s="369" t="str">
        <f t="array" ref="O33">IFERROR(INDEX(UtilityList!$L$4:$L$251,MATCH('Table 2.1a'!$A33&amp;'Table 2.1a'!$B33&amp;'Table 2.1a'!$C33,UtilityList!$A$4:$A$251&amp;UtilityList!$B$4:$B$251&amp;UtilityList!$C$4:$C$251,0)),"")</f>
        <v>Sealaska</v>
      </c>
      <c r="P33" s="369" t="str">
        <f t="array" ref="P33">IFERROR(INDEX(UtilityList!$M$4:$M$251,MATCH('Table 2.1a'!$A33&amp;'Table 2.1a'!$B33&amp;'Table 2.1a'!$C33,UtilityList!$A$4:$A$251&amp;UtilityList!$B$4:$B$251&amp;UtilityList!$C$4:$C$251,0)),"")</f>
        <v>SE</v>
      </c>
    </row>
    <row r="34" spans="1:16" s="344" customFormat="1" ht="60" x14ac:dyDescent="0.25">
      <c r="A34" s="619" t="s">
        <v>43</v>
      </c>
      <c r="B34" s="361" t="s">
        <v>61</v>
      </c>
      <c r="C34" s="350" t="s">
        <v>995</v>
      </c>
      <c r="D34" s="620">
        <v>730</v>
      </c>
      <c r="E34" s="621">
        <v>0</v>
      </c>
      <c r="F34" s="621">
        <v>730</v>
      </c>
      <c r="G34" s="621">
        <v>0</v>
      </c>
      <c r="H34" s="621">
        <v>0</v>
      </c>
      <c r="I34" s="452" t="s">
        <v>1022</v>
      </c>
      <c r="J34" s="622" t="str">
        <f t="array" ref="J34">IFERROR(INDEX(UtilityList!$H$4:$H$251,MATCH('Table 2.1a'!$A34&amp;'Table 2.1a'!$B34&amp;'Table 2.1a'!$C34,UtilityList!$A$4:$A$251&amp;UtilityList!$B$4:$B$251&amp;UtilityList!$C$4:$C$251,0)),"")</f>
        <v>PCE Eligible Active</v>
      </c>
      <c r="K34" s="709" t="str">
        <f t="array" ref="K34">IFERROR(INDEX(UtilityList!$Q$4:$Q$251,MATCH('Table 2.1a'!$A34&amp;'Table 2.1a'!$B34&amp;'Table 2.1a'!$C34,UtilityList!$A$4:$A$251&amp;UtilityList!$B$4:$B$251&amp;UtilityList!$C$4:$C$251,0)),"")</f>
        <v>Provides power to Chistochina via intertie. Includes Chistochina's fuel use and fuel cost.</v>
      </c>
      <c r="L34" s="622" t="str">
        <f t="array" ref="L34">IFERROR(INDEX(UtilityList!$I$4:$I$251,MATCH('Table 2.1a'!$A34&amp;'Table 2.1a'!$B34&amp;'Table 2.1a'!$C34,UtilityList!$A$4:$A$251&amp;UtilityList!$B$4:$B$251&amp;UtilityList!$C$4:$C$251,0)),"")</f>
        <v>ALASPCA</v>
      </c>
      <c r="M34" s="369" t="str">
        <f t="array" ref="M34">IFERROR(INDEX(UtilityList!$J$4:$J$251,MATCH('Table 2.1a'!$A34&amp;'Table 2.1a'!$B34&amp;'Table 2.1a'!$C34,UtilityList!$A$4:$A$251&amp;UtilityList!$B$4:$B$251&amp;UtilityList!$C$4:$C$251,0)),"")</f>
        <v>Copper River/Chugach</v>
      </c>
      <c r="N34" s="369" t="str">
        <f t="array" ref="N34">IFERROR(INDEX(UtilityList!$K$4:$K$251,MATCH('Table 2.1a'!$A34&amp;'Table 2.1a'!$B34&amp;'Table 2.1a'!$C34,UtilityList!$A$4:$A$251&amp;UtilityList!$B$4:$B$251&amp;UtilityList!$C$4:$C$251,0)),"")</f>
        <v>Valdez-Cordova (CA)</v>
      </c>
      <c r="O34" s="369" t="str">
        <f t="array" ref="O34">IFERROR(INDEX(UtilityList!$L$4:$L$251,MATCH('Table 2.1a'!$A34&amp;'Table 2.1a'!$B34&amp;'Table 2.1a'!$C34,UtilityList!$A$4:$A$251&amp;UtilityList!$B$4:$B$251&amp;UtilityList!$C$4:$C$251,0)),"")</f>
        <v>Ahtna</v>
      </c>
      <c r="P34" s="369" t="str">
        <f t="array" ref="P34">IFERROR(INDEX(UtilityList!$M$4:$M$251,MATCH('Table 2.1a'!$A34&amp;'Table 2.1a'!$B34&amp;'Table 2.1a'!$C34,UtilityList!$A$4:$A$251&amp;UtilityList!$B$4:$B$251&amp;UtilityList!$C$4:$C$251,0)),"")</f>
        <v>YU</v>
      </c>
    </row>
    <row r="35" spans="1:16" s="344" customFormat="1" ht="120" x14ac:dyDescent="0.25">
      <c r="A35" s="619" t="s">
        <v>43</v>
      </c>
      <c r="B35" s="361" t="s">
        <v>63</v>
      </c>
      <c r="C35" s="350" t="s">
        <v>681</v>
      </c>
      <c r="D35" s="620">
        <v>1300</v>
      </c>
      <c r="E35" s="621">
        <v>0</v>
      </c>
      <c r="F35" s="621">
        <v>1300</v>
      </c>
      <c r="G35" s="621">
        <v>0</v>
      </c>
      <c r="H35" s="621">
        <v>0</v>
      </c>
      <c r="I35" s="452" t="s">
        <v>1020</v>
      </c>
      <c r="J35" s="622" t="str">
        <f t="array" ref="J35">IFERROR(INDEX(UtilityList!$H$4:$H$251,MATCH('Table 2.1a'!$A35&amp;'Table 2.1a'!$B35&amp;'Table 2.1a'!$C35,UtilityList!$A$4:$A$251&amp;UtilityList!$B$4:$B$251&amp;UtilityList!$C$4:$C$251,0)),"")</f>
        <v>PCE Eligible Active</v>
      </c>
      <c r="K35" s="709" t="str">
        <f t="array" ref="K35">IFERROR(INDEX(UtilityList!$Q$4:$Q$251,MATCH('Table 2.1a'!$A35&amp;'Table 2.1a'!$B35&amp;'Table 2.1a'!$C35,UtilityList!$A$4:$A$251&amp;UtilityList!$B$4:$B$251&amp;UtilityList!$C$4:$C$251,0)),"")</f>
        <v>Part of the Alaska Power Company's grid on Prince of Wales Island. Receives power from Craig. Refer to Craig for fuel use and cost. Includes data for Kaasan.</v>
      </c>
      <c r="L35" s="622" t="str">
        <f t="array" ref="L35">IFERROR(INDEX(UtilityList!$I$4:$I$251,MATCH('Table 2.1a'!$A35&amp;'Table 2.1a'!$B35&amp;'Table 2.1a'!$C35,UtilityList!$A$4:$A$251&amp;UtilityList!$B$4:$B$251&amp;UtilityList!$C$4:$C$251,0)),"")</f>
        <v>ALASPCA</v>
      </c>
      <c r="M35" s="369" t="str">
        <f t="array" ref="M35">IFERROR(INDEX(UtilityList!$J$4:$J$251,MATCH('Table 2.1a'!$A35&amp;'Table 2.1a'!$B35&amp;'Table 2.1a'!$C35,UtilityList!$A$4:$A$251&amp;UtilityList!$B$4:$B$251&amp;UtilityList!$C$4:$C$251,0)),"")</f>
        <v>Southeast</v>
      </c>
      <c r="N35" s="369" t="str">
        <f t="array" ref="N35">IFERROR(INDEX(UtilityList!$K$4:$K$251,MATCH('Table 2.1a'!$A35&amp;'Table 2.1a'!$B35&amp;'Table 2.1a'!$C35,UtilityList!$A$4:$A$251&amp;UtilityList!$B$4:$B$251&amp;UtilityList!$C$4:$C$251,0)),"")</f>
        <v>Prince of Wales-Hyder (CA)</v>
      </c>
      <c r="O35" s="369" t="str">
        <f t="array" ref="O35">IFERROR(INDEX(UtilityList!$L$4:$L$251,MATCH('Table 2.1a'!$A35&amp;'Table 2.1a'!$B35&amp;'Table 2.1a'!$C35,UtilityList!$A$4:$A$251&amp;UtilityList!$B$4:$B$251&amp;UtilityList!$C$4:$C$251,0)),"")</f>
        <v>Sealaska</v>
      </c>
      <c r="P35" s="369" t="str">
        <f t="array" ref="P35">IFERROR(INDEX(UtilityList!$M$4:$M$251,MATCH('Table 2.1a'!$A35&amp;'Table 2.1a'!$B35&amp;'Table 2.1a'!$C35,UtilityList!$A$4:$A$251&amp;UtilityList!$B$4:$B$251&amp;UtilityList!$C$4:$C$251,0)),"")</f>
        <v>SE</v>
      </c>
    </row>
    <row r="36" spans="1:16" s="344" customFormat="1" ht="120" x14ac:dyDescent="0.25">
      <c r="A36" s="619" t="s">
        <v>43</v>
      </c>
      <c r="B36" s="361" t="s">
        <v>63</v>
      </c>
      <c r="C36" s="350" t="s">
        <v>681</v>
      </c>
      <c r="D36" s="620">
        <v>1000</v>
      </c>
      <c r="E36" s="621">
        <v>0</v>
      </c>
      <c r="F36" s="621">
        <v>1000</v>
      </c>
      <c r="G36" s="621">
        <v>0</v>
      </c>
      <c r="H36" s="621">
        <v>0</v>
      </c>
      <c r="I36" s="452" t="s">
        <v>1020</v>
      </c>
      <c r="J36" s="622" t="str">
        <f t="array" ref="J36">IFERROR(INDEX(UtilityList!$H$4:$H$251,MATCH('Table 2.1a'!$A36&amp;'Table 2.1a'!$B36&amp;'Table 2.1a'!$C36,UtilityList!$A$4:$A$251&amp;UtilityList!$B$4:$B$251&amp;UtilityList!$C$4:$C$251,0)),"")</f>
        <v>PCE Eligible Active</v>
      </c>
      <c r="K36" s="709" t="str">
        <f t="array" ref="K36">IFERROR(INDEX(UtilityList!$Q$4:$Q$251,MATCH('Table 2.1a'!$A36&amp;'Table 2.1a'!$B36&amp;'Table 2.1a'!$C36,UtilityList!$A$4:$A$251&amp;UtilityList!$B$4:$B$251&amp;UtilityList!$C$4:$C$251,0)),"")</f>
        <v>Part of the Alaska Power Company's grid on Prince of Wales Island. Receives power from Craig. Refer to Craig for fuel use and cost. Includes data for Kaasan.</v>
      </c>
      <c r="L36" s="622" t="str">
        <f t="array" ref="L36">IFERROR(INDEX(UtilityList!$I$4:$I$251,MATCH('Table 2.1a'!$A36&amp;'Table 2.1a'!$B36&amp;'Table 2.1a'!$C36,UtilityList!$A$4:$A$251&amp;UtilityList!$B$4:$B$251&amp;UtilityList!$C$4:$C$251,0)),"")</f>
        <v>ALASPCA</v>
      </c>
      <c r="M36" s="369" t="str">
        <f t="array" ref="M36">IFERROR(INDEX(UtilityList!$J$4:$J$251,MATCH('Table 2.1a'!$A36&amp;'Table 2.1a'!$B36&amp;'Table 2.1a'!$C36,UtilityList!$A$4:$A$251&amp;UtilityList!$B$4:$B$251&amp;UtilityList!$C$4:$C$251,0)),"")</f>
        <v>Southeast</v>
      </c>
      <c r="N36" s="369" t="str">
        <f t="array" ref="N36">IFERROR(INDEX(UtilityList!$K$4:$K$251,MATCH('Table 2.1a'!$A36&amp;'Table 2.1a'!$B36&amp;'Table 2.1a'!$C36,UtilityList!$A$4:$A$251&amp;UtilityList!$B$4:$B$251&amp;UtilityList!$C$4:$C$251,0)),"")</f>
        <v>Prince of Wales-Hyder (CA)</v>
      </c>
      <c r="O36" s="369" t="str">
        <f t="array" ref="O36">IFERROR(INDEX(UtilityList!$L$4:$L$251,MATCH('Table 2.1a'!$A36&amp;'Table 2.1a'!$B36&amp;'Table 2.1a'!$C36,UtilityList!$A$4:$A$251&amp;UtilityList!$B$4:$B$251&amp;UtilityList!$C$4:$C$251,0)),"")</f>
        <v>Sealaska</v>
      </c>
      <c r="P36" s="369" t="str">
        <f t="array" ref="P36">IFERROR(INDEX(UtilityList!$M$4:$M$251,MATCH('Table 2.1a'!$A36&amp;'Table 2.1a'!$B36&amp;'Table 2.1a'!$C36,UtilityList!$A$4:$A$251&amp;UtilityList!$B$4:$B$251&amp;UtilityList!$C$4:$C$251,0)),"")</f>
        <v>SE</v>
      </c>
    </row>
    <row r="37" spans="1:16" s="344" customFormat="1" ht="120" x14ac:dyDescent="0.25">
      <c r="A37" s="619" t="s">
        <v>43</v>
      </c>
      <c r="B37" s="361" t="s">
        <v>559</v>
      </c>
      <c r="C37" s="350" t="s">
        <v>681</v>
      </c>
      <c r="D37" s="620">
        <v>345</v>
      </c>
      <c r="E37" s="621">
        <v>0</v>
      </c>
      <c r="F37" s="621">
        <v>345</v>
      </c>
      <c r="G37" s="621">
        <v>0</v>
      </c>
      <c r="H37" s="621">
        <v>0</v>
      </c>
      <c r="I37" s="452" t="s">
        <v>1022</v>
      </c>
      <c r="J37" s="622" t="str">
        <f t="array" ref="J37">IFERROR(INDEX(UtilityList!$H$4:$H$251,MATCH('Table 2.1a'!$A37&amp;'Table 2.1a'!$B37&amp;'Table 2.1a'!$C37,UtilityList!$A$4:$A$251&amp;UtilityList!$B$4:$B$251&amp;UtilityList!$C$4:$C$251,0)),"")</f>
        <v>PCE Eligible Active</v>
      </c>
      <c r="K37" s="709" t="str">
        <f t="array" ref="K37">IFERROR(INDEX(UtilityList!$Q$4:$Q$251,MATCH('Table 2.1a'!$A37&amp;'Table 2.1a'!$B37&amp;'Table 2.1a'!$C37,UtilityList!$A$4:$A$251&amp;UtilityList!$B$4:$B$251&amp;UtilityList!$C$4:$C$251,0)),"")</f>
        <v>Part of the Alaska Power Company's grid on Prince of Wales Island. Receives power from Craig. Refer to Craig for fuel use and cost. Includes data for Kaasan.</v>
      </c>
      <c r="L37" s="622" t="str">
        <f t="array" ref="L37">IFERROR(INDEX(UtilityList!$I$4:$I$251,MATCH('Table 2.1a'!$A37&amp;'Table 2.1a'!$B37&amp;'Table 2.1a'!$C37,UtilityList!$A$4:$A$251&amp;UtilityList!$B$4:$B$251&amp;UtilityList!$C$4:$C$251,0)),"")</f>
        <v>ALASPCA</v>
      </c>
      <c r="M37" s="369" t="str">
        <f t="array" ref="M37">IFERROR(INDEX(UtilityList!$J$4:$J$251,MATCH('Table 2.1a'!$A37&amp;'Table 2.1a'!$B37&amp;'Table 2.1a'!$C37,UtilityList!$A$4:$A$251&amp;UtilityList!$B$4:$B$251&amp;UtilityList!$C$4:$C$251,0)),"")</f>
        <v>Southeast</v>
      </c>
      <c r="N37" s="369" t="str">
        <f t="array" ref="N37">IFERROR(INDEX(UtilityList!$K$4:$K$251,MATCH('Table 2.1a'!$A37&amp;'Table 2.1a'!$B37&amp;'Table 2.1a'!$C37,UtilityList!$A$4:$A$251&amp;UtilityList!$B$4:$B$251&amp;UtilityList!$C$4:$C$251,0)),"")</f>
        <v>Prince of Wales-Hyder (CA)</v>
      </c>
      <c r="O37" s="369" t="str">
        <f t="array" ref="O37">IFERROR(INDEX(UtilityList!$L$4:$L$251,MATCH('Table 2.1a'!$A37&amp;'Table 2.1a'!$B37&amp;'Table 2.1a'!$C37,UtilityList!$A$4:$A$251&amp;UtilityList!$B$4:$B$251&amp;UtilityList!$C$4:$C$251,0)),"")</f>
        <v>Sealaska</v>
      </c>
      <c r="P37" s="369" t="str">
        <f t="array" ref="P37">IFERROR(INDEX(UtilityList!$M$4:$M$251,MATCH('Table 2.1a'!$A37&amp;'Table 2.1a'!$B37&amp;'Table 2.1a'!$C37,UtilityList!$A$4:$A$251&amp;UtilityList!$B$4:$B$251&amp;UtilityList!$C$4:$C$251,0)),"")</f>
        <v>SE</v>
      </c>
    </row>
    <row r="38" spans="1:16" s="344" customFormat="1" ht="120" x14ac:dyDescent="0.25">
      <c r="A38" s="619" t="s">
        <v>43</v>
      </c>
      <c r="B38" s="361" t="s">
        <v>64</v>
      </c>
      <c r="C38" s="350" t="s">
        <v>685</v>
      </c>
      <c r="D38" s="620">
        <v>7600</v>
      </c>
      <c r="E38" s="621">
        <v>0</v>
      </c>
      <c r="F38" s="621">
        <v>7600</v>
      </c>
      <c r="G38" s="621">
        <v>0</v>
      </c>
      <c r="H38" s="621">
        <v>0</v>
      </c>
      <c r="I38" s="452" t="s">
        <v>1020</v>
      </c>
      <c r="J38" s="622" t="str">
        <f t="array" ref="J38">IFERROR(INDEX(UtilityList!$H$4:$H$251,MATCH('Table 2.1a'!$A38&amp;'Table 2.1a'!$B38&amp;'Table 2.1a'!$C38,UtilityList!$A$4:$A$251&amp;UtilityList!$B$4:$B$251&amp;UtilityList!$C$4:$C$251,0)),"")</f>
        <v>PCE Eligible Active</v>
      </c>
      <c r="K38" s="709" t="str">
        <f t="array" ref="K38">IFERROR(INDEX(UtilityList!$Q$4:$Q$251,MATCH('Table 2.1a'!$A38&amp;'Table 2.1a'!$B38&amp;'Table 2.1a'!$C38,UtilityList!$A$4:$A$251&amp;UtilityList!$B$4:$B$251&amp;UtilityList!$C$4:$C$251,0)),"")</f>
        <v>Provides power to Tanacross, Tetlin and Dot Lake via intertie. Includes Tanacross' information. Fuel use and cost also includes Tetlin's and Dot Lake's information.</v>
      </c>
      <c r="L38" s="622" t="str">
        <f t="array" ref="L38">IFERROR(INDEX(UtilityList!$I$4:$I$251,MATCH('Table 2.1a'!$A38&amp;'Table 2.1a'!$B38&amp;'Table 2.1a'!$C38,UtilityList!$A$4:$A$251&amp;UtilityList!$B$4:$B$251&amp;UtilityList!$C$4:$C$251,0)),"")</f>
        <v>ALASPCA</v>
      </c>
      <c r="M38" s="369" t="str">
        <f t="array" ref="M38">IFERROR(INDEX(UtilityList!$J$4:$J$251,MATCH('Table 2.1a'!$A38&amp;'Table 2.1a'!$B38&amp;'Table 2.1a'!$C38,UtilityList!$A$4:$A$251&amp;UtilityList!$B$4:$B$251&amp;UtilityList!$C$4:$C$251,0)),"")</f>
        <v>Yukon-Koyukuk/Upper Tanana</v>
      </c>
      <c r="N38" s="369" t="str">
        <f t="array" ref="N38">IFERROR(INDEX(UtilityList!$K$4:$K$251,MATCH('Table 2.1a'!$A38&amp;'Table 2.1a'!$B38&amp;'Table 2.1a'!$C38,UtilityList!$A$4:$A$251&amp;UtilityList!$B$4:$B$251&amp;UtilityList!$C$4:$C$251,0)),"")</f>
        <v>Southeast Fairbanks (CA)</v>
      </c>
      <c r="O38" s="369" t="str">
        <f t="array" ref="O38">IFERROR(INDEX(UtilityList!$L$4:$L$251,MATCH('Table 2.1a'!$A38&amp;'Table 2.1a'!$B38&amp;'Table 2.1a'!$C38,UtilityList!$A$4:$A$251&amp;UtilityList!$B$4:$B$251&amp;UtilityList!$C$4:$C$251,0)),"")</f>
        <v>Doyon</v>
      </c>
      <c r="P38" s="369" t="str">
        <f t="array" ref="P38">IFERROR(INDEX(UtilityList!$M$4:$M$251,MATCH('Table 2.1a'!$A38&amp;'Table 2.1a'!$B38&amp;'Table 2.1a'!$C38,UtilityList!$A$4:$A$251&amp;UtilityList!$B$4:$B$251&amp;UtilityList!$C$4:$C$251,0)),"")</f>
        <v>YU</v>
      </c>
    </row>
    <row r="39" spans="1:16" s="344" customFormat="1" ht="30" x14ac:dyDescent="0.25">
      <c r="A39" s="619" t="s">
        <v>43</v>
      </c>
      <c r="B39" s="361" t="s">
        <v>65</v>
      </c>
      <c r="C39" s="350" t="s">
        <v>65</v>
      </c>
      <c r="D39" s="620">
        <v>250</v>
      </c>
      <c r="E39" s="621">
        <v>0</v>
      </c>
      <c r="F39" s="621">
        <v>250</v>
      </c>
      <c r="G39" s="621">
        <v>0</v>
      </c>
      <c r="H39" s="621">
        <v>0</v>
      </c>
      <c r="I39" s="452" t="s">
        <v>1022</v>
      </c>
      <c r="J39" s="622" t="str">
        <f t="array" ref="J39">IFERROR(INDEX(UtilityList!$H$4:$H$251,MATCH('Table 2.1a'!$A39&amp;'Table 2.1a'!$B39&amp;'Table 2.1a'!$C39,UtilityList!$A$4:$A$251&amp;UtilityList!$B$4:$B$251&amp;UtilityList!$C$4:$C$251,0)),"")</f>
        <v>PCE Eligible Active</v>
      </c>
      <c r="K39" s="709">
        <f t="array" ref="K39">IFERROR(INDEX(UtilityList!$Q$4:$Q$251,MATCH('Table 2.1a'!$A39&amp;'Table 2.1a'!$B39&amp;'Table 2.1a'!$C39,UtilityList!$A$4:$A$251&amp;UtilityList!$B$4:$B$251&amp;UtilityList!$C$4:$C$251,0)),"")</f>
        <v>0</v>
      </c>
      <c r="L39" s="622" t="str">
        <f t="array" ref="L39">IFERROR(INDEX(UtilityList!$I$4:$I$251,MATCH('Table 2.1a'!$A39&amp;'Table 2.1a'!$B39&amp;'Table 2.1a'!$C39,UtilityList!$A$4:$A$251&amp;UtilityList!$B$4:$B$251&amp;UtilityList!$C$4:$C$251,0)),"")</f>
        <v>ALASPCA</v>
      </c>
      <c r="M39" s="369" t="str">
        <f t="array" ref="M39">IFERROR(INDEX(UtilityList!$J$4:$J$251,MATCH('Table 2.1a'!$A39&amp;'Table 2.1a'!$B39&amp;'Table 2.1a'!$C39,UtilityList!$A$4:$A$251&amp;UtilityList!$B$4:$B$251&amp;UtilityList!$C$4:$C$251,0)),"")</f>
        <v>Southeast</v>
      </c>
      <c r="N39" s="369" t="str">
        <f t="array" ref="N39">IFERROR(INDEX(UtilityList!$K$4:$K$251,MATCH('Table 2.1a'!$A39&amp;'Table 2.1a'!$B39&amp;'Table 2.1a'!$C39,UtilityList!$A$4:$A$251&amp;UtilityList!$B$4:$B$251&amp;UtilityList!$C$4:$C$251,0)),"")</f>
        <v>Prince of Wales-Hyder (CA)</v>
      </c>
      <c r="O39" s="369" t="str">
        <f t="array" ref="O39">IFERROR(INDEX(UtilityList!$L$4:$L$251,MATCH('Table 2.1a'!$A39&amp;'Table 2.1a'!$B39&amp;'Table 2.1a'!$C39,UtilityList!$A$4:$A$251&amp;UtilityList!$B$4:$B$251&amp;UtilityList!$C$4:$C$251,0)),"")</f>
        <v>Sealaska</v>
      </c>
      <c r="P39" s="369" t="str">
        <f t="array" ref="P39">IFERROR(INDEX(UtilityList!$M$4:$M$251,MATCH('Table 2.1a'!$A39&amp;'Table 2.1a'!$B39&amp;'Table 2.1a'!$C39,UtilityList!$A$4:$A$251&amp;UtilityList!$B$4:$B$251&amp;UtilityList!$C$4:$C$251,0)),"")</f>
        <v>SE</v>
      </c>
    </row>
    <row r="40" spans="1:16" s="344" customFormat="1" x14ac:dyDescent="0.25">
      <c r="A40" s="619" t="s">
        <v>524</v>
      </c>
      <c r="B40" s="361" t="s">
        <v>66</v>
      </c>
      <c r="C40" s="350" t="s">
        <v>66</v>
      </c>
      <c r="D40" s="620">
        <v>1300</v>
      </c>
      <c r="E40" s="621">
        <v>0</v>
      </c>
      <c r="F40" s="621">
        <v>1300</v>
      </c>
      <c r="G40" s="621">
        <v>0</v>
      </c>
      <c r="H40" s="621">
        <v>0</v>
      </c>
      <c r="I40" s="452" t="s">
        <v>1020</v>
      </c>
      <c r="J40" s="622" t="str">
        <f t="array" ref="J40">IFERROR(INDEX(UtilityList!$H$4:$H$251,MATCH('Table 2.1a'!$A40&amp;'Table 2.1a'!$B40&amp;'Table 2.1a'!$C40,UtilityList!$A$4:$A$251&amp;UtilityList!$B$4:$B$251&amp;UtilityList!$C$4:$C$251,0)),"")</f>
        <v>PCE Eligible Active</v>
      </c>
      <c r="K40" s="709">
        <f t="array" ref="K40">IFERROR(INDEX(UtilityList!$Q$4:$Q$251,MATCH('Table 2.1a'!$A40&amp;'Table 2.1a'!$B40&amp;'Table 2.1a'!$C40,UtilityList!$A$4:$A$251&amp;UtilityList!$B$4:$B$251&amp;UtilityList!$C$4:$C$251,0)),"")</f>
        <v>0</v>
      </c>
      <c r="L40" s="622" t="str">
        <f t="array" ref="L40">IFERROR(INDEX(UtilityList!$I$4:$I$251,MATCH('Table 2.1a'!$A40&amp;'Table 2.1a'!$B40&amp;'Table 2.1a'!$C40,UtilityList!$A$4:$A$251&amp;UtilityList!$B$4:$B$251&amp;UtilityList!$C$4:$C$251,0)),"")</f>
        <v>ALASVEC</v>
      </c>
      <c r="M40" s="369" t="str">
        <f t="array" ref="M40">IFERROR(INDEX(UtilityList!$J$4:$J$251,MATCH('Table 2.1a'!$A40&amp;'Table 2.1a'!$B40&amp;'Table 2.1a'!$C40,UtilityList!$A$4:$A$251&amp;UtilityList!$B$4:$B$251&amp;UtilityList!$C$4:$C$251,0)),"")</f>
        <v>Lower Yukon-Kuskokwim</v>
      </c>
      <c r="N40" s="369" t="str">
        <f t="array" ref="N40">IFERROR(INDEX(UtilityList!$K$4:$K$251,MATCH('Table 2.1a'!$A40&amp;'Table 2.1a'!$B40&amp;'Table 2.1a'!$C40,UtilityList!$A$4:$A$251&amp;UtilityList!$B$4:$B$251&amp;UtilityList!$C$4:$C$251,0)),"")</f>
        <v>Wade Hampton (CA)</v>
      </c>
      <c r="O40" s="369" t="str">
        <f t="array" ref="O40">IFERROR(INDEX(UtilityList!$L$4:$L$251,MATCH('Table 2.1a'!$A40&amp;'Table 2.1a'!$B40&amp;'Table 2.1a'!$C40,UtilityList!$A$4:$A$251&amp;UtilityList!$B$4:$B$251&amp;UtilityList!$C$4:$C$251,0)),"")</f>
        <v>Calista</v>
      </c>
      <c r="P40" s="369" t="str">
        <f t="array" ref="P40">IFERROR(INDEX(UtilityList!$M$4:$M$251,MATCH('Table 2.1a'!$A40&amp;'Table 2.1a'!$B40&amp;'Table 2.1a'!$C40,UtilityList!$A$4:$A$251&amp;UtilityList!$B$4:$B$251&amp;UtilityList!$C$4:$C$251,0)),"")</f>
        <v>YU</v>
      </c>
    </row>
    <row r="41" spans="1:16" s="344" customFormat="1" x14ac:dyDescent="0.25">
      <c r="A41" s="619" t="s">
        <v>524</v>
      </c>
      <c r="B41" s="361" t="s">
        <v>67</v>
      </c>
      <c r="C41" s="350" t="s">
        <v>67</v>
      </c>
      <c r="D41" s="620">
        <v>1115</v>
      </c>
      <c r="E41" s="621">
        <v>0</v>
      </c>
      <c r="F41" s="621">
        <v>1115</v>
      </c>
      <c r="G41" s="621">
        <v>0</v>
      </c>
      <c r="H41" s="621">
        <v>0</v>
      </c>
      <c r="I41" s="452" t="s">
        <v>1022</v>
      </c>
      <c r="J41" s="622" t="str">
        <f t="array" ref="J41">IFERROR(INDEX(UtilityList!$H$4:$H$251,MATCH('Table 2.1a'!$A41&amp;'Table 2.1a'!$B41&amp;'Table 2.1a'!$C41,UtilityList!$A$4:$A$251&amp;UtilityList!$B$4:$B$251&amp;UtilityList!$C$4:$C$251,0)),"")</f>
        <v>PCE Eligible Active</v>
      </c>
      <c r="K41" s="709">
        <f t="array" ref="K41">IFERROR(INDEX(UtilityList!$Q$4:$Q$251,MATCH('Table 2.1a'!$A41&amp;'Table 2.1a'!$B41&amp;'Table 2.1a'!$C41,UtilityList!$A$4:$A$251&amp;UtilityList!$B$4:$B$251&amp;UtilityList!$C$4:$C$251,0)),"")</f>
        <v>0</v>
      </c>
      <c r="L41" s="622" t="str">
        <f t="array" ref="L41">IFERROR(INDEX(UtilityList!$I$4:$I$251,MATCH('Table 2.1a'!$A41&amp;'Table 2.1a'!$B41&amp;'Table 2.1a'!$C41,UtilityList!$A$4:$A$251&amp;UtilityList!$B$4:$B$251&amp;UtilityList!$C$4:$C$251,0)),"")</f>
        <v>ALASVEC</v>
      </c>
      <c r="M41" s="369" t="str">
        <f t="array" ref="M41">IFERROR(INDEX(UtilityList!$J$4:$J$251,MATCH('Table 2.1a'!$A41&amp;'Table 2.1a'!$B41&amp;'Table 2.1a'!$C41,UtilityList!$A$4:$A$251&amp;UtilityList!$B$4:$B$251&amp;UtilityList!$C$4:$C$251,0)),"")</f>
        <v>Northwest Arctic</v>
      </c>
      <c r="N41" s="369" t="str">
        <f t="array" ref="N41">IFERROR(INDEX(UtilityList!$K$4:$K$251,MATCH('Table 2.1a'!$A41&amp;'Table 2.1a'!$B41&amp;'Table 2.1a'!$C41,UtilityList!$A$4:$A$251&amp;UtilityList!$B$4:$B$251&amp;UtilityList!$C$4:$C$251,0)),"")</f>
        <v>Northwest Arctic</v>
      </c>
      <c r="O41" s="369" t="str">
        <f t="array" ref="O41">IFERROR(INDEX(UtilityList!$L$4:$L$251,MATCH('Table 2.1a'!$A41&amp;'Table 2.1a'!$B41&amp;'Table 2.1a'!$C41,UtilityList!$A$4:$A$251&amp;UtilityList!$B$4:$B$251&amp;UtilityList!$C$4:$C$251,0)),"")</f>
        <v>NANA</v>
      </c>
      <c r="P41" s="369" t="str">
        <f t="array" ref="P41">IFERROR(INDEX(UtilityList!$M$4:$M$251,MATCH('Table 2.1a'!$A41&amp;'Table 2.1a'!$B41&amp;'Table 2.1a'!$C41,UtilityList!$A$4:$A$251&amp;UtilityList!$B$4:$B$251&amp;UtilityList!$C$4:$C$251,0)),"")</f>
        <v>AN</v>
      </c>
    </row>
    <row r="42" spans="1:16" s="344" customFormat="1" x14ac:dyDescent="0.25">
      <c r="A42" s="619" t="s">
        <v>524</v>
      </c>
      <c r="B42" s="361" t="s">
        <v>68</v>
      </c>
      <c r="C42" s="350" t="s">
        <v>68</v>
      </c>
      <c r="D42" s="620">
        <v>375</v>
      </c>
      <c r="E42" s="621">
        <v>0</v>
      </c>
      <c r="F42" s="621">
        <v>375</v>
      </c>
      <c r="G42" s="621">
        <v>0</v>
      </c>
      <c r="H42" s="621">
        <v>0</v>
      </c>
      <c r="I42" s="452" t="s">
        <v>1022</v>
      </c>
      <c r="J42" s="622" t="str">
        <f t="array" ref="J42">IFERROR(INDEX(UtilityList!$H$4:$H$251,MATCH('Table 2.1a'!$A42&amp;'Table 2.1a'!$B42&amp;'Table 2.1a'!$C42,UtilityList!$A$4:$A$251&amp;UtilityList!$B$4:$B$251&amp;UtilityList!$C$4:$C$251,0)),"")</f>
        <v>PCE Eligible Active</v>
      </c>
      <c r="K42" s="709">
        <f t="array" ref="K42">IFERROR(INDEX(UtilityList!$Q$4:$Q$251,MATCH('Table 2.1a'!$A42&amp;'Table 2.1a'!$B42&amp;'Table 2.1a'!$C42,UtilityList!$A$4:$A$251&amp;UtilityList!$B$4:$B$251&amp;UtilityList!$C$4:$C$251,0)),"")</f>
        <v>0</v>
      </c>
      <c r="L42" s="622" t="str">
        <f t="array" ref="L42">IFERROR(INDEX(UtilityList!$I$4:$I$251,MATCH('Table 2.1a'!$A42&amp;'Table 2.1a'!$B42&amp;'Table 2.1a'!$C42,UtilityList!$A$4:$A$251&amp;UtilityList!$B$4:$B$251&amp;UtilityList!$C$4:$C$251,0)),"")</f>
        <v>ALASVEC</v>
      </c>
      <c r="M42" s="369" t="str">
        <f t="array" ref="M42">IFERROR(INDEX(UtilityList!$J$4:$J$251,MATCH('Table 2.1a'!$A42&amp;'Table 2.1a'!$B42&amp;'Table 2.1a'!$C42,UtilityList!$A$4:$A$251&amp;UtilityList!$B$4:$B$251&amp;UtilityList!$C$4:$C$251,0)),"")</f>
        <v>Yukon-Koyukuk/Upper Tanana</v>
      </c>
      <c r="N42" s="369" t="str">
        <f t="array" ref="N42">IFERROR(INDEX(UtilityList!$K$4:$K$251,MATCH('Table 2.1a'!$A42&amp;'Table 2.1a'!$B42&amp;'Table 2.1a'!$C42,UtilityList!$A$4:$A$251&amp;UtilityList!$B$4:$B$251&amp;UtilityList!$C$4:$C$251,0)),"")</f>
        <v>Yukon-Koyukuk (CA)</v>
      </c>
      <c r="O42" s="369" t="str">
        <f t="array" ref="O42">IFERROR(INDEX(UtilityList!$L$4:$L$251,MATCH('Table 2.1a'!$A42&amp;'Table 2.1a'!$B42&amp;'Table 2.1a'!$C42,UtilityList!$A$4:$A$251&amp;UtilityList!$B$4:$B$251&amp;UtilityList!$C$4:$C$251,0)),"")</f>
        <v>Doyon</v>
      </c>
      <c r="P42" s="369" t="str">
        <f t="array" ref="P42">IFERROR(INDEX(UtilityList!$M$4:$M$251,MATCH('Table 2.1a'!$A42&amp;'Table 2.1a'!$B42&amp;'Table 2.1a'!$C42,UtilityList!$A$4:$A$251&amp;UtilityList!$B$4:$B$251&amp;UtilityList!$C$4:$C$251,0)),"")</f>
        <v>YU</v>
      </c>
    </row>
    <row r="43" spans="1:16" s="344" customFormat="1" x14ac:dyDescent="0.25">
      <c r="A43" s="619" t="s">
        <v>524</v>
      </c>
      <c r="B43" s="361" t="s">
        <v>69</v>
      </c>
      <c r="C43" s="350" t="s">
        <v>69</v>
      </c>
      <c r="D43" s="620">
        <v>1025</v>
      </c>
      <c r="E43" s="621">
        <v>0</v>
      </c>
      <c r="F43" s="621">
        <v>1025</v>
      </c>
      <c r="G43" s="621">
        <v>0</v>
      </c>
      <c r="H43" s="621">
        <v>0</v>
      </c>
      <c r="I43" s="452" t="s">
        <v>1022</v>
      </c>
      <c r="J43" s="622" t="str">
        <f t="array" ref="J43">IFERROR(INDEX(UtilityList!$H$4:$H$251,MATCH('Table 2.1a'!$A43&amp;'Table 2.1a'!$B43&amp;'Table 2.1a'!$C43,UtilityList!$A$4:$A$251&amp;UtilityList!$B$4:$B$251&amp;UtilityList!$C$4:$C$251,0)),"")</f>
        <v>PCE Eligible Active</v>
      </c>
      <c r="K43" s="709">
        <f t="array" ref="K43">IFERROR(INDEX(UtilityList!$Q$4:$Q$251,MATCH('Table 2.1a'!$A43&amp;'Table 2.1a'!$B43&amp;'Table 2.1a'!$C43,UtilityList!$A$4:$A$251&amp;UtilityList!$B$4:$B$251&amp;UtilityList!$C$4:$C$251,0)),"")</f>
        <v>0</v>
      </c>
      <c r="L43" s="622" t="str">
        <f t="array" ref="L43">IFERROR(INDEX(UtilityList!$I$4:$I$251,MATCH('Table 2.1a'!$A43&amp;'Table 2.1a'!$B43&amp;'Table 2.1a'!$C43,UtilityList!$A$4:$A$251&amp;UtilityList!$B$4:$B$251&amp;UtilityList!$C$4:$C$251,0)),"")</f>
        <v>ALASVEC</v>
      </c>
      <c r="M43" s="369" t="str">
        <f t="array" ref="M43">IFERROR(INDEX(UtilityList!$J$4:$J$251,MATCH('Table 2.1a'!$A43&amp;'Table 2.1a'!$B43&amp;'Table 2.1a'!$C43,UtilityList!$A$4:$A$251&amp;UtilityList!$B$4:$B$251&amp;UtilityList!$C$4:$C$251,0)),"")</f>
        <v>Bering Straits</v>
      </c>
      <c r="N43" s="369" t="str">
        <f t="array" ref="N43">IFERROR(INDEX(UtilityList!$K$4:$K$251,MATCH('Table 2.1a'!$A43&amp;'Table 2.1a'!$B43&amp;'Table 2.1a'!$C43,UtilityList!$A$4:$A$251&amp;UtilityList!$B$4:$B$251&amp;UtilityList!$C$4:$C$251,0)),"")</f>
        <v>Nome (CA)</v>
      </c>
      <c r="O43" s="369" t="str">
        <f t="array" ref="O43">IFERROR(INDEX(UtilityList!$L$4:$L$251,MATCH('Table 2.1a'!$A43&amp;'Table 2.1a'!$B43&amp;'Table 2.1a'!$C43,UtilityList!$A$4:$A$251&amp;UtilityList!$B$4:$B$251&amp;UtilityList!$C$4:$C$251,0)),"")</f>
        <v>Bering Straits</v>
      </c>
      <c r="P43" s="369" t="str">
        <f t="array" ref="P43">IFERROR(INDEX(UtilityList!$M$4:$M$251,MATCH('Table 2.1a'!$A43&amp;'Table 2.1a'!$B43&amp;'Table 2.1a'!$C43,UtilityList!$A$4:$A$251&amp;UtilityList!$B$4:$B$251&amp;UtilityList!$C$4:$C$251,0)),"")</f>
        <v>AN</v>
      </c>
    </row>
    <row r="44" spans="1:16" s="344" customFormat="1" ht="30" x14ac:dyDescent="0.25">
      <c r="A44" s="619" t="s">
        <v>524</v>
      </c>
      <c r="B44" s="361" t="s">
        <v>70</v>
      </c>
      <c r="C44" s="350" t="s">
        <v>70</v>
      </c>
      <c r="D44" s="620">
        <v>400</v>
      </c>
      <c r="E44" s="621">
        <v>0</v>
      </c>
      <c r="F44" s="621">
        <v>0</v>
      </c>
      <c r="G44" s="621">
        <v>0</v>
      </c>
      <c r="H44" s="621">
        <v>400</v>
      </c>
      <c r="I44" s="452" t="s">
        <v>1021</v>
      </c>
      <c r="J44" s="622" t="str">
        <f t="array" ref="J44">IFERROR(INDEX(UtilityList!$H$4:$H$251,MATCH('Table 2.1a'!$A44&amp;'Table 2.1a'!$B44&amp;'Table 2.1a'!$C44,UtilityList!$A$4:$A$251&amp;UtilityList!$B$4:$B$251&amp;UtilityList!$C$4:$C$251,0)),"")</f>
        <v>PCE Eligible Active</v>
      </c>
      <c r="K44" s="709">
        <f t="array" ref="K44">IFERROR(INDEX(UtilityList!$Q$4:$Q$251,MATCH('Table 2.1a'!$A44&amp;'Table 2.1a'!$B44&amp;'Table 2.1a'!$C44,UtilityList!$A$4:$A$251&amp;UtilityList!$B$4:$B$251&amp;UtilityList!$C$4:$C$251,0)),"")</f>
        <v>0</v>
      </c>
      <c r="L44" s="622" t="str">
        <f t="array" ref="L44">IFERROR(INDEX(UtilityList!$I$4:$I$251,MATCH('Table 2.1a'!$A44&amp;'Table 2.1a'!$B44&amp;'Table 2.1a'!$C44,UtilityList!$A$4:$A$251&amp;UtilityList!$B$4:$B$251&amp;UtilityList!$C$4:$C$251,0)),"")</f>
        <v>ALASVEC</v>
      </c>
      <c r="M44" s="369" t="str">
        <f t="array" ref="M44">IFERROR(INDEX(UtilityList!$J$4:$J$251,MATCH('Table 2.1a'!$A44&amp;'Table 2.1a'!$B44&amp;'Table 2.1a'!$C44,UtilityList!$A$4:$A$251&amp;UtilityList!$B$4:$B$251&amp;UtilityList!$C$4:$C$251,0)),"")</f>
        <v>Lower Yukon-Kuskokwim</v>
      </c>
      <c r="N44" s="369" t="str">
        <f t="array" ref="N44">IFERROR(INDEX(UtilityList!$K$4:$K$251,MATCH('Table 2.1a'!$A44&amp;'Table 2.1a'!$B44&amp;'Table 2.1a'!$C44,UtilityList!$A$4:$A$251&amp;UtilityList!$B$4:$B$251&amp;UtilityList!$C$4:$C$251,0)),"")</f>
        <v>Wade Hampton (CA)</v>
      </c>
      <c r="O44" s="369" t="str">
        <f t="array" ref="O44">IFERROR(INDEX(UtilityList!$L$4:$L$251,MATCH('Table 2.1a'!$A44&amp;'Table 2.1a'!$B44&amp;'Table 2.1a'!$C44,UtilityList!$A$4:$A$251&amp;UtilityList!$B$4:$B$251&amp;UtilityList!$C$4:$C$251,0)),"")</f>
        <v>Calista</v>
      </c>
      <c r="P44" s="369" t="str">
        <f t="array" ref="P44">IFERROR(INDEX(UtilityList!$M$4:$M$251,MATCH('Table 2.1a'!$A44&amp;'Table 2.1a'!$B44&amp;'Table 2.1a'!$C44,UtilityList!$A$4:$A$251&amp;UtilityList!$B$4:$B$251&amp;UtilityList!$C$4:$C$251,0)),"")</f>
        <v>YU</v>
      </c>
    </row>
    <row r="45" spans="1:16" s="344" customFormat="1" x14ac:dyDescent="0.25">
      <c r="A45" s="619" t="s">
        <v>524</v>
      </c>
      <c r="B45" s="361" t="s">
        <v>70</v>
      </c>
      <c r="C45" s="350" t="s">
        <v>70</v>
      </c>
      <c r="D45" s="620">
        <v>1615</v>
      </c>
      <c r="E45" s="621">
        <v>0</v>
      </c>
      <c r="F45" s="621">
        <v>1615</v>
      </c>
      <c r="G45" s="621">
        <v>0</v>
      </c>
      <c r="H45" s="621">
        <v>0</v>
      </c>
      <c r="I45" s="452" t="s">
        <v>1022</v>
      </c>
      <c r="J45" s="622" t="str">
        <f t="array" ref="J45">IFERROR(INDEX(UtilityList!$H$4:$H$251,MATCH('Table 2.1a'!$A45&amp;'Table 2.1a'!$B45&amp;'Table 2.1a'!$C45,UtilityList!$A$4:$A$251&amp;UtilityList!$B$4:$B$251&amp;UtilityList!$C$4:$C$251,0)),"")</f>
        <v>PCE Eligible Active</v>
      </c>
      <c r="K45" s="709">
        <f t="array" ref="K45">IFERROR(INDEX(UtilityList!$Q$4:$Q$251,MATCH('Table 2.1a'!$A45&amp;'Table 2.1a'!$B45&amp;'Table 2.1a'!$C45,UtilityList!$A$4:$A$251&amp;UtilityList!$B$4:$B$251&amp;UtilityList!$C$4:$C$251,0)),"")</f>
        <v>0</v>
      </c>
      <c r="L45" s="622" t="str">
        <f t="array" ref="L45">IFERROR(INDEX(UtilityList!$I$4:$I$251,MATCH('Table 2.1a'!$A45&amp;'Table 2.1a'!$B45&amp;'Table 2.1a'!$C45,UtilityList!$A$4:$A$251&amp;UtilityList!$B$4:$B$251&amp;UtilityList!$C$4:$C$251,0)),"")</f>
        <v>ALASVEC</v>
      </c>
      <c r="M45" s="369" t="str">
        <f t="array" ref="M45">IFERROR(INDEX(UtilityList!$J$4:$J$251,MATCH('Table 2.1a'!$A45&amp;'Table 2.1a'!$B45&amp;'Table 2.1a'!$C45,UtilityList!$A$4:$A$251&amp;UtilityList!$B$4:$B$251&amp;UtilityList!$C$4:$C$251,0)),"")</f>
        <v>Lower Yukon-Kuskokwim</v>
      </c>
      <c r="N45" s="369" t="str">
        <f t="array" ref="N45">IFERROR(INDEX(UtilityList!$K$4:$K$251,MATCH('Table 2.1a'!$A45&amp;'Table 2.1a'!$B45&amp;'Table 2.1a'!$C45,UtilityList!$A$4:$A$251&amp;UtilityList!$B$4:$B$251&amp;UtilityList!$C$4:$C$251,0)),"")</f>
        <v>Wade Hampton (CA)</v>
      </c>
      <c r="O45" s="369" t="str">
        <f t="array" ref="O45">IFERROR(INDEX(UtilityList!$L$4:$L$251,MATCH('Table 2.1a'!$A45&amp;'Table 2.1a'!$B45&amp;'Table 2.1a'!$C45,UtilityList!$A$4:$A$251&amp;UtilityList!$B$4:$B$251&amp;UtilityList!$C$4:$C$251,0)),"")</f>
        <v>Calista</v>
      </c>
      <c r="P45" s="369" t="str">
        <f t="array" ref="P45">IFERROR(INDEX(UtilityList!$M$4:$M$251,MATCH('Table 2.1a'!$A45&amp;'Table 2.1a'!$B45&amp;'Table 2.1a'!$C45,UtilityList!$A$4:$A$251&amp;UtilityList!$B$4:$B$251&amp;UtilityList!$C$4:$C$251,0)),"")</f>
        <v>YU</v>
      </c>
    </row>
    <row r="46" spans="1:16" s="344" customFormat="1" x14ac:dyDescent="0.25">
      <c r="A46" s="619" t="s">
        <v>524</v>
      </c>
      <c r="B46" s="361" t="s">
        <v>71</v>
      </c>
      <c r="C46" s="350" t="s">
        <v>71</v>
      </c>
      <c r="D46" s="620">
        <v>595</v>
      </c>
      <c r="E46" s="621">
        <v>0</v>
      </c>
      <c r="F46" s="621">
        <v>595</v>
      </c>
      <c r="G46" s="621">
        <v>0</v>
      </c>
      <c r="H46" s="621">
        <v>0</v>
      </c>
      <c r="I46" s="452" t="s">
        <v>1022</v>
      </c>
      <c r="J46" s="622" t="str">
        <f t="array" ref="J46">IFERROR(INDEX(UtilityList!$H$4:$H$251,MATCH('Table 2.1a'!$A46&amp;'Table 2.1a'!$B46&amp;'Table 2.1a'!$C46,UtilityList!$A$4:$A$251&amp;UtilityList!$B$4:$B$251&amp;UtilityList!$C$4:$C$251,0)),"")</f>
        <v>PCE Eligible Active</v>
      </c>
      <c r="K46" s="709">
        <f t="array" ref="K46">IFERROR(INDEX(UtilityList!$Q$4:$Q$251,MATCH('Table 2.1a'!$A46&amp;'Table 2.1a'!$B46&amp;'Table 2.1a'!$C46,UtilityList!$A$4:$A$251&amp;UtilityList!$B$4:$B$251&amp;UtilityList!$C$4:$C$251,0)),"")</f>
        <v>0</v>
      </c>
      <c r="L46" s="622" t="str">
        <f t="array" ref="L46">IFERROR(INDEX(UtilityList!$I$4:$I$251,MATCH('Table 2.1a'!$A46&amp;'Table 2.1a'!$B46&amp;'Table 2.1a'!$C46,UtilityList!$A$4:$A$251&amp;UtilityList!$B$4:$B$251&amp;UtilityList!$C$4:$C$251,0)),"")</f>
        <v>ALASVEC</v>
      </c>
      <c r="M46" s="369" t="str">
        <f t="array" ref="M46">IFERROR(INDEX(UtilityList!$J$4:$J$251,MATCH('Table 2.1a'!$A46&amp;'Table 2.1a'!$B46&amp;'Table 2.1a'!$C46,UtilityList!$A$4:$A$251&amp;UtilityList!$B$4:$B$251&amp;UtilityList!$C$4:$C$251,0)),"")</f>
        <v>Lower Yukon-Kuskokwim</v>
      </c>
      <c r="N46" s="369" t="str">
        <f t="array" ref="N46">IFERROR(INDEX(UtilityList!$K$4:$K$251,MATCH('Table 2.1a'!$A46&amp;'Table 2.1a'!$B46&amp;'Table 2.1a'!$C46,UtilityList!$A$4:$A$251&amp;UtilityList!$B$4:$B$251&amp;UtilityList!$C$4:$C$251,0)),"")</f>
        <v>Bethel (CA)</v>
      </c>
      <c r="O46" s="369" t="str">
        <f t="array" ref="O46">IFERROR(INDEX(UtilityList!$L$4:$L$251,MATCH('Table 2.1a'!$A46&amp;'Table 2.1a'!$B46&amp;'Table 2.1a'!$C46,UtilityList!$A$4:$A$251&amp;UtilityList!$B$4:$B$251&amp;UtilityList!$C$4:$C$251,0)),"")</f>
        <v>Calista</v>
      </c>
      <c r="P46" s="369" t="str">
        <f t="array" ref="P46">IFERROR(INDEX(UtilityList!$M$4:$M$251,MATCH('Table 2.1a'!$A46&amp;'Table 2.1a'!$B46&amp;'Table 2.1a'!$C46,UtilityList!$A$4:$A$251&amp;UtilityList!$B$4:$B$251&amp;UtilityList!$C$4:$C$251,0)),"")</f>
        <v>SW</v>
      </c>
    </row>
    <row r="47" spans="1:16" s="344" customFormat="1" x14ac:dyDescent="0.25">
      <c r="A47" s="619" t="s">
        <v>524</v>
      </c>
      <c r="B47" s="361" t="s">
        <v>173</v>
      </c>
      <c r="C47" s="350" t="s">
        <v>173</v>
      </c>
      <c r="D47" s="620">
        <v>370</v>
      </c>
      <c r="E47" s="621">
        <v>0</v>
      </c>
      <c r="F47" s="621">
        <v>370</v>
      </c>
      <c r="G47" s="621">
        <v>0</v>
      </c>
      <c r="H47" s="621">
        <v>0</v>
      </c>
      <c r="I47" s="452" t="s">
        <v>1022</v>
      </c>
      <c r="J47" s="622" t="str">
        <f t="array" ref="J47">IFERROR(INDEX(UtilityList!$H$4:$H$251,MATCH('Table 2.1a'!$A47&amp;'Table 2.1a'!$B47&amp;'Table 2.1a'!$C47,UtilityList!$A$4:$A$251&amp;UtilityList!$B$4:$B$251&amp;UtilityList!$C$4:$C$251,0)),"")</f>
        <v>PCE Eligible Active</v>
      </c>
      <c r="K47" s="709">
        <f t="array" ref="K47">IFERROR(INDEX(UtilityList!$Q$4:$Q$251,MATCH('Table 2.1a'!$A47&amp;'Table 2.1a'!$B47&amp;'Table 2.1a'!$C47,UtilityList!$A$4:$A$251&amp;UtilityList!$B$4:$B$251&amp;UtilityList!$C$4:$C$251,0)),"")</f>
        <v>0</v>
      </c>
      <c r="L47" s="622" t="str">
        <f t="array" ref="L47">IFERROR(INDEX(UtilityList!$I$4:$I$251,MATCH('Table 2.1a'!$A47&amp;'Table 2.1a'!$B47&amp;'Table 2.1a'!$C47,UtilityList!$A$4:$A$251&amp;UtilityList!$B$4:$B$251&amp;UtilityList!$C$4:$C$251,0)),"")</f>
        <v>EKWO</v>
      </c>
      <c r="M47" s="369" t="str">
        <f t="array" ref="M47">IFERROR(INDEX(UtilityList!$J$4:$J$251,MATCH('Table 2.1a'!$A47&amp;'Table 2.1a'!$B47&amp;'Table 2.1a'!$C47,UtilityList!$A$4:$A$251&amp;UtilityList!$B$4:$B$251&amp;UtilityList!$C$4:$C$251,0)),"")</f>
        <v>Bristol Bay</v>
      </c>
      <c r="N47" s="369" t="str">
        <f t="array" ref="N47">IFERROR(INDEX(UtilityList!$K$4:$K$251,MATCH('Table 2.1a'!$A47&amp;'Table 2.1a'!$B47&amp;'Table 2.1a'!$C47,UtilityList!$A$4:$A$251&amp;UtilityList!$B$4:$B$251&amp;UtilityList!$C$4:$C$251,0)),"")</f>
        <v>Dillingham (CA)</v>
      </c>
      <c r="O47" s="369" t="str">
        <f t="array" ref="O47">IFERROR(INDEX(UtilityList!$L$4:$L$251,MATCH('Table 2.1a'!$A47&amp;'Table 2.1a'!$B47&amp;'Table 2.1a'!$C47,UtilityList!$A$4:$A$251&amp;UtilityList!$B$4:$B$251&amp;UtilityList!$C$4:$C$251,0)),"")</f>
        <v>Bristol Bay</v>
      </c>
      <c r="P47" s="369" t="str">
        <f t="array" ref="P47">IFERROR(INDEX(UtilityList!$M$4:$M$251,MATCH('Table 2.1a'!$A47&amp;'Table 2.1a'!$B47&amp;'Table 2.1a'!$C47,UtilityList!$A$4:$A$251&amp;UtilityList!$B$4:$B$251&amp;UtilityList!$C$4:$C$251,0)),"")</f>
        <v>SW</v>
      </c>
    </row>
    <row r="48" spans="1:16" s="344" customFormat="1" x14ac:dyDescent="0.25">
      <c r="A48" s="619" t="s">
        <v>524</v>
      </c>
      <c r="B48" s="361" t="s">
        <v>72</v>
      </c>
      <c r="C48" s="350" t="s">
        <v>72</v>
      </c>
      <c r="D48" s="620">
        <v>1600</v>
      </c>
      <c r="E48" s="621">
        <v>0</v>
      </c>
      <c r="F48" s="621">
        <v>1600</v>
      </c>
      <c r="G48" s="621">
        <v>0</v>
      </c>
      <c r="H48" s="621">
        <v>0</v>
      </c>
      <c r="I48" s="452" t="s">
        <v>1020</v>
      </c>
      <c r="J48" s="622" t="str">
        <f t="array" ref="J48">IFERROR(INDEX(UtilityList!$H$4:$H$251,MATCH('Table 2.1a'!$A48&amp;'Table 2.1a'!$B48&amp;'Table 2.1a'!$C48,UtilityList!$A$4:$A$251&amp;UtilityList!$B$4:$B$251&amp;UtilityList!$C$4:$C$251,0)),"")</f>
        <v>PCE Eligible Active</v>
      </c>
      <c r="K48" s="709">
        <f t="array" ref="K48">IFERROR(INDEX(UtilityList!$Q$4:$Q$251,MATCH('Table 2.1a'!$A48&amp;'Table 2.1a'!$B48&amp;'Table 2.1a'!$C48,UtilityList!$A$4:$A$251&amp;UtilityList!$B$4:$B$251&amp;UtilityList!$C$4:$C$251,0)),"")</f>
        <v>0</v>
      </c>
      <c r="L48" s="622" t="str">
        <f t="array" ref="L48">IFERROR(INDEX(UtilityList!$I$4:$I$251,MATCH('Table 2.1a'!$A48&amp;'Table 2.1a'!$B48&amp;'Table 2.1a'!$C48,UtilityList!$A$4:$A$251&amp;UtilityList!$B$4:$B$251&amp;UtilityList!$C$4:$C$251,0)),"")</f>
        <v>ALASVEC</v>
      </c>
      <c r="M48" s="369" t="str">
        <f t="array" ref="M48">IFERROR(INDEX(UtilityList!$J$4:$J$251,MATCH('Table 2.1a'!$A48&amp;'Table 2.1a'!$B48&amp;'Table 2.1a'!$C48,UtilityList!$A$4:$A$251&amp;UtilityList!$B$4:$B$251&amp;UtilityList!$C$4:$C$251,0)),"")</f>
        <v>Bering Straits</v>
      </c>
      <c r="N48" s="369" t="str">
        <f t="array" ref="N48">IFERROR(INDEX(UtilityList!$K$4:$K$251,MATCH('Table 2.1a'!$A48&amp;'Table 2.1a'!$B48&amp;'Table 2.1a'!$C48,UtilityList!$A$4:$A$251&amp;UtilityList!$B$4:$B$251&amp;UtilityList!$C$4:$C$251,0)),"")</f>
        <v>Nome (CA)</v>
      </c>
      <c r="O48" s="369" t="str">
        <f t="array" ref="O48">IFERROR(INDEX(UtilityList!$L$4:$L$251,MATCH('Table 2.1a'!$A48&amp;'Table 2.1a'!$B48&amp;'Table 2.1a'!$C48,UtilityList!$A$4:$A$251&amp;UtilityList!$B$4:$B$251&amp;UtilityList!$C$4:$C$251,0)),"")</f>
        <v>Bering Straits</v>
      </c>
      <c r="P48" s="369" t="str">
        <f t="array" ref="P48">IFERROR(INDEX(UtilityList!$M$4:$M$251,MATCH('Table 2.1a'!$A48&amp;'Table 2.1a'!$B48&amp;'Table 2.1a'!$C48,UtilityList!$A$4:$A$251&amp;UtilityList!$B$4:$B$251&amp;UtilityList!$C$4:$C$251,0)),"")</f>
        <v>AN</v>
      </c>
    </row>
    <row r="49" spans="1:16" s="344" customFormat="1" x14ac:dyDescent="0.25">
      <c r="A49" s="619" t="s">
        <v>524</v>
      </c>
      <c r="B49" s="361" t="s">
        <v>73</v>
      </c>
      <c r="C49" s="350" t="s">
        <v>73</v>
      </c>
      <c r="D49" s="620">
        <v>2300</v>
      </c>
      <c r="E49" s="621">
        <v>0</v>
      </c>
      <c r="F49" s="621">
        <v>1900</v>
      </c>
      <c r="G49" s="621">
        <v>0</v>
      </c>
      <c r="H49" s="621">
        <v>400</v>
      </c>
      <c r="I49" s="452" t="s">
        <v>1020</v>
      </c>
      <c r="J49" s="622" t="str">
        <f t="array" ref="J49">IFERROR(INDEX(UtilityList!$H$4:$H$251,MATCH('Table 2.1a'!$A49&amp;'Table 2.1a'!$B49&amp;'Table 2.1a'!$C49,UtilityList!$A$4:$A$251&amp;UtilityList!$B$4:$B$251&amp;UtilityList!$C$4:$C$251,0)),"")</f>
        <v>PCE Eligible Active</v>
      </c>
      <c r="K49" s="709">
        <f t="array" ref="K49">IFERROR(INDEX(UtilityList!$Q$4:$Q$251,MATCH('Table 2.1a'!$A49&amp;'Table 2.1a'!$B49&amp;'Table 2.1a'!$C49,UtilityList!$A$4:$A$251&amp;UtilityList!$B$4:$B$251&amp;UtilityList!$C$4:$C$251,0)),"")</f>
        <v>0</v>
      </c>
      <c r="L49" s="622" t="str">
        <f t="array" ref="L49">IFERROR(INDEX(UtilityList!$I$4:$I$251,MATCH('Table 2.1a'!$A49&amp;'Table 2.1a'!$B49&amp;'Table 2.1a'!$C49,UtilityList!$A$4:$A$251&amp;UtilityList!$B$4:$B$251&amp;UtilityList!$C$4:$C$251,0)),"")</f>
        <v>ALASVEC</v>
      </c>
      <c r="M49" s="369" t="str">
        <f t="array" ref="M49">IFERROR(INDEX(UtilityList!$J$4:$J$251,MATCH('Table 2.1a'!$A49&amp;'Table 2.1a'!$B49&amp;'Table 2.1a'!$C49,UtilityList!$A$4:$A$251&amp;UtilityList!$B$4:$B$251&amp;UtilityList!$C$4:$C$251,0)),"")</f>
        <v>Lower Yukon-Kuskokwim</v>
      </c>
      <c r="N49" s="369" t="str">
        <f t="array" ref="N49">IFERROR(INDEX(UtilityList!$K$4:$K$251,MATCH('Table 2.1a'!$A49&amp;'Table 2.1a'!$B49&amp;'Table 2.1a'!$C49,UtilityList!$A$4:$A$251&amp;UtilityList!$B$4:$B$251&amp;UtilityList!$C$4:$C$251,0)),"")</f>
        <v>Wade Hampton (CA)</v>
      </c>
      <c r="O49" s="369" t="str">
        <f t="array" ref="O49">IFERROR(INDEX(UtilityList!$L$4:$L$251,MATCH('Table 2.1a'!$A49&amp;'Table 2.1a'!$B49&amp;'Table 2.1a'!$C49,UtilityList!$A$4:$A$251&amp;UtilityList!$B$4:$B$251&amp;UtilityList!$C$4:$C$251,0)),"")</f>
        <v>Calista</v>
      </c>
      <c r="P49" s="369" t="str">
        <f t="array" ref="P49">IFERROR(INDEX(UtilityList!$M$4:$M$251,MATCH('Table 2.1a'!$A49&amp;'Table 2.1a'!$B49&amp;'Table 2.1a'!$C49,UtilityList!$A$4:$A$251&amp;UtilityList!$B$4:$B$251&amp;UtilityList!$C$4:$C$251,0)),"")</f>
        <v>YU</v>
      </c>
    </row>
    <row r="50" spans="1:16" s="344" customFormat="1" x14ac:dyDescent="0.25">
      <c r="A50" s="619" t="s">
        <v>524</v>
      </c>
      <c r="B50" s="361" t="s">
        <v>74</v>
      </c>
      <c r="C50" s="350" t="s">
        <v>74</v>
      </c>
      <c r="D50" s="620">
        <v>1900</v>
      </c>
      <c r="E50" s="621">
        <v>0</v>
      </c>
      <c r="F50" s="621">
        <v>1600</v>
      </c>
      <c r="G50" s="621">
        <v>0</v>
      </c>
      <c r="H50" s="621">
        <v>300</v>
      </c>
      <c r="I50" s="452" t="s">
        <v>1020</v>
      </c>
      <c r="J50" s="622" t="str">
        <f t="array" ref="J50">IFERROR(INDEX(UtilityList!$H$4:$H$251,MATCH('Table 2.1a'!$A50&amp;'Table 2.1a'!$B50&amp;'Table 2.1a'!$C50,UtilityList!$A$4:$A$251&amp;UtilityList!$B$4:$B$251&amp;UtilityList!$C$4:$C$251,0)),"")</f>
        <v>PCE Eligible Active</v>
      </c>
      <c r="K50" s="709">
        <f t="array" ref="K50">IFERROR(INDEX(UtilityList!$Q$4:$Q$251,MATCH('Table 2.1a'!$A50&amp;'Table 2.1a'!$B50&amp;'Table 2.1a'!$C50,UtilityList!$A$4:$A$251&amp;UtilityList!$B$4:$B$251&amp;UtilityList!$C$4:$C$251,0)),"")</f>
        <v>0</v>
      </c>
      <c r="L50" s="622" t="str">
        <f t="array" ref="L50">IFERROR(INDEX(UtilityList!$I$4:$I$251,MATCH('Table 2.1a'!$A50&amp;'Table 2.1a'!$B50&amp;'Table 2.1a'!$C50,UtilityList!$A$4:$A$251&amp;UtilityList!$B$4:$B$251&amp;UtilityList!$C$4:$C$251,0)),"")</f>
        <v>ALASVEC</v>
      </c>
      <c r="M50" s="369" t="str">
        <f t="array" ref="M50">IFERROR(INDEX(UtilityList!$J$4:$J$251,MATCH('Table 2.1a'!$A50&amp;'Table 2.1a'!$B50&amp;'Table 2.1a'!$C50,UtilityList!$A$4:$A$251&amp;UtilityList!$B$4:$B$251&amp;UtilityList!$C$4:$C$251,0)),"")</f>
        <v>Bering Straits</v>
      </c>
      <c r="N50" s="369" t="str">
        <f t="array" ref="N50">IFERROR(INDEX(UtilityList!$K$4:$K$251,MATCH('Table 2.1a'!$A50&amp;'Table 2.1a'!$B50&amp;'Table 2.1a'!$C50,UtilityList!$A$4:$A$251&amp;UtilityList!$B$4:$B$251&amp;UtilityList!$C$4:$C$251,0)),"")</f>
        <v>Nome (CA)</v>
      </c>
      <c r="O50" s="369" t="str">
        <f t="array" ref="O50">IFERROR(INDEX(UtilityList!$L$4:$L$251,MATCH('Table 2.1a'!$A50&amp;'Table 2.1a'!$B50&amp;'Table 2.1a'!$C50,UtilityList!$A$4:$A$251&amp;UtilityList!$B$4:$B$251&amp;UtilityList!$C$4:$C$251,0)),"")</f>
        <v>Bering Straits</v>
      </c>
      <c r="P50" s="369" t="str">
        <f t="array" ref="P50">IFERROR(INDEX(UtilityList!$M$4:$M$251,MATCH('Table 2.1a'!$A50&amp;'Table 2.1a'!$B50&amp;'Table 2.1a'!$C50,UtilityList!$A$4:$A$251&amp;UtilityList!$B$4:$B$251&amp;UtilityList!$C$4:$C$251,0)),"")</f>
        <v>AN</v>
      </c>
    </row>
    <row r="51" spans="1:16" s="344" customFormat="1" x14ac:dyDescent="0.25">
      <c r="A51" s="619" t="s">
        <v>524</v>
      </c>
      <c r="B51" s="361" t="s">
        <v>75</v>
      </c>
      <c r="C51" s="350" t="s">
        <v>75</v>
      </c>
      <c r="D51" s="620">
        <v>480</v>
      </c>
      <c r="E51" s="621">
        <v>0</v>
      </c>
      <c r="F51" s="621">
        <v>480</v>
      </c>
      <c r="G51" s="621">
        <v>0</v>
      </c>
      <c r="H51" s="621">
        <v>0</v>
      </c>
      <c r="I51" s="452" t="s">
        <v>1022</v>
      </c>
      <c r="J51" s="622" t="str">
        <f t="array" ref="J51">IFERROR(INDEX(UtilityList!$H$4:$H$251,MATCH('Table 2.1a'!$A51&amp;'Table 2.1a'!$B51&amp;'Table 2.1a'!$C51,UtilityList!$A$4:$A$251&amp;UtilityList!$B$4:$B$251&amp;UtilityList!$C$4:$C$251,0)),"")</f>
        <v>PCE Eligible Active</v>
      </c>
      <c r="K51" s="709">
        <f t="array" ref="K51">IFERROR(INDEX(UtilityList!$Q$4:$Q$251,MATCH('Table 2.1a'!$A51&amp;'Table 2.1a'!$B51&amp;'Table 2.1a'!$C51,UtilityList!$A$4:$A$251&amp;UtilityList!$B$4:$B$251&amp;UtilityList!$C$4:$C$251,0)),"")</f>
        <v>0</v>
      </c>
      <c r="L51" s="622" t="str">
        <f t="array" ref="L51">IFERROR(INDEX(UtilityList!$I$4:$I$251,MATCH('Table 2.1a'!$A51&amp;'Table 2.1a'!$B51&amp;'Table 2.1a'!$C51,UtilityList!$A$4:$A$251&amp;UtilityList!$B$4:$B$251&amp;UtilityList!$C$4:$C$251,0)),"")</f>
        <v>ALASVEC</v>
      </c>
      <c r="M51" s="369" t="str">
        <f t="array" ref="M51">IFERROR(INDEX(UtilityList!$J$4:$J$251,MATCH('Table 2.1a'!$A51&amp;'Table 2.1a'!$B51&amp;'Table 2.1a'!$C51,UtilityList!$A$4:$A$251&amp;UtilityList!$B$4:$B$251&amp;UtilityList!$C$4:$C$251,0)),"")</f>
        <v>Lower Yukon-Kuskokwim</v>
      </c>
      <c r="N51" s="369" t="str">
        <f t="array" ref="N51">IFERROR(INDEX(UtilityList!$K$4:$K$251,MATCH('Table 2.1a'!$A51&amp;'Table 2.1a'!$B51&amp;'Table 2.1a'!$C51,UtilityList!$A$4:$A$251&amp;UtilityList!$B$4:$B$251&amp;UtilityList!$C$4:$C$251,0)),"")</f>
        <v>Bethel (CA)</v>
      </c>
      <c r="O51" s="369" t="str">
        <f t="array" ref="O51">IFERROR(INDEX(UtilityList!$L$4:$L$251,MATCH('Table 2.1a'!$A51&amp;'Table 2.1a'!$B51&amp;'Table 2.1a'!$C51,UtilityList!$A$4:$A$251&amp;UtilityList!$B$4:$B$251&amp;UtilityList!$C$4:$C$251,0)),"")</f>
        <v>Calista</v>
      </c>
      <c r="P51" s="369" t="str">
        <f t="array" ref="P51">IFERROR(INDEX(UtilityList!$M$4:$M$251,MATCH('Table 2.1a'!$A51&amp;'Table 2.1a'!$B51&amp;'Table 2.1a'!$C51,UtilityList!$A$4:$A$251&amp;UtilityList!$B$4:$B$251&amp;UtilityList!$C$4:$C$251,0)),"")</f>
        <v>SW</v>
      </c>
    </row>
    <row r="52" spans="1:16" s="344" customFormat="1" x14ac:dyDescent="0.25">
      <c r="A52" s="619" t="s">
        <v>524</v>
      </c>
      <c r="B52" s="361" t="s">
        <v>76</v>
      </c>
      <c r="C52" s="350" t="s">
        <v>76</v>
      </c>
      <c r="D52" s="620">
        <v>260</v>
      </c>
      <c r="E52" s="621">
        <v>0</v>
      </c>
      <c r="F52" s="621">
        <v>260</v>
      </c>
      <c r="G52" s="621">
        <v>0</v>
      </c>
      <c r="H52" s="621">
        <v>0</v>
      </c>
      <c r="I52" s="452" t="s">
        <v>1022</v>
      </c>
      <c r="J52" s="622" t="str">
        <f t="array" ref="J52">IFERROR(INDEX(UtilityList!$H$4:$H$251,MATCH('Table 2.1a'!$A52&amp;'Table 2.1a'!$B52&amp;'Table 2.1a'!$C52,UtilityList!$A$4:$A$251&amp;UtilityList!$B$4:$B$251&amp;UtilityList!$C$4:$C$251,0)),"")</f>
        <v>PCE Eligible Active</v>
      </c>
      <c r="K52" s="709">
        <f t="array" ref="K52">IFERROR(INDEX(UtilityList!$Q$4:$Q$251,MATCH('Table 2.1a'!$A52&amp;'Table 2.1a'!$B52&amp;'Table 2.1a'!$C52,UtilityList!$A$4:$A$251&amp;UtilityList!$B$4:$B$251&amp;UtilityList!$C$4:$C$251,0)),"")</f>
        <v>0</v>
      </c>
      <c r="L52" s="622" t="str">
        <f t="array" ref="L52">IFERROR(INDEX(UtilityList!$I$4:$I$251,MATCH('Table 2.1a'!$A52&amp;'Table 2.1a'!$B52&amp;'Table 2.1a'!$C52,UtilityList!$A$4:$A$251&amp;UtilityList!$B$4:$B$251&amp;UtilityList!$C$4:$C$251,0)),"")</f>
        <v>ALASVEC</v>
      </c>
      <c r="M52" s="369" t="str">
        <f t="array" ref="M52">IFERROR(INDEX(UtilityList!$J$4:$J$251,MATCH('Table 2.1a'!$A52&amp;'Table 2.1a'!$B52&amp;'Table 2.1a'!$C52,UtilityList!$A$4:$A$251&amp;UtilityList!$B$4:$B$251&amp;UtilityList!$C$4:$C$251,0)),"")</f>
        <v>Yukon-Koyukuk/Upper Tanana</v>
      </c>
      <c r="N52" s="369" t="str">
        <f t="array" ref="N52">IFERROR(INDEX(UtilityList!$K$4:$K$251,MATCH('Table 2.1a'!$A52&amp;'Table 2.1a'!$B52&amp;'Table 2.1a'!$C52,UtilityList!$A$4:$A$251&amp;UtilityList!$B$4:$B$251&amp;UtilityList!$C$4:$C$251,0)),"")</f>
        <v>Yukon-Koyukuk (CA)</v>
      </c>
      <c r="O52" s="369" t="str">
        <f t="array" ref="O52">IFERROR(INDEX(UtilityList!$L$4:$L$251,MATCH('Table 2.1a'!$A52&amp;'Table 2.1a'!$B52&amp;'Table 2.1a'!$C52,UtilityList!$A$4:$A$251&amp;UtilityList!$B$4:$B$251&amp;UtilityList!$C$4:$C$251,0)),"")</f>
        <v>Doyon</v>
      </c>
      <c r="P52" s="369" t="str">
        <f t="array" ref="P52">IFERROR(INDEX(UtilityList!$M$4:$M$251,MATCH('Table 2.1a'!$A52&amp;'Table 2.1a'!$B52&amp;'Table 2.1a'!$C52,UtilityList!$A$4:$A$251&amp;UtilityList!$B$4:$B$251&amp;UtilityList!$C$4:$C$251,0)),"")</f>
        <v>YU</v>
      </c>
    </row>
    <row r="53" spans="1:16" s="344" customFormat="1" x14ac:dyDescent="0.25">
      <c r="A53" s="619" t="s">
        <v>524</v>
      </c>
      <c r="B53" s="361" t="s">
        <v>77</v>
      </c>
      <c r="C53" s="350" t="s">
        <v>77</v>
      </c>
      <c r="D53" s="620">
        <v>455</v>
      </c>
      <c r="E53" s="621">
        <v>0</v>
      </c>
      <c r="F53" s="621">
        <v>455</v>
      </c>
      <c r="G53" s="621">
        <v>0</v>
      </c>
      <c r="H53" s="621">
        <v>0</v>
      </c>
      <c r="I53" s="452" t="s">
        <v>1022</v>
      </c>
      <c r="J53" s="622" t="str">
        <f t="array" ref="J53">IFERROR(INDEX(UtilityList!$H$4:$H$251,MATCH('Table 2.1a'!$A53&amp;'Table 2.1a'!$B53&amp;'Table 2.1a'!$C53,UtilityList!$A$4:$A$251&amp;UtilityList!$B$4:$B$251&amp;UtilityList!$C$4:$C$251,0)),"")</f>
        <v>PCE Eligible Active</v>
      </c>
      <c r="K53" s="709">
        <f t="array" ref="K53">IFERROR(INDEX(UtilityList!$Q$4:$Q$251,MATCH('Table 2.1a'!$A53&amp;'Table 2.1a'!$B53&amp;'Table 2.1a'!$C53,UtilityList!$A$4:$A$251&amp;UtilityList!$B$4:$B$251&amp;UtilityList!$C$4:$C$251,0)),"")</f>
        <v>0</v>
      </c>
      <c r="L53" s="622" t="str">
        <f t="array" ref="L53">IFERROR(INDEX(UtilityList!$I$4:$I$251,MATCH('Table 2.1a'!$A53&amp;'Table 2.1a'!$B53&amp;'Table 2.1a'!$C53,UtilityList!$A$4:$A$251&amp;UtilityList!$B$4:$B$251&amp;UtilityList!$C$4:$C$251,0)),"")</f>
        <v>ALASVEC</v>
      </c>
      <c r="M53" s="369" t="str">
        <f t="array" ref="M53">IFERROR(INDEX(UtilityList!$J$4:$J$251,MATCH('Table 2.1a'!$A53&amp;'Table 2.1a'!$B53&amp;'Table 2.1a'!$C53,UtilityList!$A$4:$A$251&amp;UtilityList!$B$4:$B$251&amp;UtilityList!$C$4:$C$251,0)),"")</f>
        <v>Yukon-Koyukuk/Upper Tanana</v>
      </c>
      <c r="N53" s="369" t="str">
        <f t="array" ref="N53">IFERROR(INDEX(UtilityList!$K$4:$K$251,MATCH('Table 2.1a'!$A53&amp;'Table 2.1a'!$B53&amp;'Table 2.1a'!$C53,UtilityList!$A$4:$A$251&amp;UtilityList!$B$4:$B$251&amp;UtilityList!$C$4:$C$251,0)),"")</f>
        <v>Yukon-Koyukuk (CA)</v>
      </c>
      <c r="O53" s="369" t="str">
        <f t="array" ref="O53">IFERROR(INDEX(UtilityList!$L$4:$L$251,MATCH('Table 2.1a'!$A53&amp;'Table 2.1a'!$B53&amp;'Table 2.1a'!$C53,UtilityList!$A$4:$A$251&amp;UtilityList!$B$4:$B$251&amp;UtilityList!$C$4:$C$251,0)),"")</f>
        <v>Doyon</v>
      </c>
      <c r="P53" s="369" t="str">
        <f t="array" ref="P53">IFERROR(INDEX(UtilityList!$M$4:$M$251,MATCH('Table 2.1a'!$A53&amp;'Table 2.1a'!$B53&amp;'Table 2.1a'!$C53,UtilityList!$A$4:$A$251&amp;UtilityList!$B$4:$B$251&amp;UtilityList!$C$4:$C$251,0)),"")</f>
        <v>YU</v>
      </c>
    </row>
    <row r="54" spans="1:16" s="344" customFormat="1" x14ac:dyDescent="0.25">
      <c r="A54" s="619" t="s">
        <v>524</v>
      </c>
      <c r="B54" s="361" t="s">
        <v>78</v>
      </c>
      <c r="C54" s="350" t="s">
        <v>78</v>
      </c>
      <c r="D54" s="620">
        <v>1900</v>
      </c>
      <c r="E54" s="621">
        <v>0</v>
      </c>
      <c r="F54" s="621">
        <v>1600</v>
      </c>
      <c r="G54" s="621">
        <v>0</v>
      </c>
      <c r="H54" s="621">
        <v>300</v>
      </c>
      <c r="I54" s="452" t="s">
        <v>1020</v>
      </c>
      <c r="J54" s="622" t="str">
        <f t="array" ref="J54">IFERROR(INDEX(UtilityList!$H$4:$H$251,MATCH('Table 2.1a'!$A54&amp;'Table 2.1a'!$B54&amp;'Table 2.1a'!$C54,UtilityList!$A$4:$A$251&amp;UtilityList!$B$4:$B$251&amp;UtilityList!$C$4:$C$251,0)),"")</f>
        <v>PCE Eligible Active</v>
      </c>
      <c r="K54" s="709">
        <f t="array" ref="K54">IFERROR(INDEX(UtilityList!$Q$4:$Q$251,MATCH('Table 2.1a'!$A54&amp;'Table 2.1a'!$B54&amp;'Table 2.1a'!$C54,UtilityList!$A$4:$A$251&amp;UtilityList!$B$4:$B$251&amp;UtilityList!$C$4:$C$251,0)),"")</f>
        <v>0</v>
      </c>
      <c r="L54" s="622" t="str">
        <f t="array" ref="L54">IFERROR(INDEX(UtilityList!$I$4:$I$251,MATCH('Table 2.1a'!$A54&amp;'Table 2.1a'!$B54&amp;'Table 2.1a'!$C54,UtilityList!$A$4:$A$251&amp;UtilityList!$B$4:$B$251&amp;UtilityList!$C$4:$C$251,0)),"")</f>
        <v>ALASVEC</v>
      </c>
      <c r="M54" s="369" t="str">
        <f t="array" ref="M54">IFERROR(INDEX(UtilityList!$J$4:$J$251,MATCH('Table 2.1a'!$A54&amp;'Table 2.1a'!$B54&amp;'Table 2.1a'!$C54,UtilityList!$A$4:$A$251&amp;UtilityList!$B$4:$B$251&amp;UtilityList!$C$4:$C$251,0)),"")</f>
        <v>Lower Yukon-Kuskokwim</v>
      </c>
      <c r="N54" s="369" t="str">
        <f t="array" ref="N54">IFERROR(INDEX(UtilityList!$K$4:$K$251,MATCH('Table 2.1a'!$A54&amp;'Table 2.1a'!$B54&amp;'Table 2.1a'!$C54,UtilityList!$A$4:$A$251&amp;UtilityList!$B$4:$B$251&amp;UtilityList!$C$4:$C$251,0)),"")</f>
        <v>Wade Hampton (CA)</v>
      </c>
      <c r="O54" s="369" t="str">
        <f t="array" ref="O54">IFERROR(INDEX(UtilityList!$L$4:$L$251,MATCH('Table 2.1a'!$A54&amp;'Table 2.1a'!$B54&amp;'Table 2.1a'!$C54,UtilityList!$A$4:$A$251&amp;UtilityList!$B$4:$B$251&amp;UtilityList!$C$4:$C$251,0)),"")</f>
        <v>Calista</v>
      </c>
      <c r="P54" s="369" t="str">
        <f t="array" ref="P54">IFERROR(INDEX(UtilityList!$M$4:$M$251,MATCH('Table 2.1a'!$A54&amp;'Table 2.1a'!$B54&amp;'Table 2.1a'!$C54,UtilityList!$A$4:$A$251&amp;UtilityList!$B$4:$B$251&amp;UtilityList!$C$4:$C$251,0)),"")</f>
        <v>YU</v>
      </c>
    </row>
    <row r="55" spans="1:16" s="344" customFormat="1" x14ac:dyDescent="0.25">
      <c r="A55" s="619" t="s">
        <v>524</v>
      </c>
      <c r="B55" s="361" t="s">
        <v>79</v>
      </c>
      <c r="C55" s="350" t="s">
        <v>79</v>
      </c>
      <c r="D55" s="620">
        <v>796</v>
      </c>
      <c r="E55" s="621">
        <v>0</v>
      </c>
      <c r="F55" s="621">
        <v>796</v>
      </c>
      <c r="G55" s="621">
        <v>0</v>
      </c>
      <c r="H55" s="621">
        <v>0</v>
      </c>
      <c r="I55" s="452" t="s">
        <v>1022</v>
      </c>
      <c r="J55" s="622" t="str">
        <f t="array" ref="J55">IFERROR(INDEX(UtilityList!$H$4:$H$251,MATCH('Table 2.1a'!$A55&amp;'Table 2.1a'!$B55&amp;'Table 2.1a'!$C55,UtilityList!$A$4:$A$251&amp;UtilityList!$B$4:$B$251&amp;UtilityList!$C$4:$C$251,0)),"")</f>
        <v>PCE Eligible Active</v>
      </c>
      <c r="K55" s="709">
        <f t="array" ref="K55">IFERROR(INDEX(UtilityList!$Q$4:$Q$251,MATCH('Table 2.1a'!$A55&amp;'Table 2.1a'!$B55&amp;'Table 2.1a'!$C55,UtilityList!$A$4:$A$251&amp;UtilityList!$B$4:$B$251&amp;UtilityList!$C$4:$C$251,0)),"")</f>
        <v>0</v>
      </c>
      <c r="L55" s="622" t="str">
        <f t="array" ref="L55">IFERROR(INDEX(UtilityList!$I$4:$I$251,MATCH('Table 2.1a'!$A55&amp;'Table 2.1a'!$B55&amp;'Table 2.1a'!$C55,UtilityList!$A$4:$A$251&amp;UtilityList!$B$4:$B$251&amp;UtilityList!$C$4:$C$251,0)),"")</f>
        <v>ALASVEC</v>
      </c>
      <c r="M55" s="369" t="str">
        <f t="array" ref="M55">IFERROR(INDEX(UtilityList!$J$4:$J$251,MATCH('Table 2.1a'!$A55&amp;'Table 2.1a'!$B55&amp;'Table 2.1a'!$C55,UtilityList!$A$4:$A$251&amp;UtilityList!$B$4:$B$251&amp;UtilityList!$C$4:$C$251,0)),"")</f>
        <v>Yukon-Koyukuk/Upper Tanana</v>
      </c>
      <c r="N55" s="369" t="str">
        <f t="array" ref="N55">IFERROR(INDEX(UtilityList!$K$4:$K$251,MATCH('Table 2.1a'!$A55&amp;'Table 2.1a'!$B55&amp;'Table 2.1a'!$C55,UtilityList!$A$4:$A$251&amp;UtilityList!$B$4:$B$251&amp;UtilityList!$C$4:$C$251,0)),"")</f>
        <v>Yukon-Koyukuk (CA)</v>
      </c>
      <c r="O55" s="369" t="str">
        <f t="array" ref="O55">IFERROR(INDEX(UtilityList!$L$4:$L$251,MATCH('Table 2.1a'!$A55&amp;'Table 2.1a'!$B55&amp;'Table 2.1a'!$C55,UtilityList!$A$4:$A$251&amp;UtilityList!$B$4:$B$251&amp;UtilityList!$C$4:$C$251,0)),"")</f>
        <v>Doyon</v>
      </c>
      <c r="P55" s="369" t="str">
        <f t="array" ref="P55">IFERROR(INDEX(UtilityList!$M$4:$M$251,MATCH('Table 2.1a'!$A55&amp;'Table 2.1a'!$B55&amp;'Table 2.1a'!$C55,UtilityList!$A$4:$A$251&amp;UtilityList!$B$4:$B$251&amp;UtilityList!$C$4:$C$251,0)),"")</f>
        <v>YU</v>
      </c>
    </row>
    <row r="56" spans="1:16" s="344" customFormat="1" ht="90" x14ac:dyDescent="0.25">
      <c r="A56" s="619" t="s">
        <v>524</v>
      </c>
      <c r="B56" s="361" t="s">
        <v>115</v>
      </c>
      <c r="C56" s="350" t="s">
        <v>997</v>
      </c>
      <c r="D56" s="620">
        <v>1100</v>
      </c>
      <c r="E56" s="621">
        <v>0</v>
      </c>
      <c r="F56" s="621">
        <v>1100</v>
      </c>
      <c r="G56" s="621">
        <v>0</v>
      </c>
      <c r="H56" s="621">
        <v>0</v>
      </c>
      <c r="I56" s="452" t="s">
        <v>1020</v>
      </c>
      <c r="J56" s="622" t="str">
        <f t="array" ref="J56">IFERROR(INDEX(UtilityList!$H$4:$H$251,MATCH('Table 2.1a'!$A56&amp;'Table 2.1a'!$B56&amp;'Table 2.1a'!$C56,UtilityList!$A$4:$A$251&amp;UtilityList!$B$4:$B$251&amp;UtilityList!$C$4:$C$251,0)),"")</f>
        <v>PCE Eligible Active</v>
      </c>
      <c r="K56" s="709" t="str">
        <f t="array" ref="K56">IFERROR(INDEX(UtilityList!$Q$4:$Q$251,MATCH('Table 2.1a'!$A56&amp;'Table 2.1a'!$B56&amp;'Table 2.1a'!$C56,UtilityList!$A$4:$A$251&amp;UtilityList!$B$4:$B$251&amp;UtilityList!$C$4:$C$251,0)),"")</f>
        <v>Provides power to Lower Kalskag via intertie. Fuel use and cost data includes information for Lower Kalskag.</v>
      </c>
      <c r="L56" s="622" t="str">
        <f t="array" ref="L56">IFERROR(INDEX(UtilityList!$I$4:$I$251,MATCH('Table 2.1a'!$A56&amp;'Table 2.1a'!$B56&amp;'Table 2.1a'!$C56,UtilityList!$A$4:$A$251&amp;UtilityList!$B$4:$B$251&amp;UtilityList!$C$4:$C$251,0)),"")</f>
        <v>ALASVEC</v>
      </c>
      <c r="M56" s="369" t="str">
        <f t="array" ref="M56">IFERROR(INDEX(UtilityList!$J$4:$J$251,MATCH('Table 2.1a'!$A56&amp;'Table 2.1a'!$B56&amp;'Table 2.1a'!$C56,UtilityList!$A$4:$A$251&amp;UtilityList!$B$4:$B$251&amp;UtilityList!$C$4:$C$251,0)),"")</f>
        <v>Lower Yukon-Kuskokwim</v>
      </c>
      <c r="N56" s="369" t="str">
        <f t="array" ref="N56">IFERROR(INDEX(UtilityList!$K$4:$K$251,MATCH('Table 2.1a'!$A56&amp;'Table 2.1a'!$B56&amp;'Table 2.1a'!$C56,UtilityList!$A$4:$A$251&amp;UtilityList!$B$4:$B$251&amp;UtilityList!$C$4:$C$251,0)),"")</f>
        <v>Bethel (CA)</v>
      </c>
      <c r="O56" s="369" t="str">
        <f t="array" ref="O56">IFERROR(INDEX(UtilityList!$L$4:$L$251,MATCH('Table 2.1a'!$A56&amp;'Table 2.1a'!$B56&amp;'Table 2.1a'!$C56,UtilityList!$A$4:$A$251&amp;UtilityList!$B$4:$B$251&amp;UtilityList!$C$4:$C$251,0)),"")</f>
        <v>Calista</v>
      </c>
      <c r="P56" s="369" t="str">
        <f t="array" ref="P56">IFERROR(INDEX(UtilityList!$M$4:$M$251,MATCH('Table 2.1a'!$A56&amp;'Table 2.1a'!$B56&amp;'Table 2.1a'!$C56,UtilityList!$A$4:$A$251&amp;UtilityList!$B$4:$B$251&amp;UtilityList!$C$4:$C$251,0)),"")</f>
        <v>SW</v>
      </c>
    </row>
    <row r="57" spans="1:16" s="344" customFormat="1" x14ac:dyDescent="0.25">
      <c r="A57" s="619" t="s">
        <v>524</v>
      </c>
      <c r="B57" s="361" t="s">
        <v>80</v>
      </c>
      <c r="C57" s="350" t="s">
        <v>80</v>
      </c>
      <c r="D57" s="620">
        <v>549</v>
      </c>
      <c r="E57" s="621">
        <v>0</v>
      </c>
      <c r="F57" s="621">
        <v>549</v>
      </c>
      <c r="G57" s="621">
        <v>0</v>
      </c>
      <c r="H57" s="621">
        <v>0</v>
      </c>
      <c r="I57" s="452" t="s">
        <v>1022</v>
      </c>
      <c r="J57" s="622" t="str">
        <f t="array" ref="J57">IFERROR(INDEX(UtilityList!$H$4:$H$251,MATCH('Table 2.1a'!$A57&amp;'Table 2.1a'!$B57&amp;'Table 2.1a'!$C57,UtilityList!$A$4:$A$251&amp;UtilityList!$B$4:$B$251&amp;UtilityList!$C$4:$C$251,0)),"")</f>
        <v>PCE Eligible Active</v>
      </c>
      <c r="K57" s="709">
        <f t="array" ref="K57">IFERROR(INDEX(UtilityList!$Q$4:$Q$251,MATCH('Table 2.1a'!$A57&amp;'Table 2.1a'!$B57&amp;'Table 2.1a'!$C57,UtilityList!$A$4:$A$251&amp;UtilityList!$B$4:$B$251&amp;UtilityList!$C$4:$C$251,0)),"")</f>
        <v>0</v>
      </c>
      <c r="L57" s="622" t="str">
        <f t="array" ref="L57">IFERROR(INDEX(UtilityList!$I$4:$I$251,MATCH('Table 2.1a'!$A57&amp;'Table 2.1a'!$B57&amp;'Table 2.1a'!$C57,UtilityList!$A$4:$A$251&amp;UtilityList!$B$4:$B$251&amp;UtilityList!$C$4:$C$251,0)),"")</f>
        <v>ALASVEC</v>
      </c>
      <c r="M57" s="369" t="str">
        <f t="array" ref="M57">IFERROR(INDEX(UtilityList!$J$4:$J$251,MATCH('Table 2.1a'!$A57&amp;'Table 2.1a'!$B57&amp;'Table 2.1a'!$C57,UtilityList!$A$4:$A$251&amp;UtilityList!$B$4:$B$251&amp;UtilityList!$C$4:$C$251,0)),"")</f>
        <v>Yukon-Koyukuk/Upper Tanana</v>
      </c>
      <c r="N57" s="369" t="str">
        <f t="array" ref="N57">IFERROR(INDEX(UtilityList!$K$4:$K$251,MATCH('Table 2.1a'!$A57&amp;'Table 2.1a'!$B57&amp;'Table 2.1a'!$C57,UtilityList!$A$4:$A$251&amp;UtilityList!$B$4:$B$251&amp;UtilityList!$C$4:$C$251,0)),"")</f>
        <v>Yukon-Koyukuk (CA)</v>
      </c>
      <c r="O57" s="369" t="str">
        <f t="array" ref="O57">IFERROR(INDEX(UtilityList!$L$4:$L$251,MATCH('Table 2.1a'!$A57&amp;'Table 2.1a'!$B57&amp;'Table 2.1a'!$C57,UtilityList!$A$4:$A$251&amp;UtilityList!$B$4:$B$251&amp;UtilityList!$C$4:$C$251,0)),"")</f>
        <v>Doyon</v>
      </c>
      <c r="P57" s="369" t="str">
        <f t="array" ref="P57">IFERROR(INDEX(UtilityList!$M$4:$M$251,MATCH('Table 2.1a'!$A57&amp;'Table 2.1a'!$B57&amp;'Table 2.1a'!$C57,UtilityList!$A$4:$A$251&amp;UtilityList!$B$4:$B$251&amp;UtilityList!$C$4:$C$251,0)),"")</f>
        <v>YU</v>
      </c>
    </row>
    <row r="58" spans="1:16" s="344" customFormat="1" ht="90" x14ac:dyDescent="0.25">
      <c r="A58" s="619" t="s">
        <v>524</v>
      </c>
      <c r="B58" s="361" t="s">
        <v>81</v>
      </c>
      <c r="C58" s="350" t="s">
        <v>992</v>
      </c>
      <c r="D58" s="620">
        <v>1900</v>
      </c>
      <c r="E58" s="621">
        <v>0</v>
      </c>
      <c r="F58" s="621">
        <v>1600</v>
      </c>
      <c r="G58" s="621">
        <v>0</v>
      </c>
      <c r="H58" s="621">
        <v>300</v>
      </c>
      <c r="I58" s="452" t="s">
        <v>1020</v>
      </c>
      <c r="J58" s="622" t="str">
        <f t="array" ref="J58">IFERROR(INDEX(UtilityList!$H$4:$H$251,MATCH('Table 2.1a'!$A58&amp;'Table 2.1a'!$B58&amp;'Table 2.1a'!$C58,UtilityList!$A$4:$A$251&amp;UtilityList!$B$4:$B$251&amp;UtilityList!$C$4:$C$251,0)),"")</f>
        <v>PCE Eligible Active</v>
      </c>
      <c r="K58" s="709" t="str">
        <f t="array" ref="K58">IFERROR(INDEX(UtilityList!$Q$4:$Q$251,MATCH('Table 2.1a'!$A58&amp;'Table 2.1a'!$B58&amp;'Table 2.1a'!$C58,UtilityList!$A$4:$A$251&amp;UtilityList!$B$4:$B$251&amp;UtilityList!$C$4:$C$251,0)),"")</f>
        <v>Provides power to Nunapitchuk via intertie.  Fuel use and cost includes Nunapitchuk's information.</v>
      </c>
      <c r="L58" s="622" t="str">
        <f t="array" ref="L58">IFERROR(INDEX(UtilityList!$I$4:$I$251,MATCH('Table 2.1a'!$A58&amp;'Table 2.1a'!$B58&amp;'Table 2.1a'!$C58,UtilityList!$A$4:$A$251&amp;UtilityList!$B$4:$B$251&amp;UtilityList!$C$4:$C$251,0)),"")</f>
        <v>ALASVEC</v>
      </c>
      <c r="M58" s="369" t="str">
        <f t="array" ref="M58">IFERROR(INDEX(UtilityList!$J$4:$J$251,MATCH('Table 2.1a'!$A58&amp;'Table 2.1a'!$B58&amp;'Table 2.1a'!$C58,UtilityList!$A$4:$A$251&amp;UtilityList!$B$4:$B$251&amp;UtilityList!$C$4:$C$251,0)),"")</f>
        <v>Lower Yukon-Kuskokwim</v>
      </c>
      <c r="N58" s="369" t="str">
        <f t="array" ref="N58">IFERROR(INDEX(UtilityList!$K$4:$K$251,MATCH('Table 2.1a'!$A58&amp;'Table 2.1a'!$B58&amp;'Table 2.1a'!$C58,UtilityList!$A$4:$A$251&amp;UtilityList!$B$4:$B$251&amp;UtilityList!$C$4:$C$251,0)),"")</f>
        <v>Bethel (CA)</v>
      </c>
      <c r="O58" s="369" t="str">
        <f t="array" ref="O58">IFERROR(INDEX(UtilityList!$L$4:$L$251,MATCH('Table 2.1a'!$A58&amp;'Table 2.1a'!$B58&amp;'Table 2.1a'!$C58,UtilityList!$A$4:$A$251&amp;UtilityList!$B$4:$B$251&amp;UtilityList!$C$4:$C$251,0)),"")</f>
        <v>Calista</v>
      </c>
      <c r="P58" s="369" t="str">
        <f t="array" ref="P58">IFERROR(INDEX(UtilityList!$M$4:$M$251,MATCH('Table 2.1a'!$A58&amp;'Table 2.1a'!$B58&amp;'Table 2.1a'!$C58,UtilityList!$A$4:$A$251&amp;UtilityList!$B$4:$B$251&amp;UtilityList!$C$4:$C$251,0)),"")</f>
        <v>SW</v>
      </c>
    </row>
    <row r="59" spans="1:16" s="344" customFormat="1" x14ac:dyDescent="0.25">
      <c r="A59" s="619" t="s">
        <v>524</v>
      </c>
      <c r="B59" s="361" t="s">
        <v>82</v>
      </c>
      <c r="C59" s="350" t="s">
        <v>82</v>
      </c>
      <c r="D59" s="620">
        <v>1100</v>
      </c>
      <c r="E59" s="621">
        <v>0</v>
      </c>
      <c r="F59" s="621">
        <v>1100</v>
      </c>
      <c r="G59" s="621">
        <v>0</v>
      </c>
      <c r="H59" s="621">
        <v>0</v>
      </c>
      <c r="I59" s="452" t="s">
        <v>1020</v>
      </c>
      <c r="J59" s="622" t="str">
        <f t="array" ref="J59">IFERROR(INDEX(UtilityList!$H$4:$H$251,MATCH('Table 2.1a'!$A59&amp;'Table 2.1a'!$B59&amp;'Table 2.1a'!$C59,UtilityList!$A$4:$A$251&amp;UtilityList!$B$4:$B$251&amp;UtilityList!$C$4:$C$251,0)),"")</f>
        <v>PCE Eligible Active</v>
      </c>
      <c r="K59" s="709">
        <f t="array" ref="K59">IFERROR(INDEX(UtilityList!$Q$4:$Q$251,MATCH('Table 2.1a'!$A59&amp;'Table 2.1a'!$B59&amp;'Table 2.1a'!$C59,UtilityList!$A$4:$A$251&amp;UtilityList!$B$4:$B$251&amp;UtilityList!$C$4:$C$251,0)),"")</f>
        <v>0</v>
      </c>
      <c r="L59" s="622" t="str">
        <f t="array" ref="L59">IFERROR(INDEX(UtilityList!$I$4:$I$251,MATCH('Table 2.1a'!$A59&amp;'Table 2.1a'!$B59&amp;'Table 2.1a'!$C59,UtilityList!$A$4:$A$251&amp;UtilityList!$B$4:$B$251&amp;UtilityList!$C$4:$C$251,0)),"")</f>
        <v>ALASVEC</v>
      </c>
      <c r="M59" s="369" t="str">
        <f t="array" ref="M59">IFERROR(INDEX(UtilityList!$J$4:$J$251,MATCH('Table 2.1a'!$A59&amp;'Table 2.1a'!$B59&amp;'Table 2.1a'!$C59,UtilityList!$A$4:$A$251&amp;UtilityList!$B$4:$B$251&amp;UtilityList!$C$4:$C$251,0)),"")</f>
        <v>Northwest Arctic</v>
      </c>
      <c r="N59" s="369" t="str">
        <f t="array" ref="N59">IFERROR(INDEX(UtilityList!$K$4:$K$251,MATCH('Table 2.1a'!$A59&amp;'Table 2.1a'!$B59&amp;'Table 2.1a'!$C59,UtilityList!$A$4:$A$251&amp;UtilityList!$B$4:$B$251&amp;UtilityList!$C$4:$C$251,0)),"")</f>
        <v>Northwest Arctic</v>
      </c>
      <c r="O59" s="369" t="str">
        <f t="array" ref="O59">IFERROR(INDEX(UtilityList!$L$4:$L$251,MATCH('Table 2.1a'!$A59&amp;'Table 2.1a'!$B59&amp;'Table 2.1a'!$C59,UtilityList!$A$4:$A$251&amp;UtilityList!$B$4:$B$251&amp;UtilityList!$C$4:$C$251,0)),"")</f>
        <v>NANA</v>
      </c>
      <c r="P59" s="369" t="str">
        <f t="array" ref="P59">IFERROR(INDEX(UtilityList!$M$4:$M$251,MATCH('Table 2.1a'!$A59&amp;'Table 2.1a'!$B59&amp;'Table 2.1a'!$C59,UtilityList!$A$4:$A$251&amp;UtilityList!$B$4:$B$251&amp;UtilityList!$C$4:$C$251,0)),"")</f>
        <v>AN</v>
      </c>
    </row>
    <row r="60" spans="1:16" s="344" customFormat="1" x14ac:dyDescent="0.25">
      <c r="A60" s="619" t="s">
        <v>524</v>
      </c>
      <c r="B60" s="361" t="s">
        <v>83</v>
      </c>
      <c r="C60" s="350" t="s">
        <v>83</v>
      </c>
      <c r="D60" s="620">
        <v>1100</v>
      </c>
      <c r="E60" s="621">
        <v>0</v>
      </c>
      <c r="F60" s="621">
        <v>1100</v>
      </c>
      <c r="G60" s="621">
        <v>0</v>
      </c>
      <c r="H60" s="621">
        <v>0</v>
      </c>
      <c r="I60" s="452" t="s">
        <v>1020</v>
      </c>
      <c r="J60" s="622" t="str">
        <f t="array" ref="J60">IFERROR(INDEX(UtilityList!$H$4:$H$251,MATCH('Table 2.1a'!$A60&amp;'Table 2.1a'!$B60&amp;'Table 2.1a'!$C60,UtilityList!$A$4:$A$251&amp;UtilityList!$B$4:$B$251&amp;UtilityList!$C$4:$C$251,0)),"")</f>
        <v>PCE Eligible Active</v>
      </c>
      <c r="K60" s="709">
        <f t="array" ref="K60">IFERROR(INDEX(UtilityList!$Q$4:$Q$251,MATCH('Table 2.1a'!$A60&amp;'Table 2.1a'!$B60&amp;'Table 2.1a'!$C60,UtilityList!$A$4:$A$251&amp;UtilityList!$B$4:$B$251&amp;UtilityList!$C$4:$C$251,0)),"")</f>
        <v>0</v>
      </c>
      <c r="L60" s="622" t="str">
        <f t="array" ref="L60">IFERROR(INDEX(UtilityList!$I$4:$I$251,MATCH('Table 2.1a'!$A60&amp;'Table 2.1a'!$B60&amp;'Table 2.1a'!$C60,UtilityList!$A$4:$A$251&amp;UtilityList!$B$4:$B$251&amp;UtilityList!$C$4:$C$251,0)),"")</f>
        <v>ALASVEC</v>
      </c>
      <c r="M60" s="369" t="str">
        <f t="array" ref="M60">IFERROR(INDEX(UtilityList!$J$4:$J$251,MATCH('Table 2.1a'!$A60&amp;'Table 2.1a'!$B60&amp;'Table 2.1a'!$C60,UtilityList!$A$4:$A$251&amp;UtilityList!$B$4:$B$251&amp;UtilityList!$C$4:$C$251,0)),"")</f>
        <v>Northwest Arctic</v>
      </c>
      <c r="N60" s="369" t="str">
        <f t="array" ref="N60">IFERROR(INDEX(UtilityList!$K$4:$K$251,MATCH('Table 2.1a'!$A60&amp;'Table 2.1a'!$B60&amp;'Table 2.1a'!$C60,UtilityList!$A$4:$A$251&amp;UtilityList!$B$4:$B$251&amp;UtilityList!$C$4:$C$251,0)),"")</f>
        <v>Northwest Arctic</v>
      </c>
      <c r="O60" s="369" t="str">
        <f t="array" ref="O60">IFERROR(INDEX(UtilityList!$L$4:$L$251,MATCH('Table 2.1a'!$A60&amp;'Table 2.1a'!$B60&amp;'Table 2.1a'!$C60,UtilityList!$A$4:$A$251&amp;UtilityList!$B$4:$B$251&amp;UtilityList!$C$4:$C$251,0)),"")</f>
        <v>NANA</v>
      </c>
      <c r="P60" s="369" t="str">
        <f t="array" ref="P60">IFERROR(INDEX(UtilityList!$M$4:$M$251,MATCH('Table 2.1a'!$A60&amp;'Table 2.1a'!$B60&amp;'Table 2.1a'!$C60,UtilityList!$A$4:$A$251&amp;UtilityList!$B$4:$B$251&amp;UtilityList!$C$4:$C$251,0)),"")</f>
        <v>AN</v>
      </c>
    </row>
    <row r="61" spans="1:16" s="344" customFormat="1" x14ac:dyDescent="0.25">
      <c r="A61" s="619" t="s">
        <v>524</v>
      </c>
      <c r="B61" s="361" t="s">
        <v>84</v>
      </c>
      <c r="C61" s="350" t="s">
        <v>84</v>
      </c>
      <c r="D61" s="620">
        <v>1400</v>
      </c>
      <c r="E61" s="621">
        <v>0</v>
      </c>
      <c r="F61" s="621">
        <v>1400</v>
      </c>
      <c r="G61" s="621">
        <v>0</v>
      </c>
      <c r="H61" s="621">
        <v>0</v>
      </c>
      <c r="I61" s="452" t="s">
        <v>1020</v>
      </c>
      <c r="J61" s="622" t="str">
        <f t="array" ref="J61">IFERROR(INDEX(UtilityList!$H$4:$H$251,MATCH('Table 2.1a'!$A61&amp;'Table 2.1a'!$B61&amp;'Table 2.1a'!$C61,UtilityList!$A$4:$A$251&amp;UtilityList!$B$4:$B$251&amp;UtilityList!$C$4:$C$251,0)),"")</f>
        <v>PCE Eligible Active</v>
      </c>
      <c r="K61" s="709">
        <f t="array" ref="K61">IFERROR(INDEX(UtilityList!$Q$4:$Q$251,MATCH('Table 2.1a'!$A61&amp;'Table 2.1a'!$B61&amp;'Table 2.1a'!$C61,UtilityList!$A$4:$A$251&amp;UtilityList!$B$4:$B$251&amp;UtilityList!$C$4:$C$251,0)),"")</f>
        <v>0</v>
      </c>
      <c r="L61" s="622" t="str">
        <f t="array" ref="L61">IFERROR(INDEX(UtilityList!$I$4:$I$251,MATCH('Table 2.1a'!$A61&amp;'Table 2.1a'!$B61&amp;'Table 2.1a'!$C61,UtilityList!$A$4:$A$251&amp;UtilityList!$B$4:$B$251&amp;UtilityList!$C$4:$C$251,0)),"")</f>
        <v>ALASVEC</v>
      </c>
      <c r="M61" s="369" t="str">
        <f t="array" ref="M61">IFERROR(INDEX(UtilityList!$J$4:$J$251,MATCH('Table 2.1a'!$A61&amp;'Table 2.1a'!$B61&amp;'Table 2.1a'!$C61,UtilityList!$A$4:$A$251&amp;UtilityList!$B$4:$B$251&amp;UtilityList!$C$4:$C$251,0)),"")</f>
        <v>Lower Yukon-Kuskokwim</v>
      </c>
      <c r="N61" s="369" t="str">
        <f t="array" ref="N61">IFERROR(INDEX(UtilityList!$K$4:$K$251,MATCH('Table 2.1a'!$A61&amp;'Table 2.1a'!$B61&amp;'Table 2.1a'!$C61,UtilityList!$A$4:$A$251&amp;UtilityList!$B$4:$B$251&amp;UtilityList!$C$4:$C$251,0)),"")</f>
        <v>Wade Hampton (CA)</v>
      </c>
      <c r="O61" s="369" t="str">
        <f t="array" ref="O61">IFERROR(INDEX(UtilityList!$L$4:$L$251,MATCH('Table 2.1a'!$A61&amp;'Table 2.1a'!$B61&amp;'Table 2.1a'!$C61,UtilityList!$A$4:$A$251&amp;UtilityList!$B$4:$B$251&amp;UtilityList!$C$4:$C$251,0)),"")</f>
        <v>Calista</v>
      </c>
      <c r="P61" s="369" t="str">
        <f t="array" ref="P61">IFERROR(INDEX(UtilityList!$M$4:$M$251,MATCH('Table 2.1a'!$A61&amp;'Table 2.1a'!$B61&amp;'Table 2.1a'!$C61,UtilityList!$A$4:$A$251&amp;UtilityList!$B$4:$B$251&amp;UtilityList!$C$4:$C$251,0)),"")</f>
        <v>YU</v>
      </c>
    </row>
    <row r="62" spans="1:16" s="344" customFormat="1" x14ac:dyDescent="0.25">
      <c r="A62" s="619" t="s">
        <v>524</v>
      </c>
      <c r="B62" s="361" t="s">
        <v>85</v>
      </c>
      <c r="C62" s="350" t="s">
        <v>85</v>
      </c>
      <c r="D62" s="620">
        <v>1100</v>
      </c>
      <c r="E62" s="621">
        <v>0</v>
      </c>
      <c r="F62" s="621">
        <v>1100</v>
      </c>
      <c r="G62" s="621">
        <v>0</v>
      </c>
      <c r="H62" s="621">
        <v>0</v>
      </c>
      <c r="I62" s="452" t="s">
        <v>1020</v>
      </c>
      <c r="J62" s="622" t="str">
        <f t="array" ref="J62">IFERROR(INDEX(UtilityList!$H$4:$H$251,MATCH('Table 2.1a'!$A62&amp;'Table 2.1a'!$B62&amp;'Table 2.1a'!$C62,UtilityList!$A$4:$A$251&amp;UtilityList!$B$4:$B$251&amp;UtilityList!$C$4:$C$251,0)),"")</f>
        <v>PCE Eligible Active</v>
      </c>
      <c r="K62" s="709">
        <f t="array" ref="K62">IFERROR(INDEX(UtilityList!$Q$4:$Q$251,MATCH('Table 2.1a'!$A62&amp;'Table 2.1a'!$B62&amp;'Table 2.1a'!$C62,UtilityList!$A$4:$A$251&amp;UtilityList!$B$4:$B$251&amp;UtilityList!$C$4:$C$251,0)),"")</f>
        <v>0</v>
      </c>
      <c r="L62" s="622" t="str">
        <f t="array" ref="L62">IFERROR(INDEX(UtilityList!$I$4:$I$251,MATCH('Table 2.1a'!$A62&amp;'Table 2.1a'!$B62&amp;'Table 2.1a'!$C62,UtilityList!$A$4:$A$251&amp;UtilityList!$B$4:$B$251&amp;UtilityList!$C$4:$C$251,0)),"")</f>
        <v>ALASVEC</v>
      </c>
      <c r="M62" s="369" t="str">
        <f t="array" ref="M62">IFERROR(INDEX(UtilityList!$J$4:$J$251,MATCH('Table 2.1a'!$A62&amp;'Table 2.1a'!$B62&amp;'Table 2.1a'!$C62,UtilityList!$A$4:$A$251&amp;UtilityList!$B$4:$B$251&amp;UtilityList!$C$4:$C$251,0)),"")</f>
        <v>Bering Straits</v>
      </c>
      <c r="N62" s="369" t="str">
        <f t="array" ref="N62">IFERROR(INDEX(UtilityList!$K$4:$K$251,MATCH('Table 2.1a'!$A62&amp;'Table 2.1a'!$B62&amp;'Table 2.1a'!$C62,UtilityList!$A$4:$A$251&amp;UtilityList!$B$4:$B$251&amp;UtilityList!$C$4:$C$251,0)),"")</f>
        <v>Nome (CA)</v>
      </c>
      <c r="O62" s="369" t="str">
        <f t="array" ref="O62">IFERROR(INDEX(UtilityList!$L$4:$L$251,MATCH('Table 2.1a'!$A62&amp;'Table 2.1a'!$B62&amp;'Table 2.1a'!$C62,UtilityList!$A$4:$A$251&amp;UtilityList!$B$4:$B$251&amp;UtilityList!$C$4:$C$251,0)),"")</f>
        <v>Bering Straits</v>
      </c>
      <c r="P62" s="369" t="str">
        <f t="array" ref="P62">IFERROR(INDEX(UtilityList!$M$4:$M$251,MATCH('Table 2.1a'!$A62&amp;'Table 2.1a'!$B62&amp;'Table 2.1a'!$C62,UtilityList!$A$4:$A$251&amp;UtilityList!$B$4:$B$251&amp;UtilityList!$C$4:$C$251,0)),"")</f>
        <v>AN</v>
      </c>
    </row>
    <row r="63" spans="1:16" s="344" customFormat="1" x14ac:dyDescent="0.25">
      <c r="A63" s="619" t="s">
        <v>524</v>
      </c>
      <c r="B63" s="361" t="s">
        <v>87</v>
      </c>
      <c r="C63" s="350" t="s">
        <v>87</v>
      </c>
      <c r="D63" s="620">
        <v>1085</v>
      </c>
      <c r="E63" s="621">
        <v>0</v>
      </c>
      <c r="F63" s="621">
        <v>1085</v>
      </c>
      <c r="G63" s="621">
        <v>0</v>
      </c>
      <c r="H63" s="621">
        <v>0</v>
      </c>
      <c r="I63" s="452" t="s">
        <v>1022</v>
      </c>
      <c r="J63" s="622" t="str">
        <f t="array" ref="J63">IFERROR(INDEX(UtilityList!$H$4:$H$251,MATCH('Table 2.1a'!$A63&amp;'Table 2.1a'!$B63&amp;'Table 2.1a'!$C63,UtilityList!$A$4:$A$251&amp;UtilityList!$B$4:$B$251&amp;UtilityList!$C$4:$C$251,0)),"")</f>
        <v>PCE Eligible Active</v>
      </c>
      <c r="K63" s="709">
        <f t="array" ref="K63">IFERROR(INDEX(UtilityList!$Q$4:$Q$251,MATCH('Table 2.1a'!$A63&amp;'Table 2.1a'!$B63&amp;'Table 2.1a'!$C63,UtilityList!$A$4:$A$251&amp;UtilityList!$B$4:$B$251&amp;UtilityList!$C$4:$C$251,0)),"")</f>
        <v>0</v>
      </c>
      <c r="L63" s="622" t="str">
        <f t="array" ref="L63">IFERROR(INDEX(UtilityList!$I$4:$I$251,MATCH('Table 2.1a'!$A63&amp;'Table 2.1a'!$B63&amp;'Table 2.1a'!$C63,UtilityList!$A$4:$A$251&amp;UtilityList!$B$4:$B$251&amp;UtilityList!$C$4:$C$251,0)),"")</f>
        <v>ALASVEC</v>
      </c>
      <c r="M63" s="369" t="str">
        <f t="array" ref="M63">IFERROR(INDEX(UtilityList!$J$4:$J$251,MATCH('Table 2.1a'!$A63&amp;'Table 2.1a'!$B63&amp;'Table 2.1a'!$C63,UtilityList!$A$4:$A$251&amp;UtilityList!$B$4:$B$251&amp;UtilityList!$C$4:$C$251,0)),"")</f>
        <v>Lower Yukon-Kuskokwim</v>
      </c>
      <c r="N63" s="369" t="str">
        <f t="array" ref="N63">IFERROR(INDEX(UtilityList!$K$4:$K$251,MATCH('Table 2.1a'!$A63&amp;'Table 2.1a'!$B63&amp;'Table 2.1a'!$C63,UtilityList!$A$4:$A$251&amp;UtilityList!$B$4:$B$251&amp;UtilityList!$C$4:$C$251,0)),"")</f>
        <v>Wade Hampton (CA)</v>
      </c>
      <c r="O63" s="369" t="str">
        <f t="array" ref="O63">IFERROR(INDEX(UtilityList!$L$4:$L$251,MATCH('Table 2.1a'!$A63&amp;'Table 2.1a'!$B63&amp;'Table 2.1a'!$C63,UtilityList!$A$4:$A$251&amp;UtilityList!$B$4:$B$251&amp;UtilityList!$C$4:$C$251,0)),"")</f>
        <v>Calista</v>
      </c>
      <c r="P63" s="369" t="str">
        <f t="array" ref="P63">IFERROR(INDEX(UtilityList!$M$4:$M$251,MATCH('Table 2.1a'!$A63&amp;'Table 2.1a'!$B63&amp;'Table 2.1a'!$C63,UtilityList!$A$4:$A$251&amp;UtilityList!$B$4:$B$251&amp;UtilityList!$C$4:$C$251,0)),"")</f>
        <v>YU</v>
      </c>
    </row>
    <row r="64" spans="1:16" s="344" customFormat="1" x14ac:dyDescent="0.25">
      <c r="A64" s="619" t="s">
        <v>524</v>
      </c>
      <c r="B64" s="361" t="s">
        <v>88</v>
      </c>
      <c r="C64" s="350" t="s">
        <v>88</v>
      </c>
      <c r="D64" s="620">
        <v>904</v>
      </c>
      <c r="E64" s="621">
        <v>0</v>
      </c>
      <c r="F64" s="621">
        <v>704</v>
      </c>
      <c r="G64" s="621">
        <v>0</v>
      </c>
      <c r="H64" s="621">
        <v>200</v>
      </c>
      <c r="I64" s="452" t="s">
        <v>1022</v>
      </c>
      <c r="J64" s="622" t="str">
        <f t="array" ref="J64">IFERROR(INDEX(UtilityList!$H$4:$H$251,MATCH('Table 2.1a'!$A64&amp;'Table 2.1a'!$B64&amp;'Table 2.1a'!$C64,UtilityList!$A$4:$A$251&amp;UtilityList!$B$4:$B$251&amp;UtilityList!$C$4:$C$251,0)),"")</f>
        <v>PCE Eligible Active</v>
      </c>
      <c r="K64" s="709">
        <f t="array" ref="K64">IFERROR(INDEX(UtilityList!$Q$4:$Q$251,MATCH('Table 2.1a'!$A64&amp;'Table 2.1a'!$B64&amp;'Table 2.1a'!$C64,UtilityList!$A$4:$A$251&amp;UtilityList!$B$4:$B$251&amp;UtilityList!$C$4:$C$251,0)),"")</f>
        <v>0</v>
      </c>
      <c r="L64" s="622" t="str">
        <f t="array" ref="L64">IFERROR(INDEX(UtilityList!$I$4:$I$251,MATCH('Table 2.1a'!$A64&amp;'Table 2.1a'!$B64&amp;'Table 2.1a'!$C64,UtilityList!$A$4:$A$251&amp;UtilityList!$B$4:$B$251&amp;UtilityList!$C$4:$C$251,0)),"")</f>
        <v>ALASVEC</v>
      </c>
      <c r="M64" s="369" t="str">
        <f t="array" ref="M64">IFERROR(INDEX(UtilityList!$J$4:$J$251,MATCH('Table 2.1a'!$A64&amp;'Table 2.1a'!$B64&amp;'Table 2.1a'!$C64,UtilityList!$A$4:$A$251&amp;UtilityList!$B$4:$B$251&amp;UtilityList!$C$4:$C$251,0)),"")</f>
        <v>Lower Yukon-Kuskokwim</v>
      </c>
      <c r="N64" s="369" t="str">
        <f t="array" ref="N64">IFERROR(INDEX(UtilityList!$K$4:$K$251,MATCH('Table 2.1a'!$A64&amp;'Table 2.1a'!$B64&amp;'Table 2.1a'!$C64,UtilityList!$A$4:$A$251&amp;UtilityList!$B$4:$B$251&amp;UtilityList!$C$4:$C$251,0)),"")</f>
        <v>Bethel (CA)</v>
      </c>
      <c r="O64" s="369" t="str">
        <f t="array" ref="O64">IFERROR(INDEX(UtilityList!$L$4:$L$251,MATCH('Table 2.1a'!$A64&amp;'Table 2.1a'!$B64&amp;'Table 2.1a'!$C64,UtilityList!$A$4:$A$251&amp;UtilityList!$B$4:$B$251&amp;UtilityList!$C$4:$C$251,0)),"")</f>
        <v>Calista</v>
      </c>
      <c r="P64" s="369" t="str">
        <f t="array" ref="P64">IFERROR(INDEX(UtilityList!$M$4:$M$251,MATCH('Table 2.1a'!$A64&amp;'Table 2.1a'!$B64&amp;'Table 2.1a'!$C64,UtilityList!$A$4:$A$251&amp;UtilityList!$B$4:$B$251&amp;UtilityList!$C$4:$C$251,0)),"")</f>
        <v>SW</v>
      </c>
    </row>
    <row r="65" spans="1:16" s="344" customFormat="1" x14ac:dyDescent="0.25">
      <c r="A65" s="619" t="s">
        <v>524</v>
      </c>
      <c r="B65" s="361" t="s">
        <v>89</v>
      </c>
      <c r="C65" s="350" t="s">
        <v>89</v>
      </c>
      <c r="D65" s="620">
        <v>708</v>
      </c>
      <c r="E65" s="621">
        <v>0</v>
      </c>
      <c r="F65" s="621">
        <v>708</v>
      </c>
      <c r="G65" s="621">
        <v>0</v>
      </c>
      <c r="H65" s="621">
        <v>0</v>
      </c>
      <c r="I65" s="452" t="s">
        <v>1022</v>
      </c>
      <c r="J65" s="622" t="str">
        <f t="array" ref="J65">IFERROR(INDEX(UtilityList!$H$4:$H$251,MATCH('Table 2.1a'!$A65&amp;'Table 2.1a'!$B65&amp;'Table 2.1a'!$C65,UtilityList!$A$4:$A$251&amp;UtilityList!$B$4:$B$251&amp;UtilityList!$C$4:$C$251,0)),"")</f>
        <v>PCE Eligible Active</v>
      </c>
      <c r="K65" s="709">
        <f t="array" ref="K65">IFERROR(INDEX(UtilityList!$Q$4:$Q$251,MATCH('Table 2.1a'!$A65&amp;'Table 2.1a'!$B65&amp;'Table 2.1a'!$C65,UtilityList!$A$4:$A$251&amp;UtilityList!$B$4:$B$251&amp;UtilityList!$C$4:$C$251,0)),"")</f>
        <v>0</v>
      </c>
      <c r="L65" s="622" t="str">
        <f t="array" ref="L65">IFERROR(INDEX(UtilityList!$I$4:$I$251,MATCH('Table 2.1a'!$A65&amp;'Table 2.1a'!$B65&amp;'Table 2.1a'!$C65,UtilityList!$A$4:$A$251&amp;UtilityList!$B$4:$B$251&amp;UtilityList!$C$4:$C$251,0)),"")</f>
        <v>ALASVEC</v>
      </c>
      <c r="M65" s="369" t="str">
        <f t="array" ref="M65">IFERROR(INDEX(UtilityList!$J$4:$J$251,MATCH('Table 2.1a'!$A65&amp;'Table 2.1a'!$B65&amp;'Table 2.1a'!$C65,UtilityList!$A$4:$A$251&amp;UtilityList!$B$4:$B$251&amp;UtilityList!$C$4:$C$251,0)),"")</f>
        <v>Yukon-Koyukuk/Upper Tanana</v>
      </c>
      <c r="N65" s="369" t="str">
        <f t="array" ref="N65">IFERROR(INDEX(UtilityList!$K$4:$K$251,MATCH('Table 2.1a'!$A65&amp;'Table 2.1a'!$B65&amp;'Table 2.1a'!$C65,UtilityList!$A$4:$A$251&amp;UtilityList!$B$4:$B$251&amp;UtilityList!$C$4:$C$251,0)),"")</f>
        <v>Yukon-Koyukuk (CA)</v>
      </c>
      <c r="O65" s="369" t="str">
        <f t="array" ref="O65">IFERROR(INDEX(UtilityList!$L$4:$L$251,MATCH('Table 2.1a'!$A65&amp;'Table 2.1a'!$B65&amp;'Table 2.1a'!$C65,UtilityList!$A$4:$A$251&amp;UtilityList!$B$4:$B$251&amp;UtilityList!$C$4:$C$251,0)),"")</f>
        <v>Doyon</v>
      </c>
      <c r="P65" s="369" t="str">
        <f t="array" ref="P65">IFERROR(INDEX(UtilityList!$M$4:$M$251,MATCH('Table 2.1a'!$A65&amp;'Table 2.1a'!$B65&amp;'Table 2.1a'!$C65,UtilityList!$A$4:$A$251&amp;UtilityList!$B$4:$B$251&amp;UtilityList!$C$4:$C$251,0)),"")</f>
        <v>YU</v>
      </c>
    </row>
    <row r="66" spans="1:16" s="344" customFormat="1" x14ac:dyDescent="0.25">
      <c r="A66" s="619" t="s">
        <v>524</v>
      </c>
      <c r="B66" s="361" t="s">
        <v>90</v>
      </c>
      <c r="C66" s="350" t="s">
        <v>90</v>
      </c>
      <c r="D66" s="620">
        <v>1700</v>
      </c>
      <c r="E66" s="621">
        <v>0</v>
      </c>
      <c r="F66" s="621">
        <v>1700</v>
      </c>
      <c r="G66" s="621">
        <v>0</v>
      </c>
      <c r="H66" s="621">
        <v>0</v>
      </c>
      <c r="I66" s="452" t="s">
        <v>1020</v>
      </c>
      <c r="J66" s="622" t="str">
        <f t="array" ref="J66">IFERROR(INDEX(UtilityList!$H$4:$H$251,MATCH('Table 2.1a'!$A66&amp;'Table 2.1a'!$B66&amp;'Table 2.1a'!$C66,UtilityList!$A$4:$A$251&amp;UtilityList!$B$4:$B$251&amp;UtilityList!$C$4:$C$251,0)),"")</f>
        <v>PCE Eligible Active</v>
      </c>
      <c r="K66" s="709">
        <f t="array" ref="K66">IFERROR(INDEX(UtilityList!$Q$4:$Q$251,MATCH('Table 2.1a'!$A66&amp;'Table 2.1a'!$B66&amp;'Table 2.1a'!$C66,UtilityList!$A$4:$A$251&amp;UtilityList!$B$4:$B$251&amp;UtilityList!$C$4:$C$251,0)),"")</f>
        <v>0</v>
      </c>
      <c r="L66" s="622" t="str">
        <f t="array" ref="L66">IFERROR(INDEX(UtilityList!$I$4:$I$251,MATCH('Table 2.1a'!$A66&amp;'Table 2.1a'!$B66&amp;'Table 2.1a'!$C66,UtilityList!$A$4:$A$251&amp;UtilityList!$B$4:$B$251&amp;UtilityList!$C$4:$C$251,0)),"")</f>
        <v>ALASVEC</v>
      </c>
      <c r="M66" s="369" t="str">
        <f t="array" ref="M66">IFERROR(INDEX(UtilityList!$J$4:$J$251,MATCH('Table 2.1a'!$A66&amp;'Table 2.1a'!$B66&amp;'Table 2.1a'!$C66,UtilityList!$A$4:$A$251&amp;UtilityList!$B$4:$B$251&amp;UtilityList!$C$4:$C$251,0)),"")</f>
        <v>Lower Yukon-Kuskokwim</v>
      </c>
      <c r="N66" s="369" t="str">
        <f t="array" ref="N66">IFERROR(INDEX(UtilityList!$K$4:$K$251,MATCH('Table 2.1a'!$A66&amp;'Table 2.1a'!$B66&amp;'Table 2.1a'!$C66,UtilityList!$A$4:$A$251&amp;UtilityList!$B$4:$B$251&amp;UtilityList!$C$4:$C$251,0)),"")</f>
        <v>Wade Hampton (CA)</v>
      </c>
      <c r="O66" s="369" t="str">
        <f t="array" ref="O66">IFERROR(INDEX(UtilityList!$L$4:$L$251,MATCH('Table 2.1a'!$A66&amp;'Table 2.1a'!$B66&amp;'Table 2.1a'!$C66,UtilityList!$A$4:$A$251&amp;UtilityList!$B$4:$B$251&amp;UtilityList!$C$4:$C$251,0)),"")</f>
        <v>Calista</v>
      </c>
      <c r="P66" s="369" t="str">
        <f t="array" ref="P66">IFERROR(INDEX(UtilityList!$M$4:$M$251,MATCH('Table 2.1a'!$A66&amp;'Table 2.1a'!$B66&amp;'Table 2.1a'!$C66,UtilityList!$A$4:$A$251&amp;UtilityList!$B$4:$B$251&amp;UtilityList!$C$4:$C$251,0)),"")</f>
        <v>YU</v>
      </c>
    </row>
    <row r="67" spans="1:16" s="344" customFormat="1" x14ac:dyDescent="0.25">
      <c r="A67" s="619" t="s">
        <v>524</v>
      </c>
      <c r="B67" s="361" t="s">
        <v>91</v>
      </c>
      <c r="C67" s="350" t="s">
        <v>91</v>
      </c>
      <c r="D67" s="620">
        <v>1331</v>
      </c>
      <c r="E67" s="621">
        <v>0</v>
      </c>
      <c r="F67" s="621">
        <v>1331</v>
      </c>
      <c r="G67" s="621">
        <v>0</v>
      </c>
      <c r="H67" s="621">
        <v>0</v>
      </c>
      <c r="I67" s="452" t="s">
        <v>1022</v>
      </c>
      <c r="J67" s="622" t="str">
        <f t="array" ref="J67">IFERROR(INDEX(UtilityList!$H$4:$H$251,MATCH('Table 2.1a'!$A67&amp;'Table 2.1a'!$B67&amp;'Table 2.1a'!$C67,UtilityList!$A$4:$A$251&amp;UtilityList!$B$4:$B$251&amp;UtilityList!$C$4:$C$251,0)),"")</f>
        <v>PCE Eligible Active</v>
      </c>
      <c r="K67" s="709">
        <f t="array" ref="K67">IFERROR(INDEX(UtilityList!$Q$4:$Q$251,MATCH('Table 2.1a'!$A67&amp;'Table 2.1a'!$B67&amp;'Table 2.1a'!$C67,UtilityList!$A$4:$A$251&amp;UtilityList!$B$4:$B$251&amp;UtilityList!$C$4:$C$251,0)),"")</f>
        <v>0</v>
      </c>
      <c r="L67" s="622" t="str">
        <f t="array" ref="L67">IFERROR(INDEX(UtilityList!$I$4:$I$251,MATCH('Table 2.1a'!$A67&amp;'Table 2.1a'!$B67&amp;'Table 2.1a'!$C67,UtilityList!$A$4:$A$251&amp;UtilityList!$B$4:$B$251&amp;UtilityList!$C$4:$C$251,0)),"")</f>
        <v>ALASVEC</v>
      </c>
      <c r="M67" s="369" t="str">
        <f t="array" ref="M67">IFERROR(INDEX(UtilityList!$J$4:$J$251,MATCH('Table 2.1a'!$A67&amp;'Table 2.1a'!$B67&amp;'Table 2.1a'!$C67,UtilityList!$A$4:$A$251&amp;UtilityList!$B$4:$B$251&amp;UtilityList!$C$4:$C$251,0)),"")</f>
        <v>Bristol Bay</v>
      </c>
      <c r="N67" s="369" t="str">
        <f t="array" ref="N67">IFERROR(INDEX(UtilityList!$K$4:$K$251,MATCH('Table 2.1a'!$A67&amp;'Table 2.1a'!$B67&amp;'Table 2.1a'!$C67,UtilityList!$A$4:$A$251&amp;UtilityList!$B$4:$B$251&amp;UtilityList!$C$4:$C$251,0)),"")</f>
        <v>Dillingham (CA)</v>
      </c>
      <c r="O67" s="369" t="str">
        <f t="array" ref="O67">IFERROR(INDEX(UtilityList!$L$4:$L$251,MATCH('Table 2.1a'!$A67&amp;'Table 2.1a'!$B67&amp;'Table 2.1a'!$C67,UtilityList!$A$4:$A$251&amp;UtilityList!$B$4:$B$251&amp;UtilityList!$C$4:$C$251,0)),"")</f>
        <v>Bristol Bay</v>
      </c>
      <c r="P67" s="369" t="str">
        <f t="array" ref="P67">IFERROR(INDEX(UtilityList!$M$4:$M$251,MATCH('Table 2.1a'!$A67&amp;'Table 2.1a'!$B67&amp;'Table 2.1a'!$C67,UtilityList!$A$4:$A$251&amp;UtilityList!$B$4:$B$251&amp;UtilityList!$C$4:$C$251,0)),"")</f>
        <v>SW</v>
      </c>
    </row>
    <row r="68" spans="1:16" s="344" customFormat="1" ht="75" x14ac:dyDescent="0.25">
      <c r="A68" s="619" t="s">
        <v>524</v>
      </c>
      <c r="B68" s="361" t="s">
        <v>92</v>
      </c>
      <c r="C68" s="350" t="s">
        <v>92</v>
      </c>
      <c r="D68" s="620">
        <v>325</v>
      </c>
      <c r="E68" s="621">
        <v>0</v>
      </c>
      <c r="F68" s="621">
        <v>325</v>
      </c>
      <c r="G68" s="621">
        <v>0</v>
      </c>
      <c r="H68" s="621">
        <v>0</v>
      </c>
      <c r="I68" s="452" t="s">
        <v>1022</v>
      </c>
      <c r="J68" s="622" t="str">
        <f t="array" ref="J68">IFERROR(INDEX(UtilityList!$H$4:$H$251,MATCH('Table 2.1a'!$A68&amp;'Table 2.1a'!$B68&amp;'Table 2.1a'!$C68,UtilityList!$A$4:$A$251&amp;UtilityList!$B$4:$B$251&amp;UtilityList!$C$4:$C$251,0)),"")</f>
        <v>PCE Eligible Active</v>
      </c>
      <c r="K68" s="709" t="str">
        <f t="array" ref="K68">IFERROR(INDEX(UtilityList!$Q$4:$Q$251,MATCH('Table 2.1a'!$A68&amp;'Table 2.1a'!$B68&amp;'Table 2.1a'!$C68,UtilityList!$A$4:$A$251&amp;UtilityList!$B$4:$B$251&amp;UtilityList!$C$4:$C$251,0)),"")</f>
        <v>Receives power from Toksook Bay via intertie. For fuel use and cost, please refer to Toksook Bay.</v>
      </c>
      <c r="L68" s="622" t="str">
        <f t="array" ref="L68">IFERROR(INDEX(UtilityList!$I$4:$I$251,MATCH('Table 2.1a'!$A68&amp;'Table 2.1a'!$B68&amp;'Table 2.1a'!$C68,UtilityList!$A$4:$A$251&amp;UtilityList!$B$4:$B$251&amp;UtilityList!$C$4:$C$251,0)),"")</f>
        <v>ALASVEC</v>
      </c>
      <c r="M68" s="369" t="str">
        <f t="array" ref="M68">IFERROR(INDEX(UtilityList!$J$4:$J$251,MATCH('Table 2.1a'!$A68&amp;'Table 2.1a'!$B68&amp;'Table 2.1a'!$C68,UtilityList!$A$4:$A$251&amp;UtilityList!$B$4:$B$251&amp;UtilityList!$C$4:$C$251,0)),"")</f>
        <v>Lower Yukon-Kuskokwim</v>
      </c>
      <c r="N68" s="369" t="str">
        <f t="array" ref="N68">IFERROR(INDEX(UtilityList!$K$4:$K$251,MATCH('Table 2.1a'!$A68&amp;'Table 2.1a'!$B68&amp;'Table 2.1a'!$C68,UtilityList!$A$4:$A$251&amp;UtilityList!$B$4:$B$251&amp;UtilityList!$C$4:$C$251,0)),"")</f>
        <v>Bethel (CA)</v>
      </c>
      <c r="O68" s="369" t="str">
        <f t="array" ref="O68">IFERROR(INDEX(UtilityList!$L$4:$L$251,MATCH('Table 2.1a'!$A68&amp;'Table 2.1a'!$B68&amp;'Table 2.1a'!$C68,UtilityList!$A$4:$A$251&amp;UtilityList!$B$4:$B$251&amp;UtilityList!$C$4:$C$251,0)),"")</f>
        <v>Calista</v>
      </c>
      <c r="P68" s="369" t="str">
        <f t="array" ref="P68">IFERROR(INDEX(UtilityList!$M$4:$M$251,MATCH('Table 2.1a'!$A68&amp;'Table 2.1a'!$B68&amp;'Table 2.1a'!$C68,UtilityList!$A$4:$A$251&amp;UtilityList!$B$4:$B$251&amp;UtilityList!$C$4:$C$251,0)),"")</f>
        <v>SW</v>
      </c>
    </row>
    <row r="69" spans="1:16" s="344" customFormat="1" x14ac:dyDescent="0.25">
      <c r="A69" s="619" t="s">
        <v>524</v>
      </c>
      <c r="B69" s="361" t="s">
        <v>93</v>
      </c>
      <c r="C69" s="350" t="s">
        <v>93</v>
      </c>
      <c r="D69" s="620">
        <v>1200</v>
      </c>
      <c r="E69" s="621">
        <v>0</v>
      </c>
      <c r="F69" s="621">
        <v>1200</v>
      </c>
      <c r="G69" s="621">
        <v>0</v>
      </c>
      <c r="H69" s="621">
        <v>0</v>
      </c>
      <c r="I69" s="452" t="s">
        <v>1020</v>
      </c>
      <c r="J69" s="622" t="str">
        <f t="array" ref="J69">IFERROR(INDEX(UtilityList!$H$4:$H$251,MATCH('Table 2.1a'!$A69&amp;'Table 2.1a'!$B69&amp;'Table 2.1a'!$C69,UtilityList!$A$4:$A$251&amp;UtilityList!$B$4:$B$251&amp;UtilityList!$C$4:$C$251,0)),"")</f>
        <v>PCE Eligible Active</v>
      </c>
      <c r="K69" s="709">
        <f t="array" ref="K69">IFERROR(INDEX(UtilityList!$Q$4:$Q$251,MATCH('Table 2.1a'!$A69&amp;'Table 2.1a'!$B69&amp;'Table 2.1a'!$C69,UtilityList!$A$4:$A$251&amp;UtilityList!$B$4:$B$251&amp;UtilityList!$C$4:$C$251,0)),"")</f>
        <v>0</v>
      </c>
      <c r="L69" s="622" t="str">
        <f t="array" ref="L69">IFERROR(INDEX(UtilityList!$I$4:$I$251,MATCH('Table 2.1a'!$A69&amp;'Table 2.1a'!$B69&amp;'Table 2.1a'!$C69,UtilityList!$A$4:$A$251&amp;UtilityList!$B$4:$B$251&amp;UtilityList!$C$4:$C$251,0)),"")</f>
        <v>ALASVEC</v>
      </c>
      <c r="M69" s="369" t="str">
        <f t="array" ref="M69">IFERROR(INDEX(UtilityList!$J$4:$J$251,MATCH('Table 2.1a'!$A69&amp;'Table 2.1a'!$B69&amp;'Table 2.1a'!$C69,UtilityList!$A$4:$A$251&amp;UtilityList!$B$4:$B$251&amp;UtilityList!$C$4:$C$251,0)),"")</f>
        <v>Northwest Arctic</v>
      </c>
      <c r="N69" s="369" t="str">
        <f t="array" ref="N69">IFERROR(INDEX(UtilityList!$K$4:$K$251,MATCH('Table 2.1a'!$A69&amp;'Table 2.1a'!$B69&amp;'Table 2.1a'!$C69,UtilityList!$A$4:$A$251&amp;UtilityList!$B$4:$B$251&amp;UtilityList!$C$4:$C$251,0)),"")</f>
        <v>Northwest Arctic</v>
      </c>
      <c r="O69" s="369" t="str">
        <f t="array" ref="O69">IFERROR(INDEX(UtilityList!$L$4:$L$251,MATCH('Table 2.1a'!$A69&amp;'Table 2.1a'!$B69&amp;'Table 2.1a'!$C69,UtilityList!$A$4:$A$251&amp;UtilityList!$B$4:$B$251&amp;UtilityList!$C$4:$C$251,0)),"")</f>
        <v>NANA</v>
      </c>
      <c r="P69" s="369" t="str">
        <f t="array" ref="P69">IFERROR(INDEX(UtilityList!$M$4:$M$251,MATCH('Table 2.1a'!$A69&amp;'Table 2.1a'!$B69&amp;'Table 2.1a'!$C69,UtilityList!$A$4:$A$251&amp;UtilityList!$B$4:$B$251&amp;UtilityList!$C$4:$C$251,0)),"")</f>
        <v>AN</v>
      </c>
    </row>
    <row r="70" spans="1:16" s="344" customFormat="1" x14ac:dyDescent="0.25">
      <c r="A70" s="619" t="s">
        <v>524</v>
      </c>
      <c r="B70" s="361" t="s">
        <v>94</v>
      </c>
      <c r="C70" s="350" t="s">
        <v>94</v>
      </c>
      <c r="D70" s="620">
        <v>1000</v>
      </c>
      <c r="E70" s="621">
        <v>0</v>
      </c>
      <c r="F70" s="621">
        <v>1000</v>
      </c>
      <c r="G70" s="621">
        <v>0</v>
      </c>
      <c r="H70" s="621">
        <v>0</v>
      </c>
      <c r="I70" s="452" t="s">
        <v>1020</v>
      </c>
      <c r="J70" s="622" t="str">
        <f t="array" ref="J70">IFERROR(INDEX(UtilityList!$H$4:$H$251,MATCH('Table 2.1a'!$A70&amp;'Table 2.1a'!$B70&amp;'Table 2.1a'!$C70,UtilityList!$A$4:$A$251&amp;UtilityList!$B$4:$B$251&amp;UtilityList!$C$4:$C$251,0)),"")</f>
        <v>PCE Eligible Active</v>
      </c>
      <c r="K70" s="709">
        <f t="array" ref="K70">IFERROR(INDEX(UtilityList!$Q$4:$Q$251,MATCH('Table 2.1a'!$A70&amp;'Table 2.1a'!$B70&amp;'Table 2.1a'!$C70,UtilityList!$A$4:$A$251&amp;UtilityList!$B$4:$B$251&amp;UtilityList!$C$4:$C$251,0)),"")</f>
        <v>0</v>
      </c>
      <c r="L70" s="622" t="str">
        <f t="array" ref="L70">IFERROR(INDEX(UtilityList!$I$4:$I$251,MATCH('Table 2.1a'!$A70&amp;'Table 2.1a'!$B70&amp;'Table 2.1a'!$C70,UtilityList!$A$4:$A$251&amp;UtilityList!$B$4:$B$251&amp;UtilityList!$C$4:$C$251,0)),"")</f>
        <v>ALASVEC</v>
      </c>
      <c r="M70" s="369" t="str">
        <f t="array" ref="M70">IFERROR(INDEX(UtilityList!$J$4:$J$251,MATCH('Table 2.1a'!$A70&amp;'Table 2.1a'!$B70&amp;'Table 2.1a'!$C70,UtilityList!$A$4:$A$251&amp;UtilityList!$B$4:$B$251&amp;UtilityList!$C$4:$C$251,0)),"")</f>
        <v>Northwest Arctic</v>
      </c>
      <c r="N70" s="369" t="str">
        <f t="array" ref="N70">IFERROR(INDEX(UtilityList!$K$4:$K$251,MATCH('Table 2.1a'!$A70&amp;'Table 2.1a'!$B70&amp;'Table 2.1a'!$C70,UtilityList!$A$4:$A$251&amp;UtilityList!$B$4:$B$251&amp;UtilityList!$C$4:$C$251,0)),"")</f>
        <v>Northwest Arctic</v>
      </c>
      <c r="O70" s="369" t="str">
        <f t="array" ref="O70">IFERROR(INDEX(UtilityList!$L$4:$L$251,MATCH('Table 2.1a'!$A70&amp;'Table 2.1a'!$B70&amp;'Table 2.1a'!$C70,UtilityList!$A$4:$A$251&amp;UtilityList!$B$4:$B$251&amp;UtilityList!$C$4:$C$251,0)),"")</f>
        <v>NANA</v>
      </c>
      <c r="P70" s="369" t="str">
        <f t="array" ref="P70">IFERROR(INDEX(UtilityList!$M$4:$M$251,MATCH('Table 2.1a'!$A70&amp;'Table 2.1a'!$B70&amp;'Table 2.1a'!$C70,UtilityList!$A$4:$A$251&amp;UtilityList!$B$4:$B$251&amp;UtilityList!$C$4:$C$251,0)),"")</f>
        <v>AN</v>
      </c>
    </row>
    <row r="71" spans="1:16" s="344" customFormat="1" x14ac:dyDescent="0.25">
      <c r="A71" s="619" t="s">
        <v>524</v>
      </c>
      <c r="B71" s="361" t="s">
        <v>95</v>
      </c>
      <c r="C71" s="350" t="s">
        <v>95</v>
      </c>
      <c r="D71" s="620">
        <v>1002</v>
      </c>
      <c r="E71" s="621">
        <v>0</v>
      </c>
      <c r="F71" s="621">
        <v>1002</v>
      </c>
      <c r="G71" s="621">
        <v>0</v>
      </c>
      <c r="H71" s="621">
        <v>0</v>
      </c>
      <c r="I71" s="452" t="s">
        <v>1022</v>
      </c>
      <c r="J71" s="622" t="str">
        <f t="array" ref="J71">IFERROR(INDEX(UtilityList!$H$4:$H$251,MATCH('Table 2.1a'!$A71&amp;'Table 2.1a'!$B71&amp;'Table 2.1a'!$C71,UtilityList!$A$4:$A$251&amp;UtilityList!$B$4:$B$251&amp;UtilityList!$C$4:$C$251,0)),"")</f>
        <v>PCE Eligible Active</v>
      </c>
      <c r="K71" s="709">
        <f t="array" ref="K71">IFERROR(INDEX(UtilityList!$Q$4:$Q$251,MATCH('Table 2.1a'!$A71&amp;'Table 2.1a'!$B71&amp;'Table 2.1a'!$C71,UtilityList!$A$4:$A$251&amp;UtilityList!$B$4:$B$251&amp;UtilityList!$C$4:$C$251,0)),"")</f>
        <v>0</v>
      </c>
      <c r="L71" s="622" t="str">
        <f t="array" ref="L71">IFERROR(INDEX(UtilityList!$I$4:$I$251,MATCH('Table 2.1a'!$A71&amp;'Table 2.1a'!$B71&amp;'Table 2.1a'!$C71,UtilityList!$A$4:$A$251&amp;UtilityList!$B$4:$B$251&amp;UtilityList!$C$4:$C$251,0)),"")</f>
        <v>ALASVEC</v>
      </c>
      <c r="M71" s="369" t="str">
        <f t="array" ref="M71">IFERROR(INDEX(UtilityList!$J$4:$J$251,MATCH('Table 2.1a'!$A71&amp;'Table 2.1a'!$B71&amp;'Table 2.1a'!$C71,UtilityList!$A$4:$A$251&amp;UtilityList!$B$4:$B$251&amp;UtilityList!$C$4:$C$251,0)),"")</f>
        <v>Yukon-Koyukuk/Upper Tanana</v>
      </c>
      <c r="N71" s="369" t="str">
        <f t="array" ref="N71">IFERROR(INDEX(UtilityList!$K$4:$K$251,MATCH('Table 2.1a'!$A71&amp;'Table 2.1a'!$B71&amp;'Table 2.1a'!$C71,UtilityList!$A$4:$A$251&amp;UtilityList!$B$4:$B$251&amp;UtilityList!$C$4:$C$251,0)),"")</f>
        <v>Yukon-Koyukuk (CA)</v>
      </c>
      <c r="O71" s="369" t="str">
        <f t="array" ref="O71">IFERROR(INDEX(UtilityList!$L$4:$L$251,MATCH('Table 2.1a'!$A71&amp;'Table 2.1a'!$B71&amp;'Table 2.1a'!$C71,UtilityList!$A$4:$A$251&amp;UtilityList!$B$4:$B$251&amp;UtilityList!$C$4:$C$251,0)),"")</f>
        <v>Doyon</v>
      </c>
      <c r="P71" s="369" t="str">
        <f t="array" ref="P71">IFERROR(INDEX(UtilityList!$M$4:$M$251,MATCH('Table 2.1a'!$A71&amp;'Table 2.1a'!$B71&amp;'Table 2.1a'!$C71,UtilityList!$A$4:$A$251&amp;UtilityList!$B$4:$B$251&amp;UtilityList!$C$4:$C$251,0)),"")</f>
        <v>YU</v>
      </c>
    </row>
    <row r="72" spans="1:16" s="344" customFormat="1" ht="60" x14ac:dyDescent="0.25">
      <c r="A72" s="619" t="s">
        <v>524</v>
      </c>
      <c r="B72" s="361" t="s">
        <v>96</v>
      </c>
      <c r="C72" s="350" t="s">
        <v>96</v>
      </c>
      <c r="D72" s="620">
        <v>500</v>
      </c>
      <c r="E72" s="621">
        <v>0</v>
      </c>
      <c r="F72" s="621">
        <v>500</v>
      </c>
      <c r="G72" s="621">
        <v>0</v>
      </c>
      <c r="H72" s="621">
        <v>0</v>
      </c>
      <c r="I72" s="452" t="s">
        <v>1022</v>
      </c>
      <c r="J72" s="622" t="str">
        <f t="array" ref="J72">IFERROR(INDEX(UtilityList!$H$4:$H$251,MATCH('Table 2.1a'!$A72&amp;'Table 2.1a'!$B72&amp;'Table 2.1a'!$C72,UtilityList!$A$4:$A$251&amp;UtilityList!$B$4:$B$251&amp;UtilityList!$C$4:$C$251,0)),"")</f>
        <v>PCE Eligible Active</v>
      </c>
      <c r="K72" s="709" t="str">
        <f t="array" ref="K72">IFERROR(INDEX(UtilityList!$Q$4:$Q$251,MATCH('Table 2.1a'!$A72&amp;'Table 2.1a'!$B72&amp;'Table 2.1a'!$C72,UtilityList!$A$4:$A$251&amp;UtilityList!$B$4:$B$251&amp;UtilityList!$C$4:$C$251,0)),"")</f>
        <v>Receives power from Kasigluk. Please refer to Kasigluk for fuel use and cost.</v>
      </c>
      <c r="L72" s="622" t="str">
        <f t="array" ref="L72">IFERROR(INDEX(UtilityList!$I$4:$I$251,MATCH('Table 2.1a'!$A72&amp;'Table 2.1a'!$B72&amp;'Table 2.1a'!$C72,UtilityList!$A$4:$A$251&amp;UtilityList!$B$4:$B$251&amp;UtilityList!$C$4:$C$251,0)),"")</f>
        <v>ALASVEC</v>
      </c>
      <c r="M72" s="369" t="str">
        <f t="array" ref="M72">IFERROR(INDEX(UtilityList!$J$4:$J$251,MATCH('Table 2.1a'!$A72&amp;'Table 2.1a'!$B72&amp;'Table 2.1a'!$C72,UtilityList!$A$4:$A$251&amp;UtilityList!$B$4:$B$251&amp;UtilityList!$C$4:$C$251,0)),"")</f>
        <v>Lower Yukon-Kuskokwim</v>
      </c>
      <c r="N72" s="369" t="str">
        <f t="array" ref="N72">IFERROR(INDEX(UtilityList!$K$4:$K$251,MATCH('Table 2.1a'!$A72&amp;'Table 2.1a'!$B72&amp;'Table 2.1a'!$C72,UtilityList!$A$4:$A$251&amp;UtilityList!$B$4:$B$251&amp;UtilityList!$C$4:$C$251,0)),"")</f>
        <v>Bethel (CA)</v>
      </c>
      <c r="O72" s="369" t="str">
        <f t="array" ref="O72">IFERROR(INDEX(UtilityList!$L$4:$L$251,MATCH('Table 2.1a'!$A72&amp;'Table 2.1a'!$B72&amp;'Table 2.1a'!$C72,UtilityList!$A$4:$A$251&amp;UtilityList!$B$4:$B$251&amp;UtilityList!$C$4:$C$251,0)),"")</f>
        <v>Calista</v>
      </c>
      <c r="P72" s="369" t="str">
        <f t="array" ref="P72">IFERROR(INDEX(UtilityList!$M$4:$M$251,MATCH('Table 2.1a'!$A72&amp;'Table 2.1a'!$B72&amp;'Table 2.1a'!$C72,UtilityList!$A$4:$A$251&amp;UtilityList!$B$4:$B$251&amp;UtilityList!$C$4:$C$251,0)),"")</f>
        <v>SW</v>
      </c>
    </row>
    <row r="73" spans="1:16" s="344" customFormat="1" x14ac:dyDescent="0.25">
      <c r="A73" s="619" t="s">
        <v>524</v>
      </c>
      <c r="B73" s="361" t="s">
        <v>97</v>
      </c>
      <c r="C73" s="350" t="s">
        <v>97</v>
      </c>
      <c r="D73" s="620">
        <v>703</v>
      </c>
      <c r="E73" s="621">
        <v>0</v>
      </c>
      <c r="F73" s="621">
        <v>703</v>
      </c>
      <c r="G73" s="621">
        <v>0</v>
      </c>
      <c r="H73" s="621">
        <v>0</v>
      </c>
      <c r="I73" s="452" t="s">
        <v>1022</v>
      </c>
      <c r="J73" s="622" t="str">
        <f t="array" ref="J73">IFERROR(INDEX(UtilityList!$H$4:$H$251,MATCH('Table 2.1a'!$A73&amp;'Table 2.1a'!$B73&amp;'Table 2.1a'!$C73,UtilityList!$A$4:$A$251&amp;UtilityList!$B$4:$B$251&amp;UtilityList!$C$4:$C$251,0)),"")</f>
        <v>PCE Eligible Active</v>
      </c>
      <c r="K73" s="709">
        <f t="array" ref="K73">IFERROR(INDEX(UtilityList!$Q$4:$Q$251,MATCH('Table 2.1a'!$A73&amp;'Table 2.1a'!$B73&amp;'Table 2.1a'!$C73,UtilityList!$A$4:$A$251&amp;UtilityList!$B$4:$B$251&amp;UtilityList!$C$4:$C$251,0)),"")</f>
        <v>0</v>
      </c>
      <c r="L73" s="622" t="str">
        <f t="array" ref="L73">IFERROR(INDEX(UtilityList!$I$4:$I$251,MATCH('Table 2.1a'!$A73&amp;'Table 2.1a'!$B73&amp;'Table 2.1a'!$C73,UtilityList!$A$4:$A$251&amp;UtilityList!$B$4:$B$251&amp;UtilityList!$C$4:$C$251,0)),"")</f>
        <v>ALASVEC</v>
      </c>
      <c r="M73" s="369" t="str">
        <f t="array" ref="M73">IFERROR(INDEX(UtilityList!$J$4:$J$251,MATCH('Table 2.1a'!$A73&amp;'Table 2.1a'!$B73&amp;'Table 2.1a'!$C73,UtilityList!$A$4:$A$251&amp;UtilityList!$B$4:$B$251&amp;UtilityList!$C$4:$C$251,0)),"")</f>
        <v>Kodiak</v>
      </c>
      <c r="N73" s="369" t="str">
        <f t="array" ref="N73">IFERROR(INDEX(UtilityList!$K$4:$K$251,MATCH('Table 2.1a'!$A73&amp;'Table 2.1a'!$B73&amp;'Table 2.1a'!$C73,UtilityList!$A$4:$A$251&amp;UtilityList!$B$4:$B$251&amp;UtilityList!$C$4:$C$251,0)),"")</f>
        <v>Kodiak Island</v>
      </c>
      <c r="O73" s="369" t="str">
        <f t="array" ref="O73">IFERROR(INDEX(UtilityList!$L$4:$L$251,MATCH('Table 2.1a'!$A73&amp;'Table 2.1a'!$B73&amp;'Table 2.1a'!$C73,UtilityList!$A$4:$A$251&amp;UtilityList!$B$4:$B$251&amp;UtilityList!$C$4:$C$251,0)),"")</f>
        <v>Koniag</v>
      </c>
      <c r="P73" s="369" t="str">
        <f t="array" ref="P73">IFERROR(INDEX(UtilityList!$M$4:$M$251,MATCH('Table 2.1a'!$A73&amp;'Table 2.1a'!$B73&amp;'Table 2.1a'!$C73,UtilityList!$A$4:$A$251&amp;UtilityList!$B$4:$B$251&amp;UtilityList!$C$4:$C$251,0)),"")</f>
        <v>SC</v>
      </c>
    </row>
    <row r="74" spans="1:16" s="344" customFormat="1" x14ac:dyDescent="0.25">
      <c r="A74" s="619" t="s">
        <v>524</v>
      </c>
      <c r="B74" s="361" t="s">
        <v>98</v>
      </c>
      <c r="C74" s="350" t="s">
        <v>98</v>
      </c>
      <c r="D74" s="620">
        <v>1200</v>
      </c>
      <c r="E74" s="621">
        <v>0</v>
      </c>
      <c r="F74" s="621">
        <v>1200</v>
      </c>
      <c r="G74" s="621">
        <v>0</v>
      </c>
      <c r="H74" s="621">
        <v>0</v>
      </c>
      <c r="I74" s="452" t="s">
        <v>1020</v>
      </c>
      <c r="J74" s="622" t="str">
        <f t="array" ref="J74">IFERROR(INDEX(UtilityList!$H$4:$H$251,MATCH('Table 2.1a'!$A74&amp;'Table 2.1a'!$B74&amp;'Table 2.1a'!$C74,UtilityList!$A$4:$A$251&amp;UtilityList!$B$4:$B$251&amp;UtilityList!$C$4:$C$251,0)),"")</f>
        <v>PCE Eligible Active</v>
      </c>
      <c r="K74" s="709">
        <f t="array" ref="K74">IFERROR(INDEX(UtilityList!$Q$4:$Q$251,MATCH('Table 2.1a'!$A74&amp;'Table 2.1a'!$B74&amp;'Table 2.1a'!$C74,UtilityList!$A$4:$A$251&amp;UtilityList!$B$4:$B$251&amp;UtilityList!$C$4:$C$251,0)),"")</f>
        <v>0</v>
      </c>
      <c r="L74" s="622" t="str">
        <f t="array" ref="L74">IFERROR(INDEX(UtilityList!$I$4:$I$251,MATCH('Table 2.1a'!$A74&amp;'Table 2.1a'!$B74&amp;'Table 2.1a'!$C74,UtilityList!$A$4:$A$251&amp;UtilityList!$B$4:$B$251&amp;UtilityList!$C$4:$C$251,0)),"")</f>
        <v>ALASVEC</v>
      </c>
      <c r="M74" s="369" t="str">
        <f t="array" ref="M74">IFERROR(INDEX(UtilityList!$J$4:$J$251,MATCH('Table 2.1a'!$A74&amp;'Table 2.1a'!$B74&amp;'Table 2.1a'!$C74,UtilityList!$A$4:$A$251&amp;UtilityList!$B$4:$B$251&amp;UtilityList!$C$4:$C$251,0)),"")</f>
        <v>Lower Yukon-Kuskokwim</v>
      </c>
      <c r="N74" s="369" t="str">
        <f t="array" ref="N74">IFERROR(INDEX(UtilityList!$K$4:$K$251,MATCH('Table 2.1a'!$A74&amp;'Table 2.1a'!$B74&amp;'Table 2.1a'!$C74,UtilityList!$A$4:$A$251&amp;UtilityList!$B$4:$B$251&amp;UtilityList!$C$4:$C$251,0)),"")</f>
        <v>Wade Hampton (CA)</v>
      </c>
      <c r="O74" s="369" t="str">
        <f t="array" ref="O74">IFERROR(INDEX(UtilityList!$L$4:$L$251,MATCH('Table 2.1a'!$A74&amp;'Table 2.1a'!$B74&amp;'Table 2.1a'!$C74,UtilityList!$A$4:$A$251&amp;UtilityList!$B$4:$B$251&amp;UtilityList!$C$4:$C$251,0)),"")</f>
        <v>Calista</v>
      </c>
      <c r="P74" s="369" t="str">
        <f t="array" ref="P74">IFERROR(INDEX(UtilityList!$M$4:$M$251,MATCH('Table 2.1a'!$A74&amp;'Table 2.1a'!$B74&amp;'Table 2.1a'!$C74,UtilityList!$A$4:$A$251&amp;UtilityList!$B$4:$B$251&amp;UtilityList!$C$4:$C$251,0)),"")</f>
        <v>YU</v>
      </c>
    </row>
    <row r="75" spans="1:16" s="344" customFormat="1" x14ac:dyDescent="0.25">
      <c r="A75" s="619" t="s">
        <v>524</v>
      </c>
      <c r="B75" s="361" t="s">
        <v>100</v>
      </c>
      <c r="C75" s="350" t="s">
        <v>100</v>
      </c>
      <c r="D75" s="620">
        <v>1400</v>
      </c>
      <c r="E75" s="621">
        <v>0</v>
      </c>
      <c r="F75" s="621">
        <v>1100</v>
      </c>
      <c r="G75" s="621">
        <v>0</v>
      </c>
      <c r="H75" s="621">
        <v>300</v>
      </c>
      <c r="I75" s="452" t="s">
        <v>1020</v>
      </c>
      <c r="J75" s="622" t="str">
        <f t="array" ref="J75">IFERROR(INDEX(UtilityList!$H$4:$H$251,MATCH('Table 2.1a'!$A75&amp;'Table 2.1a'!$B75&amp;'Table 2.1a'!$C75,UtilityList!$A$4:$A$251&amp;UtilityList!$B$4:$B$251&amp;UtilityList!$C$4:$C$251,0)),"")</f>
        <v>PCE Eligible Active</v>
      </c>
      <c r="K75" s="709">
        <f t="array" ref="K75">IFERROR(INDEX(UtilityList!$Q$4:$Q$251,MATCH('Table 2.1a'!$A75&amp;'Table 2.1a'!$B75&amp;'Table 2.1a'!$C75,UtilityList!$A$4:$A$251&amp;UtilityList!$B$4:$B$251&amp;UtilityList!$C$4:$C$251,0)),"")</f>
        <v>0</v>
      </c>
      <c r="L75" s="622" t="str">
        <f t="array" ref="L75">IFERROR(INDEX(UtilityList!$I$4:$I$251,MATCH('Table 2.1a'!$A75&amp;'Table 2.1a'!$B75&amp;'Table 2.1a'!$C75,UtilityList!$A$4:$A$251&amp;UtilityList!$B$4:$B$251&amp;UtilityList!$C$4:$C$251,0)),"")</f>
        <v>ALASVEC</v>
      </c>
      <c r="M75" s="369" t="str">
        <f t="array" ref="M75">IFERROR(INDEX(UtilityList!$J$4:$J$251,MATCH('Table 2.1a'!$A75&amp;'Table 2.1a'!$B75&amp;'Table 2.1a'!$C75,UtilityList!$A$4:$A$251&amp;UtilityList!$B$4:$B$251&amp;UtilityList!$C$4:$C$251,0)),"")</f>
        <v>Lower Yukon-Kuskokwim</v>
      </c>
      <c r="N75" s="369" t="str">
        <f t="array" ref="N75">IFERROR(INDEX(UtilityList!$K$4:$K$251,MATCH('Table 2.1a'!$A75&amp;'Table 2.1a'!$B75&amp;'Table 2.1a'!$C75,UtilityList!$A$4:$A$251&amp;UtilityList!$B$4:$B$251&amp;UtilityList!$C$4:$C$251,0)),"")</f>
        <v>Bethel (CA)</v>
      </c>
      <c r="O75" s="369" t="str">
        <f t="array" ref="O75">IFERROR(INDEX(UtilityList!$L$4:$L$251,MATCH('Table 2.1a'!$A75&amp;'Table 2.1a'!$B75&amp;'Table 2.1a'!$C75,UtilityList!$A$4:$A$251&amp;UtilityList!$B$4:$B$251&amp;UtilityList!$C$4:$C$251,0)),"")</f>
        <v>Calista</v>
      </c>
      <c r="P75" s="369" t="str">
        <f t="array" ref="P75">IFERROR(INDEX(UtilityList!$M$4:$M$251,MATCH('Table 2.1a'!$A75&amp;'Table 2.1a'!$B75&amp;'Table 2.1a'!$C75,UtilityList!$A$4:$A$251&amp;UtilityList!$B$4:$B$251&amp;UtilityList!$C$4:$C$251,0)),"")</f>
        <v>SW</v>
      </c>
    </row>
    <row r="76" spans="1:16" s="344" customFormat="1" x14ac:dyDescent="0.25">
      <c r="A76" s="619" t="s">
        <v>524</v>
      </c>
      <c r="B76" s="361" t="s">
        <v>101</v>
      </c>
      <c r="C76" s="350" t="s">
        <v>101</v>
      </c>
      <c r="D76" s="620">
        <v>904</v>
      </c>
      <c r="E76" s="621">
        <v>0</v>
      </c>
      <c r="F76" s="621">
        <v>904</v>
      </c>
      <c r="G76" s="621">
        <v>0</v>
      </c>
      <c r="H76" s="621">
        <v>0</v>
      </c>
      <c r="I76" s="452" t="s">
        <v>1022</v>
      </c>
      <c r="J76" s="622" t="str">
        <f t="array" ref="J76">IFERROR(INDEX(UtilityList!$H$4:$H$251,MATCH('Table 2.1a'!$A76&amp;'Table 2.1a'!$B76&amp;'Table 2.1a'!$C76,UtilityList!$A$4:$A$251&amp;UtilityList!$B$4:$B$251&amp;UtilityList!$C$4:$C$251,0)),"")</f>
        <v>PCE Eligible Active</v>
      </c>
      <c r="K76" s="709">
        <f t="array" ref="K76">IFERROR(INDEX(UtilityList!$Q$4:$Q$251,MATCH('Table 2.1a'!$A76&amp;'Table 2.1a'!$B76&amp;'Table 2.1a'!$C76,UtilityList!$A$4:$A$251&amp;UtilityList!$B$4:$B$251&amp;UtilityList!$C$4:$C$251,0)),"")</f>
        <v>0</v>
      </c>
      <c r="L76" s="622" t="str">
        <f t="array" ref="L76">IFERROR(INDEX(UtilityList!$I$4:$I$251,MATCH('Table 2.1a'!$A76&amp;'Table 2.1a'!$B76&amp;'Table 2.1a'!$C76,UtilityList!$A$4:$A$251&amp;UtilityList!$B$4:$B$251&amp;UtilityList!$C$4:$C$251,0)),"")</f>
        <v>ALASVEC</v>
      </c>
      <c r="M76" s="369" t="str">
        <f t="array" ref="M76">IFERROR(INDEX(UtilityList!$J$4:$J$251,MATCH('Table 2.1a'!$A76&amp;'Table 2.1a'!$B76&amp;'Table 2.1a'!$C76,UtilityList!$A$4:$A$251&amp;UtilityList!$B$4:$B$251&amp;UtilityList!$C$4:$C$251,0)),"")</f>
        <v>Lower Yukon-Kuskokwim</v>
      </c>
      <c r="N76" s="369" t="str">
        <f t="array" ref="N76">IFERROR(INDEX(UtilityList!$K$4:$K$251,MATCH('Table 2.1a'!$A76&amp;'Table 2.1a'!$B76&amp;'Table 2.1a'!$C76,UtilityList!$A$4:$A$251&amp;UtilityList!$B$4:$B$251&amp;UtilityList!$C$4:$C$251,0)),"")</f>
        <v>Wade Hampton (CA)</v>
      </c>
      <c r="O76" s="369" t="str">
        <f t="array" ref="O76">IFERROR(INDEX(UtilityList!$L$4:$L$251,MATCH('Table 2.1a'!$A76&amp;'Table 2.1a'!$B76&amp;'Table 2.1a'!$C76,UtilityList!$A$4:$A$251&amp;UtilityList!$B$4:$B$251&amp;UtilityList!$C$4:$C$251,0)),"")</f>
        <v>Calista</v>
      </c>
      <c r="P76" s="369" t="str">
        <f t="array" ref="P76">IFERROR(INDEX(UtilityList!$M$4:$M$251,MATCH('Table 2.1a'!$A76&amp;'Table 2.1a'!$B76&amp;'Table 2.1a'!$C76,UtilityList!$A$4:$A$251&amp;UtilityList!$B$4:$B$251&amp;UtilityList!$C$4:$C$251,0)),"")</f>
        <v>YU</v>
      </c>
    </row>
    <row r="77" spans="1:16" s="344" customFormat="1" ht="105" x14ac:dyDescent="0.25">
      <c r="A77" s="619" t="s">
        <v>524</v>
      </c>
      <c r="B77" s="361" t="s">
        <v>538</v>
      </c>
      <c r="C77" s="350" t="s">
        <v>993</v>
      </c>
      <c r="D77" s="620">
        <v>6500</v>
      </c>
      <c r="E77" s="621">
        <v>0</v>
      </c>
      <c r="F77" s="621">
        <v>6500</v>
      </c>
      <c r="G77" s="621">
        <v>0</v>
      </c>
      <c r="H77" s="621">
        <v>0</v>
      </c>
      <c r="I77" s="452" t="s">
        <v>1020</v>
      </c>
      <c r="J77" s="622" t="str">
        <f t="array" ref="J77">IFERROR(INDEX(UtilityList!$H$4:$H$251,MATCH('Table 2.1a'!$A77&amp;'Table 2.1a'!$B77&amp;'Table 2.1a'!$C77,UtilityList!$A$4:$A$251&amp;UtilityList!$B$4:$B$251&amp;UtilityList!$C$4:$C$251,0)),"")</f>
        <v>PCE Eligible Active</v>
      </c>
      <c r="K77" s="709" t="str">
        <f t="array" ref="K77">IFERROR(INDEX(UtilityList!$Q$4:$Q$251,MATCH('Table 2.1a'!$A77&amp;'Table 2.1a'!$B77&amp;'Table 2.1a'!$C77,UtilityList!$A$4:$A$251&amp;UtilityList!$B$4:$B$251&amp;UtilityList!$C$4:$C$251,0)),"")</f>
        <v>Provides power to Andreafsky and Pitkas Point via intertie. Includes Andreafsky's information. Fuel use and cost also includes Pitkas Point.</v>
      </c>
      <c r="L77" s="622" t="str">
        <f t="array" ref="L77">IFERROR(INDEX(UtilityList!$I$4:$I$251,MATCH('Table 2.1a'!$A77&amp;'Table 2.1a'!$B77&amp;'Table 2.1a'!$C77,UtilityList!$A$4:$A$251&amp;UtilityList!$B$4:$B$251&amp;UtilityList!$C$4:$C$251,0)),"")</f>
        <v>ALASVEC</v>
      </c>
      <c r="M77" s="369" t="str">
        <f t="array" ref="M77">IFERROR(INDEX(UtilityList!$J$4:$J$251,MATCH('Table 2.1a'!$A77&amp;'Table 2.1a'!$B77&amp;'Table 2.1a'!$C77,UtilityList!$A$4:$A$251&amp;UtilityList!$B$4:$B$251&amp;UtilityList!$C$4:$C$251,0)),"")</f>
        <v>Lower Yukon-Kuskokwim</v>
      </c>
      <c r="N77" s="369" t="str">
        <f t="array" ref="N77">IFERROR(INDEX(UtilityList!$K$4:$K$251,MATCH('Table 2.1a'!$A77&amp;'Table 2.1a'!$B77&amp;'Table 2.1a'!$C77,UtilityList!$A$4:$A$251&amp;UtilityList!$B$4:$B$251&amp;UtilityList!$C$4:$C$251,0)),"")</f>
        <v>Wade Hampton (CA)</v>
      </c>
      <c r="O77" s="369" t="str">
        <f t="array" ref="O77">IFERROR(INDEX(UtilityList!$L$4:$L$251,MATCH('Table 2.1a'!$A77&amp;'Table 2.1a'!$B77&amp;'Table 2.1a'!$C77,UtilityList!$A$4:$A$251&amp;UtilityList!$B$4:$B$251&amp;UtilityList!$C$4:$C$251,0)),"")</f>
        <v>Calista</v>
      </c>
      <c r="P77" s="369" t="str">
        <f t="array" ref="P77">IFERROR(INDEX(UtilityList!$M$4:$M$251,MATCH('Table 2.1a'!$A77&amp;'Table 2.1a'!$B77&amp;'Table 2.1a'!$C77,UtilityList!$A$4:$A$251&amp;UtilityList!$B$4:$B$251&amp;UtilityList!$C$4:$C$251,0)),"")</f>
        <v>YU</v>
      </c>
    </row>
    <row r="78" spans="1:16" s="344" customFormat="1" x14ac:dyDescent="0.25">
      <c r="A78" s="619" t="s">
        <v>524</v>
      </c>
      <c r="B78" s="361" t="s">
        <v>102</v>
      </c>
      <c r="C78" s="350" t="s">
        <v>102</v>
      </c>
      <c r="D78" s="620">
        <v>1000</v>
      </c>
      <c r="E78" s="621">
        <v>0</v>
      </c>
      <c r="F78" s="621">
        <v>1000</v>
      </c>
      <c r="G78" s="621">
        <v>0</v>
      </c>
      <c r="H78" s="621">
        <v>0</v>
      </c>
      <c r="I78" s="452" t="s">
        <v>1020</v>
      </c>
      <c r="J78" s="622" t="str">
        <f t="array" ref="J78">IFERROR(INDEX(UtilityList!$H$4:$H$251,MATCH('Table 2.1a'!$A78&amp;'Table 2.1a'!$B78&amp;'Table 2.1a'!$C78,UtilityList!$A$4:$A$251&amp;UtilityList!$B$4:$B$251&amp;UtilityList!$C$4:$C$251,0)),"")</f>
        <v>PCE Eligible Active</v>
      </c>
      <c r="K78" s="709">
        <f t="array" ref="K78">IFERROR(INDEX(UtilityList!$Q$4:$Q$251,MATCH('Table 2.1a'!$A78&amp;'Table 2.1a'!$B78&amp;'Table 2.1a'!$C78,UtilityList!$A$4:$A$251&amp;UtilityList!$B$4:$B$251&amp;UtilityList!$C$4:$C$251,0)),"")</f>
        <v>0</v>
      </c>
      <c r="L78" s="622" t="str">
        <f t="array" ref="L78">IFERROR(INDEX(UtilityList!$I$4:$I$251,MATCH('Table 2.1a'!$A78&amp;'Table 2.1a'!$B78&amp;'Table 2.1a'!$C78,UtilityList!$A$4:$A$251&amp;UtilityList!$B$4:$B$251&amp;UtilityList!$C$4:$C$251,0)),"")</f>
        <v>ALASVEC</v>
      </c>
      <c r="M78" s="369" t="str">
        <f t="array" ref="M78">IFERROR(INDEX(UtilityList!$J$4:$J$251,MATCH('Table 2.1a'!$A78&amp;'Table 2.1a'!$B78&amp;'Table 2.1a'!$C78,UtilityList!$A$4:$A$251&amp;UtilityList!$B$4:$B$251&amp;UtilityList!$C$4:$C$251,0)),"")</f>
        <v>Bering Straits</v>
      </c>
      <c r="N78" s="369" t="str">
        <f t="array" ref="N78">IFERROR(INDEX(UtilityList!$K$4:$K$251,MATCH('Table 2.1a'!$A78&amp;'Table 2.1a'!$B78&amp;'Table 2.1a'!$C78,UtilityList!$A$4:$A$251&amp;UtilityList!$B$4:$B$251&amp;UtilityList!$C$4:$C$251,0)),"")</f>
        <v>Nome (CA)</v>
      </c>
      <c r="O78" s="369" t="str">
        <f t="array" ref="O78">IFERROR(INDEX(UtilityList!$L$4:$L$251,MATCH('Table 2.1a'!$A78&amp;'Table 2.1a'!$B78&amp;'Table 2.1a'!$C78,UtilityList!$A$4:$A$251&amp;UtilityList!$B$4:$B$251&amp;UtilityList!$C$4:$C$251,0)),"")</f>
        <v>Bering Straits</v>
      </c>
      <c r="P78" s="369" t="str">
        <f t="array" ref="P78">IFERROR(INDEX(UtilityList!$M$4:$M$251,MATCH('Table 2.1a'!$A78&amp;'Table 2.1a'!$B78&amp;'Table 2.1a'!$C78,UtilityList!$A$4:$A$251&amp;UtilityList!$B$4:$B$251&amp;UtilityList!$C$4:$C$251,0)),"")</f>
        <v>AN</v>
      </c>
    </row>
    <row r="79" spans="1:16" s="344" customFormat="1" x14ac:dyDescent="0.25">
      <c r="A79" s="619" t="s">
        <v>524</v>
      </c>
      <c r="B79" s="361" t="s">
        <v>103</v>
      </c>
      <c r="C79" s="350" t="s">
        <v>103</v>
      </c>
      <c r="D79" s="620">
        <v>1900</v>
      </c>
      <c r="E79" s="621">
        <v>0</v>
      </c>
      <c r="F79" s="621">
        <v>1700</v>
      </c>
      <c r="G79" s="621">
        <v>0</v>
      </c>
      <c r="H79" s="621">
        <v>200</v>
      </c>
      <c r="I79" s="452" t="s">
        <v>1020</v>
      </c>
      <c r="J79" s="622" t="str">
        <f t="array" ref="J79">IFERROR(INDEX(UtilityList!$H$4:$H$251,MATCH('Table 2.1a'!$A79&amp;'Table 2.1a'!$B79&amp;'Table 2.1a'!$C79,UtilityList!$A$4:$A$251&amp;UtilityList!$B$4:$B$251&amp;UtilityList!$C$4:$C$251,0)),"")</f>
        <v>PCE Eligible Active</v>
      </c>
      <c r="K79" s="709">
        <f t="array" ref="K79">IFERROR(INDEX(UtilityList!$Q$4:$Q$251,MATCH('Table 2.1a'!$A79&amp;'Table 2.1a'!$B79&amp;'Table 2.1a'!$C79,UtilityList!$A$4:$A$251&amp;UtilityList!$B$4:$B$251&amp;UtilityList!$C$4:$C$251,0)),"")</f>
        <v>0</v>
      </c>
      <c r="L79" s="622" t="str">
        <f t="array" ref="L79">IFERROR(INDEX(UtilityList!$I$4:$I$251,MATCH('Table 2.1a'!$A79&amp;'Table 2.1a'!$B79&amp;'Table 2.1a'!$C79,UtilityList!$A$4:$A$251&amp;UtilityList!$B$4:$B$251&amp;UtilityList!$C$4:$C$251,0)),"")</f>
        <v>ALASVEC</v>
      </c>
      <c r="M79" s="369" t="str">
        <f t="array" ref="M79">IFERROR(INDEX(UtilityList!$J$4:$J$251,MATCH('Table 2.1a'!$A79&amp;'Table 2.1a'!$B79&amp;'Table 2.1a'!$C79,UtilityList!$A$4:$A$251&amp;UtilityList!$B$4:$B$251&amp;UtilityList!$C$4:$C$251,0)),"")</f>
        <v>Bering Straits</v>
      </c>
      <c r="N79" s="369" t="str">
        <f t="array" ref="N79">IFERROR(INDEX(UtilityList!$K$4:$K$251,MATCH('Table 2.1a'!$A79&amp;'Table 2.1a'!$B79&amp;'Table 2.1a'!$C79,UtilityList!$A$4:$A$251&amp;UtilityList!$B$4:$B$251&amp;UtilityList!$C$4:$C$251,0)),"")</f>
        <v>Nome (CA)</v>
      </c>
      <c r="O79" s="369" t="str">
        <f t="array" ref="O79">IFERROR(INDEX(UtilityList!$L$4:$L$251,MATCH('Table 2.1a'!$A79&amp;'Table 2.1a'!$B79&amp;'Table 2.1a'!$C79,UtilityList!$A$4:$A$251&amp;UtilityList!$B$4:$B$251&amp;UtilityList!$C$4:$C$251,0)),"")</f>
        <v>Bering Straits</v>
      </c>
      <c r="P79" s="369" t="str">
        <f t="array" ref="P79">IFERROR(INDEX(UtilityList!$M$4:$M$251,MATCH('Table 2.1a'!$A79&amp;'Table 2.1a'!$B79&amp;'Table 2.1a'!$C79,UtilityList!$A$4:$A$251&amp;UtilityList!$B$4:$B$251&amp;UtilityList!$C$4:$C$251,0)),"")</f>
        <v>AN</v>
      </c>
    </row>
    <row r="80" spans="1:16" s="344" customFormat="1" x14ac:dyDescent="0.25">
      <c r="A80" s="619" t="s">
        <v>524</v>
      </c>
      <c r="B80" s="361" t="s">
        <v>104</v>
      </c>
      <c r="C80" s="350" t="s">
        <v>104</v>
      </c>
      <c r="D80" s="620">
        <v>1300</v>
      </c>
      <c r="E80" s="621">
        <v>0</v>
      </c>
      <c r="F80" s="621">
        <v>1300</v>
      </c>
      <c r="G80" s="621">
        <v>0</v>
      </c>
      <c r="H80" s="621">
        <v>0</v>
      </c>
      <c r="I80" s="452" t="s">
        <v>1020</v>
      </c>
      <c r="J80" s="622" t="str">
        <f t="array" ref="J80">IFERROR(INDEX(UtilityList!$H$4:$H$251,MATCH('Table 2.1a'!$A80&amp;'Table 2.1a'!$B80&amp;'Table 2.1a'!$C80,UtilityList!$A$4:$A$251&amp;UtilityList!$B$4:$B$251&amp;UtilityList!$C$4:$C$251,0)),"")</f>
        <v>PCE Eligible Active</v>
      </c>
      <c r="K80" s="709">
        <f t="array" ref="K80">IFERROR(INDEX(UtilityList!$Q$4:$Q$251,MATCH('Table 2.1a'!$A80&amp;'Table 2.1a'!$B80&amp;'Table 2.1a'!$C80,UtilityList!$A$4:$A$251&amp;UtilityList!$B$4:$B$251&amp;UtilityList!$C$4:$C$251,0)),"")</f>
        <v>0</v>
      </c>
      <c r="L80" s="622" t="str">
        <f t="array" ref="L80">IFERROR(INDEX(UtilityList!$I$4:$I$251,MATCH('Table 2.1a'!$A80&amp;'Table 2.1a'!$B80&amp;'Table 2.1a'!$C80,UtilityList!$A$4:$A$251&amp;UtilityList!$B$4:$B$251&amp;UtilityList!$C$4:$C$251,0)),"")</f>
        <v>ALASVEC</v>
      </c>
      <c r="M80" s="369" t="str">
        <f t="array" ref="M80">IFERROR(INDEX(UtilityList!$J$4:$J$251,MATCH('Table 2.1a'!$A80&amp;'Table 2.1a'!$B80&amp;'Table 2.1a'!$C80,UtilityList!$A$4:$A$251&amp;UtilityList!$B$4:$B$251&amp;UtilityList!$C$4:$C$251,0)),"")</f>
        <v>Lower Yukon-Kuskokwim</v>
      </c>
      <c r="N80" s="369" t="str">
        <f t="array" ref="N80">IFERROR(INDEX(UtilityList!$K$4:$K$251,MATCH('Table 2.1a'!$A80&amp;'Table 2.1a'!$B80&amp;'Table 2.1a'!$C80,UtilityList!$A$4:$A$251&amp;UtilityList!$B$4:$B$251&amp;UtilityList!$C$4:$C$251,0)),"")</f>
        <v>Wade Hampton (CA)</v>
      </c>
      <c r="O80" s="369" t="str">
        <f t="array" ref="O80">IFERROR(INDEX(UtilityList!$L$4:$L$251,MATCH('Table 2.1a'!$A80&amp;'Table 2.1a'!$B80&amp;'Table 2.1a'!$C80,UtilityList!$A$4:$A$251&amp;UtilityList!$B$4:$B$251&amp;UtilityList!$C$4:$C$251,0)),"")</f>
        <v>Calista</v>
      </c>
      <c r="P80" s="369" t="str">
        <f t="array" ref="P80">IFERROR(INDEX(UtilityList!$M$4:$M$251,MATCH('Table 2.1a'!$A80&amp;'Table 2.1a'!$B80&amp;'Table 2.1a'!$C80,UtilityList!$A$4:$A$251&amp;UtilityList!$B$4:$B$251&amp;UtilityList!$C$4:$C$251,0)),"")</f>
        <v>YU</v>
      </c>
    </row>
    <row r="81" spans="1:16" s="344" customFormat="1" x14ac:dyDescent="0.25">
      <c r="A81" s="619" t="s">
        <v>524</v>
      </c>
      <c r="B81" s="361" t="s">
        <v>105</v>
      </c>
      <c r="C81" s="350" t="s">
        <v>105</v>
      </c>
      <c r="D81" s="620">
        <v>1860</v>
      </c>
      <c r="E81" s="621">
        <v>0</v>
      </c>
      <c r="F81" s="621">
        <v>1600</v>
      </c>
      <c r="G81" s="621">
        <v>0</v>
      </c>
      <c r="H81" s="621">
        <v>260</v>
      </c>
      <c r="I81" s="452" t="s">
        <v>1020</v>
      </c>
      <c r="J81" s="622" t="str">
        <f t="array" ref="J81">IFERROR(INDEX(UtilityList!$H$4:$H$251,MATCH('Table 2.1a'!$A81&amp;'Table 2.1a'!$B81&amp;'Table 2.1a'!$C81,UtilityList!$A$4:$A$251&amp;UtilityList!$B$4:$B$251&amp;UtilityList!$C$4:$C$251,0)),"")</f>
        <v>PCE Eligible Active</v>
      </c>
      <c r="K81" s="709">
        <f t="array" ref="K81">IFERROR(INDEX(UtilityList!$Q$4:$Q$251,MATCH('Table 2.1a'!$A81&amp;'Table 2.1a'!$B81&amp;'Table 2.1a'!$C81,UtilityList!$A$4:$A$251&amp;UtilityList!$B$4:$B$251&amp;UtilityList!$C$4:$C$251,0)),"")</f>
        <v>0</v>
      </c>
      <c r="L81" s="622" t="str">
        <f t="array" ref="L81">IFERROR(INDEX(UtilityList!$I$4:$I$251,MATCH('Table 2.1a'!$A81&amp;'Table 2.1a'!$B81&amp;'Table 2.1a'!$C81,UtilityList!$A$4:$A$251&amp;UtilityList!$B$4:$B$251&amp;UtilityList!$C$4:$C$251,0)),"")</f>
        <v>ALASVEC</v>
      </c>
      <c r="M81" s="369" t="str">
        <f t="array" ref="M81">IFERROR(INDEX(UtilityList!$J$4:$J$251,MATCH('Table 2.1a'!$A81&amp;'Table 2.1a'!$B81&amp;'Table 2.1a'!$C81,UtilityList!$A$4:$A$251&amp;UtilityList!$B$4:$B$251&amp;UtilityList!$C$4:$C$251,0)),"")</f>
        <v>Northwest Arctic</v>
      </c>
      <c r="N81" s="369" t="str">
        <f t="array" ref="N81">IFERROR(INDEX(UtilityList!$K$4:$K$251,MATCH('Table 2.1a'!$A81&amp;'Table 2.1a'!$B81&amp;'Table 2.1a'!$C81,UtilityList!$A$4:$A$251&amp;UtilityList!$B$4:$B$251&amp;UtilityList!$C$4:$C$251,0)),"")</f>
        <v>Northwest Arctic</v>
      </c>
      <c r="O81" s="369" t="str">
        <f t="array" ref="O81">IFERROR(INDEX(UtilityList!$L$4:$L$251,MATCH('Table 2.1a'!$A81&amp;'Table 2.1a'!$B81&amp;'Table 2.1a'!$C81,UtilityList!$A$4:$A$251&amp;UtilityList!$B$4:$B$251&amp;UtilityList!$C$4:$C$251,0)),"")</f>
        <v>NANA</v>
      </c>
      <c r="P81" s="369" t="str">
        <f t="array" ref="P81">IFERROR(INDEX(UtilityList!$M$4:$M$251,MATCH('Table 2.1a'!$A81&amp;'Table 2.1a'!$B81&amp;'Table 2.1a'!$C81,UtilityList!$A$4:$A$251&amp;UtilityList!$B$4:$B$251&amp;UtilityList!$C$4:$C$251,0)),"")</f>
        <v>AN</v>
      </c>
    </row>
    <row r="82" spans="1:16" s="344" customFormat="1" x14ac:dyDescent="0.25">
      <c r="A82" s="619" t="s">
        <v>524</v>
      </c>
      <c r="B82" s="361" t="s">
        <v>106</v>
      </c>
      <c r="C82" s="350" t="s">
        <v>106</v>
      </c>
      <c r="D82" s="620">
        <v>407.5</v>
      </c>
      <c r="E82" s="621">
        <v>0</v>
      </c>
      <c r="F82" s="621">
        <v>407.5</v>
      </c>
      <c r="G82" s="621">
        <v>0</v>
      </c>
      <c r="H82" s="621">
        <v>0</v>
      </c>
      <c r="I82" s="452" t="s">
        <v>1022</v>
      </c>
      <c r="J82" s="622" t="str">
        <f t="array" ref="J82">IFERROR(INDEX(UtilityList!$H$4:$H$251,MATCH('Table 2.1a'!$A82&amp;'Table 2.1a'!$B82&amp;'Table 2.1a'!$C82,UtilityList!$A$4:$A$251&amp;UtilityList!$B$4:$B$251&amp;UtilityList!$C$4:$C$251,0)),"")</f>
        <v>PCE Eligible Active</v>
      </c>
      <c r="K82" s="709">
        <f t="array" ref="K82">IFERROR(INDEX(UtilityList!$Q$4:$Q$251,MATCH('Table 2.1a'!$A82&amp;'Table 2.1a'!$B82&amp;'Table 2.1a'!$C82,UtilityList!$A$4:$A$251&amp;UtilityList!$B$4:$B$251&amp;UtilityList!$C$4:$C$251,0)),"")</f>
        <v>0</v>
      </c>
      <c r="L82" s="622" t="str">
        <f t="array" ref="L82">IFERROR(INDEX(UtilityList!$I$4:$I$251,MATCH('Table 2.1a'!$A82&amp;'Table 2.1a'!$B82&amp;'Table 2.1a'!$C82,UtilityList!$A$4:$A$251&amp;UtilityList!$B$4:$B$251&amp;UtilityList!$C$4:$C$251,0)),"")</f>
        <v>ALASVEC</v>
      </c>
      <c r="M82" s="369" t="str">
        <f t="array" ref="M82">IFERROR(INDEX(UtilityList!$J$4:$J$251,MATCH('Table 2.1a'!$A82&amp;'Table 2.1a'!$B82&amp;'Table 2.1a'!$C82,UtilityList!$A$4:$A$251&amp;UtilityList!$B$4:$B$251&amp;UtilityList!$C$4:$C$251,0)),"")</f>
        <v>Yukon-Koyukuk/Upper Tanana</v>
      </c>
      <c r="N82" s="369" t="str">
        <f t="array" ref="N82">IFERROR(INDEX(UtilityList!$K$4:$K$251,MATCH('Table 2.1a'!$A82&amp;'Table 2.1a'!$B82&amp;'Table 2.1a'!$C82,UtilityList!$A$4:$A$251&amp;UtilityList!$B$4:$B$251&amp;UtilityList!$C$4:$C$251,0)),"")</f>
        <v>Yukon-Koyukuk (CA)</v>
      </c>
      <c r="O82" s="369" t="str">
        <f t="array" ref="O82">IFERROR(INDEX(UtilityList!$L$4:$L$251,MATCH('Table 2.1a'!$A82&amp;'Table 2.1a'!$B82&amp;'Table 2.1a'!$C82,UtilityList!$A$4:$A$251&amp;UtilityList!$B$4:$B$251&amp;UtilityList!$C$4:$C$251,0)),"")</f>
        <v>Doyon</v>
      </c>
      <c r="P82" s="369" t="str">
        <f t="array" ref="P82">IFERROR(INDEX(UtilityList!$M$4:$M$251,MATCH('Table 2.1a'!$A82&amp;'Table 2.1a'!$B82&amp;'Table 2.1a'!$C82,UtilityList!$A$4:$A$251&amp;UtilityList!$B$4:$B$251&amp;UtilityList!$C$4:$C$251,0)),"")</f>
        <v>YU</v>
      </c>
    </row>
    <row r="83" spans="1:16" s="344" customFormat="1" x14ac:dyDescent="0.25">
      <c r="A83" s="619" t="s">
        <v>524</v>
      </c>
      <c r="B83" s="361" t="s">
        <v>107</v>
      </c>
      <c r="C83" s="350" t="s">
        <v>107</v>
      </c>
      <c r="D83" s="620">
        <v>998</v>
      </c>
      <c r="E83" s="621">
        <v>0</v>
      </c>
      <c r="F83" s="621">
        <v>998</v>
      </c>
      <c r="G83" s="621">
        <v>0</v>
      </c>
      <c r="H83" s="621">
        <v>0</v>
      </c>
      <c r="I83" s="452" t="s">
        <v>1022</v>
      </c>
      <c r="J83" s="622" t="str">
        <f t="array" ref="J83">IFERROR(INDEX(UtilityList!$H$4:$H$251,MATCH('Table 2.1a'!$A83&amp;'Table 2.1a'!$B83&amp;'Table 2.1a'!$C83,UtilityList!$A$4:$A$251&amp;UtilityList!$B$4:$B$251&amp;UtilityList!$C$4:$C$251,0)),"")</f>
        <v>PCE Eligible Active</v>
      </c>
      <c r="K83" s="709">
        <f t="array" ref="K83">IFERROR(INDEX(UtilityList!$Q$4:$Q$251,MATCH('Table 2.1a'!$A83&amp;'Table 2.1a'!$B83&amp;'Table 2.1a'!$C83,UtilityList!$A$4:$A$251&amp;UtilityList!$B$4:$B$251&amp;UtilityList!$C$4:$C$251,0)),"")</f>
        <v>0</v>
      </c>
      <c r="L83" s="622" t="str">
        <f t="array" ref="L83">IFERROR(INDEX(UtilityList!$I$4:$I$251,MATCH('Table 2.1a'!$A83&amp;'Table 2.1a'!$B83&amp;'Table 2.1a'!$C83,UtilityList!$A$4:$A$251&amp;UtilityList!$B$4:$B$251&amp;UtilityList!$C$4:$C$251,0)),"")</f>
        <v>ALASVEC</v>
      </c>
      <c r="M83" s="369" t="str">
        <f t="array" ref="M83">IFERROR(INDEX(UtilityList!$J$4:$J$251,MATCH('Table 2.1a'!$A83&amp;'Table 2.1a'!$B83&amp;'Table 2.1a'!$C83,UtilityList!$A$4:$A$251&amp;UtilityList!$B$4:$B$251&amp;UtilityList!$C$4:$C$251,0)),"")</f>
        <v>Bering Straits</v>
      </c>
      <c r="N83" s="369" t="str">
        <f t="array" ref="N83">IFERROR(INDEX(UtilityList!$K$4:$K$251,MATCH('Table 2.1a'!$A83&amp;'Table 2.1a'!$B83&amp;'Table 2.1a'!$C83,UtilityList!$A$4:$A$251&amp;UtilityList!$B$4:$B$251&amp;UtilityList!$C$4:$C$251,0)),"")</f>
        <v>Nome (CA)</v>
      </c>
      <c r="O83" s="369" t="str">
        <f t="array" ref="O83">IFERROR(INDEX(UtilityList!$L$4:$L$251,MATCH('Table 2.1a'!$A83&amp;'Table 2.1a'!$B83&amp;'Table 2.1a'!$C83,UtilityList!$A$4:$A$251&amp;UtilityList!$B$4:$B$251&amp;UtilityList!$C$4:$C$251,0)),"")</f>
        <v>Bering Straits</v>
      </c>
      <c r="P83" s="369" t="str">
        <f t="array" ref="P83">IFERROR(INDEX(UtilityList!$M$4:$M$251,MATCH('Table 2.1a'!$A83&amp;'Table 2.1a'!$B83&amp;'Table 2.1a'!$C83,UtilityList!$A$4:$A$251&amp;UtilityList!$B$4:$B$251&amp;UtilityList!$C$4:$C$251,0)),"")</f>
        <v>AN</v>
      </c>
    </row>
    <row r="84" spans="1:16" s="344" customFormat="1" x14ac:dyDescent="0.25">
      <c r="A84" s="619" t="s">
        <v>524</v>
      </c>
      <c r="B84" s="361" t="s">
        <v>108</v>
      </c>
      <c r="C84" s="350" t="s">
        <v>108</v>
      </c>
      <c r="D84" s="620">
        <v>1400</v>
      </c>
      <c r="E84" s="621">
        <v>0</v>
      </c>
      <c r="F84" s="621">
        <v>1400</v>
      </c>
      <c r="G84" s="621">
        <v>0</v>
      </c>
      <c r="H84" s="621">
        <v>0</v>
      </c>
      <c r="I84" s="452" t="s">
        <v>1020</v>
      </c>
      <c r="J84" s="622" t="str">
        <f t="array" ref="J84">IFERROR(INDEX(UtilityList!$H$4:$H$251,MATCH('Table 2.1a'!$A84&amp;'Table 2.1a'!$B84&amp;'Table 2.1a'!$C84,UtilityList!$A$4:$A$251&amp;UtilityList!$B$4:$B$251&amp;UtilityList!$C$4:$C$251,0)),"")</f>
        <v>PCE Eligible Active</v>
      </c>
      <c r="K84" s="709">
        <f t="array" ref="K84">IFERROR(INDEX(UtilityList!$Q$4:$Q$251,MATCH('Table 2.1a'!$A84&amp;'Table 2.1a'!$B84&amp;'Table 2.1a'!$C84,UtilityList!$A$4:$A$251&amp;UtilityList!$B$4:$B$251&amp;UtilityList!$C$4:$C$251,0)),"")</f>
        <v>0</v>
      </c>
      <c r="L84" s="622" t="str">
        <f t="array" ref="L84">IFERROR(INDEX(UtilityList!$I$4:$I$251,MATCH('Table 2.1a'!$A84&amp;'Table 2.1a'!$B84&amp;'Table 2.1a'!$C84,UtilityList!$A$4:$A$251&amp;UtilityList!$B$4:$B$251&amp;UtilityList!$C$4:$C$251,0)),"")</f>
        <v>ALASVEC</v>
      </c>
      <c r="M84" s="369" t="str">
        <f t="array" ref="M84">IFERROR(INDEX(UtilityList!$J$4:$J$251,MATCH('Table 2.1a'!$A84&amp;'Table 2.1a'!$B84&amp;'Table 2.1a'!$C84,UtilityList!$A$4:$A$251&amp;UtilityList!$B$4:$B$251&amp;UtilityList!$C$4:$C$251,0)),"")</f>
        <v>Bering Straits</v>
      </c>
      <c r="N84" s="369" t="str">
        <f t="array" ref="N84">IFERROR(INDEX(UtilityList!$K$4:$K$251,MATCH('Table 2.1a'!$A84&amp;'Table 2.1a'!$B84&amp;'Table 2.1a'!$C84,UtilityList!$A$4:$A$251&amp;UtilityList!$B$4:$B$251&amp;UtilityList!$C$4:$C$251,0)),"")</f>
        <v>Nome (CA)</v>
      </c>
      <c r="O84" s="369" t="str">
        <f t="array" ref="O84">IFERROR(INDEX(UtilityList!$L$4:$L$251,MATCH('Table 2.1a'!$A84&amp;'Table 2.1a'!$B84&amp;'Table 2.1a'!$C84,UtilityList!$A$4:$A$251&amp;UtilityList!$B$4:$B$251&amp;UtilityList!$C$4:$C$251,0)),"")</f>
        <v>Bering Straits</v>
      </c>
      <c r="P84" s="369" t="str">
        <f t="array" ref="P84">IFERROR(INDEX(UtilityList!$M$4:$M$251,MATCH('Table 2.1a'!$A84&amp;'Table 2.1a'!$B84&amp;'Table 2.1a'!$C84,UtilityList!$A$4:$A$251&amp;UtilityList!$B$4:$B$251&amp;UtilityList!$C$4:$C$251,0)),"")</f>
        <v>AN</v>
      </c>
    </row>
    <row r="85" spans="1:16" s="344" customFormat="1" ht="60" x14ac:dyDescent="0.25">
      <c r="A85" s="619" t="s">
        <v>524</v>
      </c>
      <c r="B85" s="361" t="s">
        <v>109</v>
      </c>
      <c r="C85" s="350" t="s">
        <v>994</v>
      </c>
      <c r="D85" s="620">
        <v>1200</v>
      </c>
      <c r="E85" s="621">
        <v>0</v>
      </c>
      <c r="F85" s="621">
        <v>1200</v>
      </c>
      <c r="G85" s="621">
        <v>0</v>
      </c>
      <c r="H85" s="621">
        <v>0</v>
      </c>
      <c r="I85" s="452" t="s">
        <v>1020</v>
      </c>
      <c r="J85" s="622" t="str">
        <f t="array" ref="J85">IFERROR(INDEX(UtilityList!$H$4:$H$251,MATCH('Table 2.1a'!$A85&amp;'Table 2.1a'!$B85&amp;'Table 2.1a'!$C85,UtilityList!$A$4:$A$251&amp;UtilityList!$B$4:$B$251&amp;UtilityList!$C$4:$C$251,0)),"")</f>
        <v>PCE Eligible Active</v>
      </c>
      <c r="K85" s="709" t="str">
        <f t="array" ref="K85">IFERROR(INDEX(UtilityList!$Q$4:$Q$251,MATCH('Table 2.1a'!$A85&amp;'Table 2.1a'!$B85&amp;'Table 2.1a'!$C85,UtilityList!$A$4:$A$251&amp;UtilityList!$B$4:$B$251&amp;UtilityList!$C$4:$C$251,0)),"")</f>
        <v>Provides power to Kobuk via intertie. Fuel use and cost includes Kobuk's information.</v>
      </c>
      <c r="L85" s="622" t="str">
        <f t="array" ref="L85">IFERROR(INDEX(UtilityList!$I$4:$I$251,MATCH('Table 2.1a'!$A85&amp;'Table 2.1a'!$B85&amp;'Table 2.1a'!$C85,UtilityList!$A$4:$A$251&amp;UtilityList!$B$4:$B$251&amp;UtilityList!$C$4:$C$251,0)),"")</f>
        <v>ALASVEC</v>
      </c>
      <c r="M85" s="369" t="str">
        <f t="array" ref="M85">IFERROR(INDEX(UtilityList!$J$4:$J$251,MATCH('Table 2.1a'!$A85&amp;'Table 2.1a'!$B85&amp;'Table 2.1a'!$C85,UtilityList!$A$4:$A$251&amp;UtilityList!$B$4:$B$251&amp;UtilityList!$C$4:$C$251,0)),"")</f>
        <v>Northwest Arctic</v>
      </c>
      <c r="N85" s="369" t="str">
        <f t="array" ref="N85">IFERROR(INDEX(UtilityList!$K$4:$K$251,MATCH('Table 2.1a'!$A85&amp;'Table 2.1a'!$B85&amp;'Table 2.1a'!$C85,UtilityList!$A$4:$A$251&amp;UtilityList!$B$4:$B$251&amp;UtilityList!$C$4:$C$251,0)),"")</f>
        <v>Northwest Arctic</v>
      </c>
      <c r="O85" s="369" t="str">
        <f t="array" ref="O85">IFERROR(INDEX(UtilityList!$L$4:$L$251,MATCH('Table 2.1a'!$A85&amp;'Table 2.1a'!$B85&amp;'Table 2.1a'!$C85,UtilityList!$A$4:$A$251&amp;UtilityList!$B$4:$B$251&amp;UtilityList!$C$4:$C$251,0)),"")</f>
        <v>NANA</v>
      </c>
      <c r="P85" s="369" t="str">
        <f t="array" ref="P85">IFERROR(INDEX(UtilityList!$M$4:$M$251,MATCH('Table 2.1a'!$A85&amp;'Table 2.1a'!$B85&amp;'Table 2.1a'!$C85,UtilityList!$A$4:$A$251&amp;UtilityList!$B$4:$B$251&amp;UtilityList!$C$4:$C$251,0)),"")</f>
        <v>AN</v>
      </c>
    </row>
    <row r="86" spans="1:16" s="344" customFormat="1" x14ac:dyDescent="0.25">
      <c r="A86" s="619" t="s">
        <v>524</v>
      </c>
      <c r="B86" s="361" t="s">
        <v>110</v>
      </c>
      <c r="C86" s="350" t="s">
        <v>110</v>
      </c>
      <c r="D86" s="620">
        <v>1200</v>
      </c>
      <c r="E86" s="621">
        <v>0</v>
      </c>
      <c r="F86" s="621">
        <v>1200</v>
      </c>
      <c r="G86" s="621">
        <v>0</v>
      </c>
      <c r="H86" s="621">
        <v>0</v>
      </c>
      <c r="I86" s="452" t="s">
        <v>1020</v>
      </c>
      <c r="J86" s="622" t="str">
        <f t="array" ref="J86">IFERROR(INDEX(UtilityList!$H$4:$H$251,MATCH('Table 2.1a'!$A86&amp;'Table 2.1a'!$B86&amp;'Table 2.1a'!$C86,UtilityList!$A$4:$A$251&amp;UtilityList!$B$4:$B$251&amp;UtilityList!$C$4:$C$251,0)),"")</f>
        <v>PCE Eligible Active</v>
      </c>
      <c r="K86" s="709">
        <f t="array" ref="K86">IFERROR(INDEX(UtilityList!$Q$4:$Q$251,MATCH('Table 2.1a'!$A86&amp;'Table 2.1a'!$B86&amp;'Table 2.1a'!$C86,UtilityList!$A$4:$A$251&amp;UtilityList!$B$4:$B$251&amp;UtilityList!$C$4:$C$251,0)),"")</f>
        <v>0</v>
      </c>
      <c r="L86" s="622" t="str">
        <f t="array" ref="L86">IFERROR(INDEX(UtilityList!$I$4:$I$251,MATCH('Table 2.1a'!$A86&amp;'Table 2.1a'!$B86&amp;'Table 2.1a'!$C86,UtilityList!$A$4:$A$251&amp;UtilityList!$B$4:$B$251&amp;UtilityList!$C$4:$C$251,0)),"")</f>
        <v>ALASVEC</v>
      </c>
      <c r="M86" s="369" t="str">
        <f t="array" ref="M86">IFERROR(INDEX(UtilityList!$J$4:$J$251,MATCH('Table 2.1a'!$A86&amp;'Table 2.1a'!$B86&amp;'Table 2.1a'!$C86,UtilityList!$A$4:$A$251&amp;UtilityList!$B$4:$B$251&amp;UtilityList!$C$4:$C$251,0)),"")</f>
        <v>Bering Straits</v>
      </c>
      <c r="N86" s="369" t="str">
        <f t="array" ref="N86">IFERROR(INDEX(UtilityList!$K$4:$K$251,MATCH('Table 2.1a'!$A86&amp;'Table 2.1a'!$B86&amp;'Table 2.1a'!$C86,UtilityList!$A$4:$A$251&amp;UtilityList!$B$4:$B$251&amp;UtilityList!$C$4:$C$251,0)),"")</f>
        <v>Nome (CA)</v>
      </c>
      <c r="O86" s="369" t="str">
        <f t="array" ref="O86">IFERROR(INDEX(UtilityList!$L$4:$L$251,MATCH('Table 2.1a'!$A86&amp;'Table 2.1a'!$B86&amp;'Table 2.1a'!$C86,UtilityList!$A$4:$A$251&amp;UtilityList!$B$4:$B$251&amp;UtilityList!$C$4:$C$251,0)),"")</f>
        <v>Bering Straits</v>
      </c>
      <c r="P86" s="369" t="str">
        <f t="array" ref="P86">IFERROR(INDEX(UtilityList!$M$4:$M$251,MATCH('Table 2.1a'!$A86&amp;'Table 2.1a'!$B86&amp;'Table 2.1a'!$C86,UtilityList!$A$4:$A$251&amp;UtilityList!$B$4:$B$251&amp;UtilityList!$C$4:$C$251,0)),"")</f>
        <v>AN</v>
      </c>
    </row>
    <row r="87" spans="1:16" s="344" customFormat="1" x14ac:dyDescent="0.25">
      <c r="A87" s="619" t="s">
        <v>524</v>
      </c>
      <c r="B87" s="361" t="s">
        <v>111</v>
      </c>
      <c r="C87" s="350" t="s">
        <v>111</v>
      </c>
      <c r="D87" s="620">
        <v>1050</v>
      </c>
      <c r="E87" s="621">
        <v>0</v>
      </c>
      <c r="F87" s="621">
        <v>1050</v>
      </c>
      <c r="G87" s="621">
        <v>0</v>
      </c>
      <c r="H87" s="621">
        <v>0</v>
      </c>
      <c r="I87" s="452" t="s">
        <v>1022</v>
      </c>
      <c r="J87" s="622" t="str">
        <f t="array" ref="J87">IFERROR(INDEX(UtilityList!$H$4:$H$251,MATCH('Table 2.1a'!$A87&amp;'Table 2.1a'!$B87&amp;'Table 2.1a'!$C87,UtilityList!$A$4:$A$251&amp;UtilityList!$B$4:$B$251&amp;UtilityList!$C$4:$C$251,0)),"")</f>
        <v>PCE Eligible Active</v>
      </c>
      <c r="K87" s="709">
        <f t="array" ref="K87">IFERROR(INDEX(UtilityList!$Q$4:$Q$251,MATCH('Table 2.1a'!$A87&amp;'Table 2.1a'!$B87&amp;'Table 2.1a'!$C87,UtilityList!$A$4:$A$251&amp;UtilityList!$B$4:$B$251&amp;UtilityList!$C$4:$C$251,0)),"")</f>
        <v>0</v>
      </c>
      <c r="L87" s="622" t="str">
        <f t="array" ref="L87">IFERROR(INDEX(UtilityList!$I$4:$I$251,MATCH('Table 2.1a'!$A87&amp;'Table 2.1a'!$B87&amp;'Table 2.1a'!$C87,UtilityList!$A$4:$A$251&amp;UtilityList!$B$4:$B$251&amp;UtilityList!$C$4:$C$251,0)),"")</f>
        <v>ALASVEC</v>
      </c>
      <c r="M87" s="369" t="str">
        <f t="array" ref="M87">IFERROR(INDEX(UtilityList!$J$4:$J$251,MATCH('Table 2.1a'!$A87&amp;'Table 2.1a'!$B87&amp;'Table 2.1a'!$C87,UtilityList!$A$4:$A$251&amp;UtilityList!$B$4:$B$251&amp;UtilityList!$C$4:$C$251,0)),"")</f>
        <v>Bering Straits</v>
      </c>
      <c r="N87" s="369" t="str">
        <f t="array" ref="N87">IFERROR(INDEX(UtilityList!$K$4:$K$251,MATCH('Table 2.1a'!$A87&amp;'Table 2.1a'!$B87&amp;'Table 2.1a'!$C87,UtilityList!$A$4:$A$251&amp;UtilityList!$B$4:$B$251&amp;UtilityList!$C$4:$C$251,0)),"")</f>
        <v>Nome (CA)</v>
      </c>
      <c r="O87" s="369" t="str">
        <f t="array" ref="O87">IFERROR(INDEX(UtilityList!$L$4:$L$251,MATCH('Table 2.1a'!$A87&amp;'Table 2.1a'!$B87&amp;'Table 2.1a'!$C87,UtilityList!$A$4:$A$251&amp;UtilityList!$B$4:$B$251&amp;UtilityList!$C$4:$C$251,0)),"")</f>
        <v>Bering Straits</v>
      </c>
      <c r="P87" s="369" t="str">
        <f t="array" ref="P87">IFERROR(INDEX(UtilityList!$M$4:$M$251,MATCH('Table 2.1a'!$A87&amp;'Table 2.1a'!$B87&amp;'Table 2.1a'!$C87,UtilityList!$A$4:$A$251&amp;UtilityList!$B$4:$B$251&amp;UtilityList!$C$4:$C$251,0)),"")</f>
        <v>AN</v>
      </c>
    </row>
    <row r="88" spans="1:16" s="344" customFormat="1" x14ac:dyDescent="0.25">
      <c r="A88" s="619" t="s">
        <v>524</v>
      </c>
      <c r="B88" s="361" t="s">
        <v>112</v>
      </c>
      <c r="C88" s="350" t="s">
        <v>112</v>
      </c>
      <c r="D88" s="620">
        <v>1300</v>
      </c>
      <c r="E88" s="621">
        <v>0</v>
      </c>
      <c r="F88" s="621">
        <v>1300</v>
      </c>
      <c r="G88" s="621">
        <v>0</v>
      </c>
      <c r="H88" s="621">
        <v>0</v>
      </c>
      <c r="I88" s="452" t="s">
        <v>1020</v>
      </c>
      <c r="J88" s="622" t="str">
        <f t="array" ref="J88">IFERROR(INDEX(UtilityList!$H$4:$H$251,MATCH('Table 2.1a'!$A88&amp;'Table 2.1a'!$B88&amp;'Table 2.1a'!$C88,UtilityList!$A$4:$A$251&amp;UtilityList!$B$4:$B$251&amp;UtilityList!$C$4:$C$251,0)),"")</f>
        <v>PCE Eligible Active</v>
      </c>
      <c r="K88" s="709">
        <f t="array" ref="K88">IFERROR(INDEX(UtilityList!$Q$4:$Q$251,MATCH('Table 2.1a'!$A88&amp;'Table 2.1a'!$B88&amp;'Table 2.1a'!$C88,UtilityList!$A$4:$A$251&amp;UtilityList!$B$4:$B$251&amp;UtilityList!$C$4:$C$251,0)),"")</f>
        <v>0</v>
      </c>
      <c r="L88" s="622" t="str">
        <f t="array" ref="L88">IFERROR(INDEX(UtilityList!$I$4:$I$251,MATCH('Table 2.1a'!$A88&amp;'Table 2.1a'!$B88&amp;'Table 2.1a'!$C88,UtilityList!$A$4:$A$251&amp;UtilityList!$B$4:$B$251&amp;UtilityList!$C$4:$C$251,0)),"")</f>
        <v>ALASVEC</v>
      </c>
      <c r="M88" s="369" t="str">
        <f t="array" ref="M88">IFERROR(INDEX(UtilityList!$J$4:$J$251,MATCH('Table 2.1a'!$A88&amp;'Table 2.1a'!$B88&amp;'Table 2.1a'!$C88,UtilityList!$A$4:$A$251&amp;UtilityList!$B$4:$B$251&amp;UtilityList!$C$4:$C$251,0)),"")</f>
        <v>Bristol Bay</v>
      </c>
      <c r="N88" s="369" t="str">
        <f t="array" ref="N88">IFERROR(INDEX(UtilityList!$K$4:$K$251,MATCH('Table 2.1a'!$A88&amp;'Table 2.1a'!$B88&amp;'Table 2.1a'!$C88,UtilityList!$A$4:$A$251&amp;UtilityList!$B$4:$B$251&amp;UtilityList!$C$4:$C$251,0)),"")</f>
        <v>Dillingham (CA)</v>
      </c>
      <c r="O88" s="369" t="str">
        <f t="array" ref="O88">IFERROR(INDEX(UtilityList!$L$4:$L$251,MATCH('Table 2.1a'!$A88&amp;'Table 2.1a'!$B88&amp;'Table 2.1a'!$C88,UtilityList!$A$4:$A$251&amp;UtilityList!$B$4:$B$251&amp;UtilityList!$C$4:$C$251,0)),"")</f>
        <v>Bristol Bay</v>
      </c>
      <c r="P88" s="369" t="str">
        <f t="array" ref="P88">IFERROR(INDEX(UtilityList!$M$4:$M$251,MATCH('Table 2.1a'!$A88&amp;'Table 2.1a'!$B88&amp;'Table 2.1a'!$C88,UtilityList!$A$4:$A$251&amp;UtilityList!$B$4:$B$251&amp;UtilityList!$C$4:$C$251,0)),"")</f>
        <v>SW</v>
      </c>
    </row>
    <row r="89" spans="1:16" s="344" customFormat="1" ht="90" x14ac:dyDescent="0.25">
      <c r="A89" s="619" t="s">
        <v>524</v>
      </c>
      <c r="B89" s="361" t="s">
        <v>113</v>
      </c>
      <c r="C89" s="350" t="s">
        <v>996</v>
      </c>
      <c r="D89" s="620">
        <v>2100</v>
      </c>
      <c r="E89" s="621">
        <v>0</v>
      </c>
      <c r="F89" s="621">
        <v>1700</v>
      </c>
      <c r="G89" s="621">
        <v>0</v>
      </c>
      <c r="H89" s="621">
        <v>400</v>
      </c>
      <c r="I89" s="452" t="s">
        <v>1020</v>
      </c>
      <c r="J89" s="622" t="str">
        <f t="array" ref="J89">IFERROR(INDEX(UtilityList!$H$4:$H$251,MATCH('Table 2.1a'!$A89&amp;'Table 2.1a'!$B89&amp;'Table 2.1a'!$C89,UtilityList!$A$4:$A$251&amp;UtilityList!$B$4:$B$251&amp;UtilityList!$C$4:$C$251,0)),"")</f>
        <v>PCE Eligible Active</v>
      </c>
      <c r="K89" s="709" t="str">
        <f t="array" ref="K89">IFERROR(INDEX(UtilityList!$Q$4:$Q$251,MATCH('Table 2.1a'!$A89&amp;'Table 2.1a'!$B89&amp;'Table 2.1a'!$C89,UtilityList!$A$4:$A$251&amp;UtilityList!$B$4:$B$251&amp;UtilityList!$C$4:$C$251,0)),"")</f>
        <v>Provides power to Nightmute and Tununak via intertie. Fuel use and cost includes Nightmute's and Tununak's information.</v>
      </c>
      <c r="L89" s="622" t="str">
        <f t="array" ref="L89">IFERROR(INDEX(UtilityList!$I$4:$I$251,MATCH('Table 2.1a'!$A89&amp;'Table 2.1a'!$B89&amp;'Table 2.1a'!$C89,UtilityList!$A$4:$A$251&amp;UtilityList!$B$4:$B$251&amp;UtilityList!$C$4:$C$251,0)),"")</f>
        <v>ALASVEC</v>
      </c>
      <c r="M89" s="369" t="str">
        <f t="array" ref="M89">IFERROR(INDEX(UtilityList!$J$4:$J$251,MATCH('Table 2.1a'!$A89&amp;'Table 2.1a'!$B89&amp;'Table 2.1a'!$C89,UtilityList!$A$4:$A$251&amp;UtilityList!$B$4:$B$251&amp;UtilityList!$C$4:$C$251,0)),"")</f>
        <v>Lower Yukon-Kuskokwim</v>
      </c>
      <c r="N89" s="369" t="str">
        <f t="array" ref="N89">IFERROR(INDEX(UtilityList!$K$4:$K$251,MATCH('Table 2.1a'!$A89&amp;'Table 2.1a'!$B89&amp;'Table 2.1a'!$C89,UtilityList!$A$4:$A$251&amp;UtilityList!$B$4:$B$251&amp;UtilityList!$C$4:$C$251,0)),"")</f>
        <v>Bethel (CA)</v>
      </c>
      <c r="O89" s="369" t="str">
        <f t="array" ref="O89">IFERROR(INDEX(UtilityList!$L$4:$L$251,MATCH('Table 2.1a'!$A89&amp;'Table 2.1a'!$B89&amp;'Table 2.1a'!$C89,UtilityList!$A$4:$A$251&amp;UtilityList!$B$4:$B$251&amp;UtilityList!$C$4:$C$251,0)),"")</f>
        <v>Calista</v>
      </c>
      <c r="P89" s="369" t="str">
        <f t="array" ref="P89">IFERROR(INDEX(UtilityList!$M$4:$M$251,MATCH('Table 2.1a'!$A89&amp;'Table 2.1a'!$B89&amp;'Table 2.1a'!$C89,UtilityList!$A$4:$A$251&amp;UtilityList!$B$4:$B$251&amp;UtilityList!$C$4:$C$251,0)),"")</f>
        <v>SW</v>
      </c>
    </row>
    <row r="90" spans="1:16" s="344" customFormat="1" ht="75" x14ac:dyDescent="0.25">
      <c r="A90" s="619" t="s">
        <v>524</v>
      </c>
      <c r="B90" s="361" t="s">
        <v>114</v>
      </c>
      <c r="C90" s="350" t="s">
        <v>114</v>
      </c>
      <c r="D90" s="620">
        <v>325</v>
      </c>
      <c r="E90" s="621">
        <v>0</v>
      </c>
      <c r="F90" s="621">
        <v>325</v>
      </c>
      <c r="G90" s="621">
        <v>0</v>
      </c>
      <c r="H90" s="621">
        <v>0</v>
      </c>
      <c r="I90" s="452" t="s">
        <v>1022</v>
      </c>
      <c r="J90" s="622" t="str">
        <f t="array" ref="J90">IFERROR(INDEX(UtilityList!$H$4:$H$251,MATCH('Table 2.1a'!$A90&amp;'Table 2.1a'!$B90&amp;'Table 2.1a'!$C90,UtilityList!$A$4:$A$251&amp;UtilityList!$B$4:$B$251&amp;UtilityList!$C$4:$C$251,0)),"")</f>
        <v>PCE Eligible Active</v>
      </c>
      <c r="K90" s="709" t="str">
        <f t="array" ref="K90">IFERROR(INDEX(UtilityList!$Q$4:$Q$251,MATCH('Table 2.1a'!$A90&amp;'Table 2.1a'!$B90&amp;'Table 2.1a'!$C90,UtilityList!$A$4:$A$251&amp;UtilityList!$B$4:$B$251&amp;UtilityList!$C$4:$C$251,0)),"")</f>
        <v>Receives power from Toksook Bay via intertie. For fuel use and cost, please refer to Toksook Bay.</v>
      </c>
      <c r="L90" s="622" t="str">
        <f t="array" ref="L90">IFERROR(INDEX(UtilityList!$I$4:$I$251,MATCH('Table 2.1a'!$A90&amp;'Table 2.1a'!$B90&amp;'Table 2.1a'!$C90,UtilityList!$A$4:$A$251&amp;UtilityList!$B$4:$B$251&amp;UtilityList!$C$4:$C$251,0)),"")</f>
        <v>ALASVEC</v>
      </c>
      <c r="M90" s="369" t="str">
        <f t="array" ref="M90">IFERROR(INDEX(UtilityList!$J$4:$J$251,MATCH('Table 2.1a'!$A90&amp;'Table 2.1a'!$B90&amp;'Table 2.1a'!$C90,UtilityList!$A$4:$A$251&amp;UtilityList!$B$4:$B$251&amp;UtilityList!$C$4:$C$251,0)),"")</f>
        <v>Lower Yukon-Kuskokwim</v>
      </c>
      <c r="N90" s="369" t="str">
        <f t="array" ref="N90">IFERROR(INDEX(UtilityList!$K$4:$K$251,MATCH('Table 2.1a'!$A90&amp;'Table 2.1a'!$B90&amp;'Table 2.1a'!$C90,UtilityList!$A$4:$A$251&amp;UtilityList!$B$4:$B$251&amp;UtilityList!$C$4:$C$251,0)),"")</f>
        <v>Bethel (CA)</v>
      </c>
      <c r="O90" s="369" t="str">
        <f t="array" ref="O90">IFERROR(INDEX(UtilityList!$L$4:$L$251,MATCH('Table 2.1a'!$A90&amp;'Table 2.1a'!$B90&amp;'Table 2.1a'!$C90,UtilityList!$A$4:$A$251&amp;UtilityList!$B$4:$B$251&amp;UtilityList!$C$4:$C$251,0)),"")</f>
        <v>Calista</v>
      </c>
      <c r="P90" s="369" t="str">
        <f t="array" ref="P90">IFERROR(INDEX(UtilityList!$M$4:$M$251,MATCH('Table 2.1a'!$A90&amp;'Table 2.1a'!$B90&amp;'Table 2.1a'!$C90,UtilityList!$A$4:$A$251&amp;UtilityList!$B$4:$B$251&amp;UtilityList!$C$4:$C$251,0)),"")</f>
        <v>SW</v>
      </c>
    </row>
    <row r="91" spans="1:16" s="344" customFormat="1" x14ac:dyDescent="0.25">
      <c r="A91" s="619" t="s">
        <v>524</v>
      </c>
      <c r="B91" s="361" t="s">
        <v>116</v>
      </c>
      <c r="C91" s="350" t="s">
        <v>116</v>
      </c>
      <c r="D91" s="620">
        <v>495</v>
      </c>
      <c r="E91" s="621">
        <v>0</v>
      </c>
      <c r="F91" s="621">
        <v>495</v>
      </c>
      <c r="G91" s="621">
        <v>0</v>
      </c>
      <c r="H91" s="621">
        <v>0</v>
      </c>
      <c r="I91" s="452" t="s">
        <v>1022</v>
      </c>
      <c r="J91" s="622" t="str">
        <f t="array" ref="J91">IFERROR(INDEX(UtilityList!$H$4:$H$251,MATCH('Table 2.1a'!$A91&amp;'Table 2.1a'!$B91&amp;'Table 2.1a'!$C91,UtilityList!$A$4:$A$251&amp;UtilityList!$B$4:$B$251&amp;UtilityList!$C$4:$C$251,0)),"")</f>
        <v>PCE Eligible Active</v>
      </c>
      <c r="K91" s="709">
        <f t="array" ref="K91">IFERROR(INDEX(UtilityList!$Q$4:$Q$251,MATCH('Table 2.1a'!$A91&amp;'Table 2.1a'!$B91&amp;'Table 2.1a'!$C91,UtilityList!$A$4:$A$251&amp;UtilityList!$B$4:$B$251&amp;UtilityList!$C$4:$C$251,0)),"")</f>
        <v>0</v>
      </c>
      <c r="L91" s="622" t="str">
        <f t="array" ref="L91">IFERROR(INDEX(UtilityList!$I$4:$I$251,MATCH('Table 2.1a'!$A91&amp;'Table 2.1a'!$B91&amp;'Table 2.1a'!$C91,UtilityList!$A$4:$A$251&amp;UtilityList!$B$4:$B$251&amp;UtilityList!$C$4:$C$251,0)),"")</f>
        <v>ALASVEC</v>
      </c>
      <c r="M91" s="369" t="str">
        <f t="array" ref="M91">IFERROR(INDEX(UtilityList!$J$4:$J$251,MATCH('Table 2.1a'!$A91&amp;'Table 2.1a'!$B91&amp;'Table 2.1a'!$C91,UtilityList!$A$4:$A$251&amp;UtilityList!$B$4:$B$251&amp;UtilityList!$C$4:$C$251,0)),"")</f>
        <v>Bering Straits</v>
      </c>
      <c r="N91" s="369" t="str">
        <f t="array" ref="N91">IFERROR(INDEX(UtilityList!$K$4:$K$251,MATCH('Table 2.1a'!$A91&amp;'Table 2.1a'!$B91&amp;'Table 2.1a'!$C91,UtilityList!$A$4:$A$251&amp;UtilityList!$B$4:$B$251&amp;UtilityList!$C$4:$C$251,0)),"")</f>
        <v>Nome (CA)</v>
      </c>
      <c r="O91" s="369" t="str">
        <f t="array" ref="O91">IFERROR(INDEX(UtilityList!$L$4:$L$251,MATCH('Table 2.1a'!$A91&amp;'Table 2.1a'!$B91&amp;'Table 2.1a'!$C91,UtilityList!$A$4:$A$251&amp;UtilityList!$B$4:$B$251&amp;UtilityList!$C$4:$C$251,0)),"")</f>
        <v>Bering Straits</v>
      </c>
      <c r="P91" s="369" t="str">
        <f t="array" ref="P91">IFERROR(INDEX(UtilityList!$M$4:$M$251,MATCH('Table 2.1a'!$A91&amp;'Table 2.1a'!$B91&amp;'Table 2.1a'!$C91,UtilityList!$A$4:$A$251&amp;UtilityList!$B$4:$B$251&amp;UtilityList!$C$4:$C$251,0)),"")</f>
        <v>AN</v>
      </c>
    </row>
    <row r="92" spans="1:16" s="344" customFormat="1" ht="30" x14ac:dyDescent="0.25">
      <c r="A92" s="619" t="s">
        <v>524</v>
      </c>
      <c r="B92" s="361" t="s">
        <v>116</v>
      </c>
      <c r="C92" s="350" t="s">
        <v>116</v>
      </c>
      <c r="D92" s="620">
        <v>130</v>
      </c>
      <c r="E92" s="621">
        <v>0</v>
      </c>
      <c r="F92" s="621">
        <v>0</v>
      </c>
      <c r="G92" s="621">
        <v>0</v>
      </c>
      <c r="H92" s="621">
        <v>130</v>
      </c>
      <c r="I92" s="452" t="s">
        <v>1021</v>
      </c>
      <c r="J92" s="622" t="str">
        <f t="array" ref="J92">IFERROR(INDEX(UtilityList!$H$4:$H$251,MATCH('Table 2.1a'!$A92&amp;'Table 2.1a'!$B92&amp;'Table 2.1a'!$C92,UtilityList!$A$4:$A$251&amp;UtilityList!$B$4:$B$251&amp;UtilityList!$C$4:$C$251,0)),"")</f>
        <v>PCE Eligible Active</v>
      </c>
      <c r="K92" s="709">
        <f t="array" ref="K92">IFERROR(INDEX(UtilityList!$Q$4:$Q$251,MATCH('Table 2.1a'!$A92&amp;'Table 2.1a'!$B92&amp;'Table 2.1a'!$C92,UtilityList!$A$4:$A$251&amp;UtilityList!$B$4:$B$251&amp;UtilityList!$C$4:$C$251,0)),"")</f>
        <v>0</v>
      </c>
      <c r="L92" s="622" t="str">
        <f t="array" ref="L92">IFERROR(INDEX(UtilityList!$I$4:$I$251,MATCH('Table 2.1a'!$A92&amp;'Table 2.1a'!$B92&amp;'Table 2.1a'!$C92,UtilityList!$A$4:$A$251&amp;UtilityList!$B$4:$B$251&amp;UtilityList!$C$4:$C$251,0)),"")</f>
        <v>ALASVEC</v>
      </c>
      <c r="M92" s="369" t="str">
        <f t="array" ref="M92">IFERROR(INDEX(UtilityList!$J$4:$J$251,MATCH('Table 2.1a'!$A92&amp;'Table 2.1a'!$B92&amp;'Table 2.1a'!$C92,UtilityList!$A$4:$A$251&amp;UtilityList!$B$4:$B$251&amp;UtilityList!$C$4:$C$251,0)),"")</f>
        <v>Bering Straits</v>
      </c>
      <c r="N92" s="369" t="str">
        <f t="array" ref="N92">IFERROR(INDEX(UtilityList!$K$4:$K$251,MATCH('Table 2.1a'!$A92&amp;'Table 2.1a'!$B92&amp;'Table 2.1a'!$C92,UtilityList!$A$4:$A$251&amp;UtilityList!$B$4:$B$251&amp;UtilityList!$C$4:$C$251,0)),"")</f>
        <v>Nome (CA)</v>
      </c>
      <c r="O92" s="369" t="str">
        <f t="array" ref="O92">IFERROR(INDEX(UtilityList!$L$4:$L$251,MATCH('Table 2.1a'!$A92&amp;'Table 2.1a'!$B92&amp;'Table 2.1a'!$C92,UtilityList!$A$4:$A$251&amp;UtilityList!$B$4:$B$251&amp;UtilityList!$C$4:$C$251,0)),"")</f>
        <v>Bering Straits</v>
      </c>
      <c r="P92" s="369" t="str">
        <f t="array" ref="P92">IFERROR(INDEX(UtilityList!$M$4:$M$251,MATCH('Table 2.1a'!$A92&amp;'Table 2.1a'!$B92&amp;'Table 2.1a'!$C92,UtilityList!$A$4:$A$251&amp;UtilityList!$B$4:$B$251&amp;UtilityList!$C$4:$C$251,0)),"")</f>
        <v>AN</v>
      </c>
    </row>
    <row r="93" spans="1:16" s="344" customFormat="1" x14ac:dyDescent="0.25">
      <c r="A93" s="619" t="s">
        <v>117</v>
      </c>
      <c r="B93" s="361" t="s">
        <v>118</v>
      </c>
      <c r="C93" s="350" t="s">
        <v>118</v>
      </c>
      <c r="D93" s="620">
        <v>140</v>
      </c>
      <c r="E93" s="621">
        <v>0</v>
      </c>
      <c r="F93" s="621">
        <v>140</v>
      </c>
      <c r="G93" s="621">
        <v>0</v>
      </c>
      <c r="H93" s="621">
        <v>0</v>
      </c>
      <c r="I93" s="452" t="s">
        <v>1022</v>
      </c>
      <c r="J93" s="622" t="str">
        <f t="array" ref="J93">IFERROR(INDEX(UtilityList!$H$4:$H$251,MATCH('Table 2.1a'!$A93&amp;'Table 2.1a'!$B93&amp;'Table 2.1a'!$C93,UtilityList!$A$4:$A$251&amp;UtilityList!$B$4:$B$251&amp;UtilityList!$C$4:$C$251,0)),"")</f>
        <v>PCE Eligible Active</v>
      </c>
      <c r="K93" s="709">
        <f t="array" ref="K93">IFERROR(INDEX(UtilityList!$Q$4:$Q$251,MATCH('Table 2.1a'!$A93&amp;'Table 2.1a'!$B93&amp;'Table 2.1a'!$C93,UtilityList!$A$4:$A$251&amp;UtilityList!$B$4:$B$251&amp;UtilityList!$C$4:$C$251,0)),"")</f>
        <v>0</v>
      </c>
      <c r="L93" s="622" t="str">
        <f t="array" ref="L93">IFERROR(INDEX(UtilityList!$I$4:$I$251,MATCH('Table 2.1a'!$A93&amp;'Table 2.1a'!$B93&amp;'Table 2.1a'!$C93,UtilityList!$A$4:$A$251&amp;UtilityList!$B$4:$B$251&amp;UtilityList!$C$4:$C$251,0)),"")</f>
        <v>ALUTPC</v>
      </c>
      <c r="M93" s="369" t="str">
        <f t="array" ref="M93">IFERROR(INDEX(UtilityList!$J$4:$J$251,MATCH('Table 2.1a'!$A93&amp;'Table 2.1a'!$B93&amp;'Table 2.1a'!$C93,UtilityList!$A$4:$A$251&amp;UtilityList!$B$4:$B$251&amp;UtilityList!$C$4:$C$251,0)),"")</f>
        <v>Kodiak</v>
      </c>
      <c r="N93" s="369" t="str">
        <f t="array" ref="N93">IFERROR(INDEX(UtilityList!$K$4:$K$251,MATCH('Table 2.1a'!$A93&amp;'Table 2.1a'!$B93&amp;'Table 2.1a'!$C93,UtilityList!$A$4:$A$251&amp;UtilityList!$B$4:$B$251&amp;UtilityList!$C$4:$C$251,0)),"")</f>
        <v>Kodiak Island</v>
      </c>
      <c r="O93" s="369" t="str">
        <f t="array" ref="O93">IFERROR(INDEX(UtilityList!$L$4:$L$251,MATCH('Table 2.1a'!$A93&amp;'Table 2.1a'!$B93&amp;'Table 2.1a'!$C93,UtilityList!$A$4:$A$251&amp;UtilityList!$B$4:$B$251&amp;UtilityList!$C$4:$C$251,0)),"")</f>
        <v>Koniag</v>
      </c>
      <c r="P93" s="369" t="str">
        <f t="array" ref="P93">IFERROR(INDEX(UtilityList!$M$4:$M$251,MATCH('Table 2.1a'!$A93&amp;'Table 2.1a'!$B93&amp;'Table 2.1a'!$C93,UtilityList!$A$4:$A$251&amp;UtilityList!$B$4:$B$251&amp;UtilityList!$C$4:$C$251,0)),"")</f>
        <v>SC</v>
      </c>
    </row>
    <row r="94" spans="1:16" s="344" customFormat="1" x14ac:dyDescent="0.25">
      <c r="A94" s="619" t="s">
        <v>119</v>
      </c>
      <c r="B94" s="361" t="s">
        <v>120</v>
      </c>
      <c r="C94" s="350" t="s">
        <v>121</v>
      </c>
      <c r="D94" s="620">
        <v>100900</v>
      </c>
      <c r="E94" s="621">
        <v>100900</v>
      </c>
      <c r="F94" s="621">
        <v>0</v>
      </c>
      <c r="G94" s="621">
        <v>0</v>
      </c>
      <c r="H94" s="621">
        <v>0</v>
      </c>
      <c r="I94" s="452" t="s">
        <v>1020</v>
      </c>
      <c r="J94" s="622" t="str">
        <f t="array" ref="J94">IFERROR(INDEX(UtilityList!$H$4:$H$251,MATCH('Table 2.1a'!$A94&amp;'Table 2.1a'!$B94&amp;'Table 2.1a'!$C94,UtilityList!$A$4:$A$251&amp;UtilityList!$B$4:$B$251&amp;UtilityList!$C$4:$C$251,0)),"")</f>
        <v>PCE Ineligible</v>
      </c>
      <c r="K94" s="709">
        <f t="array" ref="K94">IFERROR(INDEX(UtilityList!$Q$4:$Q$251,MATCH('Table 2.1a'!$A94&amp;'Table 2.1a'!$B94&amp;'Table 2.1a'!$C94,UtilityList!$A$4:$A$251&amp;UtilityList!$B$4:$B$251&amp;UtilityList!$C$4:$C$251,0)),"")</f>
        <v>0</v>
      </c>
      <c r="L94" s="622" t="str">
        <f t="array" ref="L94">IFERROR(INDEX(UtilityList!$I$4:$I$251,MATCH('Table 2.1a'!$A94&amp;'Table 2.1a'!$B94&amp;'Table 2.1a'!$C94,UtilityList!$A$4:$A$251&amp;UtilityList!$B$4:$B$251&amp;UtilityList!$C$4:$C$251,0)),"")</f>
        <v>ML&amp;P</v>
      </c>
      <c r="M94" s="369" t="str">
        <f t="array" ref="M94">IFERROR(INDEX(UtilityList!$J$4:$J$251,MATCH('Table 2.1a'!$A94&amp;'Table 2.1a'!$B94&amp;'Table 2.1a'!$C94,UtilityList!$A$4:$A$251&amp;UtilityList!$B$4:$B$251&amp;UtilityList!$C$4:$C$251,0)),"")</f>
        <v>Railbelt</v>
      </c>
      <c r="N94" s="369" t="str">
        <f t="array" ref="N94">IFERROR(INDEX(UtilityList!$K$4:$K$251,MATCH('Table 2.1a'!$A94&amp;'Table 2.1a'!$B94&amp;'Table 2.1a'!$C94,UtilityList!$A$4:$A$251&amp;UtilityList!$B$4:$B$251&amp;UtilityList!$C$4:$C$251,0)),"")</f>
        <v>Anchorage</v>
      </c>
      <c r="O94" s="369" t="str">
        <f t="array" ref="O94">IFERROR(INDEX(UtilityList!$L$4:$L$251,MATCH('Table 2.1a'!$A94&amp;'Table 2.1a'!$B94&amp;'Table 2.1a'!$C94,UtilityList!$A$4:$A$251&amp;UtilityList!$B$4:$B$251&amp;UtilityList!$C$4:$C$251,0)),"")</f>
        <v>Cook Inlet</v>
      </c>
      <c r="P94" s="369" t="str">
        <f t="array" ref="P94">IFERROR(INDEX(UtilityList!$M$4:$M$251,MATCH('Table 2.1a'!$A94&amp;'Table 2.1a'!$B94&amp;'Table 2.1a'!$C94,UtilityList!$A$4:$A$251&amp;UtilityList!$B$4:$B$251&amp;UtilityList!$C$4:$C$251,0)),"")</f>
        <v>SC</v>
      </c>
    </row>
    <row r="95" spans="1:16" s="344" customFormat="1" ht="30" x14ac:dyDescent="0.25">
      <c r="A95" s="619" t="s">
        <v>119</v>
      </c>
      <c r="B95" s="339" t="s">
        <v>655</v>
      </c>
      <c r="C95" s="351" t="s">
        <v>121</v>
      </c>
      <c r="D95" s="620">
        <v>750</v>
      </c>
      <c r="E95" s="621">
        <v>0</v>
      </c>
      <c r="F95" s="621">
        <v>0</v>
      </c>
      <c r="G95" s="735">
        <v>750</v>
      </c>
      <c r="H95" s="621">
        <v>0</v>
      </c>
      <c r="I95" s="452" t="s">
        <v>1018</v>
      </c>
      <c r="J95" s="622" t="str">
        <f t="array" ref="J95">IFERROR(INDEX(UtilityList!$H$4:$H$251,MATCH('Table 2.1a'!$A95&amp;'Table 2.1a'!$B95&amp;'Table 2.1a'!$C95,UtilityList!$A$4:$A$251&amp;UtilityList!$B$4:$B$251&amp;UtilityList!$C$4:$C$251,0)),"")</f>
        <v>PCE Ineligible</v>
      </c>
      <c r="K95" s="709">
        <f t="array" ref="K95">IFERROR(INDEX(UtilityList!$Q$4:$Q$251,MATCH('Table 2.1a'!$A95&amp;'Table 2.1a'!$B95&amp;'Table 2.1a'!$C95,UtilityList!$A$4:$A$251&amp;UtilityList!$B$4:$B$251&amp;UtilityList!$C$4:$C$251,0)),"")</f>
        <v>0</v>
      </c>
      <c r="L95" s="622" t="str">
        <f t="array" ref="L95">IFERROR(INDEX(UtilityList!$I$4:$I$251,MATCH('Table 2.1a'!$A95&amp;'Table 2.1a'!$B95&amp;'Table 2.1a'!$C95,UtilityList!$A$4:$A$251&amp;UtilityList!$B$4:$B$251&amp;UtilityList!$C$4:$C$251,0)),"")</f>
        <v>ML&amp;P</v>
      </c>
      <c r="M95" s="369" t="str">
        <f t="array" ref="M95">IFERROR(INDEX(UtilityList!$J$4:$J$251,MATCH('Table 2.1a'!$A95&amp;'Table 2.1a'!$B95&amp;'Table 2.1a'!$C95,UtilityList!$A$4:$A$251&amp;UtilityList!$B$4:$B$251&amp;UtilityList!$C$4:$C$251,0)),"")</f>
        <v>Railbelt</v>
      </c>
      <c r="N95" s="369" t="str">
        <f t="array" ref="N95">IFERROR(INDEX(UtilityList!$K$4:$K$251,MATCH('Table 2.1a'!$A95&amp;'Table 2.1a'!$B95&amp;'Table 2.1a'!$C95,UtilityList!$A$4:$A$251&amp;UtilityList!$B$4:$B$251&amp;UtilityList!$C$4:$C$251,0)),"")</f>
        <v>Anchorage</v>
      </c>
      <c r="O95" s="369" t="str">
        <f t="array" ref="O95">IFERROR(INDEX(UtilityList!$L$4:$L$251,MATCH('Table 2.1a'!$A95&amp;'Table 2.1a'!$B95&amp;'Table 2.1a'!$C95,UtilityList!$A$4:$A$251&amp;UtilityList!$B$4:$B$251&amp;UtilityList!$C$4:$C$251,0)),"")</f>
        <v>Cook Inlet</v>
      </c>
      <c r="P95" s="369" t="str">
        <f t="array" ref="P95">IFERROR(INDEX(UtilityList!$M$4:$M$251,MATCH('Table 2.1a'!$A95&amp;'Table 2.1a'!$B95&amp;'Table 2.1a'!$C95,UtilityList!$A$4:$A$251&amp;UtilityList!$B$4:$B$251&amp;UtilityList!$C$4:$C$251,0)),"")</f>
        <v>SC</v>
      </c>
    </row>
    <row r="96" spans="1:16" s="344" customFormat="1" x14ac:dyDescent="0.25">
      <c r="A96" s="619" t="s">
        <v>119</v>
      </c>
      <c r="B96" s="361" t="s">
        <v>534</v>
      </c>
      <c r="C96" s="350" t="s">
        <v>121</v>
      </c>
      <c r="D96" s="620">
        <v>44400</v>
      </c>
      <c r="E96" s="621">
        <v>0</v>
      </c>
      <c r="F96" s="621">
        <v>0</v>
      </c>
      <c r="G96" s="621">
        <v>44400</v>
      </c>
      <c r="H96" s="621">
        <v>0</v>
      </c>
      <c r="I96" s="452" t="s">
        <v>1020</v>
      </c>
      <c r="J96" s="622" t="str">
        <f t="array" ref="J96">IFERROR(INDEX(UtilityList!$H$4:$H$251,MATCH('Table 2.1a'!$A96&amp;'Table 2.1a'!$B96&amp;'Table 2.1a'!$C96,UtilityList!$A$4:$A$251&amp;UtilityList!$B$4:$B$251&amp;UtilityList!$C$4:$C$251,0)),"")</f>
        <v>PCE Ineligible</v>
      </c>
      <c r="K96" s="709">
        <f t="array" ref="K96">IFERROR(INDEX(UtilityList!$Q$4:$Q$251,MATCH('Table 2.1a'!$A96&amp;'Table 2.1a'!$B96&amp;'Table 2.1a'!$C96,UtilityList!$A$4:$A$251&amp;UtilityList!$B$4:$B$251&amp;UtilityList!$C$4:$C$251,0)),"")</f>
        <v>0</v>
      </c>
      <c r="L96" s="622" t="str">
        <f t="array" ref="L96">IFERROR(INDEX(UtilityList!$I$4:$I$251,MATCH('Table 2.1a'!$A96&amp;'Table 2.1a'!$B96&amp;'Table 2.1a'!$C96,UtilityList!$A$4:$A$251&amp;UtilityList!$B$4:$B$251&amp;UtilityList!$C$4:$C$251,0)),"")</f>
        <v>ML&amp;P</v>
      </c>
      <c r="M96" s="369" t="str">
        <f t="array" ref="M96">IFERROR(INDEX(UtilityList!$J$4:$J$251,MATCH('Table 2.1a'!$A96&amp;'Table 2.1a'!$B96&amp;'Table 2.1a'!$C96,UtilityList!$A$4:$A$251&amp;UtilityList!$B$4:$B$251&amp;UtilityList!$C$4:$C$251,0)),"")</f>
        <v>Railbelt</v>
      </c>
      <c r="N96" s="369" t="str">
        <f t="array" ref="N96">IFERROR(INDEX(UtilityList!$K$4:$K$251,MATCH('Table 2.1a'!$A96&amp;'Table 2.1a'!$B96&amp;'Table 2.1a'!$C96,UtilityList!$A$4:$A$251&amp;UtilityList!$B$4:$B$251&amp;UtilityList!$C$4:$C$251,0)),"")</f>
        <v>Anchorage</v>
      </c>
      <c r="O96" s="369" t="str">
        <f t="array" ref="O96">IFERROR(INDEX(UtilityList!$L$4:$L$251,MATCH('Table 2.1a'!$A96&amp;'Table 2.1a'!$B96&amp;'Table 2.1a'!$C96,UtilityList!$A$4:$A$251&amp;UtilityList!$B$4:$B$251&amp;UtilityList!$C$4:$C$251,0)),"")</f>
        <v>Cook Inlet</v>
      </c>
      <c r="P96" s="369" t="str">
        <f t="array" ref="P96">IFERROR(INDEX(UtilityList!$M$4:$M$251,MATCH('Table 2.1a'!$A96&amp;'Table 2.1a'!$B96&amp;'Table 2.1a'!$C96,UtilityList!$A$4:$A$251&amp;UtilityList!$B$4:$B$251&amp;UtilityList!$C$4:$C$251,0)),"")</f>
        <v>SC</v>
      </c>
    </row>
    <row r="97" spans="1:16" s="344" customFormat="1" x14ac:dyDescent="0.25">
      <c r="A97" s="619" t="s">
        <v>119</v>
      </c>
      <c r="B97" s="361" t="s">
        <v>122</v>
      </c>
      <c r="C97" s="350" t="s">
        <v>121</v>
      </c>
      <c r="D97" s="620">
        <v>266300</v>
      </c>
      <c r="E97" s="621">
        <v>266300</v>
      </c>
      <c r="F97" s="621">
        <v>0</v>
      </c>
      <c r="G97" s="621">
        <v>0</v>
      </c>
      <c r="H97" s="621">
        <v>0</v>
      </c>
      <c r="I97" s="452" t="s">
        <v>1020</v>
      </c>
      <c r="J97" s="622" t="str">
        <f t="array" ref="J97">IFERROR(INDEX(UtilityList!$H$4:$H$251,MATCH('Table 2.1a'!$A97&amp;'Table 2.1a'!$B97&amp;'Table 2.1a'!$C97,UtilityList!$A$4:$A$251&amp;UtilityList!$B$4:$B$251&amp;UtilityList!$C$4:$C$251,0)),"")</f>
        <v>PCE Ineligible</v>
      </c>
      <c r="K97" s="709">
        <f t="array" ref="K97">IFERROR(INDEX(UtilityList!$Q$4:$Q$251,MATCH('Table 2.1a'!$A97&amp;'Table 2.1a'!$B97&amp;'Table 2.1a'!$C97,UtilityList!$A$4:$A$251&amp;UtilityList!$B$4:$B$251&amp;UtilityList!$C$4:$C$251,0)),"")</f>
        <v>0</v>
      </c>
      <c r="L97" s="622" t="str">
        <f t="array" ref="L97">IFERROR(INDEX(UtilityList!$I$4:$I$251,MATCH('Table 2.1a'!$A97&amp;'Table 2.1a'!$B97&amp;'Table 2.1a'!$C97,UtilityList!$A$4:$A$251&amp;UtilityList!$B$4:$B$251&amp;UtilityList!$C$4:$C$251,0)),"")</f>
        <v>ML&amp;P</v>
      </c>
      <c r="M97" s="369" t="str">
        <f t="array" ref="M97">IFERROR(INDEX(UtilityList!$J$4:$J$251,MATCH('Table 2.1a'!$A97&amp;'Table 2.1a'!$B97&amp;'Table 2.1a'!$C97,UtilityList!$A$4:$A$251&amp;UtilityList!$B$4:$B$251&amp;UtilityList!$C$4:$C$251,0)),"")</f>
        <v>Railbelt</v>
      </c>
      <c r="N97" s="369" t="str">
        <f t="array" ref="N97">IFERROR(INDEX(UtilityList!$K$4:$K$251,MATCH('Table 2.1a'!$A97&amp;'Table 2.1a'!$B97&amp;'Table 2.1a'!$C97,UtilityList!$A$4:$A$251&amp;UtilityList!$B$4:$B$251&amp;UtilityList!$C$4:$C$251,0)),"")</f>
        <v>Anchorage</v>
      </c>
      <c r="O97" s="369" t="str">
        <f t="array" ref="O97">IFERROR(INDEX(UtilityList!$L$4:$L$251,MATCH('Table 2.1a'!$A97&amp;'Table 2.1a'!$B97&amp;'Table 2.1a'!$C97,UtilityList!$A$4:$A$251&amp;UtilityList!$B$4:$B$251&amp;UtilityList!$C$4:$C$251,0)),"")</f>
        <v>Cook Inlet</v>
      </c>
      <c r="P97" s="369" t="str">
        <f t="array" ref="P97">IFERROR(INDEX(UtilityList!$M$4:$M$251,MATCH('Table 2.1a'!$A97&amp;'Table 2.1a'!$B97&amp;'Table 2.1a'!$C97,UtilityList!$A$4:$A$251&amp;UtilityList!$B$4:$B$251&amp;UtilityList!$C$4:$C$251,0)),"")</f>
        <v>SC</v>
      </c>
    </row>
    <row r="98" spans="1:16" s="344" customFormat="1" x14ac:dyDescent="0.25">
      <c r="A98" s="619" t="s">
        <v>123</v>
      </c>
      <c r="B98" s="361" t="s">
        <v>124</v>
      </c>
      <c r="C98" s="350" t="s">
        <v>124</v>
      </c>
      <c r="D98" s="620">
        <v>1100</v>
      </c>
      <c r="E98" s="621">
        <v>0</v>
      </c>
      <c r="F98" s="621">
        <v>1100</v>
      </c>
      <c r="G98" s="621">
        <v>0</v>
      </c>
      <c r="H98" s="621">
        <v>0</v>
      </c>
      <c r="I98" s="452" t="s">
        <v>1020</v>
      </c>
      <c r="J98" s="622" t="str">
        <f t="array" ref="J98">IFERROR(INDEX(UtilityList!$H$4:$H$251,MATCH('Table 2.1a'!$A98&amp;'Table 2.1a'!$B98&amp;'Table 2.1a'!$C98,UtilityList!$A$4:$A$251&amp;UtilityList!$B$4:$B$251&amp;UtilityList!$C$4:$C$251,0)),"")</f>
        <v>PCE Eligible Active</v>
      </c>
      <c r="K98" s="709">
        <f t="array" ref="K98">IFERROR(INDEX(UtilityList!$Q$4:$Q$251,MATCH('Table 2.1a'!$A98&amp;'Table 2.1a'!$B98&amp;'Table 2.1a'!$C98,UtilityList!$A$4:$A$251&amp;UtilityList!$B$4:$B$251&amp;UtilityList!$C$4:$C$251,0)),"")</f>
        <v>0</v>
      </c>
      <c r="L98" s="622" t="str">
        <f t="array" ref="L98">IFERROR(INDEX(UtilityList!$I$4:$I$251,MATCH('Table 2.1a'!$A98&amp;'Table 2.1a'!$B98&amp;'Table 2.1a'!$C98,UtilityList!$A$4:$A$251&amp;UtilityList!$B$4:$B$251&amp;UtilityList!$C$4:$C$251,0)),"")</f>
        <v>ANIALPC</v>
      </c>
      <c r="M98" s="369" t="str">
        <f t="array" ref="M98">IFERROR(INDEX(UtilityList!$J$4:$J$251,MATCH('Table 2.1a'!$A98&amp;'Table 2.1a'!$B98&amp;'Table 2.1a'!$C98,UtilityList!$A$4:$A$251&amp;UtilityList!$B$4:$B$251&amp;UtilityList!$C$4:$C$251,0)),"")</f>
        <v>Lower Yukon-Kuskokwim</v>
      </c>
      <c r="N98" s="369" t="str">
        <f t="array" ref="N98">IFERROR(INDEX(UtilityList!$K$4:$K$251,MATCH('Table 2.1a'!$A98&amp;'Table 2.1a'!$B98&amp;'Table 2.1a'!$C98,UtilityList!$A$4:$A$251&amp;UtilityList!$B$4:$B$251&amp;UtilityList!$C$4:$C$251,0)),"")</f>
        <v>Bethel (CA)</v>
      </c>
      <c r="O98" s="369" t="str">
        <f t="array" ref="O98">IFERROR(INDEX(UtilityList!$L$4:$L$251,MATCH('Table 2.1a'!$A98&amp;'Table 2.1a'!$B98&amp;'Table 2.1a'!$C98,UtilityList!$A$4:$A$251&amp;UtilityList!$B$4:$B$251&amp;UtilityList!$C$4:$C$251,0)),"")</f>
        <v>Calista</v>
      </c>
      <c r="P98" s="369" t="str">
        <f t="array" ref="P98">IFERROR(INDEX(UtilityList!$M$4:$M$251,MATCH('Table 2.1a'!$A98&amp;'Table 2.1a'!$B98&amp;'Table 2.1a'!$C98,UtilityList!$A$4:$A$251&amp;UtilityList!$B$4:$B$251&amp;UtilityList!$C$4:$C$251,0)),"")</f>
        <v>SW</v>
      </c>
    </row>
    <row r="99" spans="1:16" s="344" customFormat="1" x14ac:dyDescent="0.25">
      <c r="A99" s="619" t="s">
        <v>125</v>
      </c>
      <c r="B99" s="361" t="s">
        <v>126</v>
      </c>
      <c r="C99" s="350" t="s">
        <v>126</v>
      </c>
      <c r="D99" s="620">
        <v>395</v>
      </c>
      <c r="E99" s="621">
        <v>0</v>
      </c>
      <c r="F99" s="621">
        <v>395</v>
      </c>
      <c r="G99" s="621">
        <v>0</v>
      </c>
      <c r="H99" s="621">
        <v>0</v>
      </c>
      <c r="I99" s="452" t="s">
        <v>1022</v>
      </c>
      <c r="J99" s="622" t="str">
        <f t="array" ref="J99">IFERROR(INDEX(UtilityList!$H$4:$H$251,MATCH('Table 2.1a'!$A99&amp;'Table 2.1a'!$B99&amp;'Table 2.1a'!$C99,UtilityList!$A$4:$A$251&amp;UtilityList!$B$4:$B$251&amp;UtilityList!$C$4:$C$251,0)),"")</f>
        <v>PCE Eligible Inactive</v>
      </c>
      <c r="K99" s="709">
        <f t="array" ref="K99">IFERROR(INDEX(UtilityList!$Q$4:$Q$251,MATCH('Table 2.1a'!$A99&amp;'Table 2.1a'!$B99&amp;'Table 2.1a'!$C99,UtilityList!$A$4:$A$251&amp;UtilityList!$B$4:$B$251&amp;UtilityList!$C$4:$C$251,0)),"")</f>
        <v>0</v>
      </c>
      <c r="L99" s="622">
        <f t="array" ref="L99">IFERROR(INDEX(UtilityList!$I$4:$I$251,MATCH('Table 2.1a'!$A99&amp;'Table 2.1a'!$B99&amp;'Table 2.1a'!$C99,UtilityList!$A$4:$A$251&amp;UtilityList!$B$4:$B$251&amp;UtilityList!$C$4:$C$251,0)),"")</f>
        <v>0</v>
      </c>
      <c r="M99" s="369" t="str">
        <f t="array" ref="M99">IFERROR(INDEX(UtilityList!$J$4:$J$251,MATCH('Table 2.1a'!$A99&amp;'Table 2.1a'!$B99&amp;'Table 2.1a'!$C99,UtilityList!$A$4:$A$251&amp;UtilityList!$B$4:$B$251&amp;UtilityList!$C$4:$C$251,0)),"")</f>
        <v>Yukon-Koyukuk/Upper Tanana</v>
      </c>
      <c r="N99" s="369" t="str">
        <f t="array" ref="N99">IFERROR(INDEX(UtilityList!$K$4:$K$251,MATCH('Table 2.1a'!$A99&amp;'Table 2.1a'!$B99&amp;'Table 2.1a'!$C99,UtilityList!$A$4:$A$251&amp;UtilityList!$B$4:$B$251&amp;UtilityList!$C$4:$C$251,0)),"")</f>
        <v>Yukon-Koyukuk (CA)</v>
      </c>
      <c r="O99" s="369" t="str">
        <f t="array" ref="O99">IFERROR(INDEX(UtilityList!$L$4:$L$251,MATCH('Table 2.1a'!$A99&amp;'Table 2.1a'!$B99&amp;'Table 2.1a'!$C99,UtilityList!$A$4:$A$251&amp;UtilityList!$B$4:$B$251&amp;UtilityList!$C$4:$C$251,0)),"")</f>
        <v>Doyon</v>
      </c>
      <c r="P99" s="369" t="str">
        <f t="array" ref="P99">IFERROR(INDEX(UtilityList!$M$4:$M$251,MATCH('Table 2.1a'!$A99&amp;'Table 2.1a'!$B99&amp;'Table 2.1a'!$C99,UtilityList!$A$4:$A$251&amp;UtilityList!$B$4:$B$251&amp;UtilityList!$C$4:$C$251,0)),"")</f>
        <v>YU</v>
      </c>
    </row>
    <row r="100" spans="1:16" s="344" customFormat="1" x14ac:dyDescent="0.25">
      <c r="A100" s="619" t="s">
        <v>127</v>
      </c>
      <c r="B100" s="361" t="s">
        <v>128</v>
      </c>
      <c r="C100" s="350" t="s">
        <v>128</v>
      </c>
      <c r="D100" s="620">
        <v>257</v>
      </c>
      <c r="E100" s="621">
        <v>0</v>
      </c>
      <c r="F100" s="621">
        <v>257</v>
      </c>
      <c r="G100" s="621">
        <v>0</v>
      </c>
      <c r="H100" s="621">
        <v>0</v>
      </c>
      <c r="I100" s="452" t="s">
        <v>1022</v>
      </c>
      <c r="J100" s="622" t="str">
        <f t="array" ref="J100">IFERROR(INDEX(UtilityList!$H$4:$H$251,MATCH('Table 2.1a'!$A100&amp;'Table 2.1a'!$B100&amp;'Table 2.1a'!$C100,UtilityList!$A$4:$A$251&amp;UtilityList!$B$4:$B$251&amp;UtilityList!$C$4:$C$251,0)),"")</f>
        <v>PCE Eligible Active</v>
      </c>
      <c r="K100" s="709">
        <f t="array" ref="K100">IFERROR(INDEX(UtilityList!$Q$4:$Q$251,MATCH('Table 2.1a'!$A100&amp;'Table 2.1a'!$B100&amp;'Table 2.1a'!$C100,UtilityList!$A$4:$A$251&amp;UtilityList!$B$4:$B$251&amp;UtilityList!$C$4:$C$251,0)),"")</f>
        <v>0</v>
      </c>
      <c r="L100" s="622" t="str">
        <f t="array" ref="L100">IFERROR(INDEX(UtilityList!$I$4:$I$251,MATCH('Table 2.1a'!$A100&amp;'Table 2.1a'!$B100&amp;'Table 2.1a'!$C100,UtilityList!$A$4:$A$251&amp;UtilityList!$B$4:$B$251&amp;UtilityList!$C$4:$C$251,0)),"")</f>
        <v>ATKA</v>
      </c>
      <c r="M100" s="369" t="str">
        <f t="array" ref="M100">IFERROR(INDEX(UtilityList!$J$4:$J$251,MATCH('Table 2.1a'!$A100&amp;'Table 2.1a'!$B100&amp;'Table 2.1a'!$C100,UtilityList!$A$4:$A$251&amp;UtilityList!$B$4:$B$251&amp;UtilityList!$C$4:$C$251,0)),"")</f>
        <v>Aleutians</v>
      </c>
      <c r="N100" s="369" t="str">
        <f t="array" ref="N100">IFERROR(INDEX(UtilityList!$K$4:$K$251,MATCH('Table 2.1a'!$A100&amp;'Table 2.1a'!$B100&amp;'Table 2.1a'!$C100,UtilityList!$A$4:$A$251&amp;UtilityList!$B$4:$B$251&amp;UtilityList!$C$4:$C$251,0)),"")</f>
        <v>Aleutians West (CA)</v>
      </c>
      <c r="O100" s="369" t="str">
        <f t="array" ref="O100">IFERROR(INDEX(UtilityList!$L$4:$L$251,MATCH('Table 2.1a'!$A100&amp;'Table 2.1a'!$B100&amp;'Table 2.1a'!$C100,UtilityList!$A$4:$A$251&amp;UtilityList!$B$4:$B$251&amp;UtilityList!$C$4:$C$251,0)),"")</f>
        <v>Aleut</v>
      </c>
      <c r="P100" s="369" t="str">
        <f t="array" ref="P100">IFERROR(INDEX(UtilityList!$M$4:$M$251,MATCH('Table 2.1a'!$A100&amp;'Table 2.1a'!$B100&amp;'Table 2.1a'!$C100,UtilityList!$A$4:$A$251&amp;UtilityList!$B$4:$B$251&amp;UtilityList!$C$4:$C$251,0)),"")</f>
        <v>SW</v>
      </c>
    </row>
    <row r="101" spans="1:16" s="344" customFormat="1" x14ac:dyDescent="0.25">
      <c r="A101" s="619" t="s">
        <v>129</v>
      </c>
      <c r="B101" s="361" t="s">
        <v>130</v>
      </c>
      <c r="C101" s="350" t="s">
        <v>130</v>
      </c>
      <c r="D101" s="620">
        <v>547</v>
      </c>
      <c r="E101" s="621">
        <v>0</v>
      </c>
      <c r="F101" s="621">
        <v>547</v>
      </c>
      <c r="G101" s="621">
        <v>0</v>
      </c>
      <c r="H101" s="621">
        <v>0</v>
      </c>
      <c r="I101" s="452" t="s">
        <v>1022</v>
      </c>
      <c r="J101" s="622" t="str">
        <f t="array" ref="J101">IFERROR(INDEX(UtilityList!$H$4:$H$251,MATCH('Table 2.1a'!$A101&amp;'Table 2.1a'!$B101&amp;'Table 2.1a'!$C101,UtilityList!$A$4:$A$251&amp;UtilityList!$B$4:$B$251&amp;UtilityList!$C$4:$C$251,0)),"")</f>
        <v>PCE Eligible Active</v>
      </c>
      <c r="K101" s="709">
        <f t="array" ref="K101">IFERROR(INDEX(UtilityList!$Q$4:$Q$251,MATCH('Table 2.1a'!$A101&amp;'Table 2.1a'!$B101&amp;'Table 2.1a'!$C101,UtilityList!$A$4:$A$251&amp;UtilityList!$B$4:$B$251&amp;UtilityList!$C$4:$C$251,0)),"")</f>
        <v>0</v>
      </c>
      <c r="L101" s="622" t="str">
        <f t="array" ref="L101">IFERROR(INDEX(UtilityList!$I$4:$I$251,MATCH('Table 2.1a'!$A101&amp;'Table 2.1a'!$B101&amp;'Table 2.1a'!$C101,UtilityList!$A$4:$A$251&amp;UtilityList!$B$4:$B$251&amp;UtilityList!$C$4:$C$251,0)),"")</f>
        <v>ATMATU</v>
      </c>
      <c r="M101" s="369" t="str">
        <f t="array" ref="M101">IFERROR(INDEX(UtilityList!$J$4:$J$251,MATCH('Table 2.1a'!$A101&amp;'Table 2.1a'!$B101&amp;'Table 2.1a'!$C101,UtilityList!$A$4:$A$251&amp;UtilityList!$B$4:$B$251&amp;UtilityList!$C$4:$C$251,0)),"")</f>
        <v>Lower Yukon-Kuskokwim</v>
      </c>
      <c r="N101" s="369" t="str">
        <f t="array" ref="N101">IFERROR(INDEX(UtilityList!$K$4:$K$251,MATCH('Table 2.1a'!$A101&amp;'Table 2.1a'!$B101&amp;'Table 2.1a'!$C101,UtilityList!$A$4:$A$251&amp;UtilityList!$B$4:$B$251&amp;UtilityList!$C$4:$C$251,0)),"")</f>
        <v>Bethel (CA)</v>
      </c>
      <c r="O101" s="369" t="str">
        <f t="array" ref="O101">IFERROR(INDEX(UtilityList!$L$4:$L$251,MATCH('Table 2.1a'!$A101&amp;'Table 2.1a'!$B101&amp;'Table 2.1a'!$C101,UtilityList!$A$4:$A$251&amp;UtilityList!$B$4:$B$251&amp;UtilityList!$C$4:$C$251,0)),"")</f>
        <v>Calista</v>
      </c>
      <c r="P101" s="369" t="str">
        <f t="array" ref="P101">IFERROR(INDEX(UtilityList!$M$4:$M$251,MATCH('Table 2.1a'!$A101&amp;'Table 2.1a'!$B101&amp;'Table 2.1a'!$C101,UtilityList!$A$4:$A$251&amp;UtilityList!$B$4:$B$251&amp;UtilityList!$C$4:$C$251,0)),"")</f>
        <v>SW</v>
      </c>
    </row>
    <row r="102" spans="1:16" s="344" customFormat="1" ht="60" x14ac:dyDescent="0.25">
      <c r="A102" s="619" t="s">
        <v>131</v>
      </c>
      <c r="B102" s="361" t="s">
        <v>668</v>
      </c>
      <c r="C102" s="350" t="s">
        <v>132</v>
      </c>
      <c r="D102" s="620">
        <v>27500</v>
      </c>
      <c r="E102" s="621">
        <v>27500</v>
      </c>
      <c r="F102" s="621">
        <v>0</v>
      </c>
      <c r="G102" s="621">
        <v>0</v>
      </c>
      <c r="H102" s="621">
        <v>0</v>
      </c>
      <c r="I102" s="452" t="s">
        <v>1020</v>
      </c>
      <c r="J102" s="622" t="str">
        <f t="array" ref="J102">IFERROR(INDEX(UtilityList!$H$4:$H$251,MATCH('Table 2.1a'!$A102&amp;'Table 2.1a'!$B102&amp;'Table 2.1a'!$C102,UtilityList!$A$4:$A$251&amp;UtilityList!$B$4:$B$251&amp;UtilityList!$C$4:$C$251,0)),"")</f>
        <v>PCE Ineligible</v>
      </c>
      <c r="K102" s="709" t="str">
        <f t="array" ref="K102">IFERROR(INDEX(UtilityList!$Q$4:$Q$251,MATCH('Table 2.1a'!$A102&amp;'Table 2.1a'!$B102&amp;'Table 2.1a'!$C102,UtilityList!$A$4:$A$251&amp;UtilityList!$B$4:$B$251&amp;UtilityList!$C$4:$C$251,0)),"")</f>
        <v xml:space="preserve"> Aurora Energy LLC is an independent power producer that sells all its power to GVEA.</v>
      </c>
      <c r="L102" s="622" t="str">
        <f t="array" ref="L102">IFERROR(INDEX(UtilityList!$I$4:$I$251,MATCH('Table 2.1a'!$A102&amp;'Table 2.1a'!$B102&amp;'Table 2.1a'!$C102,UtilityList!$A$4:$A$251&amp;UtilityList!$B$4:$B$251&amp;UtilityList!$C$4:$C$251,0)),"")</f>
        <v>AURORA</v>
      </c>
      <c r="M102" s="369" t="str">
        <f t="array" ref="M102">IFERROR(INDEX(UtilityList!$J$4:$J$251,MATCH('Table 2.1a'!$A102&amp;'Table 2.1a'!$B102&amp;'Table 2.1a'!$C102,UtilityList!$A$4:$A$251&amp;UtilityList!$B$4:$B$251&amp;UtilityList!$C$4:$C$251,0)),"")</f>
        <v>Railbelt</v>
      </c>
      <c r="N102" s="369" t="str">
        <f t="array" ref="N102">IFERROR(INDEX(UtilityList!$K$4:$K$251,MATCH('Table 2.1a'!$A102&amp;'Table 2.1a'!$B102&amp;'Table 2.1a'!$C102,UtilityList!$A$4:$A$251&amp;UtilityList!$B$4:$B$251&amp;UtilityList!$C$4:$C$251,0)),"")</f>
        <v>Fairbanks North Star</v>
      </c>
      <c r="O102" s="369" t="str">
        <f t="array" ref="O102">IFERROR(INDEX(UtilityList!$L$4:$L$251,MATCH('Table 2.1a'!$A102&amp;'Table 2.1a'!$B102&amp;'Table 2.1a'!$C102,UtilityList!$A$4:$A$251&amp;UtilityList!$B$4:$B$251&amp;UtilityList!$C$4:$C$251,0)),"")</f>
        <v>Doyon</v>
      </c>
      <c r="P102" s="369" t="str">
        <f t="array" ref="P102">IFERROR(INDEX(UtilityList!$M$4:$M$251,MATCH('Table 2.1a'!$A102&amp;'Table 2.1a'!$B102&amp;'Table 2.1a'!$C102,UtilityList!$A$4:$A$251&amp;UtilityList!$B$4:$B$251&amp;UtilityList!$C$4:$C$251,0)),"")</f>
        <v>YU</v>
      </c>
    </row>
    <row r="103" spans="1:16" s="344" customFormat="1" ht="75" x14ac:dyDescent="0.25">
      <c r="A103" s="619" t="s">
        <v>671</v>
      </c>
      <c r="B103" s="361" t="s">
        <v>639</v>
      </c>
      <c r="C103" s="350" t="s">
        <v>276</v>
      </c>
      <c r="D103" s="620">
        <v>1170</v>
      </c>
      <c r="E103" s="621">
        <v>0</v>
      </c>
      <c r="F103" s="621">
        <v>0</v>
      </c>
      <c r="G103" s="621">
        <v>0</v>
      </c>
      <c r="H103" s="621">
        <v>1170</v>
      </c>
      <c r="I103" s="452" t="s">
        <v>1021</v>
      </c>
      <c r="J103" s="622" t="str">
        <f t="array" ref="J103">IFERROR(INDEX(UtilityList!$H$4:$H$251,MATCH('Table 2.1a'!$A103&amp;'Table 2.1a'!$B103&amp;'Table 2.1a'!$C103,UtilityList!$A$4:$A$251&amp;UtilityList!$B$4:$B$251&amp;UtilityList!$C$4:$C$251,0)),"")</f>
        <v>PCE Eligible Active</v>
      </c>
      <c r="K103" s="709" t="str">
        <f t="array" ref="K103">IFERROR(INDEX(UtilityList!$Q$4:$Q$251,MATCH('Table 2.1a'!$A103&amp;'Table 2.1a'!$B103&amp;'Table 2.1a'!$C103,UtilityList!$A$4:$A$251&amp;UtilityList!$B$4:$B$251&amp;UtilityList!$C$4:$C$251,0)),"")</f>
        <v>Banner Wind, LLC. is an independent power proucer, who sells all its power to Nome Joint Utility Systems.</v>
      </c>
      <c r="L103" s="622">
        <f t="array" ref="L103">IFERROR(INDEX(UtilityList!$I$4:$I$251,MATCH('Table 2.1a'!$A103&amp;'Table 2.1a'!$B103&amp;'Table 2.1a'!$C103,UtilityList!$A$4:$A$251&amp;UtilityList!$B$4:$B$251&amp;UtilityList!$C$4:$C$251,0)),"")</f>
        <v>0</v>
      </c>
      <c r="M103" s="369" t="str">
        <f t="array" ref="M103">IFERROR(INDEX(UtilityList!$J$4:$J$251,MATCH('Table 2.1a'!$A103&amp;'Table 2.1a'!$B103&amp;'Table 2.1a'!$C103,UtilityList!$A$4:$A$251&amp;UtilityList!$B$4:$B$251&amp;UtilityList!$C$4:$C$251,0)),"")</f>
        <v>Bering Straits</v>
      </c>
      <c r="N103" s="369" t="str">
        <f t="array" ref="N103">IFERROR(INDEX(UtilityList!$K$4:$K$251,MATCH('Table 2.1a'!$A103&amp;'Table 2.1a'!$B103&amp;'Table 2.1a'!$C103,UtilityList!$A$4:$A$251&amp;UtilityList!$B$4:$B$251&amp;UtilityList!$C$4:$C$251,0)),"")</f>
        <v>Nome (CA)</v>
      </c>
      <c r="O103" s="369" t="str">
        <f t="array" ref="O103">IFERROR(INDEX(UtilityList!$L$4:$L$251,MATCH('Table 2.1a'!$A103&amp;'Table 2.1a'!$B103&amp;'Table 2.1a'!$C103,UtilityList!$A$4:$A$251&amp;UtilityList!$B$4:$B$251&amp;UtilityList!$C$4:$C$251,0)),"")</f>
        <v>Bering Straits</v>
      </c>
      <c r="P103" s="369" t="str">
        <f t="array" ref="P103">IFERROR(INDEX(UtilityList!$M$4:$M$251,MATCH('Table 2.1a'!$A103&amp;'Table 2.1a'!$B103&amp;'Table 2.1a'!$C103,UtilityList!$A$4:$A$251&amp;UtilityList!$B$4:$B$251&amp;UtilityList!$C$4:$C$251,0)),"")</f>
        <v>AN</v>
      </c>
    </row>
    <row r="104" spans="1:16" s="344" customFormat="1" x14ac:dyDescent="0.25">
      <c r="A104" s="619" t="s">
        <v>570</v>
      </c>
      <c r="B104" s="361" t="s">
        <v>133</v>
      </c>
      <c r="C104" s="350" t="s">
        <v>133</v>
      </c>
      <c r="D104" s="620">
        <v>20300</v>
      </c>
      <c r="E104" s="621">
        <v>17300</v>
      </c>
      <c r="F104" s="621">
        <v>3000</v>
      </c>
      <c r="G104" s="621">
        <v>0</v>
      </c>
      <c r="H104" s="621">
        <v>0</v>
      </c>
      <c r="I104" s="452" t="s">
        <v>1020</v>
      </c>
      <c r="J104" s="622" t="str">
        <f t="array" ref="J104">IFERROR(INDEX(UtilityList!$H$4:$H$251,MATCH('Table 2.1a'!$A104&amp;'Table 2.1a'!$B104&amp;'Table 2.1a'!$C104,UtilityList!$A$4:$A$251&amp;UtilityList!$B$4:$B$251&amp;UtilityList!$C$4:$C$251,0)),"")</f>
        <v>PCE Ineligible</v>
      </c>
      <c r="K104" s="709">
        <f t="array" ref="K104">IFERROR(INDEX(UtilityList!$Q$4:$Q$251,MATCH('Table 2.1a'!$A104&amp;'Table 2.1a'!$B104&amp;'Table 2.1a'!$C104,UtilityList!$A$4:$A$251&amp;UtilityList!$B$4:$B$251&amp;UtilityList!$C$4:$C$251,0)),"")</f>
        <v>0</v>
      </c>
      <c r="L104" s="622">
        <f t="array" ref="L104">IFERROR(INDEX(UtilityList!$I$4:$I$251,MATCH('Table 2.1a'!$A104&amp;'Table 2.1a'!$B104&amp;'Table 2.1a'!$C104,UtilityList!$A$4:$A$251&amp;UtilityList!$B$4:$B$251&amp;UtilityList!$C$4:$C$251,0)),"")</f>
        <v>0</v>
      </c>
      <c r="M104" s="369" t="str">
        <f t="array" ref="M104">IFERROR(INDEX(UtilityList!$J$4:$J$251,MATCH('Table 2.1a'!$A104&amp;'Table 2.1a'!$B104&amp;'Table 2.1a'!$C104,UtilityList!$A$4:$A$251&amp;UtilityList!$B$4:$B$251&amp;UtilityList!$C$4:$C$251,0)),"")</f>
        <v>North Slope</v>
      </c>
      <c r="N104" s="369" t="str">
        <f t="array" ref="N104">IFERROR(INDEX(UtilityList!$K$4:$K$251,MATCH('Table 2.1a'!$A104&amp;'Table 2.1a'!$B104&amp;'Table 2.1a'!$C104,UtilityList!$A$4:$A$251&amp;UtilityList!$B$4:$B$251&amp;UtilityList!$C$4:$C$251,0)),"")</f>
        <v>North Slope</v>
      </c>
      <c r="O104" s="369" t="str">
        <f t="array" ref="O104">IFERROR(INDEX(UtilityList!$L$4:$L$251,MATCH('Table 2.1a'!$A104&amp;'Table 2.1a'!$B104&amp;'Table 2.1a'!$C104,UtilityList!$A$4:$A$251&amp;UtilityList!$B$4:$B$251&amp;UtilityList!$C$4:$C$251,0)),"")</f>
        <v>Arctic Slope</v>
      </c>
      <c r="P104" s="369" t="str">
        <f t="array" ref="P104">IFERROR(INDEX(UtilityList!$M$4:$M$251,MATCH('Table 2.1a'!$A104&amp;'Table 2.1a'!$B104&amp;'Table 2.1a'!$C104,UtilityList!$A$4:$A$251&amp;UtilityList!$B$4:$B$251&amp;UtilityList!$C$4:$C$251,0)),"")</f>
        <v>AN</v>
      </c>
    </row>
    <row r="105" spans="1:16" s="344" customFormat="1" x14ac:dyDescent="0.25">
      <c r="A105" s="619" t="s">
        <v>134</v>
      </c>
      <c r="B105" s="361" t="s">
        <v>135</v>
      </c>
      <c r="C105" s="350" t="s">
        <v>135</v>
      </c>
      <c r="D105" s="620">
        <v>244</v>
      </c>
      <c r="E105" s="621">
        <v>0</v>
      </c>
      <c r="F105" s="621">
        <v>244</v>
      </c>
      <c r="G105" s="621">
        <v>0</v>
      </c>
      <c r="H105" s="621">
        <v>0</v>
      </c>
      <c r="I105" s="452" t="s">
        <v>1022</v>
      </c>
      <c r="J105" s="622" t="str">
        <f t="array" ref="J105">IFERROR(INDEX(UtilityList!$H$4:$H$251,MATCH('Table 2.1a'!$A105&amp;'Table 2.1a'!$B105&amp;'Table 2.1a'!$C105,UtilityList!$A$4:$A$251&amp;UtilityList!$B$4:$B$251&amp;UtilityList!$C$4:$C$251,0)),"")</f>
        <v>PCE Eligible Active</v>
      </c>
      <c r="K105" s="709">
        <f t="array" ref="K105">IFERROR(INDEX(UtilityList!$Q$4:$Q$251,MATCH('Table 2.1a'!$A105&amp;'Table 2.1a'!$B105&amp;'Table 2.1a'!$C105,UtilityList!$A$4:$A$251&amp;UtilityList!$B$4:$B$251&amp;UtilityList!$C$4:$C$251,0)),"")</f>
        <v>0</v>
      </c>
      <c r="L105" s="622" t="str">
        <f t="array" ref="L105">IFERROR(INDEX(UtilityList!$I$4:$I$251,MATCH('Table 2.1a'!$A105&amp;'Table 2.1a'!$B105&amp;'Table 2.1a'!$C105,UtilityList!$A$4:$A$251&amp;UtilityList!$B$4:$B$251&amp;UtilityList!$C$4:$C$251,0)),"")</f>
        <v>BEAVJU</v>
      </c>
      <c r="M105" s="369" t="str">
        <f t="array" ref="M105">IFERROR(INDEX(UtilityList!$J$4:$J$251,MATCH('Table 2.1a'!$A105&amp;'Table 2.1a'!$B105&amp;'Table 2.1a'!$C105,UtilityList!$A$4:$A$251&amp;UtilityList!$B$4:$B$251&amp;UtilityList!$C$4:$C$251,0)),"")</f>
        <v>Yukon-Koyukuk/Upper Tanana</v>
      </c>
      <c r="N105" s="369" t="str">
        <f t="array" ref="N105">IFERROR(INDEX(UtilityList!$K$4:$K$251,MATCH('Table 2.1a'!$A105&amp;'Table 2.1a'!$B105&amp;'Table 2.1a'!$C105,UtilityList!$A$4:$A$251&amp;UtilityList!$B$4:$B$251&amp;UtilityList!$C$4:$C$251,0)),"")</f>
        <v>Yukon-Koyukuk (CA)</v>
      </c>
      <c r="O105" s="369" t="str">
        <f t="array" ref="O105">IFERROR(INDEX(UtilityList!$L$4:$L$251,MATCH('Table 2.1a'!$A105&amp;'Table 2.1a'!$B105&amp;'Table 2.1a'!$C105,UtilityList!$A$4:$A$251&amp;UtilityList!$B$4:$B$251&amp;UtilityList!$C$4:$C$251,0)),"")</f>
        <v>Doyon</v>
      </c>
      <c r="P105" s="369" t="str">
        <f t="array" ref="P105">IFERROR(INDEX(UtilityList!$M$4:$M$251,MATCH('Table 2.1a'!$A105&amp;'Table 2.1a'!$B105&amp;'Table 2.1a'!$C105,UtilityList!$A$4:$A$251&amp;UtilityList!$B$4:$B$251&amp;UtilityList!$C$4:$C$251,0)),"")</f>
        <v>YU</v>
      </c>
    </row>
    <row r="106" spans="1:16" s="344" customFormat="1" ht="105" x14ac:dyDescent="0.25">
      <c r="A106" s="619" t="s">
        <v>502</v>
      </c>
      <c r="B106" s="361" t="s">
        <v>136</v>
      </c>
      <c r="C106" s="350" t="s">
        <v>679</v>
      </c>
      <c r="D106" s="620">
        <v>12600</v>
      </c>
      <c r="E106" s="621">
        <v>0</v>
      </c>
      <c r="F106" s="621">
        <v>12600</v>
      </c>
      <c r="G106" s="621">
        <v>0</v>
      </c>
      <c r="H106" s="621">
        <v>0</v>
      </c>
      <c r="I106" s="452" t="s">
        <v>1020</v>
      </c>
      <c r="J106" s="622" t="str">
        <f t="array" ref="J106">IFERROR(INDEX(UtilityList!$H$4:$H$251,MATCH('Table 2.1a'!$A106&amp;'Table 2.1a'!$B106&amp;'Table 2.1a'!$C106,UtilityList!$A$4:$A$251&amp;UtilityList!$B$4:$B$251&amp;UtilityList!$C$4:$C$251,0)),"")</f>
        <v>PCE Eligible Active</v>
      </c>
      <c r="K106" s="709" t="str">
        <f t="array" ref="K106">IFERROR(INDEX(UtilityList!$Q$4:$Q$251,MATCH('Table 2.1a'!$A106&amp;'Table 2.1a'!$B106&amp;'Table 2.1a'!$C106,UtilityList!$A$4:$A$251&amp;UtilityList!$B$4:$B$251&amp;UtilityList!$C$4:$C$251,0)),"")</f>
        <v>Provides power to Oscarville and sells power to Napakiak Ircinraq via intertie. Data includes Oscarville's information.</v>
      </c>
      <c r="L106" s="622" t="str">
        <f t="array" ref="L106">IFERROR(INDEX(UtilityList!$I$4:$I$251,MATCH('Table 2.1a'!$A106&amp;'Table 2.1a'!$B106&amp;'Table 2.1a'!$C106,UtilityList!$A$4:$A$251&amp;UtilityList!$B$4:$B$251&amp;UtilityList!$C$4:$C$251,0)),"")</f>
        <v>BETHUC</v>
      </c>
      <c r="M106" s="369" t="str">
        <f t="array" ref="M106">IFERROR(INDEX(UtilityList!$J$4:$J$251,MATCH('Table 2.1a'!$A106&amp;'Table 2.1a'!$B106&amp;'Table 2.1a'!$C106,UtilityList!$A$4:$A$251&amp;UtilityList!$B$4:$B$251&amp;UtilityList!$C$4:$C$251,0)),"")</f>
        <v>Lower Yukon-Kuskokwim</v>
      </c>
      <c r="N106" s="369" t="str">
        <f t="array" ref="N106">IFERROR(INDEX(UtilityList!$K$4:$K$251,MATCH('Table 2.1a'!$A106&amp;'Table 2.1a'!$B106&amp;'Table 2.1a'!$C106,UtilityList!$A$4:$A$251&amp;UtilityList!$B$4:$B$251&amp;UtilityList!$C$4:$C$251,0)),"")</f>
        <v>Bethel (CA)</v>
      </c>
      <c r="O106" s="369" t="str">
        <f t="array" ref="O106">IFERROR(INDEX(UtilityList!$L$4:$L$251,MATCH('Table 2.1a'!$A106&amp;'Table 2.1a'!$B106&amp;'Table 2.1a'!$C106,UtilityList!$A$4:$A$251&amp;UtilityList!$B$4:$B$251&amp;UtilityList!$C$4:$C$251,0)),"")</f>
        <v>Calista</v>
      </c>
      <c r="P106" s="369" t="str">
        <f t="array" ref="P106">IFERROR(INDEX(UtilityList!$M$4:$M$251,MATCH('Table 2.1a'!$A106&amp;'Table 2.1a'!$B106&amp;'Table 2.1a'!$C106,UtilityList!$A$4:$A$251&amp;UtilityList!$B$4:$B$251&amp;UtilityList!$C$4:$C$251,0)),"")</f>
        <v>SW</v>
      </c>
    </row>
    <row r="107" spans="1:16" s="344" customFormat="1" x14ac:dyDescent="0.25">
      <c r="A107" s="619" t="s">
        <v>137</v>
      </c>
      <c r="B107" s="361" t="s">
        <v>138</v>
      </c>
      <c r="C107" s="350" t="s">
        <v>138</v>
      </c>
      <c r="D107" s="620">
        <v>28</v>
      </c>
      <c r="E107" s="621">
        <v>0</v>
      </c>
      <c r="F107" s="621">
        <v>28</v>
      </c>
      <c r="G107" s="621">
        <v>0</v>
      </c>
      <c r="H107" s="621">
        <v>0</v>
      </c>
      <c r="I107" s="452" t="s">
        <v>1022</v>
      </c>
      <c r="J107" s="622" t="str">
        <f t="array" ref="J107">IFERROR(INDEX(UtilityList!$H$4:$H$251,MATCH('Table 2.1a'!$A107&amp;'Table 2.1a'!$B107&amp;'Table 2.1a'!$C107,UtilityList!$A$4:$A$251&amp;UtilityList!$B$4:$B$251&amp;UtilityList!$C$4:$C$251,0)),"")</f>
        <v>PCE Eligible Inactive</v>
      </c>
      <c r="K107" s="709">
        <f t="array" ref="K107">IFERROR(INDEX(UtilityList!$Q$4:$Q$251,MATCH('Table 2.1a'!$A107&amp;'Table 2.1a'!$B107&amp;'Table 2.1a'!$C107,UtilityList!$A$4:$A$251&amp;UtilityList!$B$4:$B$251&amp;UtilityList!$C$4:$C$251,0)),"")</f>
        <v>0</v>
      </c>
      <c r="L107" s="622">
        <f t="array" ref="L107">IFERROR(INDEX(UtilityList!$I$4:$I$251,MATCH('Table 2.1a'!$A107&amp;'Table 2.1a'!$B107&amp;'Table 2.1a'!$C107,UtilityList!$A$4:$A$251&amp;UtilityList!$B$4:$B$251&amp;UtilityList!$C$4:$C$251,0)),"")</f>
        <v>0</v>
      </c>
      <c r="M107" s="369" t="str">
        <f t="array" ref="M107">IFERROR(INDEX(UtilityList!$J$4:$J$251,MATCH('Table 2.1a'!$A107&amp;'Table 2.1a'!$B107&amp;'Table 2.1a'!$C107,UtilityList!$A$4:$A$251&amp;UtilityList!$B$4:$B$251&amp;UtilityList!$C$4:$C$251,0)),"")</f>
        <v>Yukon-Koyukuk/Upper Tanana</v>
      </c>
      <c r="N107" s="369" t="str">
        <f t="array" ref="N107">IFERROR(INDEX(UtilityList!$K$4:$K$251,MATCH('Table 2.1a'!$A107&amp;'Table 2.1a'!$B107&amp;'Table 2.1a'!$C107,UtilityList!$A$4:$A$251&amp;UtilityList!$B$4:$B$251&amp;UtilityList!$C$4:$C$251,0)),"")</f>
        <v>Yukon-Koyukuk (CA)</v>
      </c>
      <c r="O107" s="369" t="str">
        <f t="array" ref="O107">IFERROR(INDEX(UtilityList!$L$4:$L$251,MATCH('Table 2.1a'!$A107&amp;'Table 2.1a'!$B107&amp;'Table 2.1a'!$C107,UtilityList!$A$4:$A$251&amp;UtilityList!$B$4:$B$251&amp;UtilityList!$C$4:$C$251,0)),"")</f>
        <v>Doyon</v>
      </c>
      <c r="P107" s="369" t="str">
        <f t="array" ref="P107">IFERROR(INDEX(UtilityList!$M$4:$M$251,MATCH('Table 2.1a'!$A107&amp;'Table 2.1a'!$B107&amp;'Table 2.1a'!$C107,UtilityList!$A$4:$A$251&amp;UtilityList!$B$4:$B$251&amp;UtilityList!$C$4:$C$251,0)),"")</f>
        <v>YU</v>
      </c>
    </row>
    <row r="108" spans="1:16" s="344" customFormat="1" x14ac:dyDescent="0.25">
      <c r="A108" s="619" t="s">
        <v>139</v>
      </c>
      <c r="B108" s="361" t="s">
        <v>140</v>
      </c>
      <c r="C108" s="350" t="s">
        <v>140</v>
      </c>
      <c r="D108" s="620">
        <v>1152</v>
      </c>
      <c r="E108" s="621">
        <v>0</v>
      </c>
      <c r="F108" s="621">
        <v>1152</v>
      </c>
      <c r="G108" s="621">
        <v>0</v>
      </c>
      <c r="H108" s="621">
        <v>0</v>
      </c>
      <c r="I108" s="452" t="s">
        <v>1022</v>
      </c>
      <c r="J108" s="622" t="str">
        <f t="array" ref="J108">IFERROR(INDEX(UtilityList!$H$4:$H$251,MATCH('Table 2.1a'!$A108&amp;'Table 2.1a'!$B108&amp;'Table 2.1a'!$C108,UtilityList!$A$4:$A$251&amp;UtilityList!$B$4:$B$251&amp;UtilityList!$C$4:$C$251,0)),"")</f>
        <v>PCE Eligible Active</v>
      </c>
      <c r="K108" s="709">
        <f t="array" ref="K108">IFERROR(INDEX(UtilityList!$Q$4:$Q$251,MATCH('Table 2.1a'!$A108&amp;'Table 2.1a'!$B108&amp;'Table 2.1a'!$C108,UtilityList!$A$4:$A$251&amp;UtilityList!$B$4:$B$251&amp;UtilityList!$C$4:$C$251,0)),"")</f>
        <v>0</v>
      </c>
      <c r="L108" s="622" t="str">
        <f t="array" ref="L108">IFERROR(INDEX(UtilityList!$I$4:$I$251,MATCH('Table 2.1a'!$A108&amp;'Table 2.1a'!$B108&amp;'Table 2.1a'!$C108,UtilityList!$A$4:$A$251&amp;UtilityList!$B$4:$B$251&amp;UtilityList!$C$4:$C$251,0)),"")</f>
        <v>BUCK</v>
      </c>
      <c r="M108" s="369" t="str">
        <f t="array" ref="M108">IFERROR(INDEX(UtilityList!$J$4:$J$251,MATCH('Table 2.1a'!$A108&amp;'Table 2.1a'!$B108&amp;'Table 2.1a'!$C108,UtilityList!$A$4:$A$251&amp;UtilityList!$B$4:$B$251&amp;UtilityList!$C$4:$C$251,0)),"")</f>
        <v>Northwest Arctic</v>
      </c>
      <c r="N108" s="369" t="str">
        <f t="array" ref="N108">IFERROR(INDEX(UtilityList!$K$4:$K$251,MATCH('Table 2.1a'!$A108&amp;'Table 2.1a'!$B108&amp;'Table 2.1a'!$C108,UtilityList!$A$4:$A$251&amp;UtilityList!$B$4:$B$251&amp;UtilityList!$C$4:$C$251,0)),"")</f>
        <v>Northwest Arctic</v>
      </c>
      <c r="O108" s="369" t="str">
        <f t="array" ref="O108">IFERROR(INDEX(UtilityList!$L$4:$L$251,MATCH('Table 2.1a'!$A108&amp;'Table 2.1a'!$B108&amp;'Table 2.1a'!$C108,UtilityList!$A$4:$A$251&amp;UtilityList!$B$4:$B$251&amp;UtilityList!$C$4:$C$251,0)),"")</f>
        <v>NANA</v>
      </c>
      <c r="P108" s="369" t="str">
        <f t="array" ref="P108">IFERROR(INDEX(UtilityList!$M$4:$M$251,MATCH('Table 2.1a'!$A108&amp;'Table 2.1a'!$B108&amp;'Table 2.1a'!$C108,UtilityList!$A$4:$A$251&amp;UtilityList!$B$4:$B$251&amp;UtilityList!$C$4:$C$251,0)),"")</f>
        <v>AN</v>
      </c>
    </row>
    <row r="109" spans="1:16" s="344" customFormat="1" x14ac:dyDescent="0.25">
      <c r="A109" s="619" t="s">
        <v>141</v>
      </c>
      <c r="B109" s="361" t="s">
        <v>142</v>
      </c>
      <c r="C109" s="350" t="s">
        <v>142</v>
      </c>
      <c r="D109" s="620">
        <v>307</v>
      </c>
      <c r="E109" s="621">
        <v>0</v>
      </c>
      <c r="F109" s="621">
        <v>307</v>
      </c>
      <c r="G109" s="621">
        <v>0</v>
      </c>
      <c r="H109" s="621">
        <v>0</v>
      </c>
      <c r="I109" s="452" t="s">
        <v>1022</v>
      </c>
      <c r="J109" s="622" t="str">
        <f t="array" ref="J109">IFERROR(INDEX(UtilityList!$H$4:$H$251,MATCH('Table 2.1a'!$A109&amp;'Table 2.1a'!$B109&amp;'Table 2.1a'!$C109,UtilityList!$A$4:$A$251&amp;UtilityList!$B$4:$B$251&amp;UtilityList!$C$4:$C$251,0)),"")</f>
        <v>PCE Eligible Active</v>
      </c>
      <c r="K109" s="709">
        <f t="array" ref="K109">IFERROR(INDEX(UtilityList!$Q$4:$Q$251,MATCH('Table 2.1a'!$A109&amp;'Table 2.1a'!$B109&amp;'Table 2.1a'!$C109,UtilityList!$A$4:$A$251&amp;UtilityList!$B$4:$B$251&amp;UtilityList!$C$4:$C$251,0)),"")</f>
        <v>0</v>
      </c>
      <c r="L109" s="622" t="str">
        <f t="array" ref="L109">IFERROR(INDEX(UtilityList!$I$4:$I$251,MATCH('Table 2.1a'!$A109&amp;'Table 2.1a'!$B109&amp;'Table 2.1a'!$C109,UtilityList!$A$4:$A$251&amp;UtilityList!$B$4:$B$251&amp;UtilityList!$C$4:$C$251,0)),"")</f>
        <v>CHALVC</v>
      </c>
      <c r="M109" s="369" t="str">
        <f t="array" ref="M109">IFERROR(INDEX(UtilityList!$J$4:$J$251,MATCH('Table 2.1a'!$A109&amp;'Table 2.1a'!$B109&amp;'Table 2.1a'!$C109,UtilityList!$A$4:$A$251&amp;UtilityList!$B$4:$B$251&amp;UtilityList!$C$4:$C$251,0)),"")</f>
        <v>Yukon-Koyukuk/Upper Tanana</v>
      </c>
      <c r="N109" s="369" t="str">
        <f t="array" ref="N109">IFERROR(INDEX(UtilityList!$K$4:$K$251,MATCH('Table 2.1a'!$A109&amp;'Table 2.1a'!$B109&amp;'Table 2.1a'!$C109,UtilityList!$A$4:$A$251&amp;UtilityList!$B$4:$B$251&amp;UtilityList!$C$4:$C$251,0)),"")</f>
        <v>Yukon-Koyukuk (CA)</v>
      </c>
      <c r="O109" s="369" t="str">
        <f t="array" ref="O109">IFERROR(INDEX(UtilityList!$L$4:$L$251,MATCH('Table 2.1a'!$A109&amp;'Table 2.1a'!$B109&amp;'Table 2.1a'!$C109,UtilityList!$A$4:$A$251&amp;UtilityList!$B$4:$B$251&amp;UtilityList!$C$4:$C$251,0)),"")</f>
        <v>Doyon</v>
      </c>
      <c r="P109" s="369" t="str">
        <f t="array" ref="P109">IFERROR(INDEX(UtilityList!$M$4:$M$251,MATCH('Table 2.1a'!$A109&amp;'Table 2.1a'!$B109&amp;'Table 2.1a'!$C109,UtilityList!$A$4:$A$251&amp;UtilityList!$B$4:$B$251&amp;UtilityList!$C$4:$C$251,0)),"")</f>
        <v>YU</v>
      </c>
    </row>
    <row r="110" spans="1:16" s="344" customFormat="1" x14ac:dyDescent="0.25">
      <c r="A110" s="619" t="s">
        <v>143</v>
      </c>
      <c r="B110" s="361" t="s">
        <v>144</v>
      </c>
      <c r="C110" s="350" t="s">
        <v>144</v>
      </c>
      <c r="D110" s="620">
        <v>198</v>
      </c>
      <c r="E110" s="621">
        <v>0</v>
      </c>
      <c r="F110" s="621">
        <v>198</v>
      </c>
      <c r="G110" s="621">
        <v>0</v>
      </c>
      <c r="H110" s="621">
        <v>0</v>
      </c>
      <c r="I110" s="452" t="s">
        <v>1022</v>
      </c>
      <c r="J110" s="622" t="str">
        <f t="array" ref="J110">IFERROR(INDEX(UtilityList!$H$4:$H$251,MATCH('Table 2.1a'!$A110&amp;'Table 2.1a'!$B110&amp;'Table 2.1a'!$C110,UtilityList!$A$4:$A$251&amp;UtilityList!$B$4:$B$251&amp;UtilityList!$C$4:$C$251,0)),"")</f>
        <v>PCE Eligible Active</v>
      </c>
      <c r="K110" s="709">
        <f t="array" ref="K110">IFERROR(INDEX(UtilityList!$Q$4:$Q$251,MATCH('Table 2.1a'!$A110&amp;'Table 2.1a'!$B110&amp;'Table 2.1a'!$C110,UtilityList!$A$4:$A$251&amp;UtilityList!$B$4:$B$251&amp;UtilityList!$C$4:$C$251,0)),"")</f>
        <v>0</v>
      </c>
      <c r="L110" s="622" t="str">
        <f t="array" ref="L110">IFERROR(INDEX(UtilityList!$I$4:$I$251,MATCH('Table 2.1a'!$A110&amp;'Table 2.1a'!$B110&amp;'Table 2.1a'!$C110,UtilityList!$A$4:$A$251&amp;UtilityList!$B$4:$B$251&amp;UtilityList!$C$4:$C$251,0)),"")</f>
        <v>CHENVC</v>
      </c>
      <c r="M110" s="369" t="str">
        <f t="array" ref="M110">IFERROR(INDEX(UtilityList!$J$4:$J$251,MATCH('Table 2.1a'!$A110&amp;'Table 2.1a'!$B110&amp;'Table 2.1a'!$C110,UtilityList!$A$4:$A$251&amp;UtilityList!$B$4:$B$251&amp;UtilityList!$C$4:$C$251,0)),"")</f>
        <v>Copper River/Chugach</v>
      </c>
      <c r="N110" s="369" t="str">
        <f t="array" ref="N110">IFERROR(INDEX(UtilityList!$K$4:$K$251,MATCH('Table 2.1a'!$A110&amp;'Table 2.1a'!$B110&amp;'Table 2.1a'!$C110,UtilityList!$A$4:$A$251&amp;UtilityList!$B$4:$B$251&amp;UtilityList!$C$4:$C$251,0)),"")</f>
        <v>Valdez-Cordova (CA)</v>
      </c>
      <c r="O110" s="369" t="str">
        <f t="array" ref="O110">IFERROR(INDEX(UtilityList!$L$4:$L$251,MATCH('Table 2.1a'!$A110&amp;'Table 2.1a'!$B110&amp;'Table 2.1a'!$C110,UtilityList!$A$4:$A$251&amp;UtilityList!$B$4:$B$251&amp;UtilityList!$C$4:$C$251,0)),"")</f>
        <v>Chugach</v>
      </c>
      <c r="P110" s="369" t="str">
        <f t="array" ref="P110">IFERROR(INDEX(UtilityList!$M$4:$M$251,MATCH('Table 2.1a'!$A110&amp;'Table 2.1a'!$B110&amp;'Table 2.1a'!$C110,UtilityList!$A$4:$A$251&amp;UtilityList!$B$4:$B$251&amp;UtilityList!$C$4:$C$251,0)),"")</f>
        <v>SC</v>
      </c>
    </row>
    <row r="111" spans="1:16" s="344" customFormat="1" x14ac:dyDescent="0.25">
      <c r="A111" s="619" t="s">
        <v>145</v>
      </c>
      <c r="B111" s="361" t="s">
        <v>146</v>
      </c>
      <c r="C111" s="350" t="s">
        <v>146</v>
      </c>
      <c r="D111" s="620">
        <v>453</v>
      </c>
      <c r="E111" s="621">
        <v>0</v>
      </c>
      <c r="F111" s="621">
        <v>453</v>
      </c>
      <c r="G111" s="621">
        <v>0</v>
      </c>
      <c r="H111" s="621">
        <v>0</v>
      </c>
      <c r="I111" s="452" t="s">
        <v>1022</v>
      </c>
      <c r="J111" s="622" t="str">
        <f t="array" ref="J111">IFERROR(INDEX(UtilityList!$H$4:$H$251,MATCH('Table 2.1a'!$A111&amp;'Table 2.1a'!$B111&amp;'Table 2.1a'!$C111,UtilityList!$A$4:$A$251&amp;UtilityList!$B$4:$B$251&amp;UtilityList!$C$4:$C$251,0)),"")</f>
        <v>PCE Eligible Active</v>
      </c>
      <c r="K111" s="709">
        <f t="array" ref="K111">IFERROR(INDEX(UtilityList!$Q$4:$Q$251,MATCH('Table 2.1a'!$A111&amp;'Table 2.1a'!$B111&amp;'Table 2.1a'!$C111,UtilityList!$A$4:$A$251&amp;UtilityList!$B$4:$B$251&amp;UtilityList!$C$4:$C$251,0)),"")</f>
        <v>0</v>
      </c>
      <c r="L111" s="622" t="str">
        <f t="array" ref="L111">IFERROR(INDEX(UtilityList!$I$4:$I$251,MATCH('Table 2.1a'!$A111&amp;'Table 2.1a'!$B111&amp;'Table 2.1a'!$C111,UtilityList!$A$4:$A$251&amp;UtilityList!$B$4:$B$251&amp;UtilityList!$C$4:$C$251,0)),"")</f>
        <v>CHIGLPU</v>
      </c>
      <c r="M111" s="369" t="str">
        <f t="array" ref="M111">IFERROR(INDEX(UtilityList!$J$4:$J$251,MATCH('Table 2.1a'!$A111&amp;'Table 2.1a'!$B111&amp;'Table 2.1a'!$C111,UtilityList!$A$4:$A$251&amp;UtilityList!$B$4:$B$251&amp;UtilityList!$C$4:$C$251,0)),"")</f>
        <v>Bristol Bay</v>
      </c>
      <c r="N111" s="369" t="str">
        <f t="array" ref="N111">IFERROR(INDEX(UtilityList!$K$4:$K$251,MATCH('Table 2.1a'!$A111&amp;'Table 2.1a'!$B111&amp;'Table 2.1a'!$C111,UtilityList!$A$4:$A$251&amp;UtilityList!$B$4:$B$251&amp;UtilityList!$C$4:$C$251,0)),"")</f>
        <v>Lake and Peninsula</v>
      </c>
      <c r="O111" s="369" t="str">
        <f t="array" ref="O111">IFERROR(INDEX(UtilityList!$L$4:$L$251,MATCH('Table 2.1a'!$A111&amp;'Table 2.1a'!$B111&amp;'Table 2.1a'!$C111,UtilityList!$A$4:$A$251&amp;UtilityList!$B$4:$B$251&amp;UtilityList!$C$4:$C$251,0)),"")</f>
        <v>Bristol Bay</v>
      </c>
      <c r="P111" s="369" t="str">
        <f t="array" ref="P111">IFERROR(INDEX(UtilityList!$M$4:$M$251,MATCH('Table 2.1a'!$A111&amp;'Table 2.1a'!$B111&amp;'Table 2.1a'!$C111,UtilityList!$A$4:$A$251&amp;UtilityList!$B$4:$B$251&amp;UtilityList!$C$4:$C$251,0)),"")</f>
        <v>SW</v>
      </c>
    </row>
    <row r="112" spans="1:16" s="344" customFormat="1" x14ac:dyDescent="0.25">
      <c r="A112" s="619" t="s">
        <v>147</v>
      </c>
      <c r="B112" s="361" t="s">
        <v>148</v>
      </c>
      <c r="C112" s="350" t="s">
        <v>148</v>
      </c>
      <c r="D112" s="620">
        <v>442</v>
      </c>
      <c r="E112" s="621">
        <v>0</v>
      </c>
      <c r="F112" s="621">
        <v>442</v>
      </c>
      <c r="G112" s="621">
        <v>0</v>
      </c>
      <c r="H112" s="621">
        <v>0</v>
      </c>
      <c r="I112" s="452" t="s">
        <v>1022</v>
      </c>
      <c r="J112" s="622" t="str">
        <f t="array" ref="J112">IFERROR(INDEX(UtilityList!$H$4:$H$251,MATCH('Table 2.1a'!$A112&amp;'Table 2.1a'!$B112&amp;'Table 2.1a'!$C112,UtilityList!$A$4:$A$251&amp;UtilityList!$B$4:$B$251&amp;UtilityList!$C$4:$C$251,0)),"")</f>
        <v>PCE Eligible Active</v>
      </c>
      <c r="K112" s="709">
        <f t="array" ref="K112">IFERROR(INDEX(UtilityList!$Q$4:$Q$251,MATCH('Table 2.1a'!$A112&amp;'Table 2.1a'!$B112&amp;'Table 2.1a'!$C112,UtilityList!$A$4:$A$251&amp;UtilityList!$B$4:$B$251&amp;UtilityList!$C$4:$C$251,0)),"")</f>
        <v>0</v>
      </c>
      <c r="L112" s="622" t="str">
        <f t="array" ref="L112">IFERROR(INDEX(UtilityList!$I$4:$I$251,MATCH('Table 2.1a'!$A112&amp;'Table 2.1a'!$B112&amp;'Table 2.1a'!$C112,UtilityList!$A$4:$A$251&amp;UtilityList!$B$4:$B$251&amp;UtilityList!$C$4:$C$251,0)),"")</f>
        <v>CHIGLEU</v>
      </c>
      <c r="M112" s="369" t="str">
        <f t="array" ref="M112">IFERROR(INDEX(UtilityList!$J$4:$J$251,MATCH('Table 2.1a'!$A112&amp;'Table 2.1a'!$B112&amp;'Table 2.1a'!$C112,UtilityList!$A$4:$A$251&amp;UtilityList!$B$4:$B$251&amp;UtilityList!$C$4:$C$251,0)),"")</f>
        <v>Bristol Bay</v>
      </c>
      <c r="N112" s="369" t="str">
        <f t="array" ref="N112">IFERROR(INDEX(UtilityList!$K$4:$K$251,MATCH('Table 2.1a'!$A112&amp;'Table 2.1a'!$B112&amp;'Table 2.1a'!$C112,UtilityList!$A$4:$A$251&amp;UtilityList!$B$4:$B$251&amp;UtilityList!$C$4:$C$251,0)),"")</f>
        <v>Lake and Peninsula</v>
      </c>
      <c r="O112" s="369" t="str">
        <f t="array" ref="O112">IFERROR(INDEX(UtilityList!$L$4:$L$251,MATCH('Table 2.1a'!$A112&amp;'Table 2.1a'!$B112&amp;'Table 2.1a'!$C112,UtilityList!$A$4:$A$251&amp;UtilityList!$B$4:$B$251&amp;UtilityList!$C$4:$C$251,0)),"")</f>
        <v>Bristol Bay</v>
      </c>
      <c r="P112" s="369" t="str">
        <f t="array" ref="P112">IFERROR(INDEX(UtilityList!$M$4:$M$251,MATCH('Table 2.1a'!$A112&amp;'Table 2.1a'!$B112&amp;'Table 2.1a'!$C112,UtilityList!$A$4:$A$251&amp;UtilityList!$B$4:$B$251&amp;UtilityList!$C$4:$C$251,0)),"")</f>
        <v>SW</v>
      </c>
    </row>
    <row r="113" spans="1:16" s="344" customFormat="1" x14ac:dyDescent="0.25">
      <c r="A113" s="619" t="s">
        <v>149</v>
      </c>
      <c r="B113" s="361" t="s">
        <v>150</v>
      </c>
      <c r="C113" s="350" t="s">
        <v>150</v>
      </c>
      <c r="D113" s="620">
        <v>575</v>
      </c>
      <c r="E113" s="621">
        <v>0</v>
      </c>
      <c r="F113" s="621">
        <v>575</v>
      </c>
      <c r="G113" s="621">
        <v>0</v>
      </c>
      <c r="H113" s="621">
        <v>0</v>
      </c>
      <c r="I113" s="452" t="s">
        <v>1022</v>
      </c>
      <c r="J113" s="622" t="str">
        <f t="array" ref="J113">IFERROR(INDEX(UtilityList!$H$4:$H$251,MATCH('Table 2.1a'!$A113&amp;'Table 2.1a'!$B113&amp;'Table 2.1a'!$C113,UtilityList!$A$4:$A$251&amp;UtilityList!$B$4:$B$251&amp;UtilityList!$C$4:$C$251,0)),"")</f>
        <v>PCE Eligible Active</v>
      </c>
      <c r="K113" s="709">
        <f t="array" ref="K113">IFERROR(INDEX(UtilityList!$Q$4:$Q$251,MATCH('Table 2.1a'!$A113&amp;'Table 2.1a'!$B113&amp;'Table 2.1a'!$C113,UtilityList!$A$4:$A$251&amp;UtilityList!$B$4:$B$251&amp;UtilityList!$C$4:$C$251,0)),"")</f>
        <v>0</v>
      </c>
      <c r="L113" s="622" t="str">
        <f t="array" ref="L113">IFERROR(INDEX(UtilityList!$I$4:$I$251,MATCH('Table 2.1a'!$A113&amp;'Table 2.1a'!$B113&amp;'Table 2.1a'!$C113,UtilityList!$A$4:$A$251&amp;UtilityList!$B$4:$B$251&amp;UtilityList!$C$4:$C$251,0)),"")</f>
        <v>CHIG</v>
      </c>
      <c r="M113" s="369" t="str">
        <f t="array" ref="M113">IFERROR(INDEX(UtilityList!$J$4:$J$251,MATCH('Table 2.1a'!$A113&amp;'Table 2.1a'!$B113&amp;'Table 2.1a'!$C113,UtilityList!$A$4:$A$251&amp;UtilityList!$B$4:$B$251&amp;UtilityList!$C$4:$C$251,0)),"")</f>
        <v>Bristol Bay</v>
      </c>
      <c r="N113" s="369" t="str">
        <f t="array" ref="N113">IFERROR(INDEX(UtilityList!$K$4:$K$251,MATCH('Table 2.1a'!$A113&amp;'Table 2.1a'!$B113&amp;'Table 2.1a'!$C113,UtilityList!$A$4:$A$251&amp;UtilityList!$B$4:$B$251&amp;UtilityList!$C$4:$C$251,0)),"")</f>
        <v>Lake and Peninsula</v>
      </c>
      <c r="O113" s="369" t="str">
        <f t="array" ref="O113">IFERROR(INDEX(UtilityList!$L$4:$L$251,MATCH('Table 2.1a'!$A113&amp;'Table 2.1a'!$B113&amp;'Table 2.1a'!$C113,UtilityList!$A$4:$A$251&amp;UtilityList!$B$4:$B$251&amp;UtilityList!$C$4:$C$251,0)),"")</f>
        <v>Bristol Bay</v>
      </c>
      <c r="P113" s="369" t="str">
        <f t="array" ref="P113">IFERROR(INDEX(UtilityList!$M$4:$M$251,MATCH('Table 2.1a'!$A113&amp;'Table 2.1a'!$B113&amp;'Table 2.1a'!$C113,UtilityList!$A$4:$A$251&amp;UtilityList!$B$4:$B$251&amp;UtilityList!$C$4:$C$251,0)),"")</f>
        <v>SW</v>
      </c>
    </row>
    <row r="114" spans="1:16" s="344" customFormat="1" x14ac:dyDescent="0.25">
      <c r="A114" s="619" t="s">
        <v>151</v>
      </c>
      <c r="B114" s="361" t="s">
        <v>152</v>
      </c>
      <c r="C114" s="350" t="s">
        <v>152</v>
      </c>
      <c r="D114" s="620">
        <v>301</v>
      </c>
      <c r="E114" s="621">
        <v>0</v>
      </c>
      <c r="F114" s="621">
        <v>301</v>
      </c>
      <c r="G114" s="621">
        <v>0</v>
      </c>
      <c r="H114" s="621">
        <v>0</v>
      </c>
      <c r="I114" s="452" t="s">
        <v>1022</v>
      </c>
      <c r="J114" s="622" t="str">
        <f t="array" ref="J114">IFERROR(INDEX(UtilityList!$H$4:$H$251,MATCH('Table 2.1a'!$A114&amp;'Table 2.1a'!$B114&amp;'Table 2.1a'!$C114,UtilityList!$A$4:$A$251&amp;UtilityList!$B$4:$B$251&amp;UtilityList!$C$4:$C$251,0)),"")</f>
        <v>PCE Eligible Active</v>
      </c>
      <c r="K114" s="709">
        <f t="array" ref="K114">IFERROR(INDEX(UtilityList!$Q$4:$Q$251,MATCH('Table 2.1a'!$A114&amp;'Table 2.1a'!$B114&amp;'Table 2.1a'!$C114,UtilityList!$A$4:$A$251&amp;UtilityList!$B$4:$B$251&amp;UtilityList!$C$4:$C$251,0)),"")</f>
        <v>0</v>
      </c>
      <c r="L114" s="622" t="str">
        <f t="array" ref="L114">IFERROR(INDEX(UtilityList!$I$4:$I$251,MATCH('Table 2.1a'!$A114&amp;'Table 2.1a'!$B114&amp;'Table 2.1a'!$C114,UtilityList!$A$4:$A$251&amp;UtilityList!$B$4:$B$251&amp;UtilityList!$C$4:$C$251,0)),"")</f>
        <v>CHITE</v>
      </c>
      <c r="M114" s="369" t="str">
        <f t="array" ref="M114">IFERROR(INDEX(UtilityList!$J$4:$J$251,MATCH('Table 2.1a'!$A114&amp;'Table 2.1a'!$B114&amp;'Table 2.1a'!$C114,UtilityList!$A$4:$A$251&amp;UtilityList!$B$4:$B$251&amp;UtilityList!$C$4:$C$251,0)),"")</f>
        <v>Copper River/Chugach</v>
      </c>
      <c r="N114" s="369" t="str">
        <f t="array" ref="N114">IFERROR(INDEX(UtilityList!$K$4:$K$251,MATCH('Table 2.1a'!$A114&amp;'Table 2.1a'!$B114&amp;'Table 2.1a'!$C114,UtilityList!$A$4:$A$251&amp;UtilityList!$B$4:$B$251&amp;UtilityList!$C$4:$C$251,0)),"")</f>
        <v>Valdez-Cordova (CA)</v>
      </c>
      <c r="O114" s="369" t="str">
        <f t="array" ref="O114">IFERROR(INDEX(UtilityList!$L$4:$L$251,MATCH('Table 2.1a'!$A114&amp;'Table 2.1a'!$B114&amp;'Table 2.1a'!$C114,UtilityList!$A$4:$A$251&amp;UtilityList!$B$4:$B$251&amp;UtilityList!$C$4:$C$251,0)),"")</f>
        <v>Ahtna</v>
      </c>
      <c r="P114" s="369" t="str">
        <f t="array" ref="P114">IFERROR(INDEX(UtilityList!$M$4:$M$251,MATCH('Table 2.1a'!$A114&amp;'Table 2.1a'!$B114&amp;'Table 2.1a'!$C114,UtilityList!$A$4:$A$251&amp;UtilityList!$B$4:$B$251&amp;UtilityList!$C$4:$C$251,0)),"")</f>
        <v>SC</v>
      </c>
    </row>
    <row r="115" spans="1:16" s="344" customFormat="1" x14ac:dyDescent="0.25">
      <c r="A115" s="619" t="s">
        <v>153</v>
      </c>
      <c r="B115" s="361" t="s">
        <v>157</v>
      </c>
      <c r="C115" s="350"/>
      <c r="D115" s="620">
        <v>374400</v>
      </c>
      <c r="E115" s="621">
        <v>374400</v>
      </c>
      <c r="F115" s="621">
        <v>0</v>
      </c>
      <c r="G115" s="621">
        <v>0</v>
      </c>
      <c r="H115" s="621">
        <v>0</v>
      </c>
      <c r="I115" s="452" t="s">
        <v>1020</v>
      </c>
      <c r="J115" s="622" t="str">
        <f t="array" ref="J115">IFERROR(INDEX(UtilityList!$H$4:$H$251,MATCH('Table 2.1a'!$A115&amp;'Table 2.1a'!$B115&amp;'Table 2.1a'!$C115,UtilityList!$A$4:$A$251&amp;UtilityList!$B$4:$B$251&amp;UtilityList!$C$4:$C$251,0)),"")</f>
        <v>PCE Ineligible</v>
      </c>
      <c r="K115" s="709">
        <f t="array" ref="K115">IFERROR(INDEX(UtilityList!$Q$4:$Q$251,MATCH('Table 2.1a'!$A115&amp;'Table 2.1a'!$B115&amp;'Table 2.1a'!$C115,UtilityList!$A$4:$A$251&amp;UtilityList!$B$4:$B$251&amp;UtilityList!$C$4:$C$251,0)),"")</f>
        <v>0</v>
      </c>
      <c r="L115" s="622" t="str">
        <f t="array" ref="L115">IFERROR(INDEX(UtilityList!$I$4:$I$251,MATCH('Table 2.1a'!$A115&amp;'Table 2.1a'!$B115&amp;'Table 2.1a'!$C115,UtilityList!$A$4:$A$251&amp;UtilityList!$B$4:$B$251&amp;UtilityList!$C$4:$C$251,0)),"")</f>
        <v>CEA</v>
      </c>
      <c r="M115" s="369" t="str">
        <f t="array" ref="M115">IFERROR(INDEX(UtilityList!$J$4:$J$251,MATCH('Table 2.1a'!$A115&amp;'Table 2.1a'!$B115&amp;'Table 2.1a'!$C115,UtilityList!$A$4:$A$251&amp;UtilityList!$B$4:$B$251&amp;UtilityList!$C$4:$C$251,0)),"")</f>
        <v>Railbelt</v>
      </c>
      <c r="N115" s="369" t="str">
        <f t="array" ref="N115">IFERROR(INDEX(UtilityList!$K$4:$K$251,MATCH('Table 2.1a'!$A115&amp;'Table 2.1a'!$B115&amp;'Table 2.1a'!$C115,UtilityList!$A$4:$A$251&amp;UtilityList!$B$4:$B$251&amp;UtilityList!$C$4:$C$251,0)),"")</f>
        <v>Anchorage</v>
      </c>
      <c r="O115" s="369" t="str">
        <f t="array" ref="O115">IFERROR(INDEX(UtilityList!$L$4:$L$251,MATCH('Table 2.1a'!$A115&amp;'Table 2.1a'!$B115&amp;'Table 2.1a'!$C115,UtilityList!$A$4:$A$251&amp;UtilityList!$B$4:$B$251&amp;UtilityList!$C$4:$C$251,0)),"")</f>
        <v>Cook Inlet</v>
      </c>
      <c r="P115" s="369" t="str">
        <f t="array" ref="P115">IFERROR(INDEX(UtilityList!$M$4:$M$251,MATCH('Table 2.1a'!$A115&amp;'Table 2.1a'!$B115&amp;'Table 2.1a'!$C115,UtilityList!$A$4:$A$251&amp;UtilityList!$B$4:$B$251&amp;UtilityList!$C$4:$C$251,0)),"")</f>
        <v>SC</v>
      </c>
    </row>
    <row r="116" spans="1:16" s="344" customFormat="1" x14ac:dyDescent="0.25">
      <c r="A116" s="619" t="s">
        <v>153</v>
      </c>
      <c r="B116" s="361" t="s">
        <v>155</v>
      </c>
      <c r="C116" s="350"/>
      <c r="D116" s="620">
        <v>76700</v>
      </c>
      <c r="E116" s="621">
        <v>76700</v>
      </c>
      <c r="F116" s="621">
        <v>0</v>
      </c>
      <c r="G116" s="621">
        <v>0</v>
      </c>
      <c r="H116" s="621">
        <v>0</v>
      </c>
      <c r="I116" s="452" t="s">
        <v>1020</v>
      </c>
      <c r="J116" s="622" t="str">
        <f t="array" ref="J116">IFERROR(INDEX(UtilityList!$H$4:$H$251,MATCH('Table 2.1a'!$A116&amp;'Table 2.1a'!$B116&amp;'Table 2.1a'!$C116,UtilityList!$A$4:$A$251&amp;UtilityList!$B$4:$B$251&amp;UtilityList!$C$4:$C$251,0)),"")</f>
        <v>PCE Ineligible</v>
      </c>
      <c r="K116" s="709">
        <f t="array" ref="K116">IFERROR(INDEX(UtilityList!$Q$4:$Q$251,MATCH('Table 2.1a'!$A116&amp;'Table 2.1a'!$B116&amp;'Table 2.1a'!$C116,UtilityList!$A$4:$A$251&amp;UtilityList!$B$4:$B$251&amp;UtilityList!$C$4:$C$251,0)),"")</f>
        <v>0</v>
      </c>
      <c r="L116" s="622" t="str">
        <f t="array" ref="L116">IFERROR(INDEX(UtilityList!$I$4:$I$251,MATCH('Table 2.1a'!$A116&amp;'Table 2.1a'!$B116&amp;'Table 2.1a'!$C116,UtilityList!$A$4:$A$251&amp;UtilityList!$B$4:$B$251&amp;UtilityList!$C$4:$C$251,0)),"")</f>
        <v>CEA</v>
      </c>
      <c r="M116" s="369" t="str">
        <f t="array" ref="M116">IFERROR(INDEX(UtilityList!$J$4:$J$251,MATCH('Table 2.1a'!$A116&amp;'Table 2.1a'!$B116&amp;'Table 2.1a'!$C116,UtilityList!$A$4:$A$251&amp;UtilityList!$B$4:$B$251&amp;UtilityList!$C$4:$C$251,0)),"")</f>
        <v>Railbelt</v>
      </c>
      <c r="N116" s="369" t="str">
        <f t="array" ref="N116">IFERROR(INDEX(UtilityList!$K$4:$K$251,MATCH('Table 2.1a'!$A116&amp;'Table 2.1a'!$B116&amp;'Table 2.1a'!$C116,UtilityList!$A$4:$A$251&amp;UtilityList!$B$4:$B$251&amp;UtilityList!$C$4:$C$251,0)),"")</f>
        <v>Kenai Peninsula</v>
      </c>
      <c r="O116" s="369" t="str">
        <f t="array" ref="O116">IFERROR(INDEX(UtilityList!$L$4:$L$251,MATCH('Table 2.1a'!$A116&amp;'Table 2.1a'!$B116&amp;'Table 2.1a'!$C116,UtilityList!$A$4:$A$251&amp;UtilityList!$B$4:$B$251&amp;UtilityList!$C$4:$C$251,0)),"")</f>
        <v>Cook Inlet</v>
      </c>
      <c r="P116" s="369" t="str">
        <f t="array" ref="P116">IFERROR(INDEX(UtilityList!$M$4:$M$251,MATCH('Table 2.1a'!$A116&amp;'Table 2.1a'!$B116&amp;'Table 2.1a'!$C116,UtilityList!$A$4:$A$251&amp;UtilityList!$B$4:$B$251&amp;UtilityList!$C$4:$C$251,0)),"")</f>
        <v>SC</v>
      </c>
    </row>
    <row r="117" spans="1:16" s="344" customFormat="1" x14ac:dyDescent="0.25">
      <c r="A117" s="619" t="s">
        <v>153</v>
      </c>
      <c r="B117" s="361" t="s">
        <v>159</v>
      </c>
      <c r="C117" s="350"/>
      <c r="D117" s="620">
        <v>19400</v>
      </c>
      <c r="E117" s="621">
        <v>0</v>
      </c>
      <c r="F117" s="621">
        <v>0</v>
      </c>
      <c r="G117" s="621">
        <v>19400</v>
      </c>
      <c r="H117" s="621">
        <v>0</v>
      </c>
      <c r="I117" s="452" t="s">
        <v>1020</v>
      </c>
      <c r="J117" s="622" t="str">
        <f t="array" ref="J117">IFERROR(INDEX(UtilityList!$H$4:$H$251,MATCH('Table 2.1a'!$A117&amp;'Table 2.1a'!$B117&amp;'Table 2.1a'!$C117,UtilityList!$A$4:$A$251&amp;UtilityList!$B$4:$B$251&amp;UtilityList!$C$4:$C$251,0)),"")</f>
        <v>PCE Ineligible</v>
      </c>
      <c r="K117" s="709">
        <f t="array" ref="K117">IFERROR(INDEX(UtilityList!$Q$4:$Q$251,MATCH('Table 2.1a'!$A117&amp;'Table 2.1a'!$B117&amp;'Table 2.1a'!$C117,UtilityList!$A$4:$A$251&amp;UtilityList!$B$4:$B$251&amp;UtilityList!$C$4:$C$251,0)),"")</f>
        <v>0</v>
      </c>
      <c r="L117" s="622" t="str">
        <f t="array" ref="L117">IFERROR(INDEX(UtilityList!$I$4:$I$251,MATCH('Table 2.1a'!$A117&amp;'Table 2.1a'!$B117&amp;'Table 2.1a'!$C117,UtilityList!$A$4:$A$251&amp;UtilityList!$B$4:$B$251&amp;UtilityList!$C$4:$C$251,0)),"")</f>
        <v>CEA</v>
      </c>
      <c r="M117" s="369" t="str">
        <f t="array" ref="M117">IFERROR(INDEX(UtilityList!$J$4:$J$251,MATCH('Table 2.1a'!$A117&amp;'Table 2.1a'!$B117&amp;'Table 2.1a'!$C117,UtilityList!$A$4:$A$251&amp;UtilityList!$B$4:$B$251&amp;UtilityList!$C$4:$C$251,0)),"")</f>
        <v>Railbelt</v>
      </c>
      <c r="N117" s="369" t="str">
        <f t="array" ref="N117">IFERROR(INDEX(UtilityList!$K$4:$K$251,MATCH('Table 2.1a'!$A117&amp;'Table 2.1a'!$B117&amp;'Table 2.1a'!$C117,UtilityList!$A$4:$A$251&amp;UtilityList!$B$4:$B$251&amp;UtilityList!$C$4:$C$251,0)),"")</f>
        <v>Anchorage</v>
      </c>
      <c r="O117" s="369" t="str">
        <f t="array" ref="O117">IFERROR(INDEX(UtilityList!$L$4:$L$251,MATCH('Table 2.1a'!$A117&amp;'Table 2.1a'!$B117&amp;'Table 2.1a'!$C117,UtilityList!$A$4:$A$251&amp;UtilityList!$B$4:$B$251&amp;UtilityList!$C$4:$C$251,0)),"")</f>
        <v>Cook Inlet</v>
      </c>
      <c r="P117" s="369" t="str">
        <f t="array" ref="P117">IFERROR(INDEX(UtilityList!$M$4:$M$251,MATCH('Table 2.1a'!$A117&amp;'Table 2.1a'!$B117&amp;'Table 2.1a'!$C117,UtilityList!$A$4:$A$251&amp;UtilityList!$B$4:$B$251&amp;UtilityList!$C$4:$C$251,0)),"")</f>
        <v>SC</v>
      </c>
    </row>
    <row r="118" spans="1:16" s="344" customFormat="1" x14ac:dyDescent="0.25">
      <c r="A118" s="619" t="s">
        <v>153</v>
      </c>
      <c r="B118" s="361" t="s">
        <v>154</v>
      </c>
      <c r="C118" s="350"/>
      <c r="D118" s="620">
        <v>46300</v>
      </c>
      <c r="E118" s="621">
        <v>46300</v>
      </c>
      <c r="F118" s="621">
        <v>0</v>
      </c>
      <c r="G118" s="621">
        <v>0</v>
      </c>
      <c r="H118" s="621">
        <v>0</v>
      </c>
      <c r="I118" s="452" t="s">
        <v>1020</v>
      </c>
      <c r="J118" s="622" t="str">
        <f t="array" ref="J118">IFERROR(INDEX(UtilityList!$H$4:$H$251,MATCH('Table 2.1a'!$A118&amp;'Table 2.1a'!$B118&amp;'Table 2.1a'!$C118,UtilityList!$A$4:$A$251&amp;UtilityList!$B$4:$B$251&amp;UtilityList!$C$4:$C$251,0)),"")</f>
        <v>PCE Ineligible</v>
      </c>
      <c r="K118" s="709">
        <f t="array" ref="K118">IFERROR(INDEX(UtilityList!$Q$4:$Q$251,MATCH('Table 2.1a'!$A118&amp;'Table 2.1a'!$B118&amp;'Table 2.1a'!$C118,UtilityList!$A$4:$A$251&amp;UtilityList!$B$4:$B$251&amp;UtilityList!$C$4:$C$251,0)),"")</f>
        <v>0</v>
      </c>
      <c r="L118" s="622" t="str">
        <f t="array" ref="L118">IFERROR(INDEX(UtilityList!$I$4:$I$251,MATCH('Table 2.1a'!$A118&amp;'Table 2.1a'!$B118&amp;'Table 2.1a'!$C118,UtilityList!$A$4:$A$251&amp;UtilityList!$B$4:$B$251&amp;UtilityList!$C$4:$C$251,0)),"")</f>
        <v>CEA</v>
      </c>
      <c r="M118" s="369" t="str">
        <f t="array" ref="M118">IFERROR(INDEX(UtilityList!$J$4:$J$251,MATCH('Table 2.1a'!$A118&amp;'Table 2.1a'!$B118&amp;'Table 2.1a'!$C118,UtilityList!$A$4:$A$251&amp;UtilityList!$B$4:$B$251&amp;UtilityList!$C$4:$C$251,0)),"")</f>
        <v>Railbelt</v>
      </c>
      <c r="N118" s="369" t="str">
        <f t="array" ref="N118">IFERROR(INDEX(UtilityList!$K$4:$K$251,MATCH('Table 2.1a'!$A118&amp;'Table 2.1a'!$B118&amp;'Table 2.1a'!$C118,UtilityList!$A$4:$A$251&amp;UtilityList!$B$4:$B$251&amp;UtilityList!$C$4:$C$251,0)),"")</f>
        <v>Anchorage</v>
      </c>
      <c r="O118" s="369" t="str">
        <f t="array" ref="O118">IFERROR(INDEX(UtilityList!$L$4:$L$251,MATCH('Table 2.1a'!$A118&amp;'Table 2.1a'!$B118&amp;'Table 2.1a'!$C118,UtilityList!$A$4:$A$251&amp;UtilityList!$B$4:$B$251&amp;UtilityList!$C$4:$C$251,0)),"")</f>
        <v>Cook Inlet</v>
      </c>
      <c r="P118" s="369" t="str">
        <f t="array" ref="P118">IFERROR(INDEX(UtilityList!$M$4:$M$251,MATCH('Table 2.1a'!$A118&amp;'Table 2.1a'!$B118&amp;'Table 2.1a'!$C118,UtilityList!$A$4:$A$251&amp;UtilityList!$B$4:$B$251&amp;UtilityList!$C$4:$C$251,0)),"")</f>
        <v>SC</v>
      </c>
    </row>
    <row r="119" spans="1:16" s="344" customFormat="1" x14ac:dyDescent="0.25">
      <c r="A119" s="619" t="s">
        <v>160</v>
      </c>
      <c r="B119" s="361" t="s">
        <v>161</v>
      </c>
      <c r="C119" s="350" t="s">
        <v>161</v>
      </c>
      <c r="D119" s="620">
        <v>188</v>
      </c>
      <c r="E119" s="621">
        <v>0</v>
      </c>
      <c r="F119" s="621">
        <v>188</v>
      </c>
      <c r="G119" s="621">
        <v>0</v>
      </c>
      <c r="H119" s="621">
        <v>0</v>
      </c>
      <c r="I119" s="452" t="s">
        <v>1022</v>
      </c>
      <c r="J119" s="622" t="str">
        <f t="array" ref="J119">IFERROR(INDEX(UtilityList!$H$4:$H$251,MATCH('Table 2.1a'!$A119&amp;'Table 2.1a'!$B119&amp;'Table 2.1a'!$C119,UtilityList!$A$4:$A$251&amp;UtilityList!$B$4:$B$251&amp;UtilityList!$C$4:$C$251,0)),"")</f>
        <v>PCE Eligible Active</v>
      </c>
      <c r="K119" s="709">
        <f t="array" ref="K119">IFERROR(INDEX(UtilityList!$Q$4:$Q$251,MATCH('Table 2.1a'!$A119&amp;'Table 2.1a'!$B119&amp;'Table 2.1a'!$C119,UtilityList!$A$4:$A$251&amp;UtilityList!$B$4:$B$251&amp;UtilityList!$C$4:$C$251,0)),"")</f>
        <v>0</v>
      </c>
      <c r="L119" s="622" t="str">
        <f t="array" ref="L119">IFERROR(INDEX(UtilityList!$I$4:$I$251,MATCH('Table 2.1a'!$A119&amp;'Table 2.1a'!$B119&amp;'Table 2.1a'!$C119,UtilityList!$A$4:$A$251&amp;UtilityList!$B$4:$B$251&amp;UtilityList!$C$4:$C$251,0)),"")</f>
        <v>CIRCU</v>
      </c>
      <c r="M119" s="369" t="str">
        <f t="array" ref="M119">IFERROR(INDEX(UtilityList!$J$4:$J$251,MATCH('Table 2.1a'!$A119&amp;'Table 2.1a'!$B119&amp;'Table 2.1a'!$C119,UtilityList!$A$4:$A$251&amp;UtilityList!$B$4:$B$251&amp;UtilityList!$C$4:$C$251,0)),"")</f>
        <v>Yukon-Koyukuk/Upper Tanana</v>
      </c>
      <c r="N119" s="369" t="str">
        <f t="array" ref="N119">IFERROR(INDEX(UtilityList!$K$4:$K$251,MATCH('Table 2.1a'!$A119&amp;'Table 2.1a'!$B119&amp;'Table 2.1a'!$C119,UtilityList!$A$4:$A$251&amp;UtilityList!$B$4:$B$251&amp;UtilityList!$C$4:$C$251,0)),"")</f>
        <v>Yukon-Koyukuk (CA)</v>
      </c>
      <c r="O119" s="369" t="str">
        <f t="array" ref="O119">IFERROR(INDEX(UtilityList!$L$4:$L$251,MATCH('Table 2.1a'!$A119&amp;'Table 2.1a'!$B119&amp;'Table 2.1a'!$C119,UtilityList!$A$4:$A$251&amp;UtilityList!$B$4:$B$251&amp;UtilityList!$C$4:$C$251,0)),"")</f>
        <v>Doyon</v>
      </c>
      <c r="P119" s="369" t="str">
        <f t="array" ref="P119">IFERROR(INDEX(UtilityList!$M$4:$M$251,MATCH('Table 2.1a'!$A119&amp;'Table 2.1a'!$B119&amp;'Table 2.1a'!$C119,UtilityList!$A$4:$A$251&amp;UtilityList!$B$4:$B$251&amp;UtilityList!$C$4:$C$251,0)),"")</f>
        <v>YU</v>
      </c>
    </row>
    <row r="120" spans="1:16" s="344" customFormat="1" x14ac:dyDescent="0.25">
      <c r="A120" s="619" t="s">
        <v>162</v>
      </c>
      <c r="B120" s="361" t="s">
        <v>163</v>
      </c>
      <c r="C120" s="350" t="s">
        <v>163</v>
      </c>
      <c r="D120" s="620">
        <v>446</v>
      </c>
      <c r="E120" s="621">
        <v>0</v>
      </c>
      <c r="F120" s="621">
        <v>446</v>
      </c>
      <c r="G120" s="621">
        <v>0</v>
      </c>
      <c r="H120" s="621">
        <v>0</v>
      </c>
      <c r="I120" s="452" t="s">
        <v>1022</v>
      </c>
      <c r="J120" s="622" t="str">
        <f t="array" ref="J120">IFERROR(INDEX(UtilityList!$H$4:$H$251,MATCH('Table 2.1a'!$A120&amp;'Table 2.1a'!$B120&amp;'Table 2.1a'!$C120,UtilityList!$A$4:$A$251&amp;UtilityList!$B$4:$B$251&amp;UtilityList!$C$4:$C$251,0)),"")</f>
        <v>PCE Eligible Inactive</v>
      </c>
      <c r="K120" s="709">
        <f t="array" ref="K120">IFERROR(INDEX(UtilityList!$Q$4:$Q$251,MATCH('Table 2.1a'!$A120&amp;'Table 2.1a'!$B120&amp;'Table 2.1a'!$C120,UtilityList!$A$4:$A$251&amp;UtilityList!$B$4:$B$251&amp;UtilityList!$C$4:$C$251,0)),"")</f>
        <v>0</v>
      </c>
      <c r="L120" s="622" t="str">
        <f t="array" ref="L120">IFERROR(INDEX(UtilityList!$I$4:$I$251,MATCH('Table 2.1a'!$A120&amp;'Table 2.1a'!$B120&amp;'Table 2.1a'!$C120,UtilityList!$A$4:$A$251&amp;UtilityList!$B$4:$B$251&amp;UtilityList!$C$4:$C$251,0)),"")</f>
        <v>CLARKS POI</v>
      </c>
      <c r="M120" s="369" t="str">
        <f t="array" ref="M120">IFERROR(INDEX(UtilityList!$J$4:$J$251,MATCH('Table 2.1a'!$A120&amp;'Table 2.1a'!$B120&amp;'Table 2.1a'!$C120,UtilityList!$A$4:$A$251&amp;UtilityList!$B$4:$B$251&amp;UtilityList!$C$4:$C$251,0)),"")</f>
        <v>Bristol Bay</v>
      </c>
      <c r="N120" s="369" t="str">
        <f t="array" ref="N120">IFERROR(INDEX(UtilityList!$K$4:$K$251,MATCH('Table 2.1a'!$A120&amp;'Table 2.1a'!$B120&amp;'Table 2.1a'!$C120,UtilityList!$A$4:$A$251&amp;UtilityList!$B$4:$B$251&amp;UtilityList!$C$4:$C$251,0)),"")</f>
        <v>Dillingham (CA)</v>
      </c>
      <c r="O120" s="369" t="str">
        <f t="array" ref="O120">IFERROR(INDEX(UtilityList!$L$4:$L$251,MATCH('Table 2.1a'!$A120&amp;'Table 2.1a'!$B120&amp;'Table 2.1a'!$C120,UtilityList!$A$4:$A$251&amp;UtilityList!$B$4:$B$251&amp;UtilityList!$C$4:$C$251,0)),"")</f>
        <v>Bristol Bay</v>
      </c>
      <c r="P120" s="369" t="str">
        <f t="array" ref="P120">IFERROR(INDEX(UtilityList!$M$4:$M$251,MATCH('Table 2.1a'!$A120&amp;'Table 2.1a'!$B120&amp;'Table 2.1a'!$C120,UtilityList!$A$4:$A$251&amp;UtilityList!$B$4:$B$251&amp;UtilityList!$C$4:$C$251,0)),"")</f>
        <v>YU</v>
      </c>
    </row>
    <row r="121" spans="1:16" s="344" customFormat="1" x14ac:dyDescent="0.25">
      <c r="A121" s="619" t="s">
        <v>164</v>
      </c>
      <c r="B121" s="361" t="s">
        <v>165</v>
      </c>
      <c r="C121" s="350" t="s">
        <v>165</v>
      </c>
      <c r="D121" s="620">
        <v>10700</v>
      </c>
      <c r="E121" s="621">
        <v>0</v>
      </c>
      <c r="F121" s="621">
        <v>10700</v>
      </c>
      <c r="G121" s="621">
        <v>0</v>
      </c>
      <c r="H121" s="621">
        <v>0</v>
      </c>
      <c r="I121" s="452" t="s">
        <v>1020</v>
      </c>
      <c r="J121" s="622" t="str">
        <f t="array" ref="J121">IFERROR(INDEX(UtilityList!$H$4:$H$251,MATCH('Table 2.1a'!$A121&amp;'Table 2.1a'!$B121&amp;'Table 2.1a'!$C121,UtilityList!$A$4:$A$251&amp;UtilityList!$B$4:$B$251&amp;UtilityList!$C$4:$C$251,0)),"")</f>
        <v>PCE Ineligible</v>
      </c>
      <c r="K121" s="709">
        <f t="array" ref="K121">IFERROR(INDEX(UtilityList!$Q$4:$Q$251,MATCH('Table 2.1a'!$A121&amp;'Table 2.1a'!$B121&amp;'Table 2.1a'!$C121,UtilityList!$A$4:$A$251&amp;UtilityList!$B$4:$B$251&amp;UtilityList!$C$4:$C$251,0)),"")</f>
        <v>0</v>
      </c>
      <c r="L121" s="622" t="str">
        <f t="array" ref="L121">IFERROR(INDEX(UtilityList!$I$4:$I$251,MATCH('Table 2.1a'!$A121&amp;'Table 2.1a'!$B121&amp;'Table 2.1a'!$C121,UtilityList!$A$4:$A$251&amp;UtilityList!$B$4:$B$251&amp;UtilityList!$C$4:$C$251,0)),"")</f>
        <v>CVEA</v>
      </c>
      <c r="M121" s="369" t="str">
        <f t="array" ref="M121">IFERROR(INDEX(UtilityList!$J$4:$J$251,MATCH('Table 2.1a'!$A121&amp;'Table 2.1a'!$B121&amp;'Table 2.1a'!$C121,UtilityList!$A$4:$A$251&amp;UtilityList!$B$4:$B$251&amp;UtilityList!$C$4:$C$251,0)),"")</f>
        <v>Copper River/Chugach</v>
      </c>
      <c r="N121" s="369" t="str">
        <f t="array" ref="N121">IFERROR(INDEX(UtilityList!$K$4:$K$251,MATCH('Table 2.1a'!$A121&amp;'Table 2.1a'!$B121&amp;'Table 2.1a'!$C121,UtilityList!$A$4:$A$251&amp;UtilityList!$B$4:$B$251&amp;UtilityList!$C$4:$C$251,0)),"")</f>
        <v>Valdez-Cordova (CA)</v>
      </c>
      <c r="O121" s="369" t="str">
        <f t="array" ref="O121">IFERROR(INDEX(UtilityList!$L$4:$L$251,MATCH('Table 2.1a'!$A121&amp;'Table 2.1a'!$B121&amp;'Table 2.1a'!$C121,UtilityList!$A$4:$A$251&amp;UtilityList!$B$4:$B$251&amp;UtilityList!$C$4:$C$251,0)),"")</f>
        <v>Ahtna</v>
      </c>
      <c r="P121" s="369" t="str">
        <f t="array" ref="P121">IFERROR(INDEX(UtilityList!$M$4:$M$251,MATCH('Table 2.1a'!$A121&amp;'Table 2.1a'!$B121&amp;'Table 2.1a'!$C121,UtilityList!$A$4:$A$251&amp;UtilityList!$B$4:$B$251&amp;UtilityList!$C$4:$C$251,0)),"")</f>
        <v>SC</v>
      </c>
    </row>
    <row r="122" spans="1:16" s="344" customFormat="1" x14ac:dyDescent="0.25">
      <c r="A122" s="619" t="s">
        <v>164</v>
      </c>
      <c r="B122" s="361" t="s">
        <v>166</v>
      </c>
      <c r="C122" s="351" t="s">
        <v>656</v>
      </c>
      <c r="D122" s="620">
        <v>12000</v>
      </c>
      <c r="E122" s="621">
        <v>0</v>
      </c>
      <c r="F122" s="621">
        <v>0</v>
      </c>
      <c r="G122" s="621">
        <v>12000</v>
      </c>
      <c r="H122" s="621">
        <v>0</v>
      </c>
      <c r="I122" s="452" t="s">
        <v>1020</v>
      </c>
      <c r="J122" s="622" t="str">
        <f t="array" ref="J122">IFERROR(INDEX(UtilityList!$H$4:$H$251,MATCH('Table 2.1a'!$A122&amp;'Table 2.1a'!$B122&amp;'Table 2.1a'!$C122,UtilityList!$A$4:$A$251&amp;UtilityList!$B$4:$B$251&amp;UtilityList!$C$4:$C$251,0)),"")</f>
        <v>PCE Ineligible</v>
      </c>
      <c r="K122" s="709">
        <f t="array" ref="K122">IFERROR(INDEX(UtilityList!$Q$4:$Q$251,MATCH('Table 2.1a'!$A122&amp;'Table 2.1a'!$B122&amp;'Table 2.1a'!$C122,UtilityList!$A$4:$A$251&amp;UtilityList!$B$4:$B$251&amp;UtilityList!$C$4:$C$251,0)),"")</f>
        <v>0</v>
      </c>
      <c r="L122" s="622" t="str">
        <f t="array" ref="L122">IFERROR(INDEX(UtilityList!$I$4:$I$251,MATCH('Table 2.1a'!$A122&amp;'Table 2.1a'!$B122&amp;'Table 2.1a'!$C122,UtilityList!$A$4:$A$251&amp;UtilityList!$B$4:$B$251&amp;UtilityList!$C$4:$C$251,0)),"")</f>
        <v>CVEA</v>
      </c>
      <c r="M122" s="369" t="str">
        <f t="array" ref="M122">IFERROR(INDEX(UtilityList!$J$4:$J$251,MATCH('Table 2.1a'!$A122&amp;'Table 2.1a'!$B122&amp;'Table 2.1a'!$C122,UtilityList!$A$4:$A$251&amp;UtilityList!$B$4:$B$251&amp;UtilityList!$C$4:$C$251,0)),"")</f>
        <v>Copper River/Chugach</v>
      </c>
      <c r="N122" s="369" t="str">
        <f t="array" ref="N122">IFERROR(INDEX(UtilityList!$K$4:$K$251,MATCH('Table 2.1a'!$A122&amp;'Table 2.1a'!$B122&amp;'Table 2.1a'!$C122,UtilityList!$A$4:$A$251&amp;UtilityList!$B$4:$B$251&amp;UtilityList!$C$4:$C$251,0)),"")</f>
        <v>Valdez-Cordova (CA)</v>
      </c>
      <c r="O122" s="369" t="str">
        <f t="array" ref="O122">IFERROR(INDEX(UtilityList!$L$4:$L$251,MATCH('Table 2.1a'!$A122&amp;'Table 2.1a'!$B122&amp;'Table 2.1a'!$C122,UtilityList!$A$4:$A$251&amp;UtilityList!$B$4:$B$251&amp;UtilityList!$C$4:$C$251,0)),"")</f>
        <v>Chugach</v>
      </c>
      <c r="P122" s="369" t="str">
        <f t="array" ref="P122">IFERROR(INDEX(UtilityList!$M$4:$M$251,MATCH('Table 2.1a'!$A122&amp;'Table 2.1a'!$B122&amp;'Table 2.1a'!$C122,UtilityList!$A$4:$A$251&amp;UtilityList!$B$4:$B$251&amp;UtilityList!$C$4:$C$251,0)),"")</f>
        <v>SC</v>
      </c>
    </row>
    <row r="123" spans="1:16" s="344" customFormat="1" x14ac:dyDescent="0.25">
      <c r="A123" s="619" t="s">
        <v>164</v>
      </c>
      <c r="B123" s="361" t="s">
        <v>167</v>
      </c>
      <c r="C123" s="350" t="s">
        <v>167</v>
      </c>
      <c r="D123" s="620">
        <v>9700</v>
      </c>
      <c r="E123" s="621">
        <v>2800</v>
      </c>
      <c r="F123" s="621">
        <v>6900</v>
      </c>
      <c r="G123" s="621">
        <v>0</v>
      </c>
      <c r="H123" s="621">
        <v>0</v>
      </c>
      <c r="I123" s="452" t="s">
        <v>1020</v>
      </c>
      <c r="J123" s="622" t="str">
        <f t="array" ref="J123">IFERROR(INDEX(UtilityList!$H$4:$H$251,MATCH('Table 2.1a'!$A123&amp;'Table 2.1a'!$B123&amp;'Table 2.1a'!$C123,UtilityList!$A$4:$A$251&amp;UtilityList!$B$4:$B$251&amp;UtilityList!$C$4:$C$251,0)),"")</f>
        <v>PCE Ineligible</v>
      </c>
      <c r="K123" s="709">
        <f t="array" ref="K123">IFERROR(INDEX(UtilityList!$Q$4:$Q$251,MATCH('Table 2.1a'!$A123&amp;'Table 2.1a'!$B123&amp;'Table 2.1a'!$C123,UtilityList!$A$4:$A$251&amp;UtilityList!$B$4:$B$251&amp;UtilityList!$C$4:$C$251,0)),"")</f>
        <v>0</v>
      </c>
      <c r="L123" s="622" t="str">
        <f t="array" ref="L123">IFERROR(INDEX(UtilityList!$I$4:$I$251,MATCH('Table 2.1a'!$A123&amp;'Table 2.1a'!$B123&amp;'Table 2.1a'!$C123,UtilityList!$A$4:$A$251&amp;UtilityList!$B$4:$B$251&amp;UtilityList!$C$4:$C$251,0)),"")</f>
        <v>CVEA</v>
      </c>
      <c r="M123" s="369" t="str">
        <f t="array" ref="M123">IFERROR(INDEX(UtilityList!$J$4:$J$251,MATCH('Table 2.1a'!$A123&amp;'Table 2.1a'!$B123&amp;'Table 2.1a'!$C123,UtilityList!$A$4:$A$251&amp;UtilityList!$B$4:$B$251&amp;UtilityList!$C$4:$C$251,0)),"")</f>
        <v>Copper River/Chugach</v>
      </c>
      <c r="N123" s="369" t="str">
        <f t="array" ref="N123">IFERROR(INDEX(UtilityList!$K$4:$K$251,MATCH('Table 2.1a'!$A123&amp;'Table 2.1a'!$B123&amp;'Table 2.1a'!$C123,UtilityList!$A$4:$A$251&amp;UtilityList!$B$4:$B$251&amp;UtilityList!$C$4:$C$251,0)),"")</f>
        <v>Valdez-Cordova (CA)</v>
      </c>
      <c r="O123" s="369" t="str">
        <f t="array" ref="O123">IFERROR(INDEX(UtilityList!$L$4:$L$251,MATCH('Table 2.1a'!$A123&amp;'Table 2.1a'!$B123&amp;'Table 2.1a'!$C123,UtilityList!$A$4:$A$251&amp;UtilityList!$B$4:$B$251&amp;UtilityList!$C$4:$C$251,0)),"")</f>
        <v>Chugach</v>
      </c>
      <c r="P123" s="369" t="str">
        <f t="array" ref="P123">IFERROR(INDEX(UtilityList!$M$4:$M$251,MATCH('Table 2.1a'!$A123&amp;'Table 2.1a'!$B123&amp;'Table 2.1a'!$C123,UtilityList!$A$4:$A$251&amp;UtilityList!$B$4:$B$251&amp;UtilityList!$C$4:$C$251,0)),"")</f>
        <v>SC</v>
      </c>
    </row>
    <row r="124" spans="1:16" s="344" customFormat="1" x14ac:dyDescent="0.25">
      <c r="A124" s="619" t="s">
        <v>164</v>
      </c>
      <c r="B124" s="361" t="s">
        <v>168</v>
      </c>
      <c r="C124" s="350" t="s">
        <v>167</v>
      </c>
      <c r="D124" s="620">
        <v>5300</v>
      </c>
      <c r="E124" s="621">
        <v>5300</v>
      </c>
      <c r="F124" s="621">
        <v>0</v>
      </c>
      <c r="G124" s="621">
        <v>0</v>
      </c>
      <c r="H124" s="621">
        <v>0</v>
      </c>
      <c r="I124" s="452" t="s">
        <v>1020</v>
      </c>
      <c r="J124" s="622" t="str">
        <f t="array" ref="J124">IFERROR(INDEX(UtilityList!$H$4:$H$251,MATCH('Table 2.1a'!$A124&amp;'Table 2.1a'!$B124&amp;'Table 2.1a'!$C124,UtilityList!$A$4:$A$251&amp;UtilityList!$B$4:$B$251&amp;UtilityList!$C$4:$C$251,0)),"")</f>
        <v>PCE Ineligible</v>
      </c>
      <c r="K124" s="709">
        <f t="array" ref="K124">IFERROR(INDEX(UtilityList!$Q$4:$Q$251,MATCH('Table 2.1a'!$A124&amp;'Table 2.1a'!$B124&amp;'Table 2.1a'!$C124,UtilityList!$A$4:$A$251&amp;UtilityList!$B$4:$B$251&amp;UtilityList!$C$4:$C$251,0)),"")</f>
        <v>0</v>
      </c>
      <c r="L124" s="622" t="str">
        <f t="array" ref="L124">IFERROR(INDEX(UtilityList!$I$4:$I$251,MATCH('Table 2.1a'!$A124&amp;'Table 2.1a'!$B124&amp;'Table 2.1a'!$C124,UtilityList!$A$4:$A$251&amp;UtilityList!$B$4:$B$251&amp;UtilityList!$C$4:$C$251,0)),"")</f>
        <v>CVEA</v>
      </c>
      <c r="M124" s="369" t="str">
        <f t="array" ref="M124">IFERROR(INDEX(UtilityList!$J$4:$J$251,MATCH('Table 2.1a'!$A124&amp;'Table 2.1a'!$B124&amp;'Table 2.1a'!$C124,UtilityList!$A$4:$A$251&amp;UtilityList!$B$4:$B$251&amp;UtilityList!$C$4:$C$251,0)),"")</f>
        <v>Copper River/Chugach</v>
      </c>
      <c r="N124" s="369" t="str">
        <f t="array" ref="N124">IFERROR(INDEX(UtilityList!$K$4:$K$251,MATCH('Table 2.1a'!$A124&amp;'Table 2.1a'!$B124&amp;'Table 2.1a'!$C124,UtilityList!$A$4:$A$251&amp;UtilityList!$B$4:$B$251&amp;UtilityList!$C$4:$C$251,0)),"")</f>
        <v>Valdez-Cordova (CA)</v>
      </c>
      <c r="O124" s="369" t="str">
        <f t="array" ref="O124">IFERROR(INDEX(UtilityList!$L$4:$L$251,MATCH('Table 2.1a'!$A124&amp;'Table 2.1a'!$B124&amp;'Table 2.1a'!$C124,UtilityList!$A$4:$A$251&amp;UtilityList!$B$4:$B$251&amp;UtilityList!$C$4:$C$251,0)),"")</f>
        <v>Chugach</v>
      </c>
      <c r="P124" s="369" t="str">
        <f t="array" ref="P124">IFERROR(INDEX(UtilityList!$M$4:$M$251,MATCH('Table 2.1a'!$A124&amp;'Table 2.1a'!$B124&amp;'Table 2.1a'!$C124,UtilityList!$A$4:$A$251&amp;UtilityList!$B$4:$B$251&amp;UtilityList!$C$4:$C$251,0)),"")</f>
        <v>SC</v>
      </c>
    </row>
    <row r="125" spans="1:16" s="344" customFormat="1" x14ac:dyDescent="0.25">
      <c r="A125" s="619" t="s">
        <v>533</v>
      </c>
      <c r="B125" s="361" t="s">
        <v>657</v>
      </c>
      <c r="C125" s="350" t="s">
        <v>1092</v>
      </c>
      <c r="D125" s="620">
        <v>1200</v>
      </c>
      <c r="E125" s="621">
        <v>0</v>
      </c>
      <c r="F125" s="621">
        <v>0</v>
      </c>
      <c r="G125" s="621">
        <v>1200</v>
      </c>
      <c r="H125" s="621">
        <v>0</v>
      </c>
      <c r="I125" s="452" t="s">
        <v>1020</v>
      </c>
      <c r="J125" s="622" t="str">
        <f t="array" ref="J125">IFERROR(INDEX(UtilityList!$H$4:$H$251,MATCH('Table 2.1a'!$A125&amp;'Table 2.1a'!$B125&amp;'Table 2.1a'!$C125,UtilityList!$A$4:$A$251&amp;UtilityList!$B$4:$B$251&amp;UtilityList!$C$4:$C$251,0)),"")</f>
        <v>PCE Eligible Active</v>
      </c>
      <c r="K125" s="709" t="str">
        <f t="array" ref="K125">IFERROR(INDEX(UtilityList!$Q$4:$Q$251,MATCH('Table 2.1a'!$A125&amp;'Table 2.1a'!$B125&amp;'Table 2.1a'!$C125,UtilityList!$A$4:$A$251&amp;UtilityList!$B$4:$B$251&amp;UtilityList!$C$4:$C$251,0)),"")</f>
        <v>New plant</v>
      </c>
      <c r="L125" s="622" t="str">
        <f t="array" ref="L125">IFERROR(INDEX(UtilityList!$I$4:$I$251,MATCH('Table 2.1a'!$A125&amp;'Table 2.1a'!$B125&amp;'Table 2.1a'!$C125,UtilityList!$A$4:$A$251&amp;UtilityList!$B$4:$B$251&amp;UtilityList!$C$4:$C$251,0)),"")</f>
        <v>CORDEC</v>
      </c>
      <c r="M125" s="369" t="str">
        <f t="array" ref="M125">IFERROR(INDEX(UtilityList!$J$4:$J$251,MATCH('Table 2.1a'!$A125&amp;'Table 2.1a'!$B125&amp;'Table 2.1a'!$C125,UtilityList!$A$4:$A$251&amp;UtilityList!$B$4:$B$251&amp;UtilityList!$C$4:$C$251,0)),"")</f>
        <v>Copper River/Chugach</v>
      </c>
      <c r="N125" s="369" t="str">
        <f t="array" ref="N125">IFERROR(INDEX(UtilityList!$K$4:$K$251,MATCH('Table 2.1a'!$A125&amp;'Table 2.1a'!$B125&amp;'Table 2.1a'!$C125,UtilityList!$A$4:$A$251&amp;UtilityList!$B$4:$B$251&amp;UtilityList!$C$4:$C$251,0)),"")</f>
        <v>Valdez-Cordova (CA)</v>
      </c>
      <c r="O125" s="369" t="str">
        <f t="array" ref="O125">IFERROR(INDEX(UtilityList!$L$4:$L$251,MATCH('Table 2.1a'!$A125&amp;'Table 2.1a'!$B125&amp;'Table 2.1a'!$C125,UtilityList!$A$4:$A$251&amp;UtilityList!$B$4:$B$251&amp;UtilityList!$C$4:$C$251,0)),"")</f>
        <v>Chugach</v>
      </c>
      <c r="P125" s="369" t="str">
        <f t="array" ref="P125">IFERROR(INDEX(UtilityList!$M$4:$M$251,MATCH('Table 2.1a'!$A125&amp;'Table 2.1a'!$B125&amp;'Table 2.1a'!$C125,UtilityList!$A$4:$A$251&amp;UtilityList!$B$4:$B$251&amp;UtilityList!$C$4:$C$251,0)),"")</f>
        <v>SC</v>
      </c>
    </row>
    <row r="126" spans="1:16" s="344" customFormat="1" x14ac:dyDescent="0.25">
      <c r="A126" s="619" t="s">
        <v>533</v>
      </c>
      <c r="B126" s="361" t="s">
        <v>505</v>
      </c>
      <c r="C126" s="350" t="s">
        <v>1092</v>
      </c>
      <c r="D126" s="620">
        <v>10700</v>
      </c>
      <c r="E126" s="621">
        <v>0</v>
      </c>
      <c r="F126" s="621">
        <v>10700</v>
      </c>
      <c r="G126" s="621">
        <v>0</v>
      </c>
      <c r="H126" s="621">
        <v>0</v>
      </c>
      <c r="I126" s="452" t="s">
        <v>1020</v>
      </c>
      <c r="J126" s="622" t="str">
        <f t="array" ref="J126">IFERROR(INDEX(UtilityList!$H$4:$H$251,MATCH('Table 2.1a'!$A126&amp;'Table 2.1a'!$B126&amp;'Table 2.1a'!$C126,UtilityList!$A$4:$A$251&amp;UtilityList!$B$4:$B$251&amp;UtilityList!$C$4:$C$251,0)),"")</f>
        <v>PCE Eligible Active</v>
      </c>
      <c r="K126" s="709">
        <f t="array" ref="K126">IFERROR(INDEX(UtilityList!$Q$4:$Q$251,MATCH('Table 2.1a'!$A126&amp;'Table 2.1a'!$B126&amp;'Table 2.1a'!$C126,UtilityList!$A$4:$A$251&amp;UtilityList!$B$4:$B$251&amp;UtilityList!$C$4:$C$251,0)),"")</f>
        <v>0</v>
      </c>
      <c r="L126" s="622" t="str">
        <f t="array" ref="L126">IFERROR(INDEX(UtilityList!$I$4:$I$251,MATCH('Table 2.1a'!$A126&amp;'Table 2.1a'!$B126&amp;'Table 2.1a'!$C126,UtilityList!$A$4:$A$251&amp;UtilityList!$B$4:$B$251&amp;UtilityList!$C$4:$C$251,0)),"")</f>
        <v>CORDEC</v>
      </c>
      <c r="M126" s="369" t="str">
        <f t="array" ref="M126">IFERROR(INDEX(UtilityList!$J$4:$J$251,MATCH('Table 2.1a'!$A126&amp;'Table 2.1a'!$B126&amp;'Table 2.1a'!$C126,UtilityList!$A$4:$A$251&amp;UtilityList!$B$4:$B$251&amp;UtilityList!$C$4:$C$251,0)),"")</f>
        <v>Copper River/Chugach</v>
      </c>
      <c r="N126" s="369" t="str">
        <f t="array" ref="N126">IFERROR(INDEX(UtilityList!$K$4:$K$251,MATCH('Table 2.1a'!$A126&amp;'Table 2.1a'!$B126&amp;'Table 2.1a'!$C126,UtilityList!$A$4:$A$251&amp;UtilityList!$B$4:$B$251&amp;UtilityList!$C$4:$C$251,0)),"")</f>
        <v>Valdez-Cordova (CA)</v>
      </c>
      <c r="O126" s="369" t="str">
        <f t="array" ref="O126">IFERROR(INDEX(UtilityList!$L$4:$L$251,MATCH('Table 2.1a'!$A126&amp;'Table 2.1a'!$B126&amp;'Table 2.1a'!$C126,UtilityList!$A$4:$A$251&amp;UtilityList!$B$4:$B$251&amp;UtilityList!$C$4:$C$251,0)),"")</f>
        <v>Chugach</v>
      </c>
      <c r="P126" s="369" t="str">
        <f t="array" ref="P126">IFERROR(INDEX(UtilityList!$M$4:$M$251,MATCH('Table 2.1a'!$A126&amp;'Table 2.1a'!$B126&amp;'Table 2.1a'!$C126,UtilityList!$A$4:$A$251&amp;UtilityList!$B$4:$B$251&amp;UtilityList!$C$4:$C$251,0)),"")</f>
        <v>SC</v>
      </c>
    </row>
    <row r="127" spans="1:16" s="344" customFormat="1" ht="30" x14ac:dyDescent="0.25">
      <c r="A127" s="619" t="s">
        <v>533</v>
      </c>
      <c r="B127" s="361" t="s">
        <v>506</v>
      </c>
      <c r="C127" s="350" t="s">
        <v>1092</v>
      </c>
      <c r="D127" s="620">
        <v>6000</v>
      </c>
      <c r="E127" s="621">
        <v>0</v>
      </c>
      <c r="F127" s="621">
        <v>0</v>
      </c>
      <c r="G127" s="621">
        <v>6000</v>
      </c>
      <c r="H127" s="621">
        <v>0</v>
      </c>
      <c r="I127" s="452" t="s">
        <v>1018</v>
      </c>
      <c r="J127" s="622" t="str">
        <f t="array" ref="J127">IFERROR(INDEX(UtilityList!$H$4:$H$251,MATCH('Table 2.1a'!$A127&amp;'Table 2.1a'!$B127&amp;'Table 2.1a'!$C127,UtilityList!$A$4:$A$251&amp;UtilityList!$B$4:$B$251&amp;UtilityList!$C$4:$C$251,0)),"")</f>
        <v>PCE Eligible Active</v>
      </c>
      <c r="K127" s="709">
        <f t="array" ref="K127">IFERROR(INDEX(UtilityList!$Q$4:$Q$251,MATCH('Table 2.1a'!$A127&amp;'Table 2.1a'!$B127&amp;'Table 2.1a'!$C127,UtilityList!$A$4:$A$251&amp;UtilityList!$B$4:$B$251&amp;UtilityList!$C$4:$C$251,0)),"")</f>
        <v>0</v>
      </c>
      <c r="L127" s="622" t="str">
        <f t="array" ref="L127">IFERROR(INDEX(UtilityList!$I$4:$I$251,MATCH('Table 2.1a'!$A127&amp;'Table 2.1a'!$B127&amp;'Table 2.1a'!$C127,UtilityList!$A$4:$A$251&amp;UtilityList!$B$4:$B$251&amp;UtilityList!$C$4:$C$251,0)),"")</f>
        <v>CORDEC</v>
      </c>
      <c r="M127" s="369" t="str">
        <f t="array" ref="M127">IFERROR(INDEX(UtilityList!$J$4:$J$251,MATCH('Table 2.1a'!$A127&amp;'Table 2.1a'!$B127&amp;'Table 2.1a'!$C127,UtilityList!$A$4:$A$251&amp;UtilityList!$B$4:$B$251&amp;UtilityList!$C$4:$C$251,0)),"")</f>
        <v>Copper River/Chugach</v>
      </c>
      <c r="N127" s="369" t="str">
        <f t="array" ref="N127">IFERROR(INDEX(UtilityList!$K$4:$K$251,MATCH('Table 2.1a'!$A127&amp;'Table 2.1a'!$B127&amp;'Table 2.1a'!$C127,UtilityList!$A$4:$A$251&amp;UtilityList!$B$4:$B$251&amp;UtilityList!$C$4:$C$251,0)),"")</f>
        <v>Valdez-Cordova (CA)</v>
      </c>
      <c r="O127" s="369" t="str">
        <f t="array" ref="O127">IFERROR(INDEX(UtilityList!$L$4:$L$251,MATCH('Table 2.1a'!$A127&amp;'Table 2.1a'!$B127&amp;'Table 2.1a'!$C127,UtilityList!$A$4:$A$251&amp;UtilityList!$B$4:$B$251&amp;UtilityList!$C$4:$C$251,0)),"")</f>
        <v>Chugach</v>
      </c>
      <c r="P127" s="369" t="str">
        <f t="array" ref="P127">IFERROR(INDEX(UtilityList!$M$4:$M$251,MATCH('Table 2.1a'!$A127&amp;'Table 2.1a'!$B127&amp;'Table 2.1a'!$C127,UtilityList!$A$4:$A$251&amp;UtilityList!$B$4:$B$251&amp;UtilityList!$C$4:$C$251,0)),"")</f>
        <v>SC</v>
      </c>
    </row>
    <row r="128" spans="1:16" s="344" customFormat="1" x14ac:dyDescent="0.25">
      <c r="A128" s="619" t="s">
        <v>171</v>
      </c>
      <c r="B128" s="361" t="s">
        <v>172</v>
      </c>
      <c r="C128" s="350" t="s">
        <v>172</v>
      </c>
      <c r="D128" s="620">
        <v>380</v>
      </c>
      <c r="E128" s="621">
        <v>0</v>
      </c>
      <c r="F128" s="621">
        <v>380</v>
      </c>
      <c r="G128" s="621">
        <v>0</v>
      </c>
      <c r="H128" s="621">
        <v>0</v>
      </c>
      <c r="I128" s="452" t="s">
        <v>1022</v>
      </c>
      <c r="J128" s="622" t="str">
        <f t="array" ref="J128">IFERROR(INDEX(UtilityList!$H$4:$H$251,MATCH('Table 2.1a'!$A128&amp;'Table 2.1a'!$B128&amp;'Table 2.1a'!$C128,UtilityList!$A$4:$A$251&amp;UtilityList!$B$4:$B$251&amp;UtilityList!$C$4:$C$251,0)),"")</f>
        <v>PCE Eligible Active</v>
      </c>
      <c r="K128" s="709">
        <f t="array" ref="K128">IFERROR(INDEX(UtilityList!$Q$4:$Q$251,MATCH('Table 2.1a'!$A128&amp;'Table 2.1a'!$B128&amp;'Table 2.1a'!$C128,UtilityList!$A$4:$A$251&amp;UtilityList!$B$4:$B$251&amp;UtilityList!$C$4:$C$251,0)),"")</f>
        <v>0</v>
      </c>
      <c r="L128" s="622" t="str">
        <f t="array" ref="L128">IFERROR(INDEX(UtilityList!$I$4:$I$251,MATCH('Table 2.1a'!$A128&amp;'Table 2.1a'!$B128&amp;'Table 2.1a'!$C128,UtilityList!$A$4:$A$251&amp;UtilityList!$B$4:$B$251&amp;UtilityList!$C$4:$C$251,0)),"")</f>
        <v>EGEGLP</v>
      </c>
      <c r="M128" s="369" t="str">
        <f t="array" ref="M128">IFERROR(INDEX(UtilityList!$J$4:$J$251,MATCH('Table 2.1a'!$A128&amp;'Table 2.1a'!$B128&amp;'Table 2.1a'!$C128,UtilityList!$A$4:$A$251&amp;UtilityList!$B$4:$B$251&amp;UtilityList!$C$4:$C$251,0)),"")</f>
        <v>Bristol Bay</v>
      </c>
      <c r="N128" s="369" t="str">
        <f t="array" ref="N128">IFERROR(INDEX(UtilityList!$K$4:$K$251,MATCH('Table 2.1a'!$A128&amp;'Table 2.1a'!$B128&amp;'Table 2.1a'!$C128,UtilityList!$A$4:$A$251&amp;UtilityList!$B$4:$B$251&amp;UtilityList!$C$4:$C$251,0)),"")</f>
        <v>Lake and Peninsula</v>
      </c>
      <c r="O128" s="369" t="str">
        <f t="array" ref="O128">IFERROR(INDEX(UtilityList!$L$4:$L$251,MATCH('Table 2.1a'!$A128&amp;'Table 2.1a'!$B128&amp;'Table 2.1a'!$C128,UtilityList!$A$4:$A$251&amp;UtilityList!$B$4:$B$251&amp;UtilityList!$C$4:$C$251,0)),"")</f>
        <v>Bristol Bay</v>
      </c>
      <c r="P128" s="369" t="str">
        <f t="array" ref="P128">IFERROR(INDEX(UtilityList!$M$4:$M$251,MATCH('Table 2.1a'!$A128&amp;'Table 2.1a'!$B128&amp;'Table 2.1a'!$C128,UtilityList!$A$4:$A$251&amp;UtilityList!$B$4:$B$251&amp;UtilityList!$C$4:$C$251,0)),"")</f>
        <v>SW</v>
      </c>
    </row>
    <row r="129" spans="1:16" s="344" customFormat="1" x14ac:dyDescent="0.25">
      <c r="A129" s="619" t="s">
        <v>174</v>
      </c>
      <c r="B129" s="361" t="s">
        <v>175</v>
      </c>
      <c r="C129" s="350" t="s">
        <v>175</v>
      </c>
      <c r="D129" s="620">
        <v>347</v>
      </c>
      <c r="E129" s="621">
        <v>0</v>
      </c>
      <c r="F129" s="621">
        <v>347</v>
      </c>
      <c r="G129" s="621">
        <v>0</v>
      </c>
      <c r="H129" s="621">
        <v>0</v>
      </c>
      <c r="I129" s="452" t="s">
        <v>1022</v>
      </c>
      <c r="J129" s="622" t="str">
        <f t="array" ref="J129">IFERROR(INDEX(UtilityList!$H$4:$H$251,MATCH('Table 2.1a'!$A129&amp;'Table 2.1a'!$B129&amp;'Table 2.1a'!$C129,UtilityList!$A$4:$A$251&amp;UtilityList!$B$4:$B$251&amp;UtilityList!$C$4:$C$251,0)),"")</f>
        <v>PCE Eligible Active</v>
      </c>
      <c r="K129" s="709">
        <f t="array" ref="K129">IFERROR(INDEX(UtilityList!$Q$4:$Q$251,MATCH('Table 2.1a'!$A129&amp;'Table 2.1a'!$B129&amp;'Table 2.1a'!$C129,UtilityList!$A$4:$A$251&amp;UtilityList!$B$4:$B$251&amp;UtilityList!$C$4:$C$251,0)),"")</f>
        <v>0</v>
      </c>
      <c r="L129" s="622" t="str">
        <f t="array" ref="L129">IFERROR(INDEX(UtilityList!$I$4:$I$251,MATCH('Table 2.1a'!$A129&amp;'Table 2.1a'!$B129&amp;'Table 2.1a'!$C129,UtilityList!$A$4:$A$251&amp;UtilityList!$B$4:$B$251&amp;UtilityList!$C$4:$C$251,0)),"")</f>
        <v>ELFICEU</v>
      </c>
      <c r="M129" s="369" t="str">
        <f t="array" ref="M129">IFERROR(INDEX(UtilityList!$J$4:$J$251,MATCH('Table 2.1a'!$A129&amp;'Table 2.1a'!$B129&amp;'Table 2.1a'!$C129,UtilityList!$A$4:$A$251&amp;UtilityList!$B$4:$B$251&amp;UtilityList!$C$4:$C$251,0)),"")</f>
        <v>Southeast</v>
      </c>
      <c r="N129" s="369" t="str">
        <f t="array" ref="N129">IFERROR(INDEX(UtilityList!$K$4:$K$251,MATCH('Table 2.1a'!$A129&amp;'Table 2.1a'!$B129&amp;'Table 2.1a'!$C129,UtilityList!$A$4:$A$251&amp;UtilityList!$B$4:$B$251&amp;UtilityList!$C$4:$C$251,0)),"")</f>
        <v>Hoonah-Angoon (CA)</v>
      </c>
      <c r="O129" s="369" t="str">
        <f t="array" ref="O129">IFERROR(INDEX(UtilityList!$L$4:$L$251,MATCH('Table 2.1a'!$A129&amp;'Table 2.1a'!$B129&amp;'Table 2.1a'!$C129,UtilityList!$A$4:$A$251&amp;UtilityList!$B$4:$B$251&amp;UtilityList!$C$4:$C$251,0)),"")</f>
        <v>Sealaska</v>
      </c>
      <c r="P129" s="369" t="str">
        <f t="array" ref="P129">IFERROR(INDEX(UtilityList!$M$4:$M$251,MATCH('Table 2.1a'!$A129&amp;'Table 2.1a'!$B129&amp;'Table 2.1a'!$C129,UtilityList!$A$4:$A$251&amp;UtilityList!$B$4:$B$251&amp;UtilityList!$C$4:$C$251,0)),"")</f>
        <v>SE</v>
      </c>
    </row>
    <row r="130" spans="1:16" s="344" customFormat="1" ht="45" x14ac:dyDescent="0.25">
      <c r="A130" s="619" t="s">
        <v>1079</v>
      </c>
      <c r="B130" s="361" t="s">
        <v>1023</v>
      </c>
      <c r="C130" s="350"/>
      <c r="D130" s="620">
        <f>SUM(E130:H130)</f>
        <v>125</v>
      </c>
      <c r="E130" s="621"/>
      <c r="F130" s="621"/>
      <c r="G130" s="621">
        <v>125</v>
      </c>
      <c r="H130" s="621"/>
      <c r="I130" s="452" t="s">
        <v>1018</v>
      </c>
      <c r="J130" s="622" t="str">
        <f t="array" ref="J130">IFERROR(INDEX(UtilityList!$H$4:$H$251,MATCH('Table 2.1a'!$A130&amp;'Table 2.1a'!$B130&amp;'Table 2.1a'!$C130,UtilityList!$A$4:$A$251&amp;UtilityList!$B$4:$B$251&amp;UtilityList!$C$4:$C$251,0)),"")</f>
        <v>PCE Ineligible</v>
      </c>
      <c r="K130" s="709" t="str">
        <f t="array" ref="K130">IFERROR(INDEX(UtilityList!$Q$4:$Q$251,MATCH('Table 2.1a'!$A130&amp;'Table 2.1a'!$B130&amp;'Table 2.1a'!$C130,UtilityList!$A$4:$A$251&amp;UtilityList!$B$4:$B$251&amp;UtilityList!$C$4:$C$251,0)),"")</f>
        <v>Sells all its power to Matanuska Electric Association</v>
      </c>
      <c r="L130" s="622">
        <f t="array" ref="L130">IFERROR(INDEX(UtilityList!$I$4:$I$251,MATCH('Table 2.1a'!$A130&amp;'Table 2.1a'!$B130&amp;'Table 2.1a'!$C130,UtilityList!$A$4:$A$251&amp;UtilityList!$B$4:$B$251&amp;UtilityList!$C$4:$C$251,0)),"")</f>
        <v>0</v>
      </c>
      <c r="M130" s="369" t="str">
        <f t="array" ref="M130">IFERROR(INDEX(UtilityList!$J$4:$J$251,MATCH('Table 2.1a'!$A130&amp;'Table 2.1a'!$B130&amp;'Table 2.1a'!$C130,UtilityList!$A$4:$A$251&amp;UtilityList!$B$4:$B$251&amp;UtilityList!$C$4:$C$251,0)),"")</f>
        <v>Railbelt</v>
      </c>
      <c r="N130" s="369" t="str">
        <f t="array" ref="N130">IFERROR(INDEX(UtilityList!$K$4:$K$251,MATCH('Table 2.1a'!$A130&amp;'Table 2.1a'!$B130&amp;'Table 2.1a'!$C130,UtilityList!$A$4:$A$251&amp;UtilityList!$B$4:$B$251&amp;UtilityList!$C$4:$C$251,0)),"")</f>
        <v>Matanuska Susitna</v>
      </c>
      <c r="O130" s="369" t="str">
        <f t="array" ref="O130">IFERROR(INDEX(UtilityList!$L$4:$L$251,MATCH('Table 2.1a'!$A130&amp;'Table 2.1a'!$B130&amp;'Table 2.1a'!$C130,UtilityList!$A$4:$A$251&amp;UtilityList!$B$4:$B$251&amp;UtilityList!$C$4:$C$251,0)),"")</f>
        <v>Cook Inlet</v>
      </c>
      <c r="P130" s="369" t="str">
        <f t="array" ref="P130">IFERROR(INDEX(UtilityList!$M$4:$M$251,MATCH('Table 2.1a'!$A130&amp;'Table 2.1a'!$B130&amp;'Table 2.1a'!$C130,UtilityList!$A$4:$A$251&amp;UtilityList!$B$4:$B$251&amp;UtilityList!$C$4:$C$251,0)),"")</f>
        <v>SC</v>
      </c>
    </row>
    <row r="131" spans="1:16" s="344" customFormat="1" x14ac:dyDescent="0.25">
      <c r="A131" s="619" t="s">
        <v>176</v>
      </c>
      <c r="B131" s="361" t="s">
        <v>177</v>
      </c>
      <c r="C131" s="350" t="s">
        <v>177</v>
      </c>
      <c r="D131" s="620">
        <v>375</v>
      </c>
      <c r="E131" s="621">
        <v>0</v>
      </c>
      <c r="F131" s="621">
        <v>375</v>
      </c>
      <c r="G131" s="621">
        <v>0</v>
      </c>
      <c r="H131" s="621">
        <v>0</v>
      </c>
      <c r="I131" s="452" t="s">
        <v>1022</v>
      </c>
      <c r="J131" s="622" t="str">
        <f t="array" ref="J131">IFERROR(INDEX(UtilityList!$H$4:$H$251,MATCH('Table 2.1a'!$A131&amp;'Table 2.1a'!$B131&amp;'Table 2.1a'!$C131,UtilityList!$A$4:$A$251&amp;UtilityList!$B$4:$B$251&amp;UtilityList!$C$4:$C$251,0)),"")</f>
        <v>PCE Eligible Active</v>
      </c>
      <c r="K131" s="709">
        <f t="array" ref="K131">IFERROR(INDEX(UtilityList!$Q$4:$Q$251,MATCH('Table 2.1a'!$A131&amp;'Table 2.1a'!$B131&amp;'Table 2.1a'!$C131,UtilityList!$A$4:$A$251&amp;UtilityList!$B$4:$B$251&amp;UtilityList!$C$4:$C$251,0)),"")</f>
        <v>0</v>
      </c>
      <c r="L131" s="622" t="str">
        <f t="array" ref="L131">IFERROR(INDEX(UtilityList!$I$4:$I$251,MATCH('Table 2.1a'!$A131&amp;'Table 2.1a'!$B131&amp;'Table 2.1a'!$C131,UtilityList!$A$4:$A$251&amp;UtilityList!$B$4:$B$251&amp;UtilityList!$C$4:$C$251,0)),"")</f>
        <v>FALSPE</v>
      </c>
      <c r="M131" s="369" t="str">
        <f t="array" ref="M131">IFERROR(INDEX(UtilityList!$J$4:$J$251,MATCH('Table 2.1a'!$A131&amp;'Table 2.1a'!$B131&amp;'Table 2.1a'!$C131,UtilityList!$A$4:$A$251&amp;UtilityList!$B$4:$B$251&amp;UtilityList!$C$4:$C$251,0)),"")</f>
        <v>Aleutians</v>
      </c>
      <c r="N131" s="369" t="str">
        <f t="array" ref="N131">IFERROR(INDEX(UtilityList!$K$4:$K$251,MATCH('Table 2.1a'!$A131&amp;'Table 2.1a'!$B131&amp;'Table 2.1a'!$C131,UtilityList!$A$4:$A$251&amp;UtilityList!$B$4:$B$251&amp;UtilityList!$C$4:$C$251,0)),"")</f>
        <v>Aleutians East</v>
      </c>
      <c r="O131" s="369" t="str">
        <f t="array" ref="O131">IFERROR(INDEX(UtilityList!$L$4:$L$251,MATCH('Table 2.1a'!$A131&amp;'Table 2.1a'!$B131&amp;'Table 2.1a'!$C131,UtilityList!$A$4:$A$251&amp;UtilityList!$B$4:$B$251&amp;UtilityList!$C$4:$C$251,0)),"")</f>
        <v>Aleut</v>
      </c>
      <c r="P131" s="369" t="str">
        <f t="array" ref="P131">IFERROR(INDEX(UtilityList!$M$4:$M$251,MATCH('Table 2.1a'!$A131&amp;'Table 2.1a'!$B131&amp;'Table 2.1a'!$C131,UtilityList!$A$4:$A$251&amp;UtilityList!$B$4:$B$251&amp;UtilityList!$C$4:$C$251,0)),"")</f>
        <v>SW</v>
      </c>
    </row>
    <row r="132" spans="1:16" s="344" customFormat="1" x14ac:dyDescent="0.25">
      <c r="A132" s="619" t="s">
        <v>178</v>
      </c>
      <c r="B132" s="361" t="s">
        <v>179</v>
      </c>
      <c r="C132" s="350" t="s">
        <v>179</v>
      </c>
      <c r="D132" s="620">
        <v>2495</v>
      </c>
      <c r="E132" s="621">
        <v>0</v>
      </c>
      <c r="F132" s="621">
        <v>2495</v>
      </c>
      <c r="G132" s="621">
        <v>0</v>
      </c>
      <c r="H132" s="621">
        <v>0</v>
      </c>
      <c r="I132" s="452" t="s">
        <v>1022</v>
      </c>
      <c r="J132" s="622" t="str">
        <f t="array" ref="J132">IFERROR(INDEX(UtilityList!$H$4:$H$251,MATCH('Table 2.1a'!$A132&amp;'Table 2.1a'!$B132&amp;'Table 2.1a'!$C132,UtilityList!$A$4:$A$251&amp;UtilityList!$B$4:$B$251&amp;UtilityList!$C$4:$C$251,0)),"")</f>
        <v>PCE Eligible Active</v>
      </c>
      <c r="K132" s="709">
        <f t="array" ref="K132">IFERROR(INDEX(UtilityList!$Q$4:$Q$251,MATCH('Table 2.1a'!$A132&amp;'Table 2.1a'!$B132&amp;'Table 2.1a'!$C132,UtilityList!$A$4:$A$251&amp;UtilityList!$B$4:$B$251&amp;UtilityList!$C$4:$C$251,0)),"")</f>
        <v>0</v>
      </c>
      <c r="L132" s="622" t="str">
        <f t="array" ref="L132">IFERROR(INDEX(UtilityList!$I$4:$I$251,MATCH('Table 2.1a'!$A132&amp;'Table 2.1a'!$B132&amp;'Table 2.1a'!$C132,UtilityList!$A$4:$A$251&amp;UtilityList!$B$4:$B$251&amp;UtilityList!$C$4:$C$251,0)),"")</f>
        <v>G&amp;K</v>
      </c>
      <c r="M132" s="369" t="str">
        <f t="array" ref="M132">IFERROR(INDEX(UtilityList!$J$4:$J$251,MATCH('Table 2.1a'!$A132&amp;'Table 2.1a'!$B132&amp;'Table 2.1a'!$C132,UtilityList!$A$4:$A$251&amp;UtilityList!$B$4:$B$251&amp;UtilityList!$C$4:$C$251,0)),"")</f>
        <v>Aleutians</v>
      </c>
      <c r="N132" s="369" t="str">
        <f t="array" ref="N132">IFERROR(INDEX(UtilityList!$K$4:$K$251,MATCH('Table 2.1a'!$A132&amp;'Table 2.1a'!$B132&amp;'Table 2.1a'!$C132,UtilityList!$A$4:$A$251&amp;UtilityList!$B$4:$B$251&amp;UtilityList!$C$4:$C$251,0)),"")</f>
        <v>Aleutians East</v>
      </c>
      <c r="O132" s="369" t="str">
        <f t="array" ref="O132">IFERROR(INDEX(UtilityList!$L$4:$L$251,MATCH('Table 2.1a'!$A132&amp;'Table 2.1a'!$B132&amp;'Table 2.1a'!$C132,UtilityList!$A$4:$A$251&amp;UtilityList!$B$4:$B$251&amp;UtilityList!$C$4:$C$251,0)),"")</f>
        <v>Aleut</v>
      </c>
      <c r="P132" s="369" t="str">
        <f t="array" ref="P132">IFERROR(INDEX(UtilityList!$M$4:$M$251,MATCH('Table 2.1a'!$A132&amp;'Table 2.1a'!$B132&amp;'Table 2.1a'!$C132,UtilityList!$A$4:$A$251&amp;UtilityList!$B$4:$B$251&amp;UtilityList!$C$4:$C$251,0)),"")</f>
        <v>SW</v>
      </c>
    </row>
    <row r="133" spans="1:16" s="344" customFormat="1" x14ac:dyDescent="0.25">
      <c r="A133" s="619" t="s">
        <v>180</v>
      </c>
      <c r="B133" s="361" t="s">
        <v>181</v>
      </c>
      <c r="C133" s="350" t="s">
        <v>181</v>
      </c>
      <c r="D133" s="620">
        <v>4200</v>
      </c>
      <c r="E133" s="621">
        <v>0</v>
      </c>
      <c r="F133" s="621">
        <v>4200</v>
      </c>
      <c r="G133" s="621">
        <v>0</v>
      </c>
      <c r="H133" s="621">
        <v>0</v>
      </c>
      <c r="I133" s="452" t="s">
        <v>1020</v>
      </c>
      <c r="J133" s="622" t="str">
        <f t="array" ref="J133">IFERROR(INDEX(UtilityList!$H$4:$H$251,MATCH('Table 2.1a'!$A133&amp;'Table 2.1a'!$B133&amp;'Table 2.1a'!$C133,UtilityList!$A$4:$A$251&amp;UtilityList!$B$4:$B$251&amp;UtilityList!$C$4:$C$251,0)),"")</f>
        <v>PCE Eligible Active</v>
      </c>
      <c r="K133" s="709">
        <f t="array" ref="K133">IFERROR(INDEX(UtilityList!$Q$4:$Q$251,MATCH('Table 2.1a'!$A133&amp;'Table 2.1a'!$B133&amp;'Table 2.1a'!$C133,UtilityList!$A$4:$A$251&amp;UtilityList!$B$4:$B$251&amp;UtilityList!$C$4:$C$251,0)),"")</f>
        <v>0</v>
      </c>
      <c r="L133" s="622" t="str">
        <f t="array" ref="L133">IFERROR(INDEX(UtilityList!$I$4:$I$251,MATCH('Table 2.1a'!$A133&amp;'Table 2.1a'!$B133&amp;'Table 2.1a'!$C133,UtilityList!$A$4:$A$251&amp;UtilityList!$B$4:$B$251&amp;UtilityList!$C$4:$C$251,0)),"")</f>
        <v>GALE</v>
      </c>
      <c r="M133" s="369" t="str">
        <f t="array" ref="M133">IFERROR(INDEX(UtilityList!$J$4:$J$251,MATCH('Table 2.1a'!$A133&amp;'Table 2.1a'!$B133&amp;'Table 2.1a'!$C133,UtilityList!$A$4:$A$251&amp;UtilityList!$B$4:$B$251&amp;UtilityList!$C$4:$C$251,0)),"")</f>
        <v>Yukon-Koyukuk/Upper Tanana</v>
      </c>
      <c r="N133" s="369" t="str">
        <f t="array" ref="N133">IFERROR(INDEX(UtilityList!$K$4:$K$251,MATCH('Table 2.1a'!$A133&amp;'Table 2.1a'!$B133&amp;'Table 2.1a'!$C133,UtilityList!$A$4:$A$251&amp;UtilityList!$B$4:$B$251&amp;UtilityList!$C$4:$C$251,0)),"")</f>
        <v>Yukon-Koyukuk (CA)</v>
      </c>
      <c r="O133" s="369" t="str">
        <f t="array" ref="O133">IFERROR(INDEX(UtilityList!$L$4:$L$251,MATCH('Table 2.1a'!$A133&amp;'Table 2.1a'!$B133&amp;'Table 2.1a'!$C133,UtilityList!$A$4:$A$251&amp;UtilityList!$B$4:$B$251&amp;UtilityList!$C$4:$C$251,0)),"")</f>
        <v>Doyon</v>
      </c>
      <c r="P133" s="369" t="str">
        <f t="array" ref="P133">IFERROR(INDEX(UtilityList!$M$4:$M$251,MATCH('Table 2.1a'!$A133&amp;'Table 2.1a'!$B133&amp;'Table 2.1a'!$C133,UtilityList!$A$4:$A$251&amp;UtilityList!$B$4:$B$251&amp;UtilityList!$C$4:$C$251,0)),"")</f>
        <v>YU</v>
      </c>
    </row>
    <row r="134" spans="1:16" s="344" customFormat="1" x14ac:dyDescent="0.25">
      <c r="A134" s="619" t="s">
        <v>182</v>
      </c>
      <c r="B134" s="361" t="s">
        <v>183</v>
      </c>
      <c r="C134" s="350" t="s">
        <v>183</v>
      </c>
      <c r="D134" s="620">
        <v>575</v>
      </c>
      <c r="E134" s="621">
        <v>0</v>
      </c>
      <c r="F134" s="621">
        <v>575</v>
      </c>
      <c r="G134" s="621">
        <v>0</v>
      </c>
      <c r="H134" s="621">
        <v>0</v>
      </c>
      <c r="I134" s="452" t="s">
        <v>1022</v>
      </c>
      <c r="J134" s="622" t="str">
        <f t="array" ref="J134">IFERROR(INDEX(UtilityList!$H$4:$H$251,MATCH('Table 2.1a'!$A134&amp;'Table 2.1a'!$B134&amp;'Table 2.1a'!$C134,UtilityList!$A$4:$A$251&amp;UtilityList!$B$4:$B$251&amp;UtilityList!$C$4:$C$251,0)),"")</f>
        <v>PCE Eligible Active</v>
      </c>
      <c r="K134" s="709">
        <f t="array" ref="K134">IFERROR(INDEX(UtilityList!$Q$4:$Q$251,MATCH('Table 2.1a'!$A134&amp;'Table 2.1a'!$B134&amp;'Table 2.1a'!$C134,UtilityList!$A$4:$A$251&amp;UtilityList!$B$4:$B$251&amp;UtilityList!$C$4:$C$251,0)),"")</f>
        <v>0</v>
      </c>
      <c r="L134" s="622" t="str">
        <f t="array" ref="L134">IFERROR(INDEX(UtilityList!$I$4:$I$251,MATCH('Table 2.1a'!$A134&amp;'Table 2.1a'!$B134&amp;'Table 2.1a'!$C134,UtilityList!$A$4:$A$251&amp;UtilityList!$B$4:$B$251&amp;UtilityList!$C$4:$C$251,0)),"")</f>
        <v>CENTEI</v>
      </c>
      <c r="M134" s="369" t="str">
        <f t="array" ref="M134">IFERROR(INDEX(UtilityList!$J$4:$J$251,MATCH('Table 2.1a'!$A134&amp;'Table 2.1a'!$B134&amp;'Table 2.1a'!$C134,UtilityList!$A$4:$A$251&amp;UtilityList!$B$4:$B$251&amp;UtilityList!$C$4:$C$251,0)),"")</f>
        <v>Yukon-Koyukuk/Upper Tanana</v>
      </c>
      <c r="N134" s="369" t="str">
        <f t="array" ref="N134">IFERROR(INDEX(UtilityList!$K$4:$K$251,MATCH('Table 2.1a'!$A134&amp;'Table 2.1a'!$B134&amp;'Table 2.1a'!$C134,UtilityList!$A$4:$A$251&amp;UtilityList!$B$4:$B$251&amp;UtilityList!$C$4:$C$251,0)),"")</f>
        <v>Yukon-Koyukuk (CA)</v>
      </c>
      <c r="O134" s="369" t="str">
        <f t="array" ref="O134">IFERROR(INDEX(UtilityList!$L$4:$L$251,MATCH('Table 2.1a'!$A134&amp;'Table 2.1a'!$B134&amp;'Table 2.1a'!$C134,UtilityList!$A$4:$A$251&amp;UtilityList!$B$4:$B$251&amp;UtilityList!$C$4:$C$251,0)),"")</f>
        <v>Doyon</v>
      </c>
      <c r="P134" s="369" t="str">
        <f t="array" ref="P134">IFERROR(INDEX(UtilityList!$M$4:$M$251,MATCH('Table 2.1a'!$A134&amp;'Table 2.1a'!$B134&amp;'Table 2.1a'!$C134,UtilityList!$A$4:$A$251&amp;UtilityList!$B$4:$B$251&amp;UtilityList!$C$4:$C$251,0)),"")</f>
        <v>YU</v>
      </c>
    </row>
    <row r="135" spans="1:16" s="344" customFormat="1" x14ac:dyDescent="0.25">
      <c r="A135" s="619" t="s">
        <v>184</v>
      </c>
      <c r="B135" s="361" t="s">
        <v>185</v>
      </c>
      <c r="C135" s="350"/>
      <c r="D135" s="620">
        <v>23100</v>
      </c>
      <c r="E135" s="621">
        <v>23100</v>
      </c>
      <c r="F135" s="621">
        <v>0</v>
      </c>
      <c r="G135" s="621">
        <v>0</v>
      </c>
      <c r="H135" s="621">
        <v>0</v>
      </c>
      <c r="I135" s="452" t="s">
        <v>1020</v>
      </c>
      <c r="J135" s="622" t="str">
        <f t="array" ref="J135">IFERROR(INDEX(UtilityList!$H$4:$H$251,MATCH('Table 2.1a'!$A135&amp;'Table 2.1a'!$B135&amp;'Table 2.1a'!$C135,UtilityList!$A$4:$A$251&amp;UtilityList!$B$4:$B$251&amp;UtilityList!$C$4:$C$251,0)),"")</f>
        <v>PCE Ineligible</v>
      </c>
      <c r="K135" s="709">
        <f t="array" ref="K135">IFERROR(INDEX(UtilityList!$Q$4:$Q$251,MATCH('Table 2.1a'!$A135&amp;'Table 2.1a'!$B135&amp;'Table 2.1a'!$C135,UtilityList!$A$4:$A$251&amp;UtilityList!$B$4:$B$251&amp;UtilityList!$C$4:$C$251,0)),"")</f>
        <v>0</v>
      </c>
      <c r="L135" s="622" t="str">
        <f t="array" ref="L135">IFERROR(INDEX(UtilityList!$I$4:$I$251,MATCH('Table 2.1a'!$A135&amp;'Table 2.1a'!$B135&amp;'Table 2.1a'!$C135,UtilityList!$A$4:$A$251&amp;UtilityList!$B$4:$B$251&amp;UtilityList!$C$4:$C$251,0)),"")</f>
        <v>GVEA</v>
      </c>
      <c r="M135" s="369" t="str">
        <f t="array" ref="M135">IFERROR(INDEX(UtilityList!$J$4:$J$251,MATCH('Table 2.1a'!$A135&amp;'Table 2.1a'!$B135&amp;'Table 2.1a'!$C135,UtilityList!$A$4:$A$251&amp;UtilityList!$B$4:$B$251&amp;UtilityList!$C$4:$C$251,0)),"")</f>
        <v>Railbelt</v>
      </c>
      <c r="N135" s="369" t="str">
        <f t="array" ref="N135">IFERROR(INDEX(UtilityList!$K$4:$K$251,MATCH('Table 2.1a'!$A135&amp;'Table 2.1a'!$B135&amp;'Table 2.1a'!$C135,UtilityList!$A$4:$A$251&amp;UtilityList!$B$4:$B$251&amp;UtilityList!$C$4:$C$251,0)),"")</f>
        <v>Fairbanks North Star</v>
      </c>
      <c r="O135" s="369" t="str">
        <f t="array" ref="O135">IFERROR(INDEX(UtilityList!$L$4:$L$251,MATCH('Table 2.1a'!$A135&amp;'Table 2.1a'!$B135&amp;'Table 2.1a'!$C135,UtilityList!$A$4:$A$251&amp;UtilityList!$B$4:$B$251&amp;UtilityList!$C$4:$C$251,0)),"")</f>
        <v>Doyon</v>
      </c>
      <c r="P135" s="369" t="str">
        <f t="array" ref="P135">IFERROR(INDEX(UtilityList!$M$4:$M$251,MATCH('Table 2.1a'!$A135&amp;'Table 2.1a'!$B135&amp;'Table 2.1a'!$C135,UtilityList!$A$4:$A$251&amp;UtilityList!$B$4:$B$251&amp;UtilityList!$C$4:$C$251,0)),"")</f>
        <v>YU</v>
      </c>
    </row>
    <row r="136" spans="1:16" s="344" customFormat="1" x14ac:dyDescent="0.25">
      <c r="A136" s="619" t="s">
        <v>184</v>
      </c>
      <c r="B136" s="361" t="s">
        <v>132</v>
      </c>
      <c r="C136" s="350"/>
      <c r="D136" s="620">
        <v>42200</v>
      </c>
      <c r="E136" s="621">
        <v>36800</v>
      </c>
      <c r="F136" s="621">
        <v>5400</v>
      </c>
      <c r="G136" s="621">
        <v>0</v>
      </c>
      <c r="H136" s="621">
        <v>0</v>
      </c>
      <c r="I136" s="452" t="s">
        <v>1020</v>
      </c>
      <c r="J136" s="622" t="str">
        <f t="array" ref="J136">IFERROR(INDEX(UtilityList!$H$4:$H$251,MATCH('Table 2.1a'!$A136&amp;'Table 2.1a'!$B136&amp;'Table 2.1a'!$C136,UtilityList!$A$4:$A$251&amp;UtilityList!$B$4:$B$251&amp;UtilityList!$C$4:$C$251,0)),"")</f>
        <v>PCE Ineligible</v>
      </c>
      <c r="K136" s="709">
        <f t="array" ref="K136">IFERROR(INDEX(UtilityList!$Q$4:$Q$251,MATCH('Table 2.1a'!$A136&amp;'Table 2.1a'!$B136&amp;'Table 2.1a'!$C136,UtilityList!$A$4:$A$251&amp;UtilityList!$B$4:$B$251&amp;UtilityList!$C$4:$C$251,0)),"")</f>
        <v>0</v>
      </c>
      <c r="L136" s="622" t="str">
        <f t="array" ref="L136">IFERROR(INDEX(UtilityList!$I$4:$I$251,MATCH('Table 2.1a'!$A136&amp;'Table 2.1a'!$B136&amp;'Table 2.1a'!$C136,UtilityList!$A$4:$A$251&amp;UtilityList!$B$4:$B$251&amp;UtilityList!$C$4:$C$251,0)),"")</f>
        <v>GVEA</v>
      </c>
      <c r="M136" s="369" t="str">
        <f t="array" ref="M136">IFERROR(INDEX(UtilityList!$J$4:$J$251,MATCH('Table 2.1a'!$A136&amp;'Table 2.1a'!$B136&amp;'Table 2.1a'!$C136,UtilityList!$A$4:$A$251&amp;UtilityList!$B$4:$B$251&amp;UtilityList!$C$4:$C$251,0)),"")</f>
        <v>Railbelt</v>
      </c>
      <c r="N136" s="369" t="str">
        <f t="array" ref="N136">IFERROR(INDEX(UtilityList!$K$4:$K$251,MATCH('Table 2.1a'!$A136&amp;'Table 2.1a'!$B136&amp;'Table 2.1a'!$C136,UtilityList!$A$4:$A$251&amp;UtilityList!$B$4:$B$251&amp;UtilityList!$C$4:$C$251,0)),"")</f>
        <v>Fairbanks North Star</v>
      </c>
      <c r="O136" s="369" t="str">
        <f t="array" ref="O136">IFERROR(INDEX(UtilityList!$L$4:$L$251,MATCH('Table 2.1a'!$A136&amp;'Table 2.1a'!$B136&amp;'Table 2.1a'!$C136,UtilityList!$A$4:$A$251&amp;UtilityList!$B$4:$B$251&amp;UtilityList!$C$4:$C$251,0)),"")</f>
        <v>Doyon</v>
      </c>
      <c r="P136" s="369" t="str">
        <f t="array" ref="P136">IFERROR(INDEX(UtilityList!$M$4:$M$251,MATCH('Table 2.1a'!$A136&amp;'Table 2.1a'!$B136&amp;'Table 2.1a'!$C136,UtilityList!$A$4:$A$251&amp;UtilityList!$B$4:$B$251&amp;UtilityList!$C$4:$C$251,0)),"")</f>
        <v>YU</v>
      </c>
    </row>
    <row r="137" spans="1:16" s="344" customFormat="1" x14ac:dyDescent="0.25">
      <c r="A137" s="619" t="s">
        <v>184</v>
      </c>
      <c r="B137" s="361" t="s">
        <v>186</v>
      </c>
      <c r="C137" s="350"/>
      <c r="D137" s="620">
        <v>30800</v>
      </c>
      <c r="E137" s="621">
        <v>28000</v>
      </c>
      <c r="F137" s="621">
        <v>2800</v>
      </c>
      <c r="G137" s="621">
        <v>0</v>
      </c>
      <c r="H137" s="621">
        <v>0</v>
      </c>
      <c r="I137" s="452" t="s">
        <v>1020</v>
      </c>
      <c r="J137" s="622" t="str">
        <f t="array" ref="J137">IFERROR(INDEX(UtilityList!$H$4:$H$251,MATCH('Table 2.1a'!$A137&amp;'Table 2.1a'!$B137&amp;'Table 2.1a'!$C137,UtilityList!$A$4:$A$251&amp;UtilityList!$B$4:$B$251&amp;UtilityList!$C$4:$C$251,0)),"")</f>
        <v>PCE Ineligible</v>
      </c>
      <c r="K137" s="709">
        <f t="array" ref="K137">IFERROR(INDEX(UtilityList!$Q$4:$Q$251,MATCH('Table 2.1a'!$A137&amp;'Table 2.1a'!$B137&amp;'Table 2.1a'!$C137,UtilityList!$A$4:$A$251&amp;UtilityList!$B$4:$B$251&amp;UtilityList!$C$4:$C$251,0)),"")</f>
        <v>0</v>
      </c>
      <c r="L137" s="622" t="str">
        <f t="array" ref="L137">IFERROR(INDEX(UtilityList!$I$4:$I$251,MATCH('Table 2.1a'!$A137&amp;'Table 2.1a'!$B137&amp;'Table 2.1a'!$C137,UtilityList!$A$4:$A$251&amp;UtilityList!$B$4:$B$251&amp;UtilityList!$C$4:$C$251,0)),"")</f>
        <v>GVEA</v>
      </c>
      <c r="M137" s="369" t="str">
        <f t="array" ref="M137">IFERROR(INDEX(UtilityList!$J$4:$J$251,MATCH('Table 2.1a'!$A137&amp;'Table 2.1a'!$B137&amp;'Table 2.1a'!$C137,UtilityList!$A$4:$A$251&amp;UtilityList!$B$4:$B$251&amp;UtilityList!$C$4:$C$251,0)),"")</f>
        <v>Railbelt</v>
      </c>
      <c r="N137" s="369" t="str">
        <f t="array" ref="N137">IFERROR(INDEX(UtilityList!$K$4:$K$251,MATCH('Table 2.1a'!$A137&amp;'Table 2.1a'!$B137&amp;'Table 2.1a'!$C137,UtilityList!$A$4:$A$251&amp;UtilityList!$B$4:$B$251&amp;UtilityList!$C$4:$C$251,0)),"")</f>
        <v>Denali</v>
      </c>
      <c r="O137" s="369" t="str">
        <f t="array" ref="O137">IFERROR(INDEX(UtilityList!$L$4:$L$251,MATCH('Table 2.1a'!$A137&amp;'Table 2.1a'!$B137&amp;'Table 2.1a'!$C137,UtilityList!$A$4:$A$251&amp;UtilityList!$B$4:$B$251&amp;UtilityList!$C$4:$C$251,0)),"")</f>
        <v>Doyon</v>
      </c>
      <c r="P137" s="369" t="str">
        <f t="array" ref="P137">IFERROR(INDEX(UtilityList!$M$4:$M$251,MATCH('Table 2.1a'!$A137&amp;'Table 2.1a'!$B137&amp;'Table 2.1a'!$C137,UtilityList!$A$4:$A$251&amp;UtilityList!$B$4:$B$251&amp;UtilityList!$C$4:$C$251,0)),"")</f>
        <v>YU</v>
      </c>
    </row>
    <row r="138" spans="1:16" s="344" customFormat="1" x14ac:dyDescent="0.25">
      <c r="A138" s="619" t="s">
        <v>184</v>
      </c>
      <c r="B138" s="361" t="s">
        <v>187</v>
      </c>
      <c r="C138" s="350"/>
      <c r="D138" s="620">
        <v>181000</v>
      </c>
      <c r="E138" s="621">
        <v>181000</v>
      </c>
      <c r="F138" s="621">
        <v>0</v>
      </c>
      <c r="G138" s="621">
        <v>0</v>
      </c>
      <c r="H138" s="621">
        <v>0</v>
      </c>
      <c r="I138" s="452" t="s">
        <v>1020</v>
      </c>
      <c r="J138" s="622" t="str">
        <f t="array" ref="J138">IFERROR(INDEX(UtilityList!$H$4:$H$251,MATCH('Table 2.1a'!$A138&amp;'Table 2.1a'!$B138&amp;'Table 2.1a'!$C138,UtilityList!$A$4:$A$251&amp;UtilityList!$B$4:$B$251&amp;UtilityList!$C$4:$C$251,0)),"")</f>
        <v>PCE Ineligible</v>
      </c>
      <c r="K138" s="709">
        <f t="array" ref="K138">IFERROR(INDEX(UtilityList!$Q$4:$Q$251,MATCH('Table 2.1a'!$A138&amp;'Table 2.1a'!$B138&amp;'Table 2.1a'!$C138,UtilityList!$A$4:$A$251&amp;UtilityList!$B$4:$B$251&amp;UtilityList!$C$4:$C$251,0)),"")</f>
        <v>0</v>
      </c>
      <c r="L138" s="622" t="str">
        <f t="array" ref="L138">IFERROR(INDEX(UtilityList!$I$4:$I$251,MATCH('Table 2.1a'!$A138&amp;'Table 2.1a'!$B138&amp;'Table 2.1a'!$C138,UtilityList!$A$4:$A$251&amp;UtilityList!$B$4:$B$251&amp;UtilityList!$C$4:$C$251,0)),"")</f>
        <v>GVEA</v>
      </c>
      <c r="M138" s="369" t="str">
        <f t="array" ref="M138">IFERROR(INDEX(UtilityList!$J$4:$J$251,MATCH('Table 2.1a'!$A138&amp;'Table 2.1a'!$B138&amp;'Table 2.1a'!$C138,UtilityList!$A$4:$A$251&amp;UtilityList!$B$4:$B$251&amp;UtilityList!$C$4:$C$251,0)),"")</f>
        <v>Railbelt</v>
      </c>
      <c r="N138" s="369" t="str">
        <f t="array" ref="N138">IFERROR(INDEX(UtilityList!$K$4:$K$251,MATCH('Table 2.1a'!$A138&amp;'Table 2.1a'!$B138&amp;'Table 2.1a'!$C138,UtilityList!$A$4:$A$251&amp;UtilityList!$B$4:$B$251&amp;UtilityList!$C$4:$C$251,0)),"")</f>
        <v>Fairbanks North Star</v>
      </c>
      <c r="O138" s="369" t="str">
        <f t="array" ref="O138">IFERROR(INDEX(UtilityList!$L$4:$L$251,MATCH('Table 2.1a'!$A138&amp;'Table 2.1a'!$B138&amp;'Table 2.1a'!$C138,UtilityList!$A$4:$A$251&amp;UtilityList!$B$4:$B$251&amp;UtilityList!$C$4:$C$251,0)),"")</f>
        <v>Doyon</v>
      </c>
      <c r="P138" s="369" t="str">
        <f t="array" ref="P138">IFERROR(INDEX(UtilityList!$M$4:$M$251,MATCH('Table 2.1a'!$A138&amp;'Table 2.1a'!$B138&amp;'Table 2.1a'!$C138,UtilityList!$A$4:$A$251&amp;UtilityList!$B$4:$B$251&amp;UtilityList!$C$4:$C$251,0)),"")</f>
        <v>YU</v>
      </c>
    </row>
    <row r="139" spans="1:16" s="344" customFormat="1" x14ac:dyDescent="0.25">
      <c r="A139" s="619" t="s">
        <v>188</v>
      </c>
      <c r="B139" s="361" t="s">
        <v>189</v>
      </c>
      <c r="C139" s="350" t="s">
        <v>189</v>
      </c>
      <c r="D139" s="620">
        <v>580</v>
      </c>
      <c r="E139" s="621">
        <v>0</v>
      </c>
      <c r="F139" s="621">
        <v>580</v>
      </c>
      <c r="G139" s="621">
        <v>0</v>
      </c>
      <c r="H139" s="621">
        <v>0</v>
      </c>
      <c r="I139" s="452" t="s">
        <v>1022</v>
      </c>
      <c r="J139" s="622" t="str">
        <f t="array" ref="J139">IFERROR(INDEX(UtilityList!$H$4:$H$251,MATCH('Table 2.1a'!$A139&amp;'Table 2.1a'!$B139&amp;'Table 2.1a'!$C139,UtilityList!$A$4:$A$251&amp;UtilityList!$B$4:$B$251&amp;UtilityList!$C$4:$C$251,0)),"")</f>
        <v>PCE Eligible Active</v>
      </c>
      <c r="K139" s="709">
        <f t="array" ref="K139">IFERROR(INDEX(UtilityList!$Q$4:$Q$251,MATCH('Table 2.1a'!$A139&amp;'Table 2.1a'!$B139&amp;'Table 2.1a'!$C139,UtilityList!$A$4:$A$251&amp;UtilityList!$B$4:$B$251&amp;UtilityList!$C$4:$C$251,0)),"")</f>
        <v>0</v>
      </c>
      <c r="L139" s="622" t="str">
        <f t="array" ref="L139">IFERROR(INDEX(UtilityList!$I$4:$I$251,MATCH('Table 2.1a'!$A139&amp;'Table 2.1a'!$B139&amp;'Table 2.1a'!$C139,UtilityList!$A$4:$A$251&amp;UtilityList!$B$4:$B$251&amp;UtilityList!$C$4:$C$251,0)),"")</f>
        <v>GOLOPU</v>
      </c>
      <c r="M139" s="369" t="str">
        <f t="array" ref="M139">IFERROR(INDEX(UtilityList!$J$4:$J$251,MATCH('Table 2.1a'!$A139&amp;'Table 2.1a'!$B139&amp;'Table 2.1a'!$C139,UtilityList!$A$4:$A$251&amp;UtilityList!$B$4:$B$251&amp;UtilityList!$C$4:$C$251,0)),"")</f>
        <v>Bering Straits</v>
      </c>
      <c r="N139" s="369" t="str">
        <f t="array" ref="N139">IFERROR(INDEX(UtilityList!$K$4:$K$251,MATCH('Table 2.1a'!$A139&amp;'Table 2.1a'!$B139&amp;'Table 2.1a'!$C139,UtilityList!$A$4:$A$251&amp;UtilityList!$B$4:$B$251&amp;UtilityList!$C$4:$C$251,0)),"")</f>
        <v>Nome (CA)</v>
      </c>
      <c r="O139" s="369" t="str">
        <f t="array" ref="O139">IFERROR(INDEX(UtilityList!$L$4:$L$251,MATCH('Table 2.1a'!$A139&amp;'Table 2.1a'!$B139&amp;'Table 2.1a'!$C139,UtilityList!$A$4:$A$251&amp;UtilityList!$B$4:$B$251&amp;UtilityList!$C$4:$C$251,0)),"")</f>
        <v>Bering Straits</v>
      </c>
      <c r="P139" s="369" t="str">
        <f t="array" ref="P139">IFERROR(INDEX(UtilityList!$M$4:$M$251,MATCH('Table 2.1a'!$A139&amp;'Table 2.1a'!$B139&amp;'Table 2.1a'!$C139,UtilityList!$A$4:$A$251&amp;UtilityList!$B$4:$B$251&amp;UtilityList!$C$4:$C$251,0)),"")</f>
        <v>AN</v>
      </c>
    </row>
    <row r="140" spans="1:16" s="344" customFormat="1" ht="30" x14ac:dyDescent="0.25">
      <c r="A140" s="619" t="s">
        <v>190</v>
      </c>
      <c r="B140" s="339" t="s">
        <v>520</v>
      </c>
      <c r="C140" s="619" t="s">
        <v>191</v>
      </c>
      <c r="D140" s="620">
        <v>800</v>
      </c>
      <c r="E140" s="621">
        <v>0</v>
      </c>
      <c r="F140" s="621">
        <v>0</v>
      </c>
      <c r="G140" s="735">
        <v>800</v>
      </c>
      <c r="H140" s="621">
        <v>0</v>
      </c>
      <c r="I140" s="452" t="s">
        <v>1018</v>
      </c>
      <c r="J140" s="622" t="str">
        <f t="array" ref="J140">IFERROR(INDEX(UtilityList!$H$4:$H$251,MATCH('Table 2.1a'!$A140&amp;'Table 2.1a'!$B140&amp;'Table 2.1a'!$C140,UtilityList!$A$4:$A$251&amp;UtilityList!$B$4:$B$251&amp;UtilityList!$C$4:$C$251,0)),"")</f>
        <v>PCE Eligible Active</v>
      </c>
      <c r="K140" s="709">
        <f t="array" ref="K140">IFERROR(INDEX(UtilityList!$Q$4:$Q$251,MATCH('Table 2.1a'!$A140&amp;'Table 2.1a'!$B140&amp;'Table 2.1a'!$C140,UtilityList!$A$4:$A$251&amp;UtilityList!$B$4:$B$251&amp;UtilityList!$C$4:$C$251,0)),"")</f>
        <v>0</v>
      </c>
      <c r="L140" s="622" t="str">
        <f t="array" ref="L140">IFERROR(INDEX(UtilityList!$I$4:$I$251,MATCH('Table 2.1a'!$A140&amp;'Table 2.1a'!$B140&amp;'Table 2.1a'!$C140,UtilityList!$A$4:$A$251&amp;UtilityList!$B$4:$B$251&amp;UtilityList!$C$4:$C$251,0)),"")</f>
        <v>GUSTE</v>
      </c>
      <c r="M140" s="369" t="str">
        <f t="array" ref="M140">IFERROR(INDEX(UtilityList!$J$4:$J$251,MATCH('Table 2.1a'!$A140&amp;'Table 2.1a'!$B140&amp;'Table 2.1a'!$C140,UtilityList!$A$4:$A$251&amp;UtilityList!$B$4:$B$251&amp;UtilityList!$C$4:$C$251,0)),"")</f>
        <v>Southeast</v>
      </c>
      <c r="N140" s="369" t="str">
        <f t="array" ref="N140">IFERROR(INDEX(UtilityList!$K$4:$K$251,MATCH('Table 2.1a'!$A140&amp;'Table 2.1a'!$B140&amp;'Table 2.1a'!$C140,UtilityList!$A$4:$A$251&amp;UtilityList!$B$4:$B$251&amp;UtilityList!$C$4:$C$251,0)),"")</f>
        <v>Hoonah-Angoon (CA)</v>
      </c>
      <c r="O140" s="369" t="str">
        <f t="array" ref="O140">IFERROR(INDEX(UtilityList!$L$4:$L$251,MATCH('Table 2.1a'!$A140&amp;'Table 2.1a'!$B140&amp;'Table 2.1a'!$C140,UtilityList!$A$4:$A$251&amp;UtilityList!$B$4:$B$251&amp;UtilityList!$C$4:$C$251,0)),"")</f>
        <v>Sealaska</v>
      </c>
      <c r="P140" s="369" t="str">
        <f t="array" ref="P140">IFERROR(INDEX(UtilityList!$M$4:$M$251,MATCH('Table 2.1a'!$A140&amp;'Table 2.1a'!$B140&amp;'Table 2.1a'!$C140,UtilityList!$A$4:$A$251&amp;UtilityList!$B$4:$B$251&amp;UtilityList!$C$4:$C$251,0)),"")</f>
        <v>SE</v>
      </c>
    </row>
    <row r="141" spans="1:16" s="344" customFormat="1" x14ac:dyDescent="0.25">
      <c r="A141" s="619" t="s">
        <v>190</v>
      </c>
      <c r="B141" s="361" t="s">
        <v>191</v>
      </c>
      <c r="C141" s="350" t="s">
        <v>191</v>
      </c>
      <c r="D141" s="620">
        <v>842</v>
      </c>
      <c r="E141" s="621">
        <v>0</v>
      </c>
      <c r="F141" s="621">
        <v>842</v>
      </c>
      <c r="G141" s="621">
        <v>0</v>
      </c>
      <c r="H141" s="621">
        <v>0</v>
      </c>
      <c r="I141" s="452" t="s">
        <v>1022</v>
      </c>
      <c r="J141" s="622" t="str">
        <f t="array" ref="J141">IFERROR(INDEX(UtilityList!$H$4:$H$251,MATCH('Table 2.1a'!$A141&amp;'Table 2.1a'!$B141&amp;'Table 2.1a'!$C141,UtilityList!$A$4:$A$251&amp;UtilityList!$B$4:$B$251&amp;UtilityList!$C$4:$C$251,0)),"")</f>
        <v>PCE Eligible Active</v>
      </c>
      <c r="K141" s="709">
        <f t="array" ref="K141">IFERROR(INDEX(UtilityList!$Q$4:$Q$251,MATCH('Table 2.1a'!$A141&amp;'Table 2.1a'!$B141&amp;'Table 2.1a'!$C141,UtilityList!$A$4:$A$251&amp;UtilityList!$B$4:$B$251&amp;UtilityList!$C$4:$C$251,0)),"")</f>
        <v>0</v>
      </c>
      <c r="L141" s="622" t="str">
        <f t="array" ref="L141">IFERROR(INDEX(UtilityList!$I$4:$I$251,MATCH('Table 2.1a'!$A141&amp;'Table 2.1a'!$B141&amp;'Table 2.1a'!$C141,UtilityList!$A$4:$A$251&amp;UtilityList!$B$4:$B$251&amp;UtilityList!$C$4:$C$251,0)),"")</f>
        <v>GUSTE</v>
      </c>
      <c r="M141" s="369" t="str">
        <f t="array" ref="M141">IFERROR(INDEX(UtilityList!$J$4:$J$251,MATCH('Table 2.1a'!$A141&amp;'Table 2.1a'!$B141&amp;'Table 2.1a'!$C141,UtilityList!$A$4:$A$251&amp;UtilityList!$B$4:$B$251&amp;UtilityList!$C$4:$C$251,0)),"")</f>
        <v>Southeast</v>
      </c>
      <c r="N141" s="369" t="str">
        <f t="array" ref="N141">IFERROR(INDEX(UtilityList!$K$4:$K$251,MATCH('Table 2.1a'!$A141&amp;'Table 2.1a'!$B141&amp;'Table 2.1a'!$C141,UtilityList!$A$4:$A$251&amp;UtilityList!$B$4:$B$251&amp;UtilityList!$C$4:$C$251,0)),"")</f>
        <v>Hoonah-Angoon (CA)</v>
      </c>
      <c r="O141" s="369" t="str">
        <f t="array" ref="O141">IFERROR(INDEX(UtilityList!$L$4:$L$251,MATCH('Table 2.1a'!$A141&amp;'Table 2.1a'!$B141&amp;'Table 2.1a'!$C141,UtilityList!$A$4:$A$251&amp;UtilityList!$B$4:$B$251&amp;UtilityList!$C$4:$C$251,0)),"")</f>
        <v>Sealaska</v>
      </c>
      <c r="P141" s="369" t="str">
        <f t="array" ref="P141">IFERROR(INDEX(UtilityList!$M$4:$M$251,MATCH('Table 2.1a'!$A141&amp;'Table 2.1a'!$B141&amp;'Table 2.1a'!$C141,UtilityList!$A$4:$A$251&amp;UtilityList!$B$4:$B$251&amp;UtilityList!$C$4:$C$251,0)),"")</f>
        <v>SE</v>
      </c>
    </row>
    <row r="142" spans="1:16" s="344" customFormat="1" x14ac:dyDescent="0.25">
      <c r="A142" s="619" t="s">
        <v>535</v>
      </c>
      <c r="B142" s="361" t="s">
        <v>192</v>
      </c>
      <c r="C142" s="350" t="s">
        <v>192</v>
      </c>
      <c r="D142" s="620">
        <v>1700</v>
      </c>
      <c r="E142" s="621">
        <v>0</v>
      </c>
      <c r="F142" s="621">
        <v>1700</v>
      </c>
      <c r="G142" s="621">
        <v>0</v>
      </c>
      <c r="H142" s="621">
        <v>0</v>
      </c>
      <c r="I142" s="452" t="s">
        <v>1020</v>
      </c>
      <c r="J142" s="622" t="str">
        <f t="array" ref="J142">IFERROR(INDEX(UtilityList!$H$4:$H$251,MATCH('Table 2.1a'!$A142&amp;'Table 2.1a'!$B142&amp;'Table 2.1a'!$C142,UtilityList!$A$4:$A$251&amp;UtilityList!$B$4:$B$251&amp;UtilityList!$C$4:$C$251,0)),"")</f>
        <v>PCE Eligible Active</v>
      </c>
      <c r="K142" s="709">
        <f t="array" ref="K142">IFERROR(INDEX(UtilityList!$Q$4:$Q$251,MATCH('Table 2.1a'!$A142&amp;'Table 2.1a'!$B142&amp;'Table 2.1a'!$C142,UtilityList!$A$4:$A$251&amp;UtilityList!$B$4:$B$251&amp;UtilityList!$C$4:$C$251,0)),"")</f>
        <v>0</v>
      </c>
      <c r="L142" s="622" t="str">
        <f t="array" ref="L142">IFERROR(INDEX(UtilityList!$I$4:$I$251,MATCH('Table 2.1a'!$A142&amp;'Table 2.1a'!$B142&amp;'Table 2.1a'!$C142,UtilityList!$A$4:$A$251&amp;UtilityList!$B$4:$B$251&amp;UtilityList!$C$4:$C$251,0)),"")</f>
        <v>GWITZU</v>
      </c>
      <c r="M142" s="369" t="str">
        <f t="array" ref="M142">IFERROR(INDEX(UtilityList!$J$4:$J$251,MATCH('Table 2.1a'!$A142&amp;'Table 2.1a'!$B142&amp;'Table 2.1a'!$C142,UtilityList!$A$4:$A$251&amp;UtilityList!$B$4:$B$251&amp;UtilityList!$C$4:$C$251,0)),"")</f>
        <v>Yukon-Koyukuk/Upper Tanana</v>
      </c>
      <c r="N142" s="369" t="str">
        <f t="array" ref="N142">IFERROR(INDEX(UtilityList!$K$4:$K$251,MATCH('Table 2.1a'!$A142&amp;'Table 2.1a'!$B142&amp;'Table 2.1a'!$C142,UtilityList!$A$4:$A$251&amp;UtilityList!$B$4:$B$251&amp;UtilityList!$C$4:$C$251,0)),"")</f>
        <v>Yukon-Koyukuk (CA)</v>
      </c>
      <c r="O142" s="369" t="str">
        <f t="array" ref="O142">IFERROR(INDEX(UtilityList!$L$4:$L$251,MATCH('Table 2.1a'!$A142&amp;'Table 2.1a'!$B142&amp;'Table 2.1a'!$C142,UtilityList!$A$4:$A$251&amp;UtilityList!$B$4:$B$251&amp;UtilityList!$C$4:$C$251,0)),"")</f>
        <v>Doyon</v>
      </c>
      <c r="P142" s="369" t="str">
        <f t="array" ref="P142">IFERROR(INDEX(UtilityList!$M$4:$M$251,MATCH('Table 2.1a'!$A142&amp;'Table 2.1a'!$B142&amp;'Table 2.1a'!$C142,UtilityList!$A$4:$A$251&amp;UtilityList!$B$4:$B$251&amp;UtilityList!$C$4:$C$251,0)),"")</f>
        <v>YU</v>
      </c>
    </row>
    <row r="143" spans="1:16" s="344" customFormat="1" ht="90" x14ac:dyDescent="0.25">
      <c r="A143" s="619" t="s">
        <v>193</v>
      </c>
      <c r="B143" s="361" t="s">
        <v>312</v>
      </c>
      <c r="C143" s="350"/>
      <c r="D143" s="620">
        <v>126000</v>
      </c>
      <c r="E143" s="621">
        <v>0</v>
      </c>
      <c r="F143" s="621">
        <v>0</v>
      </c>
      <c r="G143" s="621">
        <v>119700</v>
      </c>
      <c r="H143" s="621">
        <v>0</v>
      </c>
      <c r="I143" s="452" t="s">
        <v>1020</v>
      </c>
      <c r="J143" s="622" t="str">
        <f t="array" ref="J143">IFERROR(INDEX(UtilityList!$H$4:$H$251,MATCH('Table 2.1a'!$A143&amp;'Table 2.1a'!$B143&amp;'Table 2.1a'!$C143,UtilityList!$A$4:$A$251&amp;UtilityList!$B$4:$B$251&amp;UtilityList!$C$4:$C$251,0)),"")</f>
        <v>PCE Ineligible</v>
      </c>
      <c r="K143" s="709" t="str">
        <f t="array" ref="K143">IFERROR(INDEX(UtilityList!$Q$4:$Q$251,MATCH('Table 2.1a'!$A143&amp;'Table 2.1a'!$B143&amp;'Table 2.1a'!$C143,UtilityList!$A$4:$A$251&amp;UtilityList!$B$4:$B$251&amp;UtilityList!$C$4:$C$251,0)),"")</f>
        <v>Generation from Bradley Lake is shared among Chugach, AML&amp;P, HEA, MEA, Seward Electric and GVEA</v>
      </c>
      <c r="L143" s="622" t="str">
        <f t="array" ref="L143">IFERROR(INDEX(UtilityList!$I$4:$I$251,MATCH('Table 2.1a'!$A143&amp;'Table 2.1a'!$B143&amp;'Table 2.1a'!$C143,UtilityList!$A$4:$A$251&amp;UtilityList!$B$4:$B$251&amp;UtilityList!$C$4:$C$251,0)),"")</f>
        <v>HEA</v>
      </c>
      <c r="M143" s="369" t="str">
        <f t="array" ref="M143">IFERROR(INDEX(UtilityList!$J$4:$J$251,MATCH('Table 2.1a'!$A143&amp;'Table 2.1a'!$B143&amp;'Table 2.1a'!$C143,UtilityList!$A$4:$A$251&amp;UtilityList!$B$4:$B$251&amp;UtilityList!$C$4:$C$251,0)),"")</f>
        <v>Railbelt</v>
      </c>
      <c r="N143" s="369" t="str">
        <f t="array" ref="N143">IFERROR(INDEX(UtilityList!$K$4:$K$251,MATCH('Table 2.1a'!$A143&amp;'Table 2.1a'!$B143&amp;'Table 2.1a'!$C143,UtilityList!$A$4:$A$251&amp;UtilityList!$B$4:$B$251&amp;UtilityList!$C$4:$C$251,0)),"")</f>
        <v>Anchorage</v>
      </c>
      <c r="O143" s="369" t="str">
        <f t="array" ref="O143">IFERROR(INDEX(UtilityList!$L$4:$L$251,MATCH('Table 2.1a'!$A143&amp;'Table 2.1a'!$B143&amp;'Table 2.1a'!$C143,UtilityList!$A$4:$A$251&amp;UtilityList!$B$4:$B$251&amp;UtilityList!$C$4:$C$251,0)),"")</f>
        <v>Cook Inlet</v>
      </c>
      <c r="P143" s="369" t="str">
        <f t="array" ref="P143">IFERROR(INDEX(UtilityList!$M$4:$M$251,MATCH('Table 2.1a'!$A143&amp;'Table 2.1a'!$B143&amp;'Table 2.1a'!$C143,UtilityList!$A$4:$A$251&amp;UtilityList!$B$4:$B$251&amp;UtilityList!$C$4:$C$251,0)),"")</f>
        <v>SC</v>
      </c>
    </row>
    <row r="144" spans="1:16" s="344" customFormat="1" ht="78" customHeight="1" x14ac:dyDescent="0.25">
      <c r="A144" s="619" t="s">
        <v>193</v>
      </c>
      <c r="B144" s="361" t="s">
        <v>194</v>
      </c>
      <c r="C144" s="350"/>
      <c r="D144" s="620">
        <v>37900</v>
      </c>
      <c r="E144" s="621">
        <v>37900</v>
      </c>
      <c r="F144" s="621">
        <v>0</v>
      </c>
      <c r="G144" s="621">
        <v>0</v>
      </c>
      <c r="H144" s="621">
        <v>0</v>
      </c>
      <c r="I144" s="452" t="s">
        <v>1020</v>
      </c>
      <c r="J144" s="622" t="str">
        <f t="array" ref="J144">IFERROR(INDEX(UtilityList!$H$4:$H$251,MATCH('Table 2.1a'!$A144&amp;'Table 2.1a'!$B144&amp;'Table 2.1a'!$C144,UtilityList!$A$4:$A$251&amp;UtilityList!$B$4:$B$251&amp;UtilityList!$C$4:$C$251,0)),"")</f>
        <v>PCE Ineligible</v>
      </c>
      <c r="K144" s="709">
        <f t="array" ref="K144">IFERROR(INDEX(UtilityList!$Q$4:$Q$251,MATCH('Table 2.1a'!$A144&amp;'Table 2.1a'!$B144&amp;'Table 2.1a'!$C144,UtilityList!$A$4:$A$251&amp;UtilityList!$B$4:$B$251&amp;UtilityList!$C$4:$C$251,0)),"")</f>
        <v>0</v>
      </c>
      <c r="L144" s="622" t="str">
        <f t="array" ref="L144">IFERROR(INDEX(UtilityList!$I$4:$I$251,MATCH('Table 2.1a'!$A144&amp;'Table 2.1a'!$B144&amp;'Table 2.1a'!$C144,UtilityList!$A$4:$A$251&amp;UtilityList!$B$4:$B$251&amp;UtilityList!$C$4:$C$251,0)),"")</f>
        <v>HEA</v>
      </c>
      <c r="M144" s="369" t="str">
        <f t="array" ref="M144">IFERROR(INDEX(UtilityList!$J$4:$J$251,MATCH('Table 2.1a'!$A144&amp;'Table 2.1a'!$B144&amp;'Table 2.1a'!$C144,UtilityList!$A$4:$A$251&amp;UtilityList!$B$4:$B$251&amp;UtilityList!$C$4:$C$251,0)),"")</f>
        <v>Railbelt</v>
      </c>
      <c r="N144" s="369" t="str">
        <f t="array" ref="N144">IFERROR(INDEX(UtilityList!$K$4:$K$251,MATCH('Table 2.1a'!$A144&amp;'Table 2.1a'!$B144&amp;'Table 2.1a'!$C144,UtilityList!$A$4:$A$251&amp;UtilityList!$B$4:$B$251&amp;UtilityList!$C$4:$C$251,0)),"")</f>
        <v>Kenai Peninsula</v>
      </c>
      <c r="O144" s="369" t="str">
        <f t="array" ref="O144">IFERROR(INDEX(UtilityList!$L$4:$L$251,MATCH('Table 2.1a'!$A144&amp;'Table 2.1a'!$B144&amp;'Table 2.1a'!$C144,UtilityList!$A$4:$A$251&amp;UtilityList!$B$4:$B$251&amp;UtilityList!$C$4:$C$251,0)),"")</f>
        <v>Cook Inlet</v>
      </c>
      <c r="P144" s="369" t="str">
        <f t="array" ref="P144">IFERROR(INDEX(UtilityList!$M$4:$M$251,MATCH('Table 2.1a'!$A144&amp;'Table 2.1a'!$B144&amp;'Table 2.1a'!$C144,UtilityList!$A$4:$A$251&amp;UtilityList!$B$4:$B$251&amp;UtilityList!$C$4:$C$251,0)),"")</f>
        <v>SC</v>
      </c>
    </row>
    <row r="145" spans="1:16" s="344" customFormat="1" x14ac:dyDescent="0.25">
      <c r="A145" s="619" t="s">
        <v>193</v>
      </c>
      <c r="B145" s="361" t="s">
        <v>195</v>
      </c>
      <c r="C145" s="350"/>
      <c r="D145" s="620">
        <v>2400</v>
      </c>
      <c r="E145" s="621">
        <v>0</v>
      </c>
      <c r="F145" s="621">
        <v>2400</v>
      </c>
      <c r="G145" s="621">
        <v>0</v>
      </c>
      <c r="H145" s="621">
        <v>0</v>
      </c>
      <c r="I145" s="452" t="s">
        <v>1020</v>
      </c>
      <c r="J145" s="622" t="str">
        <f t="array" ref="J145">IFERROR(INDEX(UtilityList!$H$4:$H$251,MATCH('Table 2.1a'!$A145&amp;'Table 2.1a'!$B145&amp;'Table 2.1a'!$C145,UtilityList!$A$4:$A$251&amp;UtilityList!$B$4:$B$251&amp;UtilityList!$C$4:$C$251,0)),"")</f>
        <v>PCE Ineligible</v>
      </c>
      <c r="K145" s="709">
        <f t="array" ref="K145">IFERROR(INDEX(UtilityList!$Q$4:$Q$251,MATCH('Table 2.1a'!$A145&amp;'Table 2.1a'!$B145&amp;'Table 2.1a'!$C145,UtilityList!$A$4:$A$251&amp;UtilityList!$B$4:$B$251&amp;UtilityList!$C$4:$C$251,0)),"")</f>
        <v>0</v>
      </c>
      <c r="L145" s="622" t="str">
        <f t="array" ref="L145">IFERROR(INDEX(UtilityList!$I$4:$I$251,MATCH('Table 2.1a'!$A145&amp;'Table 2.1a'!$B145&amp;'Table 2.1a'!$C145,UtilityList!$A$4:$A$251&amp;UtilityList!$B$4:$B$251&amp;UtilityList!$C$4:$C$251,0)),"")</f>
        <v>HEA</v>
      </c>
      <c r="M145" s="369" t="str">
        <f t="array" ref="M145">IFERROR(INDEX(UtilityList!$J$4:$J$251,MATCH('Table 2.1a'!$A145&amp;'Table 2.1a'!$B145&amp;'Table 2.1a'!$C145,UtilityList!$A$4:$A$251&amp;UtilityList!$B$4:$B$251&amp;UtilityList!$C$4:$C$251,0)),"")</f>
        <v>Railbelt</v>
      </c>
      <c r="N145" s="369" t="str">
        <f t="array" ref="N145">IFERROR(INDEX(UtilityList!$K$4:$K$251,MATCH('Table 2.1a'!$A145&amp;'Table 2.1a'!$B145&amp;'Table 2.1a'!$C145,UtilityList!$A$4:$A$251&amp;UtilityList!$B$4:$B$251&amp;UtilityList!$C$4:$C$251,0)),"")</f>
        <v>Kenai Peninsula</v>
      </c>
      <c r="O145" s="369" t="str">
        <f t="array" ref="O145">IFERROR(INDEX(UtilityList!$L$4:$L$251,MATCH('Table 2.1a'!$A145&amp;'Table 2.1a'!$B145&amp;'Table 2.1a'!$C145,UtilityList!$A$4:$A$251&amp;UtilityList!$B$4:$B$251&amp;UtilityList!$C$4:$C$251,0)),"")</f>
        <v>Cook Inlet</v>
      </c>
      <c r="P145" s="369" t="str">
        <f t="array" ref="P145">IFERROR(INDEX(UtilityList!$M$4:$M$251,MATCH('Table 2.1a'!$A145&amp;'Table 2.1a'!$B145&amp;'Table 2.1a'!$C145,UtilityList!$A$4:$A$251&amp;UtilityList!$B$4:$B$251&amp;UtilityList!$C$4:$C$251,0)),"")</f>
        <v>SC</v>
      </c>
    </row>
    <row r="146" spans="1:16" s="344" customFormat="1" x14ac:dyDescent="0.25">
      <c r="A146" s="619" t="s">
        <v>196</v>
      </c>
      <c r="B146" s="361" t="s">
        <v>197</v>
      </c>
      <c r="C146" s="350" t="s">
        <v>197</v>
      </c>
      <c r="D146" s="620">
        <v>230</v>
      </c>
      <c r="E146" s="621">
        <v>0</v>
      </c>
      <c r="F146" s="621">
        <v>230</v>
      </c>
      <c r="G146" s="621">
        <v>0</v>
      </c>
      <c r="H146" s="621">
        <v>0</v>
      </c>
      <c r="I146" s="452" t="s">
        <v>1022</v>
      </c>
      <c r="J146" s="622" t="str">
        <f t="array" ref="J146">IFERROR(INDEX(UtilityList!$H$4:$H$251,MATCH('Table 2.1a'!$A146&amp;'Table 2.1a'!$B146&amp;'Table 2.1a'!$C146,UtilityList!$A$4:$A$251&amp;UtilityList!$B$4:$B$251&amp;UtilityList!$C$4:$C$251,0)),"")</f>
        <v>PCE Eligible Active</v>
      </c>
      <c r="K146" s="709">
        <f t="array" ref="K146">IFERROR(INDEX(UtilityList!$Q$4:$Q$251,MATCH('Table 2.1a'!$A146&amp;'Table 2.1a'!$B146&amp;'Table 2.1a'!$C146,UtilityList!$A$4:$A$251&amp;UtilityList!$B$4:$B$251&amp;UtilityList!$C$4:$C$251,0)),"")</f>
        <v>0</v>
      </c>
      <c r="L146" s="622" t="str">
        <f t="array" ref="L146">IFERROR(INDEX(UtilityList!$I$4:$I$251,MATCH('Table 2.1a'!$A146&amp;'Table 2.1a'!$B146&amp;'Table 2.1a'!$C146,UtilityList!$A$4:$A$251&amp;UtilityList!$B$4:$B$251&amp;UtilityList!$C$4:$C$251,0)),"")</f>
        <v>HUGHPL</v>
      </c>
      <c r="M146" s="369" t="str">
        <f t="array" ref="M146">IFERROR(INDEX(UtilityList!$J$4:$J$251,MATCH('Table 2.1a'!$A146&amp;'Table 2.1a'!$B146&amp;'Table 2.1a'!$C146,UtilityList!$A$4:$A$251&amp;UtilityList!$B$4:$B$251&amp;UtilityList!$C$4:$C$251,0)),"")</f>
        <v>Yukon-Koyukuk/Upper Tanana</v>
      </c>
      <c r="N146" s="369" t="str">
        <f t="array" ref="N146">IFERROR(INDEX(UtilityList!$K$4:$K$251,MATCH('Table 2.1a'!$A146&amp;'Table 2.1a'!$B146&amp;'Table 2.1a'!$C146,UtilityList!$A$4:$A$251&amp;UtilityList!$B$4:$B$251&amp;UtilityList!$C$4:$C$251,0)),"")</f>
        <v>Yukon-Koyukuk (CA)</v>
      </c>
      <c r="O146" s="369" t="str">
        <f t="array" ref="O146">IFERROR(INDEX(UtilityList!$L$4:$L$251,MATCH('Table 2.1a'!$A146&amp;'Table 2.1a'!$B146&amp;'Table 2.1a'!$C146,UtilityList!$A$4:$A$251&amp;UtilityList!$B$4:$B$251&amp;UtilityList!$C$4:$C$251,0)),"")</f>
        <v>Doyon</v>
      </c>
      <c r="P146" s="369" t="str">
        <f t="array" ref="P146">IFERROR(INDEX(UtilityList!$M$4:$M$251,MATCH('Table 2.1a'!$A146&amp;'Table 2.1a'!$B146&amp;'Table 2.1a'!$C146,UtilityList!$A$4:$A$251&amp;UtilityList!$B$4:$B$251&amp;UtilityList!$C$4:$C$251,0)),"")</f>
        <v>YU</v>
      </c>
    </row>
    <row r="147" spans="1:16" s="344" customFormat="1" x14ac:dyDescent="0.25">
      <c r="A147" s="619" t="s">
        <v>198</v>
      </c>
      <c r="B147" s="361" t="s">
        <v>199</v>
      </c>
      <c r="C147" s="350" t="s">
        <v>199</v>
      </c>
      <c r="D147" s="620">
        <v>201</v>
      </c>
      <c r="E147" s="621">
        <v>0</v>
      </c>
      <c r="F147" s="621">
        <v>201</v>
      </c>
      <c r="G147" s="621">
        <v>0</v>
      </c>
      <c r="H147" s="621">
        <v>0</v>
      </c>
      <c r="I147" s="452" t="s">
        <v>1022</v>
      </c>
      <c r="J147" s="622" t="str">
        <f t="array" ref="J147">IFERROR(INDEX(UtilityList!$H$4:$H$251,MATCH('Table 2.1a'!$A147&amp;'Table 2.1a'!$B147&amp;'Table 2.1a'!$C147,UtilityList!$A$4:$A$251&amp;UtilityList!$B$4:$B$251&amp;UtilityList!$C$4:$C$251,0)),"")</f>
        <v>PCE Eligible Active</v>
      </c>
      <c r="K147" s="709">
        <f t="array" ref="K147">IFERROR(INDEX(UtilityList!$Q$4:$Q$251,MATCH('Table 2.1a'!$A147&amp;'Table 2.1a'!$B147&amp;'Table 2.1a'!$C147,UtilityList!$A$4:$A$251&amp;UtilityList!$B$4:$B$251&amp;UtilityList!$C$4:$C$251,0)),"")</f>
        <v>0</v>
      </c>
      <c r="L147" s="622" t="str">
        <f t="array" ref="L147">IFERROR(INDEX(UtilityList!$I$4:$I$251,MATCH('Table 2.1a'!$A147&amp;'Table 2.1a'!$B147&amp;'Table 2.1a'!$C147,UtilityList!$A$4:$A$251&amp;UtilityList!$B$4:$B$251&amp;UtilityList!$C$4:$C$251,0)),"")</f>
        <v>IGIUEC</v>
      </c>
      <c r="M147" s="369" t="str">
        <f t="array" ref="M147">IFERROR(INDEX(UtilityList!$J$4:$J$251,MATCH('Table 2.1a'!$A147&amp;'Table 2.1a'!$B147&amp;'Table 2.1a'!$C147,UtilityList!$A$4:$A$251&amp;UtilityList!$B$4:$B$251&amp;UtilityList!$C$4:$C$251,0)),"")</f>
        <v>Bristol Bay</v>
      </c>
      <c r="N147" s="369" t="str">
        <f t="array" ref="N147">IFERROR(INDEX(UtilityList!$K$4:$K$251,MATCH('Table 2.1a'!$A147&amp;'Table 2.1a'!$B147&amp;'Table 2.1a'!$C147,UtilityList!$A$4:$A$251&amp;UtilityList!$B$4:$B$251&amp;UtilityList!$C$4:$C$251,0)),"")</f>
        <v>Lake and Peninsula</v>
      </c>
      <c r="O147" s="369" t="str">
        <f t="array" ref="O147">IFERROR(INDEX(UtilityList!$L$4:$L$251,MATCH('Table 2.1a'!$A147&amp;'Table 2.1a'!$B147&amp;'Table 2.1a'!$C147,UtilityList!$A$4:$A$251&amp;UtilityList!$B$4:$B$251&amp;UtilityList!$C$4:$C$251,0)),"")</f>
        <v>Bristol Bay</v>
      </c>
      <c r="P147" s="369" t="str">
        <f t="array" ref="P147">IFERROR(INDEX(UtilityList!$M$4:$M$251,MATCH('Table 2.1a'!$A147&amp;'Table 2.1a'!$B147&amp;'Table 2.1a'!$C147,UtilityList!$A$4:$A$251&amp;UtilityList!$B$4:$B$251&amp;UtilityList!$C$4:$C$251,0)),"")</f>
        <v>SW</v>
      </c>
    </row>
    <row r="148" spans="1:16" s="344" customFormat="1" ht="135" x14ac:dyDescent="0.25">
      <c r="A148" s="619" t="s">
        <v>200</v>
      </c>
      <c r="B148" s="361" t="s">
        <v>494</v>
      </c>
      <c r="C148" s="619" t="s">
        <v>658</v>
      </c>
      <c r="D148" s="620">
        <v>1500</v>
      </c>
      <c r="E148" s="621">
        <v>0</v>
      </c>
      <c r="F148" s="621">
        <v>1500</v>
      </c>
      <c r="G148" s="621">
        <v>0</v>
      </c>
      <c r="H148" s="621">
        <v>0</v>
      </c>
      <c r="I148" s="452" t="s">
        <v>1020</v>
      </c>
      <c r="J148" s="622" t="str">
        <f t="array" ref="J148">IFERROR(INDEX(UtilityList!$H$4:$H$251,MATCH('Table 2.1a'!$A148&amp;'Table 2.1a'!$B148&amp;'Table 2.1a'!$C148,UtilityList!$A$4:$A$251&amp;UtilityList!$B$4:$B$251&amp;UtilityList!$C$4:$C$251,0)),"")</f>
        <v>PCE Eligible Active</v>
      </c>
      <c r="K148" s="709" t="str">
        <f t="array" ref="K148">IFERROR(INDEX(UtilityList!$Q$4:$Q$251,MATCH('Table 2.1a'!$A148&amp;'Table 2.1a'!$B148&amp;'Table 2.1a'!$C148,UtilityList!$A$4:$A$251&amp;UtilityList!$B$4:$B$251&amp;UtilityList!$C$4:$C$251,0)),"")</f>
        <v>Power produced at the Tazimina hydroelectric project and the Newhalen plant is shared by Iliamna, Newhalen and Nondalton. Newhalen's information is included in Nondalton's data.</v>
      </c>
      <c r="L148" s="622" t="str">
        <f t="array" ref="L148">IFERROR(INDEX(UtilityList!$I$4:$I$251,MATCH('Table 2.1a'!$A148&amp;'Table 2.1a'!$B148&amp;'Table 2.1a'!$C148,UtilityList!$A$4:$A$251&amp;UtilityList!$B$4:$B$251&amp;UtilityList!$C$4:$C$251,0)),"")</f>
        <v>INN</v>
      </c>
      <c r="M148" s="369" t="str">
        <f t="array" ref="M148">IFERROR(INDEX(UtilityList!$J$4:$J$251,MATCH('Table 2.1a'!$A148&amp;'Table 2.1a'!$B148&amp;'Table 2.1a'!$C148,UtilityList!$A$4:$A$251&amp;UtilityList!$B$4:$B$251&amp;UtilityList!$C$4:$C$251,0)),"")</f>
        <v>Bristol Bay</v>
      </c>
      <c r="N148" s="369" t="str">
        <f t="array" ref="N148">IFERROR(INDEX(UtilityList!$K$4:$K$251,MATCH('Table 2.1a'!$A148&amp;'Table 2.1a'!$B148&amp;'Table 2.1a'!$C148,UtilityList!$A$4:$A$251&amp;UtilityList!$B$4:$B$251&amp;UtilityList!$C$4:$C$251,0)),"")</f>
        <v>Lake and Peninsula</v>
      </c>
      <c r="O148" s="369" t="str">
        <f t="array" ref="O148">IFERROR(INDEX(UtilityList!$L$4:$L$251,MATCH('Table 2.1a'!$A148&amp;'Table 2.1a'!$B148&amp;'Table 2.1a'!$C148,UtilityList!$A$4:$A$251&amp;UtilityList!$B$4:$B$251&amp;UtilityList!$C$4:$C$251,0)),"")</f>
        <v>Bristol Bay</v>
      </c>
      <c r="P148" s="369" t="str">
        <f t="array" ref="P148">IFERROR(INDEX(UtilityList!$M$4:$M$251,MATCH('Table 2.1a'!$A148&amp;'Table 2.1a'!$B148&amp;'Table 2.1a'!$C148,UtilityList!$A$4:$A$251&amp;UtilityList!$B$4:$B$251&amp;UtilityList!$C$4:$C$251,0)),"")</f>
        <v>SW</v>
      </c>
    </row>
    <row r="149" spans="1:16" s="344" customFormat="1" ht="135" x14ac:dyDescent="0.25">
      <c r="A149" s="619" t="s">
        <v>200</v>
      </c>
      <c r="B149" s="339" t="s">
        <v>495</v>
      </c>
      <c r="C149" s="619" t="s">
        <v>658</v>
      </c>
      <c r="D149" s="620">
        <v>800</v>
      </c>
      <c r="E149" s="621">
        <v>0</v>
      </c>
      <c r="F149" s="621">
        <v>0</v>
      </c>
      <c r="G149" s="735">
        <v>824</v>
      </c>
      <c r="H149" s="621">
        <v>0</v>
      </c>
      <c r="I149" s="452" t="s">
        <v>1020</v>
      </c>
      <c r="J149" s="622" t="str">
        <f t="array" ref="J149">IFERROR(INDEX(UtilityList!$H$4:$H$251,MATCH('Table 2.1a'!$A149&amp;'Table 2.1a'!$B149&amp;'Table 2.1a'!$C149,UtilityList!$A$4:$A$251&amp;UtilityList!$B$4:$B$251&amp;UtilityList!$C$4:$C$251,0)),"")</f>
        <v>PCE Eligible Active</v>
      </c>
      <c r="K149" s="709" t="str">
        <f t="array" ref="K149">IFERROR(INDEX(UtilityList!$Q$4:$Q$251,MATCH('Table 2.1a'!$A149&amp;'Table 2.1a'!$B149&amp;'Table 2.1a'!$C149,UtilityList!$A$4:$A$251&amp;UtilityList!$B$4:$B$251&amp;UtilityList!$C$4:$C$251,0)),"")</f>
        <v>Power produced at the Tazimina hydroelectric project and the Newhalen plant is shared by Iliamna, Newhalen and Nondalton. Iliamna's information is included in Nondalton's data.</v>
      </c>
      <c r="L149" s="622" t="str">
        <f t="array" ref="L149">IFERROR(INDEX(UtilityList!$I$4:$I$251,MATCH('Table 2.1a'!$A149&amp;'Table 2.1a'!$B149&amp;'Table 2.1a'!$C149,UtilityList!$A$4:$A$251&amp;UtilityList!$B$4:$B$251&amp;UtilityList!$C$4:$C$251,0)),"")</f>
        <v>INN</v>
      </c>
      <c r="M149" s="369" t="str">
        <f t="array" ref="M149">IFERROR(INDEX(UtilityList!$J$4:$J$251,MATCH('Table 2.1a'!$A149&amp;'Table 2.1a'!$B149&amp;'Table 2.1a'!$C149,UtilityList!$A$4:$A$251&amp;UtilityList!$B$4:$B$251&amp;UtilityList!$C$4:$C$251,0)),"")</f>
        <v>Bristol Bay</v>
      </c>
      <c r="N149" s="369" t="str">
        <f t="array" ref="N149">IFERROR(INDEX(UtilityList!$K$4:$K$251,MATCH('Table 2.1a'!$A149&amp;'Table 2.1a'!$B149&amp;'Table 2.1a'!$C149,UtilityList!$A$4:$A$251&amp;UtilityList!$B$4:$B$251&amp;UtilityList!$C$4:$C$251,0)),"")</f>
        <v>Lake and Peninsula</v>
      </c>
      <c r="O149" s="369" t="str">
        <f t="array" ref="O149">IFERROR(INDEX(UtilityList!$L$4:$L$251,MATCH('Table 2.1a'!$A149&amp;'Table 2.1a'!$B149&amp;'Table 2.1a'!$C149,UtilityList!$A$4:$A$251&amp;UtilityList!$B$4:$B$251&amp;UtilityList!$C$4:$C$251,0)),"")</f>
        <v>Bristol Bay</v>
      </c>
      <c r="P149" s="369" t="str">
        <f t="array" ref="P149">IFERROR(INDEX(UtilityList!$M$4:$M$251,MATCH('Table 2.1a'!$A149&amp;'Table 2.1a'!$B149&amp;'Table 2.1a'!$C149,UtilityList!$A$4:$A$251&amp;UtilityList!$B$4:$B$251&amp;UtilityList!$C$4:$C$251,0)),"")</f>
        <v>SW</v>
      </c>
    </row>
    <row r="150" spans="1:16" s="344" customFormat="1" x14ac:dyDescent="0.25">
      <c r="A150" s="619" t="s">
        <v>201</v>
      </c>
      <c r="B150" s="361" t="s">
        <v>202</v>
      </c>
      <c r="C150" s="350" t="s">
        <v>202</v>
      </c>
      <c r="D150" s="620">
        <v>1500</v>
      </c>
      <c r="E150" s="621">
        <v>0</v>
      </c>
      <c r="F150" s="621">
        <v>1500</v>
      </c>
      <c r="G150" s="621">
        <v>0</v>
      </c>
      <c r="H150" s="621">
        <v>0</v>
      </c>
      <c r="I150" s="452" t="s">
        <v>1020</v>
      </c>
      <c r="J150" s="622" t="str">
        <f t="array" ref="J150">IFERROR(INDEX(UtilityList!$H$4:$H$251,MATCH('Table 2.1a'!$A150&amp;'Table 2.1a'!$B150&amp;'Table 2.1a'!$C150,UtilityList!$A$4:$A$251&amp;UtilityList!$B$4:$B$251&amp;UtilityList!$C$4:$C$251,0)),"")</f>
        <v>PCE Eligible Active</v>
      </c>
      <c r="K150" s="709">
        <f t="array" ref="K150">IFERROR(INDEX(UtilityList!$Q$4:$Q$251,MATCH('Table 2.1a'!$A150&amp;'Table 2.1a'!$B150&amp;'Table 2.1a'!$C150,UtilityList!$A$4:$A$251&amp;UtilityList!$B$4:$B$251&amp;UtilityList!$C$4:$C$251,0)),"")</f>
        <v>0</v>
      </c>
      <c r="L150" s="622" t="str">
        <f t="array" ref="L150">IFERROR(INDEX(UtilityList!$I$4:$I$251,MATCH('Table 2.1a'!$A150&amp;'Table 2.1a'!$B150&amp;'Table 2.1a'!$C150,UtilityList!$A$4:$A$251&amp;UtilityList!$B$4:$B$251&amp;UtilityList!$C$4:$C$251,0)),"")</f>
        <v>INSIPEC</v>
      </c>
      <c r="M150" s="369" t="str">
        <f t="array" ref="M150">IFERROR(INDEX(UtilityList!$J$4:$J$251,MATCH('Table 2.1a'!$A150&amp;'Table 2.1a'!$B150&amp;'Table 2.1a'!$C150,UtilityList!$A$4:$A$251&amp;UtilityList!$B$4:$B$251&amp;UtilityList!$C$4:$C$251,0)),"")</f>
        <v>Southeast</v>
      </c>
      <c r="N150" s="369" t="str">
        <f t="array" ref="N150">IFERROR(INDEX(UtilityList!$K$4:$K$251,MATCH('Table 2.1a'!$A150&amp;'Table 2.1a'!$B150&amp;'Table 2.1a'!$C150,UtilityList!$A$4:$A$251&amp;UtilityList!$B$4:$B$251&amp;UtilityList!$C$4:$C$251,0)),"")</f>
        <v>Hoonah-Angoon (CA)</v>
      </c>
      <c r="O150" s="369" t="str">
        <f t="array" ref="O150">IFERROR(INDEX(UtilityList!$L$4:$L$251,MATCH('Table 2.1a'!$A150&amp;'Table 2.1a'!$B150&amp;'Table 2.1a'!$C150,UtilityList!$A$4:$A$251&amp;UtilityList!$B$4:$B$251&amp;UtilityList!$C$4:$C$251,0)),"")</f>
        <v>Sealaska</v>
      </c>
      <c r="P150" s="369" t="str">
        <f t="array" ref="P150">IFERROR(INDEX(UtilityList!$M$4:$M$251,MATCH('Table 2.1a'!$A150&amp;'Table 2.1a'!$B150&amp;'Table 2.1a'!$C150,UtilityList!$A$4:$A$251&amp;UtilityList!$B$4:$B$251&amp;UtilityList!$C$4:$C$251,0)),"")</f>
        <v>SE</v>
      </c>
    </row>
    <row r="151" spans="1:16" s="344" customFormat="1" ht="60" x14ac:dyDescent="0.25">
      <c r="A151" s="619" t="s">
        <v>201</v>
      </c>
      <c r="B151" s="361" t="s">
        <v>203</v>
      </c>
      <c r="C151" s="350" t="s">
        <v>203</v>
      </c>
      <c r="D151" s="620">
        <v>1100</v>
      </c>
      <c r="E151" s="621">
        <v>0</v>
      </c>
      <c r="F151" s="621">
        <v>1100</v>
      </c>
      <c r="G151" s="621">
        <v>0</v>
      </c>
      <c r="H151" s="621">
        <v>0</v>
      </c>
      <c r="I151" s="452" t="s">
        <v>1020</v>
      </c>
      <c r="J151" s="622" t="str">
        <f t="array" ref="J151">IFERROR(INDEX(UtilityList!$H$4:$H$251,MATCH('Table 2.1a'!$A151&amp;'Table 2.1a'!$B151&amp;'Table 2.1a'!$C151,UtilityList!$A$4:$A$251&amp;UtilityList!$B$4:$B$251&amp;UtilityList!$C$4:$C$251,0)),"")</f>
        <v>PCE Eligible Active</v>
      </c>
      <c r="K151" s="709" t="str">
        <f t="array" ref="K151">IFERROR(INDEX(UtilityList!$Q$4:$Q$251,MATCH('Table 2.1a'!$A151&amp;'Table 2.1a'!$B151&amp;'Table 2.1a'!$C151,UtilityList!$A$4:$A$251&amp;UtilityList!$B$4:$B$251&amp;UtilityList!$C$4:$C$251,0)),"")</f>
        <v>Provides power to Klukwan via intertie. Power is purchased from AP&amp;T.</v>
      </c>
      <c r="L151" s="622" t="str">
        <f t="array" ref="L151">IFERROR(INDEX(UtilityList!$I$4:$I$251,MATCH('Table 2.1a'!$A151&amp;'Table 2.1a'!$B151&amp;'Table 2.1a'!$C151,UtilityList!$A$4:$A$251&amp;UtilityList!$B$4:$B$251&amp;UtilityList!$C$4:$C$251,0)),"")</f>
        <v>INSIPEC</v>
      </c>
      <c r="M151" s="369" t="str">
        <f t="array" ref="M151">IFERROR(INDEX(UtilityList!$J$4:$J$251,MATCH('Table 2.1a'!$A151&amp;'Table 2.1a'!$B151&amp;'Table 2.1a'!$C151,UtilityList!$A$4:$A$251&amp;UtilityList!$B$4:$B$251&amp;UtilityList!$C$4:$C$251,0)),"")</f>
        <v>Southeast</v>
      </c>
      <c r="N151" s="369" t="str">
        <f t="array" ref="N151">IFERROR(INDEX(UtilityList!$K$4:$K$251,MATCH('Table 2.1a'!$A151&amp;'Table 2.1a'!$B151&amp;'Table 2.1a'!$C151,UtilityList!$A$4:$A$251&amp;UtilityList!$B$4:$B$251&amp;UtilityList!$C$4:$C$251,0)),"")</f>
        <v>Haines</v>
      </c>
      <c r="O151" s="369" t="str">
        <f t="array" ref="O151">IFERROR(INDEX(UtilityList!$L$4:$L$251,MATCH('Table 2.1a'!$A151&amp;'Table 2.1a'!$B151&amp;'Table 2.1a'!$C151,UtilityList!$A$4:$A$251&amp;UtilityList!$B$4:$B$251&amp;UtilityList!$C$4:$C$251,0)),"")</f>
        <v>Sealaska</v>
      </c>
      <c r="P151" s="369" t="str">
        <f t="array" ref="P151">IFERROR(INDEX(UtilityList!$M$4:$M$251,MATCH('Table 2.1a'!$A151&amp;'Table 2.1a'!$B151&amp;'Table 2.1a'!$C151,UtilityList!$A$4:$A$251&amp;UtilityList!$B$4:$B$251&amp;UtilityList!$C$4:$C$251,0)),"")</f>
        <v>SE</v>
      </c>
    </row>
    <row r="152" spans="1:16" s="344" customFormat="1" ht="210" x14ac:dyDescent="0.25">
      <c r="A152" s="619" t="s">
        <v>201</v>
      </c>
      <c r="B152" s="339" t="s">
        <v>319</v>
      </c>
      <c r="C152" s="619" t="s">
        <v>651</v>
      </c>
      <c r="D152" s="620">
        <v>600</v>
      </c>
      <c r="E152" s="621">
        <v>0</v>
      </c>
      <c r="F152" s="621">
        <v>0</v>
      </c>
      <c r="G152" s="735">
        <v>600</v>
      </c>
      <c r="H152" s="621">
        <v>0</v>
      </c>
      <c r="I152" s="452" t="s">
        <v>1018</v>
      </c>
      <c r="J152" s="622" t="str">
        <f t="array" ref="J152">IFERROR(INDEX(UtilityList!$H$4:$H$251,MATCH('Table 2.1a'!$A152&amp;'Table 2.1a'!$B152&amp;'Table 2.1a'!$C152,UtilityList!$A$4:$A$251&amp;UtilityList!$B$4:$B$251&amp;UtilityList!$C$4:$C$251,0)),"")</f>
        <v>PCE Ineligible</v>
      </c>
      <c r="K152" s="709" t="str">
        <f t="array" ref="K152">IFERROR(INDEX(UtilityList!$Q$4:$Q$251,MATCH('Table 2.1a'!$A152&amp;'Table 2.1a'!$B152&amp;'Table 2.1a'!$C152,UtilityList!$A$4:$A$251&amp;UtilityList!$B$4:$B$251&amp;UtilityList!$C$4:$C$251,0)),"")</f>
        <v>Southern Energy Inc (SEI) owned this facility for most of 2011. IPEC bought the 10 Mile plant in October, 2011. Prior to t he purchase SEI wholesale all power to IPEC. All IPEC comminities have a postage stamp rate. Part of the Alaska Power Company's grid in the Upper Lynn Canal service area.</v>
      </c>
      <c r="L152" s="622">
        <f t="array" ref="L152">IFERROR(INDEX(UtilityList!$I$4:$I$251,MATCH('Table 2.1a'!$A152&amp;'Table 2.1a'!$B152&amp;'Table 2.1a'!$C152,UtilityList!$A$4:$A$251&amp;UtilityList!$B$4:$B$251&amp;UtilityList!$C$4:$C$251,0)),"")</f>
        <v>0</v>
      </c>
      <c r="M152" s="369" t="str">
        <f t="array" ref="M152">IFERROR(INDEX(UtilityList!$J$4:$J$251,MATCH('Table 2.1a'!$A152&amp;'Table 2.1a'!$B152&amp;'Table 2.1a'!$C152,UtilityList!$A$4:$A$251&amp;UtilityList!$B$4:$B$251&amp;UtilityList!$C$4:$C$251,0)),"")</f>
        <v>Southeast</v>
      </c>
      <c r="N152" s="369" t="str">
        <f t="array" ref="N152">IFERROR(INDEX(UtilityList!$K$4:$K$251,MATCH('Table 2.1a'!$A152&amp;'Table 2.1a'!$B152&amp;'Table 2.1a'!$C152,UtilityList!$A$4:$A$251&amp;UtilityList!$B$4:$B$251&amp;UtilityList!$C$4:$C$251,0)),"")</f>
        <v>Haines</v>
      </c>
      <c r="O152" s="369" t="str">
        <f t="array" ref="O152">IFERROR(INDEX(UtilityList!$L$4:$L$251,MATCH('Table 2.1a'!$A152&amp;'Table 2.1a'!$B152&amp;'Table 2.1a'!$C152,UtilityList!$A$4:$A$251&amp;UtilityList!$B$4:$B$251&amp;UtilityList!$C$4:$C$251,0)),"")</f>
        <v>Sealaska</v>
      </c>
      <c r="P152" s="369" t="str">
        <f t="array" ref="P152">IFERROR(INDEX(UtilityList!$M$4:$M$251,MATCH('Table 2.1a'!$A152&amp;'Table 2.1a'!$B152&amp;'Table 2.1a'!$C152,UtilityList!$A$4:$A$251&amp;UtilityList!$B$4:$B$251&amp;UtilityList!$C$4:$C$251,0)),"")</f>
        <v>SE</v>
      </c>
    </row>
    <row r="153" spans="1:16" s="344" customFormat="1" x14ac:dyDescent="0.25">
      <c r="A153" s="619" t="s">
        <v>201</v>
      </c>
      <c r="B153" s="361" t="s">
        <v>204</v>
      </c>
      <c r="C153" s="350" t="s">
        <v>204</v>
      </c>
      <c r="D153" s="620">
        <v>2400</v>
      </c>
      <c r="E153" s="621">
        <v>0</v>
      </c>
      <c r="F153" s="621">
        <v>2400</v>
      </c>
      <c r="G153" s="621">
        <v>0</v>
      </c>
      <c r="H153" s="621">
        <v>0</v>
      </c>
      <c r="I153" s="452" t="s">
        <v>1020</v>
      </c>
      <c r="J153" s="622" t="str">
        <f t="array" ref="J153">IFERROR(INDEX(UtilityList!$H$4:$H$251,MATCH('Table 2.1a'!$A153&amp;'Table 2.1a'!$B153&amp;'Table 2.1a'!$C153,UtilityList!$A$4:$A$251&amp;UtilityList!$B$4:$B$251&amp;UtilityList!$C$4:$C$251,0)),"")</f>
        <v>PCE Eligible Active</v>
      </c>
      <c r="K153" s="709">
        <f t="array" ref="K153">IFERROR(INDEX(UtilityList!$Q$4:$Q$251,MATCH('Table 2.1a'!$A153&amp;'Table 2.1a'!$B153&amp;'Table 2.1a'!$C153,UtilityList!$A$4:$A$251&amp;UtilityList!$B$4:$B$251&amp;UtilityList!$C$4:$C$251,0)),"")</f>
        <v>0</v>
      </c>
      <c r="L153" s="622" t="str">
        <f t="array" ref="L153">IFERROR(INDEX(UtilityList!$I$4:$I$251,MATCH('Table 2.1a'!$A153&amp;'Table 2.1a'!$B153&amp;'Table 2.1a'!$C153,UtilityList!$A$4:$A$251&amp;UtilityList!$B$4:$B$251&amp;UtilityList!$C$4:$C$251,0)),"")</f>
        <v>INSIPEC</v>
      </c>
      <c r="M153" s="369" t="str">
        <f t="array" ref="M153">IFERROR(INDEX(UtilityList!$J$4:$J$251,MATCH('Table 2.1a'!$A153&amp;'Table 2.1a'!$B153&amp;'Table 2.1a'!$C153,UtilityList!$A$4:$A$251&amp;UtilityList!$B$4:$B$251&amp;UtilityList!$C$4:$C$251,0)),"")</f>
        <v>Southeast</v>
      </c>
      <c r="N153" s="369" t="str">
        <f t="array" ref="N153">IFERROR(INDEX(UtilityList!$K$4:$K$251,MATCH('Table 2.1a'!$A153&amp;'Table 2.1a'!$B153&amp;'Table 2.1a'!$C153,UtilityList!$A$4:$A$251&amp;UtilityList!$B$4:$B$251&amp;UtilityList!$C$4:$C$251,0)),"")</f>
        <v>Hoonah-Angoon (CA)</v>
      </c>
      <c r="O153" s="369" t="str">
        <f t="array" ref="O153">IFERROR(INDEX(UtilityList!$L$4:$L$251,MATCH('Table 2.1a'!$A153&amp;'Table 2.1a'!$B153&amp;'Table 2.1a'!$C153,UtilityList!$A$4:$A$251&amp;UtilityList!$B$4:$B$251&amp;UtilityList!$C$4:$C$251,0)),"")</f>
        <v>Sealaska</v>
      </c>
      <c r="P153" s="369" t="str">
        <f t="array" ref="P153">IFERROR(INDEX(UtilityList!$M$4:$M$251,MATCH('Table 2.1a'!$A153&amp;'Table 2.1a'!$B153&amp;'Table 2.1a'!$C153,UtilityList!$A$4:$A$251&amp;UtilityList!$B$4:$B$251&amp;UtilityList!$C$4:$C$251,0)),"")</f>
        <v>SE</v>
      </c>
    </row>
    <row r="154" spans="1:16" s="344" customFormat="1" x14ac:dyDescent="0.25">
      <c r="A154" s="619" t="s">
        <v>201</v>
      </c>
      <c r="B154" s="361" t="s">
        <v>205</v>
      </c>
      <c r="C154" s="350" t="s">
        <v>205</v>
      </c>
      <c r="D154" s="620">
        <v>2500</v>
      </c>
      <c r="E154" s="621">
        <v>0</v>
      </c>
      <c r="F154" s="621">
        <v>2500</v>
      </c>
      <c r="G154" s="621">
        <v>0</v>
      </c>
      <c r="H154" s="621">
        <v>0</v>
      </c>
      <c r="I154" s="452" t="s">
        <v>1020</v>
      </c>
      <c r="J154" s="622" t="str">
        <f t="array" ref="J154">IFERROR(INDEX(UtilityList!$H$4:$H$251,MATCH('Table 2.1a'!$A154&amp;'Table 2.1a'!$B154&amp;'Table 2.1a'!$C154,UtilityList!$A$4:$A$251&amp;UtilityList!$B$4:$B$251&amp;UtilityList!$C$4:$C$251,0)),"")</f>
        <v>PCE Eligible Active</v>
      </c>
      <c r="K154" s="709">
        <f t="array" ref="K154">IFERROR(INDEX(UtilityList!$Q$4:$Q$251,MATCH('Table 2.1a'!$A154&amp;'Table 2.1a'!$B154&amp;'Table 2.1a'!$C154,UtilityList!$A$4:$A$251&amp;UtilityList!$B$4:$B$251&amp;UtilityList!$C$4:$C$251,0)),"")</f>
        <v>0</v>
      </c>
      <c r="L154" s="622" t="str">
        <f t="array" ref="L154">IFERROR(INDEX(UtilityList!$I$4:$I$251,MATCH('Table 2.1a'!$A154&amp;'Table 2.1a'!$B154&amp;'Table 2.1a'!$C154,UtilityList!$A$4:$A$251&amp;UtilityList!$B$4:$B$251&amp;UtilityList!$C$4:$C$251,0)),"")</f>
        <v>INSIPEC</v>
      </c>
      <c r="M154" s="369" t="str">
        <f t="array" ref="M154">IFERROR(INDEX(UtilityList!$J$4:$J$251,MATCH('Table 2.1a'!$A154&amp;'Table 2.1a'!$B154&amp;'Table 2.1a'!$C154,UtilityList!$A$4:$A$251&amp;UtilityList!$B$4:$B$251&amp;UtilityList!$C$4:$C$251,0)),"")</f>
        <v>Southeast</v>
      </c>
      <c r="N154" s="369" t="str">
        <f t="array" ref="N154">IFERROR(INDEX(UtilityList!$K$4:$K$251,MATCH('Table 2.1a'!$A154&amp;'Table 2.1a'!$B154&amp;'Table 2.1a'!$C154,UtilityList!$A$4:$A$251&amp;UtilityList!$B$4:$B$251&amp;UtilityList!$C$4:$C$251,0)),"")</f>
        <v>Petersburg (CA)</v>
      </c>
      <c r="O154" s="369" t="str">
        <f t="array" ref="O154">IFERROR(INDEX(UtilityList!$L$4:$L$251,MATCH('Table 2.1a'!$A154&amp;'Table 2.1a'!$B154&amp;'Table 2.1a'!$C154,UtilityList!$A$4:$A$251&amp;UtilityList!$B$4:$B$251&amp;UtilityList!$C$4:$C$251,0)),"")</f>
        <v>Sealaska</v>
      </c>
      <c r="P154" s="369" t="str">
        <f t="array" ref="P154">IFERROR(INDEX(UtilityList!$M$4:$M$251,MATCH('Table 2.1a'!$A154&amp;'Table 2.1a'!$B154&amp;'Table 2.1a'!$C154,UtilityList!$A$4:$A$251&amp;UtilityList!$B$4:$B$251&amp;UtilityList!$C$4:$C$251,0)),"")</f>
        <v>SE</v>
      </c>
    </row>
    <row r="155" spans="1:16" s="344" customFormat="1" x14ac:dyDescent="0.25">
      <c r="A155" s="619" t="s">
        <v>207</v>
      </c>
      <c r="B155" s="361" t="s">
        <v>208</v>
      </c>
      <c r="C155" s="350" t="s">
        <v>208</v>
      </c>
      <c r="D155" s="620">
        <v>577</v>
      </c>
      <c r="E155" s="621">
        <v>0</v>
      </c>
      <c r="F155" s="621">
        <v>577</v>
      </c>
      <c r="G155" s="621">
        <v>0</v>
      </c>
      <c r="H155" s="621">
        <v>0</v>
      </c>
      <c r="I155" s="452" t="s">
        <v>1022</v>
      </c>
      <c r="J155" s="622" t="str">
        <f t="array" ref="J155">IFERROR(INDEX(UtilityList!$H$4:$H$251,MATCH('Table 2.1a'!$A155&amp;'Table 2.1a'!$B155&amp;'Table 2.1a'!$C155,UtilityList!$A$4:$A$251&amp;UtilityList!$B$4:$B$251&amp;UtilityList!$C$4:$C$251,0)),"")</f>
        <v>PCE Eligible Active</v>
      </c>
      <c r="K155" s="709">
        <f t="array" ref="K155">IFERROR(INDEX(UtilityList!$Q$4:$Q$251,MATCH('Table 2.1a'!$A155&amp;'Table 2.1a'!$B155&amp;'Table 2.1a'!$C155,UtilityList!$A$4:$A$251&amp;UtilityList!$B$4:$B$251&amp;UtilityList!$C$4:$C$251,0)),"")</f>
        <v>0</v>
      </c>
      <c r="L155" s="622" t="str">
        <f t="array" ref="L155">IFERROR(INDEX(UtilityList!$I$4:$I$251,MATCH('Table 2.1a'!$A155&amp;'Table 2.1a'!$B155&amp;'Table 2.1a'!$C155,UtilityList!$A$4:$A$251&amp;UtilityList!$B$4:$B$251&amp;UtilityList!$C$4:$C$251,0)),"")</f>
        <v>IPNAEC</v>
      </c>
      <c r="M155" s="369" t="str">
        <f t="array" ref="M155">IFERROR(INDEX(UtilityList!$J$4:$J$251,MATCH('Table 2.1a'!$A155&amp;'Table 2.1a'!$B155&amp;'Table 2.1a'!$C155,UtilityList!$A$4:$A$251&amp;UtilityList!$B$4:$B$251&amp;UtilityList!$C$4:$C$251,0)),"")</f>
        <v>Northwest Arctic</v>
      </c>
      <c r="N155" s="369" t="str">
        <f t="array" ref="N155">IFERROR(INDEX(UtilityList!$K$4:$K$251,MATCH('Table 2.1a'!$A155&amp;'Table 2.1a'!$B155&amp;'Table 2.1a'!$C155,UtilityList!$A$4:$A$251&amp;UtilityList!$B$4:$B$251&amp;UtilityList!$C$4:$C$251,0)),"")</f>
        <v>Northwest Arctic</v>
      </c>
      <c r="O155" s="369" t="str">
        <f t="array" ref="O155">IFERROR(INDEX(UtilityList!$L$4:$L$251,MATCH('Table 2.1a'!$A155&amp;'Table 2.1a'!$B155&amp;'Table 2.1a'!$C155,UtilityList!$A$4:$A$251&amp;UtilityList!$B$4:$B$251&amp;UtilityList!$C$4:$C$251,0)),"")</f>
        <v>NANA</v>
      </c>
      <c r="P155" s="369" t="str">
        <f t="array" ref="P155">IFERROR(INDEX(UtilityList!$M$4:$M$251,MATCH('Table 2.1a'!$A155&amp;'Table 2.1a'!$B155&amp;'Table 2.1a'!$C155,UtilityList!$A$4:$A$251&amp;UtilityList!$B$4:$B$251&amp;UtilityList!$C$4:$C$251,0)),"")</f>
        <v>AN</v>
      </c>
    </row>
    <row r="156" spans="1:16" s="344" customFormat="1" x14ac:dyDescent="0.25">
      <c r="A156" s="619" t="s">
        <v>209</v>
      </c>
      <c r="B156" s="361" t="s">
        <v>210</v>
      </c>
      <c r="C156" s="350" t="s">
        <v>211</v>
      </c>
      <c r="D156" s="620">
        <v>5400</v>
      </c>
      <c r="E156" s="621">
        <v>0</v>
      </c>
      <c r="F156" s="621">
        <v>0</v>
      </c>
      <c r="G156" s="621">
        <v>5400</v>
      </c>
      <c r="H156" s="621">
        <v>0</v>
      </c>
      <c r="I156" s="452" t="s">
        <v>1020</v>
      </c>
      <c r="J156" s="622" t="str">
        <f t="array" ref="J156">IFERROR(INDEX(UtilityList!$H$4:$H$251,MATCH('Table 2.1a'!$A156&amp;'Table 2.1a'!$B156&amp;'Table 2.1a'!$C156,UtilityList!$A$4:$A$251&amp;UtilityList!$B$4:$B$251&amp;UtilityList!$C$4:$C$251,0)),"")</f>
        <v>PCE Ineligible</v>
      </c>
      <c r="K156" s="709">
        <f t="array" ref="K156">IFERROR(INDEX(UtilityList!$Q$4:$Q$251,MATCH('Table 2.1a'!$A156&amp;'Table 2.1a'!$B156&amp;'Table 2.1a'!$C156,UtilityList!$A$4:$A$251&amp;UtilityList!$B$4:$B$251&amp;UtilityList!$C$4:$C$251,0)),"")</f>
        <v>0</v>
      </c>
      <c r="L156" s="622" t="str">
        <f t="array" ref="L156">IFERROR(INDEX(UtilityList!$I$4:$I$251,MATCH('Table 2.1a'!$A156&amp;'Table 2.1a'!$B156&amp;'Table 2.1a'!$C156,UtilityList!$A$4:$A$251&amp;UtilityList!$B$4:$B$251&amp;UtilityList!$C$4:$C$251,0)),"")</f>
        <v>KPU</v>
      </c>
      <c r="M156" s="369" t="str">
        <f t="array" ref="M156">IFERROR(INDEX(UtilityList!$J$4:$J$251,MATCH('Table 2.1a'!$A156&amp;'Table 2.1a'!$B156&amp;'Table 2.1a'!$C156,UtilityList!$A$4:$A$251&amp;UtilityList!$B$4:$B$251&amp;UtilityList!$C$4:$C$251,0)),"")</f>
        <v>Southeast</v>
      </c>
      <c r="N156" s="369" t="str">
        <f t="array" ref="N156">IFERROR(INDEX(UtilityList!$K$4:$K$251,MATCH('Table 2.1a'!$A156&amp;'Table 2.1a'!$B156&amp;'Table 2.1a'!$C156,UtilityList!$A$4:$A$251&amp;UtilityList!$B$4:$B$251&amp;UtilityList!$C$4:$C$251,0)),"")</f>
        <v>Ketchikan Gateway</v>
      </c>
      <c r="O156" s="369" t="str">
        <f t="array" ref="O156">IFERROR(INDEX(UtilityList!$L$4:$L$251,MATCH('Table 2.1a'!$A156&amp;'Table 2.1a'!$B156&amp;'Table 2.1a'!$C156,UtilityList!$A$4:$A$251&amp;UtilityList!$B$4:$B$251&amp;UtilityList!$C$4:$C$251,0)),"")</f>
        <v>Sealaska</v>
      </c>
      <c r="P156" s="369" t="str">
        <f t="array" ref="P156">IFERROR(INDEX(UtilityList!$M$4:$M$251,MATCH('Table 2.1a'!$A156&amp;'Table 2.1a'!$B156&amp;'Table 2.1a'!$C156,UtilityList!$A$4:$A$251&amp;UtilityList!$B$4:$B$251&amp;UtilityList!$C$4:$C$251,0)),"")</f>
        <v>SE</v>
      </c>
    </row>
    <row r="157" spans="1:16" s="344" customFormat="1" x14ac:dyDescent="0.25">
      <c r="A157" s="619" t="s">
        <v>209</v>
      </c>
      <c r="B157" s="361" t="s">
        <v>211</v>
      </c>
      <c r="C157" s="350" t="s">
        <v>211</v>
      </c>
      <c r="D157" s="620">
        <v>4200</v>
      </c>
      <c r="E157" s="621">
        <v>0</v>
      </c>
      <c r="F157" s="621">
        <v>0</v>
      </c>
      <c r="G157" s="621">
        <v>4200</v>
      </c>
      <c r="H157" s="621">
        <v>0</v>
      </c>
      <c r="I157" s="452" t="s">
        <v>1020</v>
      </c>
      <c r="J157" s="622" t="str">
        <f t="array" ref="J157">IFERROR(INDEX(UtilityList!$H$4:$H$251,MATCH('Table 2.1a'!$A157&amp;'Table 2.1a'!$B157&amp;'Table 2.1a'!$C157,UtilityList!$A$4:$A$251&amp;UtilityList!$B$4:$B$251&amp;UtilityList!$C$4:$C$251,0)),"")</f>
        <v>PCE Ineligible</v>
      </c>
      <c r="K157" s="709">
        <f t="array" ref="K157">IFERROR(INDEX(UtilityList!$Q$4:$Q$251,MATCH('Table 2.1a'!$A157&amp;'Table 2.1a'!$B157&amp;'Table 2.1a'!$C157,UtilityList!$A$4:$A$251&amp;UtilityList!$B$4:$B$251&amp;UtilityList!$C$4:$C$251,0)),"")</f>
        <v>0</v>
      </c>
      <c r="L157" s="622" t="str">
        <f t="array" ref="L157">IFERROR(INDEX(UtilityList!$I$4:$I$251,MATCH('Table 2.1a'!$A157&amp;'Table 2.1a'!$B157&amp;'Table 2.1a'!$C157,UtilityList!$A$4:$A$251&amp;UtilityList!$B$4:$B$251&amp;UtilityList!$C$4:$C$251,0)),"")</f>
        <v>KPU</v>
      </c>
      <c r="M157" s="369" t="str">
        <f t="array" ref="M157">IFERROR(INDEX(UtilityList!$J$4:$J$251,MATCH('Table 2.1a'!$A157&amp;'Table 2.1a'!$B157&amp;'Table 2.1a'!$C157,UtilityList!$A$4:$A$251&amp;UtilityList!$B$4:$B$251&amp;UtilityList!$C$4:$C$251,0)),"")</f>
        <v>Southeast</v>
      </c>
      <c r="N157" s="369" t="str">
        <f t="array" ref="N157">IFERROR(INDEX(UtilityList!$K$4:$K$251,MATCH('Table 2.1a'!$A157&amp;'Table 2.1a'!$B157&amp;'Table 2.1a'!$C157,UtilityList!$A$4:$A$251&amp;UtilityList!$B$4:$B$251&amp;UtilityList!$C$4:$C$251,0)),"")</f>
        <v>Ketchikan Gateway</v>
      </c>
      <c r="O157" s="369" t="str">
        <f t="array" ref="O157">IFERROR(INDEX(UtilityList!$L$4:$L$251,MATCH('Table 2.1a'!$A157&amp;'Table 2.1a'!$B157&amp;'Table 2.1a'!$C157,UtilityList!$A$4:$A$251&amp;UtilityList!$B$4:$B$251&amp;UtilityList!$C$4:$C$251,0)),"")</f>
        <v>Sealaska</v>
      </c>
      <c r="P157" s="369" t="str">
        <f t="array" ref="P157">IFERROR(INDEX(UtilityList!$M$4:$M$251,MATCH('Table 2.1a'!$A157&amp;'Table 2.1a'!$B157&amp;'Table 2.1a'!$C157,UtilityList!$A$4:$A$251&amp;UtilityList!$B$4:$B$251&amp;UtilityList!$C$4:$C$251,0)),"")</f>
        <v>SE</v>
      </c>
    </row>
    <row r="158" spans="1:16" s="344" customFormat="1" x14ac:dyDescent="0.25">
      <c r="A158" s="619" t="s">
        <v>209</v>
      </c>
      <c r="B158" s="361" t="s">
        <v>212</v>
      </c>
      <c r="C158" s="350" t="s">
        <v>211</v>
      </c>
      <c r="D158" s="620">
        <v>25900</v>
      </c>
      <c r="E158" s="621">
        <v>0</v>
      </c>
      <c r="F158" s="621">
        <v>25900</v>
      </c>
      <c r="G158" s="621">
        <v>0</v>
      </c>
      <c r="H158" s="621">
        <v>0</v>
      </c>
      <c r="I158" s="452" t="s">
        <v>1020</v>
      </c>
      <c r="J158" s="622" t="str">
        <f t="array" ref="J158">IFERROR(INDEX(UtilityList!$H$4:$H$251,MATCH('Table 2.1a'!$A158&amp;'Table 2.1a'!$B158&amp;'Table 2.1a'!$C158,UtilityList!$A$4:$A$251&amp;UtilityList!$B$4:$B$251&amp;UtilityList!$C$4:$C$251,0)),"")</f>
        <v>PCE Ineligible</v>
      </c>
      <c r="K158" s="709">
        <f t="array" ref="K158">IFERROR(INDEX(UtilityList!$Q$4:$Q$251,MATCH('Table 2.1a'!$A158&amp;'Table 2.1a'!$B158&amp;'Table 2.1a'!$C158,UtilityList!$A$4:$A$251&amp;UtilityList!$B$4:$B$251&amp;UtilityList!$C$4:$C$251,0)),"")</f>
        <v>0</v>
      </c>
      <c r="L158" s="622" t="str">
        <f t="array" ref="L158">IFERROR(INDEX(UtilityList!$I$4:$I$251,MATCH('Table 2.1a'!$A158&amp;'Table 2.1a'!$B158&amp;'Table 2.1a'!$C158,UtilityList!$A$4:$A$251&amp;UtilityList!$B$4:$B$251&amp;UtilityList!$C$4:$C$251,0)),"")</f>
        <v>KPU</v>
      </c>
      <c r="M158" s="369" t="str">
        <f t="array" ref="M158">IFERROR(INDEX(UtilityList!$J$4:$J$251,MATCH('Table 2.1a'!$A158&amp;'Table 2.1a'!$B158&amp;'Table 2.1a'!$C158,UtilityList!$A$4:$A$251&amp;UtilityList!$B$4:$B$251&amp;UtilityList!$C$4:$C$251,0)),"")</f>
        <v>Southeast</v>
      </c>
      <c r="N158" s="369" t="str">
        <f t="array" ref="N158">IFERROR(INDEX(UtilityList!$K$4:$K$251,MATCH('Table 2.1a'!$A158&amp;'Table 2.1a'!$B158&amp;'Table 2.1a'!$C158,UtilityList!$A$4:$A$251&amp;UtilityList!$B$4:$B$251&amp;UtilityList!$C$4:$C$251,0)),"")</f>
        <v>Ketchikan Gateway</v>
      </c>
      <c r="O158" s="369" t="str">
        <f t="array" ref="O158">IFERROR(INDEX(UtilityList!$L$4:$L$251,MATCH('Table 2.1a'!$A158&amp;'Table 2.1a'!$B158&amp;'Table 2.1a'!$C158,UtilityList!$A$4:$A$251&amp;UtilityList!$B$4:$B$251&amp;UtilityList!$C$4:$C$251,0)),"")</f>
        <v>Sealaska</v>
      </c>
      <c r="P158" s="369" t="str">
        <f t="array" ref="P158">IFERROR(INDEX(UtilityList!$M$4:$M$251,MATCH('Table 2.1a'!$A158&amp;'Table 2.1a'!$B158&amp;'Table 2.1a'!$C158,UtilityList!$A$4:$A$251&amp;UtilityList!$B$4:$B$251&amp;UtilityList!$C$4:$C$251,0)),"")</f>
        <v>SE</v>
      </c>
    </row>
    <row r="159" spans="1:16" s="344" customFormat="1" x14ac:dyDescent="0.25">
      <c r="A159" s="619" t="s">
        <v>209</v>
      </c>
      <c r="B159" s="361" t="s">
        <v>213</v>
      </c>
      <c r="C159" s="350" t="s">
        <v>211</v>
      </c>
      <c r="D159" s="620">
        <v>2100</v>
      </c>
      <c r="E159" s="621">
        <v>0</v>
      </c>
      <c r="F159" s="621">
        <v>0</v>
      </c>
      <c r="G159" s="621">
        <v>2100</v>
      </c>
      <c r="H159" s="621">
        <v>0</v>
      </c>
      <c r="I159" s="452" t="s">
        <v>1020</v>
      </c>
      <c r="J159" s="622" t="str">
        <f t="array" ref="J159">IFERROR(INDEX(UtilityList!$H$4:$H$251,MATCH('Table 2.1a'!$A159&amp;'Table 2.1a'!$B159&amp;'Table 2.1a'!$C159,UtilityList!$A$4:$A$251&amp;UtilityList!$B$4:$B$251&amp;UtilityList!$C$4:$C$251,0)),"")</f>
        <v>PCE Ineligible</v>
      </c>
      <c r="K159" s="709">
        <f t="array" ref="K159">IFERROR(INDEX(UtilityList!$Q$4:$Q$251,MATCH('Table 2.1a'!$A159&amp;'Table 2.1a'!$B159&amp;'Table 2.1a'!$C159,UtilityList!$A$4:$A$251&amp;UtilityList!$B$4:$B$251&amp;UtilityList!$C$4:$C$251,0)),"")</f>
        <v>0</v>
      </c>
      <c r="L159" s="622" t="str">
        <f t="array" ref="L159">IFERROR(INDEX(UtilityList!$I$4:$I$251,MATCH('Table 2.1a'!$A159&amp;'Table 2.1a'!$B159&amp;'Table 2.1a'!$C159,UtilityList!$A$4:$A$251&amp;UtilityList!$B$4:$B$251&amp;UtilityList!$C$4:$C$251,0)),"")</f>
        <v>KPU</v>
      </c>
      <c r="M159" s="369" t="str">
        <f t="array" ref="M159">IFERROR(INDEX(UtilityList!$J$4:$J$251,MATCH('Table 2.1a'!$A159&amp;'Table 2.1a'!$B159&amp;'Table 2.1a'!$C159,UtilityList!$A$4:$A$251&amp;UtilityList!$B$4:$B$251&amp;UtilityList!$C$4:$C$251,0)),"")</f>
        <v>Southeast</v>
      </c>
      <c r="N159" s="369" t="str">
        <f t="array" ref="N159">IFERROR(INDEX(UtilityList!$K$4:$K$251,MATCH('Table 2.1a'!$A159&amp;'Table 2.1a'!$B159&amp;'Table 2.1a'!$C159,UtilityList!$A$4:$A$251&amp;UtilityList!$B$4:$B$251&amp;UtilityList!$C$4:$C$251,0)),"")</f>
        <v>Ketchikan Gateway</v>
      </c>
      <c r="O159" s="369" t="str">
        <f t="array" ref="O159">IFERROR(INDEX(UtilityList!$L$4:$L$251,MATCH('Table 2.1a'!$A159&amp;'Table 2.1a'!$B159&amp;'Table 2.1a'!$C159,UtilityList!$A$4:$A$251&amp;UtilityList!$B$4:$B$251&amp;UtilityList!$C$4:$C$251,0)),"")</f>
        <v>Sealaska</v>
      </c>
      <c r="P159" s="369" t="str">
        <f t="array" ref="P159">IFERROR(INDEX(UtilityList!$M$4:$M$251,MATCH('Table 2.1a'!$A159&amp;'Table 2.1a'!$B159&amp;'Table 2.1a'!$C159,UtilityList!$A$4:$A$251&amp;UtilityList!$B$4:$B$251&amp;UtilityList!$C$4:$C$251,0)),"")</f>
        <v>SE</v>
      </c>
    </row>
    <row r="160" spans="1:16" s="344" customFormat="1" x14ac:dyDescent="0.25">
      <c r="A160" s="619" t="s">
        <v>209</v>
      </c>
      <c r="B160" s="361" t="s">
        <v>214</v>
      </c>
      <c r="C160" s="351" t="s">
        <v>659</v>
      </c>
      <c r="D160" s="620">
        <v>22400</v>
      </c>
      <c r="E160" s="621">
        <v>0</v>
      </c>
      <c r="F160" s="621">
        <v>0</v>
      </c>
      <c r="G160" s="621">
        <v>22400</v>
      </c>
      <c r="H160" s="621">
        <v>0</v>
      </c>
      <c r="I160" s="452" t="s">
        <v>1020</v>
      </c>
      <c r="J160" s="622" t="str">
        <f t="array" ref="J160">IFERROR(INDEX(UtilityList!$H$4:$H$251,MATCH('Table 2.1a'!$A160&amp;'Table 2.1a'!$B160&amp;'Table 2.1a'!$C160,UtilityList!$A$4:$A$251&amp;UtilityList!$B$4:$B$251&amp;UtilityList!$C$4:$C$251,0)),"")</f>
        <v>PCE Ineligible</v>
      </c>
      <c r="K160" s="709">
        <f t="array" ref="K160">IFERROR(INDEX(UtilityList!$Q$4:$Q$251,MATCH('Table 2.1a'!$A160&amp;'Table 2.1a'!$B160&amp;'Table 2.1a'!$C160,UtilityList!$A$4:$A$251&amp;UtilityList!$B$4:$B$251&amp;UtilityList!$C$4:$C$251,0)),"")</f>
        <v>0</v>
      </c>
      <c r="L160" s="622" t="str">
        <f t="array" ref="L160">IFERROR(INDEX(UtilityList!$I$4:$I$251,MATCH('Table 2.1a'!$A160&amp;'Table 2.1a'!$B160&amp;'Table 2.1a'!$C160,UtilityList!$A$4:$A$251&amp;UtilityList!$B$4:$B$251&amp;UtilityList!$C$4:$C$251,0)),"")</f>
        <v>KPU</v>
      </c>
      <c r="M160" s="369" t="str">
        <f t="array" ref="M160">IFERROR(INDEX(UtilityList!$J$4:$J$251,MATCH('Table 2.1a'!$A160&amp;'Table 2.1a'!$B160&amp;'Table 2.1a'!$C160,UtilityList!$A$4:$A$251&amp;UtilityList!$B$4:$B$251&amp;UtilityList!$C$4:$C$251,0)),"")</f>
        <v>Southeast</v>
      </c>
      <c r="N160" s="369" t="str">
        <f t="array" ref="N160">IFERROR(INDEX(UtilityList!$K$4:$K$251,MATCH('Table 2.1a'!$A160&amp;'Table 2.1a'!$B160&amp;'Table 2.1a'!$C160,UtilityList!$A$4:$A$251&amp;UtilityList!$B$4:$B$251&amp;UtilityList!$C$4:$C$251,0)),"")</f>
        <v>Ketchikan Gateway</v>
      </c>
      <c r="O160" s="369" t="str">
        <f t="array" ref="O160">IFERROR(INDEX(UtilityList!$L$4:$L$251,MATCH('Table 2.1a'!$A160&amp;'Table 2.1a'!$B160&amp;'Table 2.1a'!$C160,UtilityList!$A$4:$A$251&amp;UtilityList!$B$4:$B$251&amp;UtilityList!$C$4:$C$251,0)),"")</f>
        <v>Sealaska</v>
      </c>
      <c r="P160" s="369" t="str">
        <f t="array" ref="P160">IFERROR(INDEX(UtilityList!$M$4:$M$251,MATCH('Table 2.1a'!$A160&amp;'Table 2.1a'!$B160&amp;'Table 2.1a'!$C160,UtilityList!$A$4:$A$251&amp;UtilityList!$B$4:$B$251&amp;UtilityList!$C$4:$C$251,0)),"")</f>
        <v>SE</v>
      </c>
    </row>
    <row r="161" spans="1:16" s="344" customFormat="1" x14ac:dyDescent="0.25">
      <c r="A161" s="619" t="s">
        <v>215</v>
      </c>
      <c r="B161" s="339" t="s">
        <v>216</v>
      </c>
      <c r="C161" s="619" t="s">
        <v>216</v>
      </c>
      <c r="D161" s="620">
        <v>800</v>
      </c>
      <c r="E161" s="621">
        <v>0</v>
      </c>
      <c r="F161" s="621">
        <v>0</v>
      </c>
      <c r="G161" s="735">
        <v>800</v>
      </c>
      <c r="H161" s="621">
        <v>0</v>
      </c>
      <c r="I161" s="452" t="s">
        <v>1020</v>
      </c>
      <c r="J161" s="622" t="str">
        <f t="array" ref="J161">IFERROR(INDEX(UtilityList!$H$4:$H$251,MATCH('Table 2.1a'!$A161&amp;'Table 2.1a'!$B161&amp;'Table 2.1a'!$C161,UtilityList!$A$4:$A$251&amp;UtilityList!$B$4:$B$251&amp;UtilityList!$C$4:$C$251,0)),"")</f>
        <v>PCE Eligible Active</v>
      </c>
      <c r="K161" s="709">
        <f t="array" ref="K161">IFERROR(INDEX(UtilityList!$Q$4:$Q$251,MATCH('Table 2.1a'!$A161&amp;'Table 2.1a'!$B161&amp;'Table 2.1a'!$C161,UtilityList!$A$4:$A$251&amp;UtilityList!$B$4:$B$251&amp;UtilityList!$C$4:$C$251,0)),"")</f>
        <v>0</v>
      </c>
      <c r="L161" s="622" t="str">
        <f t="array" ref="L161">IFERROR(INDEX(UtilityList!$I$4:$I$251,MATCH('Table 2.1a'!$A161&amp;'Table 2.1a'!$B161&amp;'Table 2.1a'!$C161,UtilityList!$A$4:$A$251&amp;UtilityList!$B$4:$B$251&amp;UtilityList!$C$4:$C$251,0)),"")</f>
        <v>KINGC</v>
      </c>
      <c r="M161" s="369" t="str">
        <f t="array" ref="M161">IFERROR(INDEX(UtilityList!$J$4:$J$251,MATCH('Table 2.1a'!$A161&amp;'Table 2.1a'!$B161&amp;'Table 2.1a'!$C161,UtilityList!$A$4:$A$251&amp;UtilityList!$B$4:$B$251&amp;UtilityList!$C$4:$C$251,0)),"")</f>
        <v>Aleutians</v>
      </c>
      <c r="N161" s="369" t="str">
        <f t="array" ref="N161">IFERROR(INDEX(UtilityList!$K$4:$K$251,MATCH('Table 2.1a'!$A161&amp;'Table 2.1a'!$B161&amp;'Table 2.1a'!$C161,UtilityList!$A$4:$A$251&amp;UtilityList!$B$4:$B$251&amp;UtilityList!$C$4:$C$251,0)),"")</f>
        <v>Aleutians East</v>
      </c>
      <c r="O161" s="369" t="str">
        <f t="array" ref="O161">IFERROR(INDEX(UtilityList!$L$4:$L$251,MATCH('Table 2.1a'!$A161&amp;'Table 2.1a'!$B161&amp;'Table 2.1a'!$C161,UtilityList!$A$4:$A$251&amp;UtilityList!$B$4:$B$251&amp;UtilityList!$C$4:$C$251,0)),"")</f>
        <v>Aleut</v>
      </c>
      <c r="P161" s="369" t="str">
        <f t="array" ref="P161">IFERROR(INDEX(UtilityList!$M$4:$M$251,MATCH('Table 2.1a'!$A161&amp;'Table 2.1a'!$B161&amp;'Table 2.1a'!$C161,UtilityList!$A$4:$A$251&amp;UtilityList!$B$4:$B$251&amp;UtilityList!$C$4:$C$251,0)),"")</f>
        <v>SW</v>
      </c>
    </row>
    <row r="162" spans="1:16" s="344" customFormat="1" x14ac:dyDescent="0.25">
      <c r="A162" s="619" t="s">
        <v>215</v>
      </c>
      <c r="B162" s="361" t="s">
        <v>216</v>
      </c>
      <c r="C162" s="350" t="s">
        <v>216</v>
      </c>
      <c r="D162" s="620">
        <v>1800</v>
      </c>
      <c r="E162" s="621">
        <v>0</v>
      </c>
      <c r="F162" s="621">
        <v>1800</v>
      </c>
      <c r="G162" s="621">
        <v>0</v>
      </c>
      <c r="H162" s="621">
        <v>0</v>
      </c>
      <c r="I162" s="452" t="s">
        <v>1020</v>
      </c>
      <c r="J162" s="622" t="str">
        <f t="array" ref="J162">IFERROR(INDEX(UtilityList!$H$4:$H$251,MATCH('Table 2.1a'!$A162&amp;'Table 2.1a'!$B162&amp;'Table 2.1a'!$C162,UtilityList!$A$4:$A$251&amp;UtilityList!$B$4:$B$251&amp;UtilityList!$C$4:$C$251,0)),"")</f>
        <v>PCE Eligible Active</v>
      </c>
      <c r="K162" s="709">
        <f t="array" ref="K162">IFERROR(INDEX(UtilityList!$Q$4:$Q$251,MATCH('Table 2.1a'!$A162&amp;'Table 2.1a'!$B162&amp;'Table 2.1a'!$C162,UtilityList!$A$4:$A$251&amp;UtilityList!$B$4:$B$251&amp;UtilityList!$C$4:$C$251,0)),"")</f>
        <v>0</v>
      </c>
      <c r="L162" s="622" t="str">
        <f t="array" ref="L162">IFERROR(INDEX(UtilityList!$I$4:$I$251,MATCH('Table 2.1a'!$A162&amp;'Table 2.1a'!$B162&amp;'Table 2.1a'!$C162,UtilityList!$A$4:$A$251&amp;UtilityList!$B$4:$B$251&amp;UtilityList!$C$4:$C$251,0)),"")</f>
        <v>KINGC</v>
      </c>
      <c r="M162" s="369" t="str">
        <f t="array" ref="M162">IFERROR(INDEX(UtilityList!$J$4:$J$251,MATCH('Table 2.1a'!$A162&amp;'Table 2.1a'!$B162&amp;'Table 2.1a'!$C162,UtilityList!$A$4:$A$251&amp;UtilityList!$B$4:$B$251&amp;UtilityList!$C$4:$C$251,0)),"")</f>
        <v>Aleutians</v>
      </c>
      <c r="N162" s="369" t="str">
        <f t="array" ref="N162">IFERROR(INDEX(UtilityList!$K$4:$K$251,MATCH('Table 2.1a'!$A162&amp;'Table 2.1a'!$B162&amp;'Table 2.1a'!$C162,UtilityList!$A$4:$A$251&amp;UtilityList!$B$4:$B$251&amp;UtilityList!$C$4:$C$251,0)),"")</f>
        <v>Aleutians East</v>
      </c>
      <c r="O162" s="369" t="str">
        <f t="array" ref="O162">IFERROR(INDEX(UtilityList!$L$4:$L$251,MATCH('Table 2.1a'!$A162&amp;'Table 2.1a'!$B162&amp;'Table 2.1a'!$C162,UtilityList!$A$4:$A$251&amp;UtilityList!$B$4:$B$251&amp;UtilityList!$C$4:$C$251,0)),"")</f>
        <v>Aleut</v>
      </c>
      <c r="P162" s="369" t="str">
        <f t="array" ref="P162">IFERROR(INDEX(UtilityList!$M$4:$M$251,MATCH('Table 2.1a'!$A162&amp;'Table 2.1a'!$B162&amp;'Table 2.1a'!$C162,UtilityList!$A$4:$A$251&amp;UtilityList!$B$4:$B$251&amp;UtilityList!$C$4:$C$251,0)),"")</f>
        <v>SW</v>
      </c>
    </row>
    <row r="163" spans="1:16" s="344" customFormat="1" ht="105" x14ac:dyDescent="0.25">
      <c r="A163" s="619" t="s">
        <v>219</v>
      </c>
      <c r="B163" s="361" t="s">
        <v>220</v>
      </c>
      <c r="C163" s="350" t="s">
        <v>220</v>
      </c>
      <c r="D163" s="620">
        <v>215</v>
      </c>
      <c r="E163" s="621">
        <v>0</v>
      </c>
      <c r="F163" s="621">
        <v>215</v>
      </c>
      <c r="G163" s="621">
        <v>0</v>
      </c>
      <c r="H163" s="621">
        <v>0</v>
      </c>
      <c r="I163" s="452" t="s">
        <v>1022</v>
      </c>
      <c r="J163" s="622" t="str">
        <f t="array" ref="J163">IFERROR(INDEX(UtilityList!$H$4:$H$251,MATCH('Table 2.1a'!$A163&amp;'Table 2.1a'!$B163&amp;'Table 2.1a'!$C163,UtilityList!$A$4:$A$251&amp;UtilityList!$B$4:$B$251&amp;UtilityList!$C$4:$C$251,0)),"")</f>
        <v>PCE Eligible Active</v>
      </c>
      <c r="K163" s="709" t="str">
        <f t="array" ref="K163">IFERROR(INDEX(UtilityList!$Q$4:$Q$251,MATCH('Table 2.1a'!$A163&amp;'Table 2.1a'!$B163&amp;'Table 2.1a'!$C163,UtilityList!$A$4:$A$251&amp;UtilityList!$B$4:$B$251&amp;UtilityList!$C$4:$C$251,0)),"")</f>
        <v>Receives power from Shungnak via intertie. For fuel use and cost, please refer to Shungnak. On July 1, 2012, AVEC took over operations in Kobuk.</v>
      </c>
      <c r="L163" s="622" t="str">
        <f t="array" ref="L163">IFERROR(INDEX(UtilityList!$I$4:$I$251,MATCH('Table 2.1a'!$A163&amp;'Table 2.1a'!$B163&amp;'Table 2.1a'!$C163,UtilityList!$A$4:$A$251&amp;UtilityList!$B$4:$B$251&amp;UtilityList!$C$4:$C$251,0)),"")</f>
        <v>KOBUVEC</v>
      </c>
      <c r="M163" s="369" t="str">
        <f t="array" ref="M163">IFERROR(INDEX(UtilityList!$J$4:$J$251,MATCH('Table 2.1a'!$A163&amp;'Table 2.1a'!$B163&amp;'Table 2.1a'!$C163,UtilityList!$A$4:$A$251&amp;UtilityList!$B$4:$B$251&amp;UtilityList!$C$4:$C$251,0)),"")</f>
        <v>Northwest Arctic</v>
      </c>
      <c r="N163" s="369" t="str">
        <f t="array" ref="N163">IFERROR(INDEX(UtilityList!$K$4:$K$251,MATCH('Table 2.1a'!$A163&amp;'Table 2.1a'!$B163&amp;'Table 2.1a'!$C163,UtilityList!$A$4:$A$251&amp;UtilityList!$B$4:$B$251&amp;UtilityList!$C$4:$C$251,0)),"")</f>
        <v>Northwest Arctic</v>
      </c>
      <c r="O163" s="369" t="str">
        <f t="array" ref="O163">IFERROR(INDEX(UtilityList!$L$4:$L$251,MATCH('Table 2.1a'!$A163&amp;'Table 2.1a'!$B163&amp;'Table 2.1a'!$C163,UtilityList!$A$4:$A$251&amp;UtilityList!$B$4:$B$251&amp;UtilityList!$C$4:$C$251,0)),"")</f>
        <v>NANA</v>
      </c>
      <c r="P163" s="369" t="str">
        <f t="array" ref="P163">IFERROR(INDEX(UtilityList!$M$4:$M$251,MATCH('Table 2.1a'!$A163&amp;'Table 2.1a'!$B163&amp;'Table 2.1a'!$C163,UtilityList!$A$4:$A$251&amp;UtilityList!$B$4:$B$251&amp;UtilityList!$C$4:$C$251,0)),"")</f>
        <v>AN</v>
      </c>
    </row>
    <row r="164" spans="1:16" s="344" customFormat="1" x14ac:dyDescent="0.25">
      <c r="A164" s="352" t="s">
        <v>221</v>
      </c>
      <c r="B164" s="353" t="s">
        <v>222</v>
      </c>
      <c r="C164" s="353" t="s">
        <v>222</v>
      </c>
      <c r="D164" s="620">
        <v>22300</v>
      </c>
      <c r="E164" s="621">
        <v>0</v>
      </c>
      <c r="F164" s="621">
        <v>22300</v>
      </c>
      <c r="G164" s="621">
        <v>0</v>
      </c>
      <c r="H164" s="621">
        <v>0</v>
      </c>
      <c r="I164" s="452" t="s">
        <v>1020</v>
      </c>
      <c r="J164" s="622" t="str">
        <f t="array" ref="J164">IFERROR(INDEX(UtilityList!$H$4:$H$251,MATCH('Table 2.1a'!$A164&amp;'Table 2.1a'!$B164&amp;'Table 2.1a'!$C164,UtilityList!$A$4:$A$251&amp;UtilityList!$B$4:$B$251&amp;UtilityList!$C$4:$C$251,0)),"")</f>
        <v>PCE Ineligible</v>
      </c>
      <c r="K164" s="709">
        <f t="array" ref="K164">IFERROR(INDEX(UtilityList!$Q$4:$Q$251,MATCH('Table 2.1a'!$A164&amp;'Table 2.1a'!$B164&amp;'Table 2.1a'!$C164,UtilityList!$A$4:$A$251&amp;UtilityList!$B$4:$B$251&amp;UtilityList!$C$4:$C$251,0)),"")</f>
        <v>0</v>
      </c>
      <c r="L164" s="622" t="str">
        <f t="array" ref="L164">IFERROR(INDEX(UtilityList!$I$4:$I$251,MATCH('Table 2.1a'!$A164&amp;'Table 2.1a'!$B164&amp;'Table 2.1a'!$C164,UtilityList!$A$4:$A$251&amp;UtilityList!$B$4:$B$251&amp;UtilityList!$C$4:$C$251,0)),"")</f>
        <v>KEA</v>
      </c>
      <c r="M164" s="369" t="str">
        <f t="array" ref="M164">IFERROR(INDEX(UtilityList!$J$4:$J$251,MATCH('Table 2.1a'!$A164&amp;'Table 2.1a'!$B164&amp;'Table 2.1a'!$C164,UtilityList!$A$4:$A$251&amp;UtilityList!$B$4:$B$251&amp;UtilityList!$C$4:$C$251,0)),"")</f>
        <v>Kodiak</v>
      </c>
      <c r="N164" s="369" t="str">
        <f t="array" ref="N164">IFERROR(INDEX(UtilityList!$K$4:$K$251,MATCH('Table 2.1a'!$A164&amp;'Table 2.1a'!$B164&amp;'Table 2.1a'!$C164,UtilityList!$A$4:$A$251&amp;UtilityList!$B$4:$B$251&amp;UtilityList!$C$4:$C$251,0)),"")</f>
        <v>Kodiak Island</v>
      </c>
      <c r="O164" s="369" t="str">
        <f t="array" ref="O164">IFERROR(INDEX(UtilityList!$L$4:$L$251,MATCH('Table 2.1a'!$A164&amp;'Table 2.1a'!$B164&amp;'Table 2.1a'!$C164,UtilityList!$A$4:$A$251&amp;UtilityList!$B$4:$B$251&amp;UtilityList!$C$4:$C$251,0)),"")</f>
        <v>Koniag</v>
      </c>
      <c r="P164" s="369" t="str">
        <f t="array" ref="P164">IFERROR(INDEX(UtilityList!$M$4:$M$251,MATCH('Table 2.1a'!$A164&amp;'Table 2.1a'!$B164&amp;'Table 2.1a'!$C164,UtilityList!$A$4:$A$251&amp;UtilityList!$B$4:$B$251&amp;UtilityList!$C$4:$C$251,0)),"")</f>
        <v>SC</v>
      </c>
    </row>
    <row r="165" spans="1:16" s="344" customFormat="1" x14ac:dyDescent="0.25">
      <c r="A165" s="619" t="s">
        <v>221</v>
      </c>
      <c r="B165" s="361" t="s">
        <v>223</v>
      </c>
      <c r="C165" s="350" t="s">
        <v>222</v>
      </c>
      <c r="D165" s="620">
        <v>10000</v>
      </c>
      <c r="E165" s="621">
        <v>0</v>
      </c>
      <c r="F165" s="621">
        <v>10000</v>
      </c>
      <c r="G165" s="621">
        <v>0</v>
      </c>
      <c r="H165" s="621">
        <v>0</v>
      </c>
      <c r="I165" s="452" t="s">
        <v>1020</v>
      </c>
      <c r="J165" s="622" t="str">
        <f t="array" ref="J165">IFERROR(INDEX(UtilityList!$H$4:$H$251,MATCH('Table 2.1a'!$A165&amp;'Table 2.1a'!$B165&amp;'Table 2.1a'!$C165,UtilityList!$A$4:$A$251&amp;UtilityList!$B$4:$B$251&amp;UtilityList!$C$4:$C$251,0)),"")</f>
        <v>PCE Ineligible</v>
      </c>
      <c r="K165" s="709">
        <f t="array" ref="K165">IFERROR(INDEX(UtilityList!$Q$4:$Q$251,MATCH('Table 2.1a'!$A165&amp;'Table 2.1a'!$B165&amp;'Table 2.1a'!$C165,UtilityList!$A$4:$A$251&amp;UtilityList!$B$4:$B$251&amp;UtilityList!$C$4:$C$251,0)),"")</f>
        <v>0</v>
      </c>
      <c r="L165" s="622" t="str">
        <f t="array" ref="L165">IFERROR(INDEX(UtilityList!$I$4:$I$251,MATCH('Table 2.1a'!$A165&amp;'Table 2.1a'!$B165&amp;'Table 2.1a'!$C165,UtilityList!$A$4:$A$251&amp;UtilityList!$B$4:$B$251&amp;UtilityList!$C$4:$C$251,0)),"")</f>
        <v>KEA</v>
      </c>
      <c r="M165" s="369" t="str">
        <f t="array" ref="M165">IFERROR(INDEX(UtilityList!$J$4:$J$251,MATCH('Table 2.1a'!$A165&amp;'Table 2.1a'!$B165&amp;'Table 2.1a'!$C165,UtilityList!$A$4:$A$251&amp;UtilityList!$B$4:$B$251&amp;UtilityList!$C$4:$C$251,0)),"")</f>
        <v>Kodiak</v>
      </c>
      <c r="N165" s="369" t="str">
        <f t="array" ref="N165">IFERROR(INDEX(UtilityList!$K$4:$K$251,MATCH('Table 2.1a'!$A165&amp;'Table 2.1a'!$B165&amp;'Table 2.1a'!$C165,UtilityList!$A$4:$A$251&amp;UtilityList!$B$4:$B$251&amp;UtilityList!$C$4:$C$251,0)),"")</f>
        <v>Kodiak Island</v>
      </c>
      <c r="O165" s="369" t="str">
        <f t="array" ref="O165">IFERROR(INDEX(UtilityList!$L$4:$L$251,MATCH('Table 2.1a'!$A165&amp;'Table 2.1a'!$B165&amp;'Table 2.1a'!$C165,UtilityList!$A$4:$A$251&amp;UtilityList!$B$4:$B$251&amp;UtilityList!$C$4:$C$251,0)),"")</f>
        <v>Koniag</v>
      </c>
      <c r="P165" s="369" t="str">
        <f t="array" ref="P165">IFERROR(INDEX(UtilityList!$M$4:$M$251,MATCH('Table 2.1a'!$A165&amp;'Table 2.1a'!$B165&amp;'Table 2.1a'!$C165,UtilityList!$A$4:$A$251&amp;UtilityList!$B$4:$B$251&amp;UtilityList!$C$4:$C$251,0)),"")</f>
        <v>SC</v>
      </c>
    </row>
    <row r="166" spans="1:16" s="344" customFormat="1" x14ac:dyDescent="0.25">
      <c r="A166" s="619" t="s">
        <v>221</v>
      </c>
      <c r="B166" s="361" t="s">
        <v>224</v>
      </c>
      <c r="C166" s="350" t="s">
        <v>222</v>
      </c>
      <c r="D166" s="620">
        <v>4500</v>
      </c>
      <c r="E166" s="621">
        <v>0</v>
      </c>
      <c r="F166" s="621">
        <v>0</v>
      </c>
      <c r="G166" s="621">
        <v>0</v>
      </c>
      <c r="H166" s="621">
        <v>4500</v>
      </c>
      <c r="I166" s="452" t="s">
        <v>1020</v>
      </c>
      <c r="J166" s="622" t="str">
        <f t="array" ref="J166">IFERROR(INDEX(UtilityList!$H$4:$H$251,MATCH('Table 2.1a'!$A166&amp;'Table 2.1a'!$B166&amp;'Table 2.1a'!$C166,UtilityList!$A$4:$A$251&amp;UtilityList!$B$4:$B$251&amp;UtilityList!$C$4:$C$251,0)),"")</f>
        <v>PCE Ineligible</v>
      </c>
      <c r="K166" s="709">
        <f t="array" ref="K166">IFERROR(INDEX(UtilityList!$Q$4:$Q$251,MATCH('Table 2.1a'!$A166&amp;'Table 2.1a'!$B166&amp;'Table 2.1a'!$C166,UtilityList!$A$4:$A$251&amp;UtilityList!$B$4:$B$251&amp;UtilityList!$C$4:$C$251,0)),"")</f>
        <v>0</v>
      </c>
      <c r="L166" s="622" t="str">
        <f t="array" ref="L166">IFERROR(INDEX(UtilityList!$I$4:$I$251,MATCH('Table 2.1a'!$A166&amp;'Table 2.1a'!$B166&amp;'Table 2.1a'!$C166,UtilityList!$A$4:$A$251&amp;UtilityList!$B$4:$B$251&amp;UtilityList!$C$4:$C$251,0)),"")</f>
        <v>KEA</v>
      </c>
      <c r="M166" s="369" t="str">
        <f t="array" ref="M166">IFERROR(INDEX(UtilityList!$J$4:$J$251,MATCH('Table 2.1a'!$A166&amp;'Table 2.1a'!$B166&amp;'Table 2.1a'!$C166,UtilityList!$A$4:$A$251&amp;UtilityList!$B$4:$B$251&amp;UtilityList!$C$4:$C$251,0)),"")</f>
        <v>Kodiak</v>
      </c>
      <c r="N166" s="369" t="str">
        <f t="array" ref="N166">IFERROR(INDEX(UtilityList!$K$4:$K$251,MATCH('Table 2.1a'!$A166&amp;'Table 2.1a'!$B166&amp;'Table 2.1a'!$C166,UtilityList!$A$4:$A$251&amp;UtilityList!$B$4:$B$251&amp;UtilityList!$C$4:$C$251,0)),"")</f>
        <v>Kodiak Island</v>
      </c>
      <c r="O166" s="369" t="str">
        <f t="array" ref="O166">IFERROR(INDEX(UtilityList!$L$4:$L$251,MATCH('Table 2.1a'!$A166&amp;'Table 2.1a'!$B166&amp;'Table 2.1a'!$C166,UtilityList!$A$4:$A$251&amp;UtilityList!$B$4:$B$251&amp;UtilityList!$C$4:$C$251,0)),"")</f>
        <v>Koniag</v>
      </c>
      <c r="P166" s="369" t="str">
        <f t="array" ref="P166">IFERROR(INDEX(UtilityList!$M$4:$M$251,MATCH('Table 2.1a'!$A166&amp;'Table 2.1a'!$B166&amp;'Table 2.1a'!$C166,UtilityList!$A$4:$A$251&amp;UtilityList!$B$4:$B$251&amp;UtilityList!$C$4:$C$251,0)),"")</f>
        <v>SC</v>
      </c>
    </row>
    <row r="167" spans="1:16" s="344" customFormat="1" x14ac:dyDescent="0.25">
      <c r="A167" s="619" t="s">
        <v>221</v>
      </c>
      <c r="B167" s="361" t="s">
        <v>226</v>
      </c>
      <c r="C167" s="350" t="s">
        <v>222</v>
      </c>
      <c r="D167" s="620">
        <v>1000</v>
      </c>
      <c r="E167" s="621">
        <v>0</v>
      </c>
      <c r="F167" s="621">
        <v>1000</v>
      </c>
      <c r="G167" s="621">
        <v>0</v>
      </c>
      <c r="H167" s="621">
        <v>0</v>
      </c>
      <c r="I167" s="452" t="s">
        <v>1020</v>
      </c>
      <c r="J167" s="622" t="str">
        <f t="array" ref="J167">IFERROR(INDEX(UtilityList!$H$4:$H$251,MATCH('Table 2.1a'!$A167&amp;'Table 2.1a'!$B167&amp;'Table 2.1a'!$C167,UtilityList!$A$4:$A$251&amp;UtilityList!$B$4:$B$251&amp;UtilityList!$C$4:$C$251,0)),"")</f>
        <v>PCE Ineligible</v>
      </c>
      <c r="K167" s="709">
        <f t="array" ref="K167">IFERROR(INDEX(UtilityList!$Q$4:$Q$251,MATCH('Table 2.1a'!$A167&amp;'Table 2.1a'!$B167&amp;'Table 2.1a'!$C167,UtilityList!$A$4:$A$251&amp;UtilityList!$B$4:$B$251&amp;UtilityList!$C$4:$C$251,0)),"")</f>
        <v>0</v>
      </c>
      <c r="L167" s="622" t="str">
        <f t="array" ref="L167">IFERROR(INDEX(UtilityList!$I$4:$I$251,MATCH('Table 2.1a'!$A167&amp;'Table 2.1a'!$B167&amp;'Table 2.1a'!$C167,UtilityList!$A$4:$A$251&amp;UtilityList!$B$4:$B$251&amp;UtilityList!$C$4:$C$251,0)),"")</f>
        <v>KEA</v>
      </c>
      <c r="M167" s="369" t="str">
        <f t="array" ref="M167">IFERROR(INDEX(UtilityList!$J$4:$J$251,MATCH('Table 2.1a'!$A167&amp;'Table 2.1a'!$B167&amp;'Table 2.1a'!$C167,UtilityList!$A$4:$A$251&amp;UtilityList!$B$4:$B$251&amp;UtilityList!$C$4:$C$251,0)),"")</f>
        <v>Kodiak</v>
      </c>
      <c r="N167" s="369" t="str">
        <f t="array" ref="N167">IFERROR(INDEX(UtilityList!$K$4:$K$251,MATCH('Table 2.1a'!$A167&amp;'Table 2.1a'!$B167&amp;'Table 2.1a'!$C167,UtilityList!$A$4:$A$251&amp;UtilityList!$B$4:$B$251&amp;UtilityList!$C$4:$C$251,0)),"")</f>
        <v>Kodiak Island</v>
      </c>
      <c r="O167" s="369" t="str">
        <f t="array" ref="O167">IFERROR(INDEX(UtilityList!$L$4:$L$251,MATCH('Table 2.1a'!$A167&amp;'Table 2.1a'!$B167&amp;'Table 2.1a'!$C167,UtilityList!$A$4:$A$251&amp;UtilityList!$B$4:$B$251&amp;UtilityList!$C$4:$C$251,0)),"")</f>
        <v>Koniag</v>
      </c>
      <c r="P167" s="369" t="str">
        <f t="array" ref="P167">IFERROR(INDEX(UtilityList!$M$4:$M$251,MATCH('Table 2.1a'!$A167&amp;'Table 2.1a'!$B167&amp;'Table 2.1a'!$C167,UtilityList!$A$4:$A$251&amp;UtilityList!$B$4:$B$251&amp;UtilityList!$C$4:$C$251,0)),"")</f>
        <v>SC</v>
      </c>
    </row>
    <row r="168" spans="1:16" s="344" customFormat="1" x14ac:dyDescent="0.25">
      <c r="A168" s="619" t="s">
        <v>221</v>
      </c>
      <c r="B168" s="361" t="s">
        <v>225</v>
      </c>
      <c r="C168" s="350" t="s">
        <v>222</v>
      </c>
      <c r="D168" s="620">
        <v>22400</v>
      </c>
      <c r="E168" s="621">
        <v>0</v>
      </c>
      <c r="F168" s="621">
        <v>0</v>
      </c>
      <c r="G168" s="621">
        <v>22400</v>
      </c>
      <c r="H168" s="621">
        <v>0</v>
      </c>
      <c r="I168" s="452" t="s">
        <v>1020</v>
      </c>
      <c r="J168" s="622" t="str">
        <f t="array" ref="J168">IFERROR(INDEX(UtilityList!$H$4:$H$251,MATCH('Table 2.1a'!$A168&amp;'Table 2.1a'!$B168&amp;'Table 2.1a'!$C168,UtilityList!$A$4:$A$251&amp;UtilityList!$B$4:$B$251&amp;UtilityList!$C$4:$C$251,0)),"")</f>
        <v>PCE Ineligible</v>
      </c>
      <c r="K168" s="709">
        <f t="array" ref="K168">IFERROR(INDEX(UtilityList!$Q$4:$Q$251,MATCH('Table 2.1a'!$A168&amp;'Table 2.1a'!$B168&amp;'Table 2.1a'!$C168,UtilityList!$A$4:$A$251&amp;UtilityList!$B$4:$B$251&amp;UtilityList!$C$4:$C$251,0)),"")</f>
        <v>0</v>
      </c>
      <c r="L168" s="622" t="str">
        <f t="array" ref="L168">IFERROR(INDEX(UtilityList!$I$4:$I$251,MATCH('Table 2.1a'!$A168&amp;'Table 2.1a'!$B168&amp;'Table 2.1a'!$C168,UtilityList!$A$4:$A$251&amp;UtilityList!$B$4:$B$251&amp;UtilityList!$C$4:$C$251,0)),"")</f>
        <v>KEA</v>
      </c>
      <c r="M168" s="369" t="str">
        <f t="array" ref="M168">IFERROR(INDEX(UtilityList!$J$4:$J$251,MATCH('Table 2.1a'!$A168&amp;'Table 2.1a'!$B168&amp;'Table 2.1a'!$C168,UtilityList!$A$4:$A$251&amp;UtilityList!$B$4:$B$251&amp;UtilityList!$C$4:$C$251,0)),"")</f>
        <v>Kodiak</v>
      </c>
      <c r="N168" s="369" t="str">
        <f t="array" ref="N168">IFERROR(INDEX(UtilityList!$K$4:$K$251,MATCH('Table 2.1a'!$A168&amp;'Table 2.1a'!$B168&amp;'Table 2.1a'!$C168,UtilityList!$A$4:$A$251&amp;UtilityList!$B$4:$B$251&amp;UtilityList!$C$4:$C$251,0)),"")</f>
        <v>Kodiak Island</v>
      </c>
      <c r="O168" s="369" t="str">
        <f t="array" ref="O168">IFERROR(INDEX(UtilityList!$L$4:$L$251,MATCH('Table 2.1a'!$A168&amp;'Table 2.1a'!$B168&amp;'Table 2.1a'!$C168,UtilityList!$A$4:$A$251&amp;UtilityList!$B$4:$B$251&amp;UtilityList!$C$4:$C$251,0)),"")</f>
        <v>Koniag</v>
      </c>
      <c r="P168" s="369" t="str">
        <f t="array" ref="P168">IFERROR(INDEX(UtilityList!$M$4:$M$251,MATCH('Table 2.1a'!$A168&amp;'Table 2.1a'!$B168&amp;'Table 2.1a'!$C168,UtilityList!$A$4:$A$251&amp;UtilityList!$B$4:$B$251&amp;UtilityList!$C$4:$C$251,0)),"")</f>
        <v>SC</v>
      </c>
    </row>
    <row r="169" spans="1:16" s="344" customFormat="1" x14ac:dyDescent="0.25">
      <c r="A169" s="619" t="s">
        <v>227</v>
      </c>
      <c r="B169" s="361" t="s">
        <v>228</v>
      </c>
      <c r="C169" s="350" t="s">
        <v>228</v>
      </c>
      <c r="D169" s="620">
        <v>612</v>
      </c>
      <c r="E169" s="621">
        <v>0</v>
      </c>
      <c r="F169" s="621">
        <v>612</v>
      </c>
      <c r="G169" s="621">
        <v>0</v>
      </c>
      <c r="H169" s="621">
        <v>0</v>
      </c>
      <c r="I169" s="452" t="s">
        <v>1022</v>
      </c>
      <c r="J169" s="622" t="str">
        <f t="array" ref="J169">IFERROR(INDEX(UtilityList!$H$4:$H$251,MATCH('Table 2.1a'!$A169&amp;'Table 2.1a'!$B169&amp;'Table 2.1a'!$C169,UtilityList!$A$4:$A$251&amp;UtilityList!$B$4:$B$251&amp;UtilityList!$C$4:$C$251,0)),"")</f>
        <v>PCE Eligible Active</v>
      </c>
      <c r="K169" s="709">
        <f t="array" ref="K169">IFERROR(INDEX(UtilityList!$Q$4:$Q$251,MATCH('Table 2.1a'!$A169&amp;'Table 2.1a'!$B169&amp;'Table 2.1a'!$C169,UtilityList!$A$4:$A$251&amp;UtilityList!$B$4:$B$251&amp;UtilityList!$C$4:$C$251,0)),"")</f>
        <v>0</v>
      </c>
      <c r="L169" s="622" t="str">
        <f t="array" ref="L169">IFERROR(INDEX(UtilityList!$I$4:$I$251,MATCH('Table 2.1a'!$A169&amp;'Table 2.1a'!$B169&amp;'Table 2.1a'!$C169,UtilityList!$A$4:$A$251&amp;UtilityList!$B$4:$B$251&amp;UtilityList!$C$4:$C$251,0)),"")</f>
        <v>KOKHVC</v>
      </c>
      <c r="M169" s="369" t="str">
        <f t="array" ref="M169">IFERROR(INDEX(UtilityList!$J$4:$J$251,MATCH('Table 2.1a'!$A169&amp;'Table 2.1a'!$B169&amp;'Table 2.1a'!$C169,UtilityList!$A$4:$A$251&amp;UtilityList!$B$4:$B$251&amp;UtilityList!$C$4:$C$251,0)),"")</f>
        <v>Bristol Bay</v>
      </c>
      <c r="N169" s="369" t="str">
        <f t="array" ref="N169">IFERROR(INDEX(UtilityList!$K$4:$K$251,MATCH('Table 2.1a'!$A169&amp;'Table 2.1a'!$B169&amp;'Table 2.1a'!$C169,UtilityList!$A$4:$A$251&amp;UtilityList!$B$4:$B$251&amp;UtilityList!$C$4:$C$251,0)),"")</f>
        <v>Lake and Peninsula</v>
      </c>
      <c r="O169" s="369" t="str">
        <f t="array" ref="O169">IFERROR(INDEX(UtilityList!$L$4:$L$251,MATCH('Table 2.1a'!$A169&amp;'Table 2.1a'!$B169&amp;'Table 2.1a'!$C169,UtilityList!$A$4:$A$251&amp;UtilityList!$B$4:$B$251&amp;UtilityList!$C$4:$C$251,0)),"")</f>
        <v>Bristol Bay</v>
      </c>
      <c r="P169" s="369" t="str">
        <f t="array" ref="P169">IFERROR(INDEX(UtilityList!$M$4:$M$251,MATCH('Table 2.1a'!$A169&amp;'Table 2.1a'!$B169&amp;'Table 2.1a'!$C169,UtilityList!$A$4:$A$251&amp;UtilityList!$B$4:$B$251&amp;UtilityList!$C$4:$C$251,0)),"")</f>
        <v>SW</v>
      </c>
    </row>
    <row r="170" spans="1:16" s="344" customFormat="1" ht="30" x14ac:dyDescent="0.25">
      <c r="A170" s="619" t="s">
        <v>229</v>
      </c>
      <c r="B170" s="361" t="s">
        <v>230</v>
      </c>
      <c r="C170" s="350" t="s">
        <v>230</v>
      </c>
      <c r="D170" s="620">
        <v>14600</v>
      </c>
      <c r="E170" s="621">
        <v>0</v>
      </c>
      <c r="F170" s="621">
        <v>11700</v>
      </c>
      <c r="G170" s="621">
        <v>0</v>
      </c>
      <c r="H170" s="621">
        <v>1140</v>
      </c>
      <c r="I170" s="452" t="s">
        <v>1021</v>
      </c>
      <c r="J170" s="622" t="str">
        <f t="array" ref="J170">IFERROR(INDEX(UtilityList!$H$4:$H$251,MATCH('Table 2.1a'!$A170&amp;'Table 2.1a'!$B170&amp;'Table 2.1a'!$C170,UtilityList!$A$4:$A$251&amp;UtilityList!$B$4:$B$251&amp;UtilityList!$C$4:$C$251,0)),"")</f>
        <v>PCE Eligible Active</v>
      </c>
      <c r="K170" s="709">
        <f t="array" ref="K170">IFERROR(INDEX(UtilityList!$Q$4:$Q$251,MATCH('Table 2.1a'!$A170&amp;'Table 2.1a'!$B170&amp;'Table 2.1a'!$C170,UtilityList!$A$4:$A$251&amp;UtilityList!$B$4:$B$251&amp;UtilityList!$C$4:$C$251,0)),"")</f>
        <v>0</v>
      </c>
      <c r="L170" s="622" t="str">
        <f t="array" ref="L170">IFERROR(INDEX(UtilityList!$I$4:$I$251,MATCH('Table 2.1a'!$A170&amp;'Table 2.1a'!$B170&amp;'Table 2.1a'!$C170,UtilityList!$A$4:$A$251&amp;UtilityList!$B$4:$B$251&amp;UtilityList!$C$4:$C$251,0)),"")</f>
        <v>KOTZEA</v>
      </c>
      <c r="M170" s="369" t="str">
        <f t="array" ref="M170">IFERROR(INDEX(UtilityList!$J$4:$J$251,MATCH('Table 2.1a'!$A170&amp;'Table 2.1a'!$B170&amp;'Table 2.1a'!$C170,UtilityList!$A$4:$A$251&amp;UtilityList!$B$4:$B$251&amp;UtilityList!$C$4:$C$251,0)),"")</f>
        <v>Northwest Arctic</v>
      </c>
      <c r="N170" s="369" t="str">
        <f t="array" ref="N170">IFERROR(INDEX(UtilityList!$K$4:$K$251,MATCH('Table 2.1a'!$A170&amp;'Table 2.1a'!$B170&amp;'Table 2.1a'!$C170,UtilityList!$A$4:$A$251&amp;UtilityList!$B$4:$B$251&amp;UtilityList!$C$4:$C$251,0)),"")</f>
        <v>Northwest Arctic</v>
      </c>
      <c r="O170" s="369" t="str">
        <f t="array" ref="O170">IFERROR(INDEX(UtilityList!$L$4:$L$251,MATCH('Table 2.1a'!$A170&amp;'Table 2.1a'!$B170&amp;'Table 2.1a'!$C170,UtilityList!$A$4:$A$251&amp;UtilityList!$B$4:$B$251&amp;UtilityList!$C$4:$C$251,0)),"")</f>
        <v>NANA</v>
      </c>
      <c r="P170" s="369" t="str">
        <f t="array" ref="P170">IFERROR(INDEX(UtilityList!$M$4:$M$251,MATCH('Table 2.1a'!$A170&amp;'Table 2.1a'!$B170&amp;'Table 2.1a'!$C170,UtilityList!$A$4:$A$251&amp;UtilityList!$B$4:$B$251&amp;UtilityList!$C$4:$C$251,0)),"")</f>
        <v>AN</v>
      </c>
    </row>
    <row r="171" spans="1:16" s="344" customFormat="1" x14ac:dyDescent="0.25">
      <c r="A171" s="619" t="s">
        <v>231</v>
      </c>
      <c r="B171" s="361" t="s">
        <v>232</v>
      </c>
      <c r="C171" s="350" t="s">
        <v>232</v>
      </c>
      <c r="D171" s="620">
        <v>202</v>
      </c>
      <c r="E171" s="621">
        <v>0</v>
      </c>
      <c r="F171" s="621">
        <v>202</v>
      </c>
      <c r="G171" s="621">
        <v>0</v>
      </c>
      <c r="H171" s="621">
        <v>0</v>
      </c>
      <c r="I171" s="452" t="s">
        <v>1022</v>
      </c>
      <c r="J171" s="622" t="str">
        <f t="array" ref="J171">IFERROR(INDEX(UtilityList!$H$4:$H$251,MATCH('Table 2.1a'!$A171&amp;'Table 2.1a'!$B171&amp;'Table 2.1a'!$C171,UtilityList!$A$4:$A$251&amp;UtilityList!$B$4:$B$251&amp;UtilityList!$C$4:$C$251,0)),"")</f>
        <v>PCE Eligible Active</v>
      </c>
      <c r="K171" s="709">
        <f t="array" ref="K171">IFERROR(INDEX(UtilityList!$Q$4:$Q$251,MATCH('Table 2.1a'!$A171&amp;'Table 2.1a'!$B171&amp;'Table 2.1a'!$C171,UtilityList!$A$4:$A$251&amp;UtilityList!$B$4:$B$251&amp;UtilityList!$C$4:$C$251,0)),"")</f>
        <v>0</v>
      </c>
      <c r="L171" s="622" t="str">
        <f t="array" ref="L171">IFERROR(INDEX(UtilityList!$I$4:$I$251,MATCH('Table 2.1a'!$A171&amp;'Table 2.1a'!$B171&amp;'Table 2.1a'!$C171,UtilityList!$A$4:$A$251&amp;UtilityList!$B$4:$B$251&amp;UtilityList!$C$4:$C$251,0)),"")</f>
        <v>KOYU</v>
      </c>
      <c r="M171" s="369" t="str">
        <f t="array" ref="M171">IFERROR(INDEX(UtilityList!$J$4:$J$251,MATCH('Table 2.1a'!$A171&amp;'Table 2.1a'!$B171&amp;'Table 2.1a'!$C171,UtilityList!$A$4:$A$251&amp;UtilityList!$B$4:$B$251&amp;UtilityList!$C$4:$C$251,0)),"")</f>
        <v>Yukon-Koyukuk/Upper Tanana</v>
      </c>
      <c r="N171" s="369" t="str">
        <f t="array" ref="N171">IFERROR(INDEX(UtilityList!$K$4:$K$251,MATCH('Table 2.1a'!$A171&amp;'Table 2.1a'!$B171&amp;'Table 2.1a'!$C171,UtilityList!$A$4:$A$251&amp;UtilityList!$B$4:$B$251&amp;UtilityList!$C$4:$C$251,0)),"")</f>
        <v>Yukon-Koyukuk (CA)</v>
      </c>
      <c r="O171" s="369" t="str">
        <f t="array" ref="O171">IFERROR(INDEX(UtilityList!$L$4:$L$251,MATCH('Table 2.1a'!$A171&amp;'Table 2.1a'!$B171&amp;'Table 2.1a'!$C171,UtilityList!$A$4:$A$251&amp;UtilityList!$B$4:$B$251&amp;UtilityList!$C$4:$C$251,0)),"")</f>
        <v>Doyon</v>
      </c>
      <c r="P171" s="369" t="str">
        <f t="array" ref="P171">IFERROR(INDEX(UtilityList!$M$4:$M$251,MATCH('Table 2.1a'!$A171&amp;'Table 2.1a'!$B171&amp;'Table 2.1a'!$C171,UtilityList!$A$4:$A$251&amp;UtilityList!$B$4:$B$251&amp;UtilityList!$C$4:$C$251,0)),"")</f>
        <v>YU</v>
      </c>
    </row>
    <row r="172" spans="1:16" s="344" customFormat="1" x14ac:dyDescent="0.25">
      <c r="A172" s="619" t="s">
        <v>233</v>
      </c>
      <c r="B172" s="361" t="s">
        <v>234</v>
      </c>
      <c r="C172" s="350" t="s">
        <v>234</v>
      </c>
      <c r="D172" s="620">
        <v>1300</v>
      </c>
      <c r="E172" s="621">
        <v>0</v>
      </c>
      <c r="F172" s="621">
        <v>1300</v>
      </c>
      <c r="G172" s="621">
        <v>0</v>
      </c>
      <c r="H172" s="621">
        <v>0</v>
      </c>
      <c r="I172" s="452" t="s">
        <v>1022</v>
      </c>
      <c r="J172" s="622" t="str">
        <f t="array" ref="J172">IFERROR(INDEX(UtilityList!$H$4:$H$251,MATCH('Table 2.1a'!$A172&amp;'Table 2.1a'!$B172&amp;'Table 2.1a'!$C172,UtilityList!$A$4:$A$251&amp;UtilityList!$B$4:$B$251&amp;UtilityList!$C$4:$C$251,0)),"")</f>
        <v>PCE Eligible Active</v>
      </c>
      <c r="K172" s="709">
        <f t="array" ref="K172">IFERROR(INDEX(UtilityList!$Q$4:$Q$251,MATCH('Table 2.1a'!$A172&amp;'Table 2.1a'!$B172&amp;'Table 2.1a'!$C172,UtilityList!$A$4:$A$251&amp;UtilityList!$B$4:$B$251&amp;UtilityList!$C$4:$C$251,0)),"")</f>
        <v>0</v>
      </c>
      <c r="L172" s="622" t="str">
        <f t="array" ref="L172">IFERROR(INDEX(UtilityList!$I$4:$I$251,MATCH('Table 2.1a'!$A172&amp;'Table 2.1a'!$B172&amp;'Table 2.1a'!$C172,UtilityList!$A$4:$A$251&amp;UtilityList!$B$4:$B$251&amp;UtilityList!$C$4:$C$251,0)),"")</f>
        <v>KWET</v>
      </c>
      <c r="M172" s="369" t="str">
        <f t="array" ref="M172">IFERROR(INDEX(UtilityList!$J$4:$J$251,MATCH('Table 2.1a'!$A172&amp;'Table 2.1a'!$B172&amp;'Table 2.1a'!$C172,UtilityList!$A$4:$A$251&amp;UtilityList!$B$4:$B$251&amp;UtilityList!$C$4:$C$251,0)),"")</f>
        <v>Lower Yukon-Kuskokwim</v>
      </c>
      <c r="N172" s="369" t="str">
        <f t="array" ref="N172">IFERROR(INDEX(UtilityList!$K$4:$K$251,MATCH('Table 2.1a'!$A172&amp;'Table 2.1a'!$B172&amp;'Table 2.1a'!$C172,UtilityList!$A$4:$A$251&amp;UtilityList!$B$4:$B$251&amp;UtilityList!$C$4:$C$251,0)),"")</f>
        <v>Bethel (CA)</v>
      </c>
      <c r="O172" s="369" t="str">
        <f t="array" ref="O172">IFERROR(INDEX(UtilityList!$L$4:$L$251,MATCH('Table 2.1a'!$A172&amp;'Table 2.1a'!$B172&amp;'Table 2.1a'!$C172,UtilityList!$A$4:$A$251&amp;UtilityList!$B$4:$B$251&amp;UtilityList!$C$4:$C$251,0)),"")</f>
        <v>Calista</v>
      </c>
      <c r="P172" s="369" t="str">
        <f t="array" ref="P172">IFERROR(INDEX(UtilityList!$M$4:$M$251,MATCH('Table 2.1a'!$A172&amp;'Table 2.1a'!$B172&amp;'Table 2.1a'!$C172,UtilityList!$A$4:$A$251&amp;UtilityList!$B$4:$B$251&amp;UtilityList!$C$4:$C$251,0)),"")</f>
        <v>SW</v>
      </c>
    </row>
    <row r="173" spans="1:16" s="344" customFormat="1" x14ac:dyDescent="0.25">
      <c r="A173" s="619" t="s">
        <v>641</v>
      </c>
      <c r="B173" s="361" t="s">
        <v>235</v>
      </c>
      <c r="C173" s="350" t="s">
        <v>235</v>
      </c>
      <c r="D173" s="620">
        <v>723</v>
      </c>
      <c r="E173" s="621">
        <v>0</v>
      </c>
      <c r="F173" s="621">
        <v>723</v>
      </c>
      <c r="G173" s="621">
        <v>0</v>
      </c>
      <c r="H173" s="621">
        <v>0</v>
      </c>
      <c r="I173" s="452" t="s">
        <v>1022</v>
      </c>
      <c r="J173" s="622" t="str">
        <f t="array" ref="J173">IFERROR(INDEX(UtilityList!$H$4:$H$251,MATCH('Table 2.1a'!$A173&amp;'Table 2.1a'!$B173&amp;'Table 2.1a'!$C173,UtilityList!$A$4:$A$251&amp;UtilityList!$B$4:$B$251&amp;UtilityList!$C$4:$C$251,0)),"")</f>
        <v>PCE Eligible Active</v>
      </c>
      <c r="K173" s="709">
        <f t="array" ref="K173">IFERROR(INDEX(UtilityList!$Q$4:$Q$251,MATCH('Table 2.1a'!$A173&amp;'Table 2.1a'!$B173&amp;'Table 2.1a'!$C173,UtilityList!$A$4:$A$251&amp;UtilityList!$B$4:$B$251&amp;UtilityList!$C$4:$C$251,0)),"")</f>
        <v>0</v>
      </c>
      <c r="L173" s="622" t="str">
        <f t="array" ref="L173">IFERROR(INDEX(UtilityList!$I$4:$I$251,MATCH('Table 2.1a'!$A173&amp;'Table 2.1a'!$B173&amp;'Table 2.1a'!$C173,UtilityList!$A$4:$A$251&amp;UtilityList!$B$4:$B$251&amp;UtilityList!$C$4:$C$251,0)),"")</f>
        <v>KWIGPC</v>
      </c>
      <c r="M173" s="369" t="str">
        <f t="array" ref="M173">IFERROR(INDEX(UtilityList!$J$4:$J$251,MATCH('Table 2.1a'!$A173&amp;'Table 2.1a'!$B173&amp;'Table 2.1a'!$C173,UtilityList!$A$4:$A$251&amp;UtilityList!$B$4:$B$251&amp;UtilityList!$C$4:$C$251,0)),"")</f>
        <v>Lower Yukon-Kuskokwim</v>
      </c>
      <c r="N173" s="369" t="str">
        <f t="array" ref="N173">IFERROR(INDEX(UtilityList!$K$4:$K$251,MATCH('Table 2.1a'!$A173&amp;'Table 2.1a'!$B173&amp;'Table 2.1a'!$C173,UtilityList!$A$4:$A$251&amp;UtilityList!$B$4:$B$251&amp;UtilityList!$C$4:$C$251,0)),"")</f>
        <v>Bethel (CA)</v>
      </c>
      <c r="O173" s="369" t="str">
        <f t="array" ref="O173">IFERROR(INDEX(UtilityList!$L$4:$L$251,MATCH('Table 2.1a'!$A173&amp;'Table 2.1a'!$B173&amp;'Table 2.1a'!$C173,UtilityList!$A$4:$A$251&amp;UtilityList!$B$4:$B$251&amp;UtilityList!$C$4:$C$251,0)),"")</f>
        <v>Calista</v>
      </c>
      <c r="P173" s="369" t="str">
        <f t="array" ref="P173">IFERROR(INDEX(UtilityList!$M$4:$M$251,MATCH('Table 2.1a'!$A173&amp;'Table 2.1a'!$B173&amp;'Table 2.1a'!$C173,UtilityList!$A$4:$A$251&amp;UtilityList!$B$4:$B$251&amp;UtilityList!$C$4:$C$251,0)),"")</f>
        <v>SW</v>
      </c>
    </row>
    <row r="174" spans="1:16" s="344" customFormat="1" ht="30" x14ac:dyDescent="0.25">
      <c r="A174" s="619" t="s">
        <v>236</v>
      </c>
      <c r="B174" s="339" t="s">
        <v>237</v>
      </c>
      <c r="C174" s="623" t="s">
        <v>237</v>
      </c>
      <c r="D174" s="620">
        <v>475</v>
      </c>
      <c r="E174" s="621">
        <v>0</v>
      </c>
      <c r="F174" s="621">
        <v>0</v>
      </c>
      <c r="G174" s="735">
        <v>475</v>
      </c>
      <c r="H174" s="621">
        <v>0</v>
      </c>
      <c r="I174" s="452" t="s">
        <v>1018</v>
      </c>
      <c r="J174" s="622" t="str">
        <f t="array" ref="J174">IFERROR(INDEX(UtilityList!$H$4:$H$251,MATCH('Table 2.1a'!$A174&amp;'Table 2.1a'!$B174&amp;'Table 2.1a'!$C174,UtilityList!$A$4:$A$251&amp;UtilityList!$B$4:$B$251&amp;UtilityList!$C$4:$C$251,0)),"")</f>
        <v>PCE Eligible Active</v>
      </c>
      <c r="K174" s="709">
        <f t="array" ref="K174">IFERROR(INDEX(UtilityList!$Q$4:$Q$251,MATCH('Table 2.1a'!$A174&amp;'Table 2.1a'!$B174&amp;'Table 2.1a'!$C174,UtilityList!$A$4:$A$251&amp;UtilityList!$B$4:$B$251&amp;UtilityList!$C$4:$C$251,0)),"")</f>
        <v>0</v>
      </c>
      <c r="L174" s="622" t="str">
        <f t="array" ref="L174">IFERROR(INDEX(UtilityList!$I$4:$I$251,MATCH('Table 2.1a'!$A174&amp;'Table 2.1a'!$B174&amp;'Table 2.1a'!$C174,UtilityList!$A$4:$A$251&amp;UtilityList!$B$4:$B$251&amp;UtilityList!$C$4:$C$251,0)),"")</f>
        <v>LARSBUC</v>
      </c>
      <c r="M174" s="369" t="str">
        <f t="array" ref="M174">IFERROR(INDEX(UtilityList!$J$4:$J$251,MATCH('Table 2.1a'!$A174&amp;'Table 2.1a'!$B174&amp;'Table 2.1a'!$C174,UtilityList!$A$4:$A$251&amp;UtilityList!$B$4:$B$251&amp;UtilityList!$C$4:$C$251,0)),"")</f>
        <v>Kodiak</v>
      </c>
      <c r="N174" s="369" t="str">
        <f t="array" ref="N174">IFERROR(INDEX(UtilityList!$K$4:$K$251,MATCH('Table 2.1a'!$A174&amp;'Table 2.1a'!$B174&amp;'Table 2.1a'!$C174,UtilityList!$A$4:$A$251&amp;UtilityList!$B$4:$B$251&amp;UtilityList!$C$4:$C$251,0)),"")</f>
        <v>Kodiak Island</v>
      </c>
      <c r="O174" s="369" t="str">
        <f t="array" ref="O174">IFERROR(INDEX(UtilityList!$L$4:$L$251,MATCH('Table 2.1a'!$A174&amp;'Table 2.1a'!$B174&amp;'Table 2.1a'!$C174,UtilityList!$A$4:$A$251&amp;UtilityList!$B$4:$B$251&amp;UtilityList!$C$4:$C$251,0)),"")</f>
        <v>Koniag</v>
      </c>
      <c r="P174" s="369" t="str">
        <f t="array" ref="P174">IFERROR(INDEX(UtilityList!$M$4:$M$251,MATCH('Table 2.1a'!$A174&amp;'Table 2.1a'!$B174&amp;'Table 2.1a'!$C174,UtilityList!$A$4:$A$251&amp;UtilityList!$B$4:$B$251&amp;UtilityList!$C$4:$C$251,0)),"")</f>
        <v>SC</v>
      </c>
    </row>
    <row r="175" spans="1:16" s="344" customFormat="1" x14ac:dyDescent="0.25">
      <c r="A175" s="619" t="s">
        <v>236</v>
      </c>
      <c r="B175" s="361" t="s">
        <v>237</v>
      </c>
      <c r="C175" s="350" t="s">
        <v>237</v>
      </c>
      <c r="D175" s="620">
        <v>393</v>
      </c>
      <c r="E175" s="621">
        <v>0</v>
      </c>
      <c r="F175" s="621">
        <v>393</v>
      </c>
      <c r="G175" s="621">
        <v>0</v>
      </c>
      <c r="H175" s="621">
        <v>0</v>
      </c>
      <c r="I175" s="452" t="s">
        <v>1022</v>
      </c>
      <c r="J175" s="622" t="str">
        <f t="array" ref="J175">IFERROR(INDEX(UtilityList!$H$4:$H$251,MATCH('Table 2.1a'!$A175&amp;'Table 2.1a'!$B175&amp;'Table 2.1a'!$C175,UtilityList!$A$4:$A$251&amp;UtilityList!$B$4:$B$251&amp;UtilityList!$C$4:$C$251,0)),"")</f>
        <v>PCE Eligible Active</v>
      </c>
      <c r="K175" s="709">
        <f t="array" ref="K175">IFERROR(INDEX(UtilityList!$Q$4:$Q$251,MATCH('Table 2.1a'!$A175&amp;'Table 2.1a'!$B175&amp;'Table 2.1a'!$C175,UtilityList!$A$4:$A$251&amp;UtilityList!$B$4:$B$251&amp;UtilityList!$C$4:$C$251,0)),"")</f>
        <v>0</v>
      </c>
      <c r="L175" s="622" t="str">
        <f t="array" ref="L175">IFERROR(INDEX(UtilityList!$I$4:$I$251,MATCH('Table 2.1a'!$A175&amp;'Table 2.1a'!$B175&amp;'Table 2.1a'!$C175,UtilityList!$A$4:$A$251&amp;UtilityList!$B$4:$B$251&amp;UtilityList!$C$4:$C$251,0)),"")</f>
        <v>LARSBUC</v>
      </c>
      <c r="M175" s="369" t="str">
        <f t="array" ref="M175">IFERROR(INDEX(UtilityList!$J$4:$J$251,MATCH('Table 2.1a'!$A175&amp;'Table 2.1a'!$B175&amp;'Table 2.1a'!$C175,UtilityList!$A$4:$A$251&amp;UtilityList!$B$4:$B$251&amp;UtilityList!$C$4:$C$251,0)),"")</f>
        <v>Kodiak</v>
      </c>
      <c r="N175" s="369" t="str">
        <f t="array" ref="N175">IFERROR(INDEX(UtilityList!$K$4:$K$251,MATCH('Table 2.1a'!$A175&amp;'Table 2.1a'!$B175&amp;'Table 2.1a'!$C175,UtilityList!$A$4:$A$251&amp;UtilityList!$B$4:$B$251&amp;UtilityList!$C$4:$C$251,0)),"")</f>
        <v>Kodiak Island</v>
      </c>
      <c r="O175" s="369" t="str">
        <f t="array" ref="O175">IFERROR(INDEX(UtilityList!$L$4:$L$251,MATCH('Table 2.1a'!$A175&amp;'Table 2.1a'!$B175&amp;'Table 2.1a'!$C175,UtilityList!$A$4:$A$251&amp;UtilityList!$B$4:$B$251&amp;UtilityList!$C$4:$C$251,0)),"")</f>
        <v>Koniag</v>
      </c>
      <c r="P175" s="369" t="str">
        <f t="array" ref="P175">IFERROR(INDEX(UtilityList!$M$4:$M$251,MATCH('Table 2.1a'!$A175&amp;'Table 2.1a'!$B175&amp;'Table 2.1a'!$C175,UtilityList!$A$4:$A$251&amp;UtilityList!$B$4:$B$251&amp;UtilityList!$C$4:$C$251,0)),"")</f>
        <v>SC</v>
      </c>
    </row>
    <row r="176" spans="1:16" s="344" customFormat="1" x14ac:dyDescent="0.25">
      <c r="A176" s="619" t="s">
        <v>238</v>
      </c>
      <c r="B176" s="361" t="s">
        <v>239</v>
      </c>
      <c r="C176" s="350" t="s">
        <v>239</v>
      </c>
      <c r="D176" s="620">
        <v>234</v>
      </c>
      <c r="E176" s="621">
        <v>0</v>
      </c>
      <c r="F176" s="621">
        <v>234</v>
      </c>
      <c r="G176" s="621">
        <v>0</v>
      </c>
      <c r="H176" s="621">
        <v>0</v>
      </c>
      <c r="I176" s="452" t="s">
        <v>1022</v>
      </c>
      <c r="J176" s="622" t="str">
        <f t="array" ref="J176">IFERROR(INDEX(UtilityList!$H$4:$H$251,MATCH('Table 2.1a'!$A176&amp;'Table 2.1a'!$B176&amp;'Table 2.1a'!$C176,UtilityList!$A$4:$A$251&amp;UtilityList!$B$4:$B$251&amp;UtilityList!$C$4:$C$251,0)),"")</f>
        <v>PCE Eligible Active</v>
      </c>
      <c r="K176" s="709">
        <f t="array" ref="K176">IFERROR(INDEX(UtilityList!$Q$4:$Q$251,MATCH('Table 2.1a'!$A176&amp;'Table 2.1a'!$B176&amp;'Table 2.1a'!$C176,UtilityList!$A$4:$A$251&amp;UtilityList!$B$4:$B$251&amp;UtilityList!$C$4:$C$251,0)),"")</f>
        <v>0</v>
      </c>
      <c r="L176" s="622" t="str">
        <f t="array" ref="L176">IFERROR(INDEX(UtilityList!$I$4:$I$251,MATCH('Table 2.1a'!$A176&amp;'Table 2.1a'!$B176&amp;'Table 2.1a'!$C176,UtilityList!$A$4:$A$251&amp;UtilityList!$B$4:$B$251&amp;UtilityList!$C$4:$C$251,0)),"")</f>
        <v>LEVEEC</v>
      </c>
      <c r="M176" s="369" t="str">
        <f t="array" ref="M176">IFERROR(INDEX(UtilityList!$J$4:$J$251,MATCH('Table 2.1a'!$A176&amp;'Table 2.1a'!$B176&amp;'Table 2.1a'!$C176,UtilityList!$A$4:$A$251&amp;UtilityList!$B$4:$B$251&amp;UtilityList!$C$4:$C$251,0)),"")</f>
        <v>Bristol Bay</v>
      </c>
      <c r="N176" s="369" t="str">
        <f t="array" ref="N176">IFERROR(INDEX(UtilityList!$K$4:$K$251,MATCH('Table 2.1a'!$A176&amp;'Table 2.1a'!$B176&amp;'Table 2.1a'!$C176,UtilityList!$A$4:$A$251&amp;UtilityList!$B$4:$B$251&amp;UtilityList!$C$4:$C$251,0)),"")</f>
        <v>Lake and Peninsula</v>
      </c>
      <c r="O176" s="369" t="str">
        <f t="array" ref="O176">IFERROR(INDEX(UtilityList!$L$4:$L$251,MATCH('Table 2.1a'!$A176&amp;'Table 2.1a'!$B176&amp;'Table 2.1a'!$C176,UtilityList!$A$4:$A$251&amp;UtilityList!$B$4:$B$251&amp;UtilityList!$C$4:$C$251,0)),"")</f>
        <v>Bristol Bay</v>
      </c>
      <c r="P176" s="369" t="str">
        <f t="array" ref="P176">IFERROR(INDEX(UtilityList!$M$4:$M$251,MATCH('Table 2.1a'!$A176&amp;'Table 2.1a'!$B176&amp;'Table 2.1a'!$C176,UtilityList!$A$4:$A$251&amp;UtilityList!$B$4:$B$251&amp;UtilityList!$C$4:$C$251,0)),"")</f>
        <v>SW</v>
      </c>
    </row>
    <row r="177" spans="1:16" s="344" customFormat="1" x14ac:dyDescent="0.25">
      <c r="A177" s="619" t="s">
        <v>242</v>
      </c>
      <c r="B177" s="361" t="s">
        <v>243</v>
      </c>
      <c r="C177" s="350" t="s">
        <v>243</v>
      </c>
      <c r="D177" s="620">
        <v>730</v>
      </c>
      <c r="E177" s="621">
        <v>0</v>
      </c>
      <c r="F177" s="621">
        <v>730</v>
      </c>
      <c r="G177" s="621">
        <v>0</v>
      </c>
      <c r="H177" s="621">
        <v>0</v>
      </c>
      <c r="I177" s="452" t="s">
        <v>1022</v>
      </c>
      <c r="J177" s="622" t="str">
        <f t="array" ref="J177">IFERROR(INDEX(UtilityList!$H$4:$H$251,MATCH('Table 2.1a'!$A177&amp;'Table 2.1a'!$B177&amp;'Table 2.1a'!$C177,UtilityList!$A$4:$A$251&amp;UtilityList!$B$4:$B$251&amp;UtilityList!$C$4:$C$251,0)),"")</f>
        <v>PCE Eligible Active</v>
      </c>
      <c r="K177" s="709">
        <f t="array" ref="K177">IFERROR(INDEX(UtilityList!$Q$4:$Q$251,MATCH('Table 2.1a'!$A177&amp;'Table 2.1a'!$B177&amp;'Table 2.1a'!$C177,UtilityList!$A$4:$A$251&amp;UtilityList!$B$4:$B$251&amp;UtilityList!$C$4:$C$251,0)),"")</f>
        <v>0</v>
      </c>
      <c r="L177" s="622" t="str">
        <f t="array" ref="L177">IFERROR(INDEX(UtilityList!$I$4:$I$251,MATCH('Table 2.1a'!$A177&amp;'Table 2.1a'!$B177&amp;'Table 2.1a'!$C177,UtilityList!$A$4:$A$251&amp;UtilityList!$B$4:$B$251&amp;UtilityList!$C$4:$C$251,0)),"")</f>
        <v>MANOPC</v>
      </c>
      <c r="M177" s="369" t="str">
        <f t="array" ref="M177">IFERROR(INDEX(UtilityList!$J$4:$J$251,MATCH('Table 2.1a'!$A177&amp;'Table 2.1a'!$B177&amp;'Table 2.1a'!$C177,UtilityList!$A$4:$A$251&amp;UtilityList!$B$4:$B$251&amp;UtilityList!$C$4:$C$251,0)),"")</f>
        <v>Bristol Bay</v>
      </c>
      <c r="N177" s="369" t="str">
        <f t="array" ref="N177">IFERROR(INDEX(UtilityList!$K$4:$K$251,MATCH('Table 2.1a'!$A177&amp;'Table 2.1a'!$B177&amp;'Table 2.1a'!$C177,UtilityList!$A$4:$A$251&amp;UtilityList!$B$4:$B$251&amp;UtilityList!$C$4:$C$251,0)),"")</f>
        <v>Dillingham (CA)</v>
      </c>
      <c r="O177" s="369" t="str">
        <f t="array" ref="O177">IFERROR(INDEX(UtilityList!$L$4:$L$251,MATCH('Table 2.1a'!$A177&amp;'Table 2.1a'!$B177&amp;'Table 2.1a'!$C177,UtilityList!$A$4:$A$251&amp;UtilityList!$B$4:$B$251&amp;UtilityList!$C$4:$C$251,0)),"")</f>
        <v>Bristol Bay</v>
      </c>
      <c r="P177" s="369" t="str">
        <f t="array" ref="P177">IFERROR(INDEX(UtilityList!$M$4:$M$251,MATCH('Table 2.1a'!$A177&amp;'Table 2.1a'!$B177&amp;'Table 2.1a'!$C177,UtilityList!$A$4:$A$251&amp;UtilityList!$B$4:$B$251&amp;UtilityList!$C$4:$C$251,0)),"")</f>
        <v>SW</v>
      </c>
    </row>
    <row r="178" spans="1:16" s="344" customFormat="1" x14ac:dyDescent="0.25">
      <c r="A178" s="619" t="s">
        <v>509</v>
      </c>
      <c r="B178" s="361" t="s">
        <v>244</v>
      </c>
      <c r="C178" s="350" t="s">
        <v>244</v>
      </c>
      <c r="D178" s="620">
        <v>2200</v>
      </c>
      <c r="E178" s="621">
        <v>0</v>
      </c>
      <c r="F178" s="621">
        <v>2200</v>
      </c>
      <c r="G178" s="621">
        <v>0</v>
      </c>
      <c r="H178" s="621">
        <v>0</v>
      </c>
      <c r="I178" s="452" t="s">
        <v>1020</v>
      </c>
      <c r="J178" s="622" t="str">
        <f t="array" ref="J178">IFERROR(INDEX(UtilityList!$H$4:$H$251,MATCH('Table 2.1a'!$A178&amp;'Table 2.1a'!$B178&amp;'Table 2.1a'!$C178,UtilityList!$A$4:$A$251&amp;UtilityList!$B$4:$B$251&amp;UtilityList!$C$4:$C$251,0)),"")</f>
        <v>PCE Eligible Active</v>
      </c>
      <c r="K178" s="709">
        <f t="array" ref="K178">IFERROR(INDEX(UtilityList!$Q$4:$Q$251,MATCH('Table 2.1a'!$A178&amp;'Table 2.1a'!$B178&amp;'Table 2.1a'!$C178,UtilityList!$A$4:$A$251&amp;UtilityList!$B$4:$B$251&amp;UtilityList!$C$4:$C$251,0)),"")</f>
        <v>0</v>
      </c>
      <c r="L178" s="622" t="str">
        <f t="array" ref="L178">IFERROR(INDEX(UtilityList!$I$4:$I$251,MATCH('Table 2.1a'!$A178&amp;'Table 2.1a'!$B178&amp;'Table 2.1a'!$C178,UtilityList!$A$4:$A$251&amp;UtilityList!$B$4:$B$251&amp;UtilityList!$C$4:$C$251,0)),"")</f>
        <v>MCGRLP</v>
      </c>
      <c r="M178" s="369" t="str">
        <f t="array" ref="M178">IFERROR(INDEX(UtilityList!$J$4:$J$251,MATCH('Table 2.1a'!$A178&amp;'Table 2.1a'!$B178&amp;'Table 2.1a'!$C178,UtilityList!$A$4:$A$251&amp;UtilityList!$B$4:$B$251&amp;UtilityList!$C$4:$C$251,0)),"")</f>
        <v>Yukon-Koyukuk/Upper Tanana</v>
      </c>
      <c r="N178" s="369" t="str">
        <f t="array" ref="N178">IFERROR(INDEX(UtilityList!$K$4:$K$251,MATCH('Table 2.1a'!$A178&amp;'Table 2.1a'!$B178&amp;'Table 2.1a'!$C178,UtilityList!$A$4:$A$251&amp;UtilityList!$B$4:$B$251&amp;UtilityList!$C$4:$C$251,0)),"")</f>
        <v>Yukon-Koyukuk (CA)</v>
      </c>
      <c r="O178" s="369" t="str">
        <f t="array" ref="O178">IFERROR(INDEX(UtilityList!$L$4:$L$251,MATCH('Table 2.1a'!$A178&amp;'Table 2.1a'!$B178&amp;'Table 2.1a'!$C178,UtilityList!$A$4:$A$251&amp;UtilityList!$B$4:$B$251&amp;UtilityList!$C$4:$C$251,0)),"")</f>
        <v>Doyon</v>
      </c>
      <c r="P178" s="369" t="str">
        <f t="array" ref="P178">IFERROR(INDEX(UtilityList!$M$4:$M$251,MATCH('Table 2.1a'!$A178&amp;'Table 2.1a'!$B178&amp;'Table 2.1a'!$C178,UtilityList!$A$4:$A$251&amp;UtilityList!$B$4:$B$251&amp;UtilityList!$C$4:$C$251,0)),"")</f>
        <v>SW</v>
      </c>
    </row>
    <row r="179" spans="1:16" s="344" customFormat="1" ht="30" x14ac:dyDescent="0.25">
      <c r="A179" s="619" t="s">
        <v>245</v>
      </c>
      <c r="B179" s="361" t="s">
        <v>246</v>
      </c>
      <c r="C179" s="350" t="s">
        <v>247</v>
      </c>
      <c r="D179" s="620">
        <v>3300</v>
      </c>
      <c r="E179" s="621">
        <v>0</v>
      </c>
      <c r="F179" s="621">
        <v>3300</v>
      </c>
      <c r="G179" s="621">
        <v>0</v>
      </c>
      <c r="H179" s="621">
        <v>0</v>
      </c>
      <c r="I179" s="452" t="s">
        <v>1020</v>
      </c>
      <c r="J179" s="622" t="str">
        <f t="array" ref="J179">IFERROR(INDEX(UtilityList!$H$4:$H$251,MATCH('Table 2.1a'!$A179&amp;'Table 2.1a'!$B179&amp;'Table 2.1a'!$C179,UtilityList!$A$4:$A$251&amp;UtilityList!$B$4:$B$251&amp;UtilityList!$C$4:$C$251,0)),"")</f>
        <v>PCE Ineligible</v>
      </c>
      <c r="K179" s="709">
        <f t="array" ref="K179">IFERROR(INDEX(UtilityList!$Q$4:$Q$251,MATCH('Table 2.1a'!$A179&amp;'Table 2.1a'!$B179&amp;'Table 2.1a'!$C179,UtilityList!$A$4:$A$251&amp;UtilityList!$B$4:$B$251&amp;UtilityList!$C$4:$C$251,0)),"")</f>
        <v>0</v>
      </c>
      <c r="L179" s="622" t="str">
        <f t="array" ref="L179">IFERROR(INDEX(UtilityList!$I$4:$I$251,MATCH('Table 2.1a'!$A179&amp;'Table 2.1a'!$B179&amp;'Table 2.1a'!$C179,UtilityList!$A$4:$A$251&amp;UtilityList!$B$4:$B$251&amp;UtilityList!$C$4:$C$251,0)),"")</f>
        <v>MP&amp;L</v>
      </c>
      <c r="M179" s="369" t="str">
        <f t="array" ref="M179">IFERROR(INDEX(UtilityList!$J$4:$J$251,MATCH('Table 2.1a'!$A179&amp;'Table 2.1a'!$B179&amp;'Table 2.1a'!$C179,UtilityList!$A$4:$A$251&amp;UtilityList!$B$4:$B$251&amp;UtilityList!$C$4:$C$251,0)),"")</f>
        <v>Southeast</v>
      </c>
      <c r="N179" s="369" t="str">
        <f t="array" ref="N179">IFERROR(INDEX(UtilityList!$K$4:$K$251,MATCH('Table 2.1a'!$A179&amp;'Table 2.1a'!$B179&amp;'Table 2.1a'!$C179,UtilityList!$A$4:$A$251&amp;UtilityList!$B$4:$B$251&amp;UtilityList!$C$4:$C$251,0)),"")</f>
        <v>Prince of Wales-Hyder (CA)</v>
      </c>
      <c r="O179" s="369" t="str">
        <f t="array" ref="O179">IFERROR(INDEX(UtilityList!$L$4:$L$251,MATCH('Table 2.1a'!$A179&amp;'Table 2.1a'!$B179&amp;'Table 2.1a'!$C179,UtilityList!$A$4:$A$251&amp;UtilityList!$B$4:$B$251&amp;UtilityList!$C$4:$C$251,0)),"")</f>
        <v>Sealaska</v>
      </c>
      <c r="P179" s="369" t="str">
        <f t="array" ref="P179">IFERROR(INDEX(UtilityList!$M$4:$M$251,MATCH('Table 2.1a'!$A179&amp;'Table 2.1a'!$B179&amp;'Table 2.1a'!$C179,UtilityList!$A$4:$A$251&amp;UtilityList!$B$4:$B$251&amp;UtilityList!$C$4:$C$251,0)),"")</f>
        <v>SE</v>
      </c>
    </row>
    <row r="180" spans="1:16" s="344" customFormat="1" ht="30" x14ac:dyDescent="0.25">
      <c r="A180" s="619" t="s">
        <v>245</v>
      </c>
      <c r="B180" s="361" t="s">
        <v>248</v>
      </c>
      <c r="C180" s="350" t="s">
        <v>247</v>
      </c>
      <c r="D180" s="620">
        <v>1000</v>
      </c>
      <c r="E180" s="621">
        <v>0</v>
      </c>
      <c r="F180" s="621">
        <v>0</v>
      </c>
      <c r="G180" s="621">
        <v>1000</v>
      </c>
      <c r="H180" s="621">
        <v>0</v>
      </c>
      <c r="I180" s="452" t="s">
        <v>1020</v>
      </c>
      <c r="J180" s="622" t="str">
        <f t="array" ref="J180">IFERROR(INDEX(UtilityList!$H$4:$H$251,MATCH('Table 2.1a'!$A180&amp;'Table 2.1a'!$B180&amp;'Table 2.1a'!$C180,UtilityList!$A$4:$A$251&amp;UtilityList!$B$4:$B$251&amp;UtilityList!$C$4:$C$251,0)),"")</f>
        <v>PCE Ineligible</v>
      </c>
      <c r="K180" s="709">
        <f t="array" ref="K180">IFERROR(INDEX(UtilityList!$Q$4:$Q$251,MATCH('Table 2.1a'!$A180&amp;'Table 2.1a'!$B180&amp;'Table 2.1a'!$C180,UtilityList!$A$4:$A$251&amp;UtilityList!$B$4:$B$251&amp;UtilityList!$C$4:$C$251,0)),"")</f>
        <v>0</v>
      </c>
      <c r="L180" s="622" t="str">
        <f t="array" ref="L180">IFERROR(INDEX(UtilityList!$I$4:$I$251,MATCH('Table 2.1a'!$A180&amp;'Table 2.1a'!$B180&amp;'Table 2.1a'!$C180,UtilityList!$A$4:$A$251&amp;UtilityList!$B$4:$B$251&amp;UtilityList!$C$4:$C$251,0)),"")</f>
        <v>MP&amp;L</v>
      </c>
      <c r="M180" s="369" t="str">
        <f t="array" ref="M180">IFERROR(INDEX(UtilityList!$J$4:$J$251,MATCH('Table 2.1a'!$A180&amp;'Table 2.1a'!$B180&amp;'Table 2.1a'!$C180,UtilityList!$A$4:$A$251&amp;UtilityList!$B$4:$B$251&amp;UtilityList!$C$4:$C$251,0)),"")</f>
        <v>Southeast</v>
      </c>
      <c r="N180" s="369" t="str">
        <f t="array" ref="N180">IFERROR(INDEX(UtilityList!$K$4:$K$251,MATCH('Table 2.1a'!$A180&amp;'Table 2.1a'!$B180&amp;'Table 2.1a'!$C180,UtilityList!$A$4:$A$251&amp;UtilityList!$B$4:$B$251&amp;UtilityList!$C$4:$C$251,0)),"")</f>
        <v>Prince of Wales-Hyder (CA)</v>
      </c>
      <c r="O180" s="369" t="str">
        <f t="array" ref="O180">IFERROR(INDEX(UtilityList!$L$4:$L$251,MATCH('Table 2.1a'!$A180&amp;'Table 2.1a'!$B180&amp;'Table 2.1a'!$C180,UtilityList!$A$4:$A$251&amp;UtilityList!$B$4:$B$251&amp;UtilityList!$C$4:$C$251,0)),"")</f>
        <v>Sealaska</v>
      </c>
      <c r="P180" s="369" t="str">
        <f t="array" ref="P180">IFERROR(INDEX(UtilityList!$M$4:$M$251,MATCH('Table 2.1a'!$A180&amp;'Table 2.1a'!$B180&amp;'Table 2.1a'!$C180,UtilityList!$A$4:$A$251&amp;UtilityList!$B$4:$B$251&amp;UtilityList!$C$4:$C$251,0)),"")</f>
        <v>SE</v>
      </c>
    </row>
    <row r="181" spans="1:16" s="344" customFormat="1" ht="30" x14ac:dyDescent="0.25">
      <c r="A181" s="619" t="s">
        <v>245</v>
      </c>
      <c r="B181" s="361" t="s">
        <v>249</v>
      </c>
      <c r="C181" s="350" t="s">
        <v>247</v>
      </c>
      <c r="D181" s="620">
        <v>3900</v>
      </c>
      <c r="E181" s="621">
        <v>0</v>
      </c>
      <c r="F181" s="621">
        <v>0</v>
      </c>
      <c r="G181" s="621">
        <v>3900</v>
      </c>
      <c r="H181" s="621">
        <v>0</v>
      </c>
      <c r="I181" s="452" t="s">
        <v>1020</v>
      </c>
      <c r="J181" s="622" t="str">
        <f t="array" ref="J181">IFERROR(INDEX(UtilityList!$H$4:$H$251,MATCH('Table 2.1a'!$A181&amp;'Table 2.1a'!$B181&amp;'Table 2.1a'!$C181,UtilityList!$A$4:$A$251&amp;UtilityList!$B$4:$B$251&amp;UtilityList!$C$4:$C$251,0)),"")</f>
        <v>PCE Ineligible</v>
      </c>
      <c r="K181" s="709">
        <f t="array" ref="K181">IFERROR(INDEX(UtilityList!$Q$4:$Q$251,MATCH('Table 2.1a'!$A181&amp;'Table 2.1a'!$B181&amp;'Table 2.1a'!$C181,UtilityList!$A$4:$A$251&amp;UtilityList!$B$4:$B$251&amp;UtilityList!$C$4:$C$251,0)),"")</f>
        <v>0</v>
      </c>
      <c r="L181" s="622" t="str">
        <f t="array" ref="L181">IFERROR(INDEX(UtilityList!$I$4:$I$251,MATCH('Table 2.1a'!$A181&amp;'Table 2.1a'!$B181&amp;'Table 2.1a'!$C181,UtilityList!$A$4:$A$251&amp;UtilityList!$B$4:$B$251&amp;UtilityList!$C$4:$C$251,0)),"")</f>
        <v>MP&amp;L</v>
      </c>
      <c r="M181" s="369" t="str">
        <f t="array" ref="M181">IFERROR(INDEX(UtilityList!$J$4:$J$251,MATCH('Table 2.1a'!$A181&amp;'Table 2.1a'!$B181&amp;'Table 2.1a'!$C181,UtilityList!$A$4:$A$251&amp;UtilityList!$B$4:$B$251&amp;UtilityList!$C$4:$C$251,0)),"")</f>
        <v>Southeast</v>
      </c>
      <c r="N181" s="369" t="str">
        <f t="array" ref="N181">IFERROR(INDEX(UtilityList!$K$4:$K$251,MATCH('Table 2.1a'!$A181&amp;'Table 2.1a'!$B181&amp;'Table 2.1a'!$C181,UtilityList!$A$4:$A$251&amp;UtilityList!$B$4:$B$251&amp;UtilityList!$C$4:$C$251,0)),"")</f>
        <v>Prince of Wales-Hyder (CA)</v>
      </c>
      <c r="O181" s="369" t="str">
        <f t="array" ref="O181">IFERROR(INDEX(UtilityList!$L$4:$L$251,MATCH('Table 2.1a'!$A181&amp;'Table 2.1a'!$B181&amp;'Table 2.1a'!$C181,UtilityList!$A$4:$A$251&amp;UtilityList!$B$4:$B$251&amp;UtilityList!$C$4:$C$251,0)),"")</f>
        <v>Sealaska</v>
      </c>
      <c r="P181" s="369" t="str">
        <f t="array" ref="P181">IFERROR(INDEX(UtilityList!$M$4:$M$251,MATCH('Table 2.1a'!$A181&amp;'Table 2.1a'!$B181&amp;'Table 2.1a'!$C181,UtilityList!$A$4:$A$251&amp;UtilityList!$B$4:$B$251&amp;UtilityList!$C$4:$C$251,0)),"")</f>
        <v>SE</v>
      </c>
    </row>
    <row r="182" spans="1:16" s="344" customFormat="1" x14ac:dyDescent="0.25">
      <c r="A182" s="619" t="s">
        <v>250</v>
      </c>
      <c r="B182" s="361" t="s">
        <v>251</v>
      </c>
      <c r="C182" s="350" t="s">
        <v>251</v>
      </c>
      <c r="D182" s="620">
        <v>179</v>
      </c>
      <c r="E182" s="621">
        <v>0</v>
      </c>
      <c r="F182" s="621">
        <v>179</v>
      </c>
      <c r="G182" s="621">
        <v>0</v>
      </c>
      <c r="H182" s="621">
        <v>0</v>
      </c>
      <c r="I182" s="452" t="s">
        <v>1022</v>
      </c>
      <c r="J182" s="622" t="str">
        <f t="array" ref="J182">IFERROR(INDEX(UtilityList!$H$4:$H$251,MATCH('Table 2.1a'!$A182&amp;'Table 2.1a'!$B182&amp;'Table 2.1a'!$C182,UtilityList!$A$4:$A$251&amp;UtilityList!$B$4:$B$251&amp;UtilityList!$C$4:$C$251,0)),"")</f>
        <v>PCE Eligible Active</v>
      </c>
      <c r="K182" s="709">
        <f t="array" ref="K182">IFERROR(INDEX(UtilityList!$Q$4:$Q$251,MATCH('Table 2.1a'!$A182&amp;'Table 2.1a'!$B182&amp;'Table 2.1a'!$C182,UtilityList!$A$4:$A$251&amp;UtilityList!$B$4:$B$251&amp;UtilityList!$C$4:$C$251,0)),"")</f>
        <v>0</v>
      </c>
      <c r="L182" s="622" t="str">
        <f t="array" ref="L182">IFERROR(INDEX(UtilityList!$I$4:$I$251,MATCH('Table 2.1a'!$A182&amp;'Table 2.1a'!$B182&amp;'Table 2.1a'!$C182,UtilityList!$A$4:$A$251&amp;UtilityList!$B$4:$B$251&amp;UtilityList!$C$4:$C$251,0)),"")</f>
        <v>MIDDKEC</v>
      </c>
      <c r="M182" s="369" t="str">
        <f t="array" ref="M182">IFERROR(INDEX(UtilityList!$J$4:$J$251,MATCH('Table 2.1a'!$A182&amp;'Table 2.1a'!$B182&amp;'Table 2.1a'!$C182,UtilityList!$A$4:$A$251&amp;UtilityList!$B$4:$B$251&amp;UtilityList!$C$4:$C$251,0)),"")</f>
        <v>Lower Yukon-Kuskokwim</v>
      </c>
      <c r="N182" s="369" t="str">
        <f t="array" ref="N182">IFERROR(INDEX(UtilityList!$K$4:$K$251,MATCH('Table 2.1a'!$A182&amp;'Table 2.1a'!$B182&amp;'Table 2.1a'!$C182,UtilityList!$A$4:$A$251&amp;UtilityList!$B$4:$B$251&amp;UtilityList!$C$4:$C$251,0)),"")</f>
        <v>Bethel (CA)</v>
      </c>
      <c r="O182" s="369" t="str">
        <f t="array" ref="O182">IFERROR(INDEX(UtilityList!$L$4:$L$251,MATCH('Table 2.1a'!$A182&amp;'Table 2.1a'!$B182&amp;'Table 2.1a'!$C182,UtilityList!$A$4:$A$251&amp;UtilityList!$B$4:$B$251&amp;UtilityList!$C$4:$C$251,0)),"")</f>
        <v>Calista</v>
      </c>
      <c r="P182" s="369" t="str">
        <f t="array" ref="P182">IFERROR(INDEX(UtilityList!$M$4:$M$251,MATCH('Table 2.1a'!$A182&amp;'Table 2.1a'!$B182&amp;'Table 2.1a'!$C182,UtilityList!$A$4:$A$251&amp;UtilityList!$B$4:$B$251&amp;UtilityList!$C$4:$C$251,0)),"")</f>
        <v>SW</v>
      </c>
    </row>
    <row r="183" spans="1:16" s="344" customFormat="1" x14ac:dyDescent="0.25">
      <c r="A183" s="619" t="s">
        <v>250</v>
      </c>
      <c r="B183" s="361" t="s">
        <v>252</v>
      </c>
      <c r="C183" s="350" t="s">
        <v>252</v>
      </c>
      <c r="D183" s="620">
        <v>223</v>
      </c>
      <c r="E183" s="621">
        <v>0</v>
      </c>
      <c r="F183" s="621">
        <v>223</v>
      </c>
      <c r="G183" s="621">
        <v>0</v>
      </c>
      <c r="H183" s="621">
        <v>0</v>
      </c>
      <c r="I183" s="452" t="s">
        <v>1022</v>
      </c>
      <c r="J183" s="622" t="str">
        <f t="array" ref="J183">IFERROR(INDEX(UtilityList!$H$4:$H$251,MATCH('Table 2.1a'!$A183&amp;'Table 2.1a'!$B183&amp;'Table 2.1a'!$C183,UtilityList!$A$4:$A$251&amp;UtilityList!$B$4:$B$251&amp;UtilityList!$C$4:$C$251,0)),"")</f>
        <v>PCE Eligible Active</v>
      </c>
      <c r="K183" s="709">
        <f t="array" ref="K183">IFERROR(INDEX(UtilityList!$Q$4:$Q$251,MATCH('Table 2.1a'!$A183&amp;'Table 2.1a'!$B183&amp;'Table 2.1a'!$C183,UtilityList!$A$4:$A$251&amp;UtilityList!$B$4:$B$251&amp;UtilityList!$C$4:$C$251,0)),"")</f>
        <v>0</v>
      </c>
      <c r="L183" s="622" t="str">
        <f t="array" ref="L183">IFERROR(INDEX(UtilityList!$I$4:$I$251,MATCH('Table 2.1a'!$A183&amp;'Table 2.1a'!$B183&amp;'Table 2.1a'!$C183,UtilityList!$A$4:$A$251&amp;UtilityList!$B$4:$B$251&amp;UtilityList!$C$4:$C$251,0)),"")</f>
        <v>MIDDKEC</v>
      </c>
      <c r="M183" s="369" t="str">
        <f t="array" ref="M183">IFERROR(INDEX(UtilityList!$J$4:$J$251,MATCH('Table 2.1a'!$A183&amp;'Table 2.1a'!$B183&amp;'Table 2.1a'!$C183,UtilityList!$A$4:$A$251&amp;UtilityList!$B$4:$B$251&amp;UtilityList!$C$4:$C$251,0)),"")</f>
        <v>Lower Yukon-Kuskokwim</v>
      </c>
      <c r="N183" s="369" t="str">
        <f t="array" ref="N183">IFERROR(INDEX(UtilityList!$K$4:$K$251,MATCH('Table 2.1a'!$A183&amp;'Table 2.1a'!$B183&amp;'Table 2.1a'!$C183,UtilityList!$A$4:$A$251&amp;UtilityList!$B$4:$B$251&amp;UtilityList!$C$4:$C$251,0)),"")</f>
        <v>Bethel (CA)</v>
      </c>
      <c r="O183" s="369" t="str">
        <f t="array" ref="O183">IFERROR(INDEX(UtilityList!$L$4:$L$251,MATCH('Table 2.1a'!$A183&amp;'Table 2.1a'!$B183&amp;'Table 2.1a'!$C183,UtilityList!$A$4:$A$251&amp;UtilityList!$B$4:$B$251&amp;UtilityList!$C$4:$C$251,0)),"")</f>
        <v>Calista</v>
      </c>
      <c r="P183" s="369" t="str">
        <f t="array" ref="P183">IFERROR(INDEX(UtilityList!$M$4:$M$251,MATCH('Table 2.1a'!$A183&amp;'Table 2.1a'!$B183&amp;'Table 2.1a'!$C183,UtilityList!$A$4:$A$251&amp;UtilityList!$B$4:$B$251&amp;UtilityList!$C$4:$C$251,0)),"")</f>
        <v>SW</v>
      </c>
    </row>
    <row r="184" spans="1:16" s="344" customFormat="1" x14ac:dyDescent="0.25">
      <c r="A184" s="619" t="s">
        <v>250</v>
      </c>
      <c r="B184" s="361" t="s">
        <v>253</v>
      </c>
      <c r="C184" s="350" t="s">
        <v>253</v>
      </c>
      <c r="D184" s="620">
        <v>130</v>
      </c>
      <c r="E184" s="621">
        <v>0</v>
      </c>
      <c r="F184" s="621">
        <v>130</v>
      </c>
      <c r="G184" s="621">
        <v>0</v>
      </c>
      <c r="H184" s="621">
        <v>0</v>
      </c>
      <c r="I184" s="452" t="s">
        <v>1022</v>
      </c>
      <c r="J184" s="622" t="str">
        <f t="array" ref="J184">IFERROR(INDEX(UtilityList!$H$4:$H$251,MATCH('Table 2.1a'!$A184&amp;'Table 2.1a'!$B184&amp;'Table 2.1a'!$C184,UtilityList!$A$4:$A$251&amp;UtilityList!$B$4:$B$251&amp;UtilityList!$C$4:$C$251,0)),"")</f>
        <v>PCE Eligible Active</v>
      </c>
      <c r="K184" s="709">
        <f t="array" ref="K184">IFERROR(INDEX(UtilityList!$Q$4:$Q$251,MATCH('Table 2.1a'!$A184&amp;'Table 2.1a'!$B184&amp;'Table 2.1a'!$C184,UtilityList!$A$4:$A$251&amp;UtilityList!$B$4:$B$251&amp;UtilityList!$C$4:$C$251,0)),"")</f>
        <v>0</v>
      </c>
      <c r="L184" s="622" t="str">
        <f t="array" ref="L184">IFERROR(INDEX(UtilityList!$I$4:$I$251,MATCH('Table 2.1a'!$A184&amp;'Table 2.1a'!$B184&amp;'Table 2.1a'!$C184,UtilityList!$A$4:$A$251&amp;UtilityList!$B$4:$B$251&amp;UtilityList!$C$4:$C$251,0)),"")</f>
        <v>MIDDKEC</v>
      </c>
      <c r="M184" s="369" t="str">
        <f t="array" ref="M184">IFERROR(INDEX(UtilityList!$J$4:$J$251,MATCH('Table 2.1a'!$A184&amp;'Table 2.1a'!$B184&amp;'Table 2.1a'!$C184,UtilityList!$A$4:$A$251&amp;UtilityList!$B$4:$B$251&amp;UtilityList!$C$4:$C$251,0)),"")</f>
        <v>Lower Yukon-Kuskokwim</v>
      </c>
      <c r="N184" s="369" t="str">
        <f t="array" ref="N184">IFERROR(INDEX(UtilityList!$K$4:$K$251,MATCH('Table 2.1a'!$A184&amp;'Table 2.1a'!$B184&amp;'Table 2.1a'!$C184,UtilityList!$A$4:$A$251&amp;UtilityList!$B$4:$B$251&amp;UtilityList!$C$4:$C$251,0)),"")</f>
        <v>Bethel (CA)</v>
      </c>
      <c r="O184" s="369" t="str">
        <f t="array" ref="O184">IFERROR(INDEX(UtilityList!$L$4:$L$251,MATCH('Table 2.1a'!$A184&amp;'Table 2.1a'!$B184&amp;'Table 2.1a'!$C184,UtilityList!$A$4:$A$251&amp;UtilityList!$B$4:$B$251&amp;UtilityList!$C$4:$C$251,0)),"")</f>
        <v>Calista</v>
      </c>
      <c r="P184" s="369" t="str">
        <f t="array" ref="P184">IFERROR(INDEX(UtilityList!$M$4:$M$251,MATCH('Table 2.1a'!$A184&amp;'Table 2.1a'!$B184&amp;'Table 2.1a'!$C184,UtilityList!$A$4:$A$251&amp;UtilityList!$B$4:$B$251&amp;UtilityList!$C$4:$C$251,0)),"")</f>
        <v>SW</v>
      </c>
    </row>
    <row r="185" spans="1:16" s="344" customFormat="1" x14ac:dyDescent="0.25">
      <c r="A185" s="619" t="s">
        <v>250</v>
      </c>
      <c r="B185" s="361" t="s">
        <v>254</v>
      </c>
      <c r="C185" s="350" t="s">
        <v>254</v>
      </c>
      <c r="D185" s="620">
        <v>323</v>
      </c>
      <c r="E185" s="621">
        <v>0</v>
      </c>
      <c r="F185" s="621">
        <v>323</v>
      </c>
      <c r="G185" s="621">
        <v>0</v>
      </c>
      <c r="H185" s="621">
        <v>0</v>
      </c>
      <c r="I185" s="452" t="s">
        <v>1022</v>
      </c>
      <c r="J185" s="622" t="str">
        <f t="array" ref="J185">IFERROR(INDEX(UtilityList!$H$4:$H$251,MATCH('Table 2.1a'!$A185&amp;'Table 2.1a'!$B185&amp;'Table 2.1a'!$C185,UtilityList!$A$4:$A$251&amp;UtilityList!$B$4:$B$251&amp;UtilityList!$C$4:$C$251,0)),"")</f>
        <v>PCE Eligible Active</v>
      </c>
      <c r="K185" s="709">
        <f t="array" ref="K185">IFERROR(INDEX(UtilityList!$Q$4:$Q$251,MATCH('Table 2.1a'!$A185&amp;'Table 2.1a'!$B185&amp;'Table 2.1a'!$C185,UtilityList!$A$4:$A$251&amp;UtilityList!$B$4:$B$251&amp;UtilityList!$C$4:$C$251,0)),"")</f>
        <v>0</v>
      </c>
      <c r="L185" s="622" t="str">
        <f t="array" ref="L185">IFERROR(INDEX(UtilityList!$I$4:$I$251,MATCH('Table 2.1a'!$A185&amp;'Table 2.1a'!$B185&amp;'Table 2.1a'!$C185,UtilityList!$A$4:$A$251&amp;UtilityList!$B$4:$B$251&amp;UtilityList!$C$4:$C$251,0)),"")</f>
        <v>MIDDKEC</v>
      </c>
      <c r="M185" s="369" t="str">
        <f t="array" ref="M185">IFERROR(INDEX(UtilityList!$J$4:$J$251,MATCH('Table 2.1a'!$A185&amp;'Table 2.1a'!$B185&amp;'Table 2.1a'!$C185,UtilityList!$A$4:$A$251&amp;UtilityList!$B$4:$B$251&amp;UtilityList!$C$4:$C$251,0)),"")</f>
        <v>Lower Yukon-Kuskokwim</v>
      </c>
      <c r="N185" s="369" t="str">
        <f t="array" ref="N185">IFERROR(INDEX(UtilityList!$K$4:$K$251,MATCH('Table 2.1a'!$A185&amp;'Table 2.1a'!$B185&amp;'Table 2.1a'!$C185,UtilityList!$A$4:$A$251&amp;UtilityList!$B$4:$B$251&amp;UtilityList!$C$4:$C$251,0)),"")</f>
        <v>Bethel (CA)</v>
      </c>
      <c r="O185" s="369" t="str">
        <f t="array" ref="O185">IFERROR(INDEX(UtilityList!$L$4:$L$251,MATCH('Table 2.1a'!$A185&amp;'Table 2.1a'!$B185&amp;'Table 2.1a'!$C185,UtilityList!$A$4:$A$251&amp;UtilityList!$B$4:$B$251&amp;UtilityList!$C$4:$C$251,0)),"")</f>
        <v>Calista</v>
      </c>
      <c r="P185" s="369" t="str">
        <f t="array" ref="P185">IFERROR(INDEX(UtilityList!$M$4:$M$251,MATCH('Table 2.1a'!$A185&amp;'Table 2.1a'!$B185&amp;'Table 2.1a'!$C185,UtilityList!$A$4:$A$251&amp;UtilityList!$B$4:$B$251&amp;UtilityList!$C$4:$C$251,0)),"")</f>
        <v>SW</v>
      </c>
    </row>
    <row r="186" spans="1:16" s="344" customFormat="1" x14ac:dyDescent="0.25">
      <c r="A186" s="619" t="s">
        <v>250</v>
      </c>
      <c r="B186" s="361" t="s">
        <v>255</v>
      </c>
      <c r="C186" s="350" t="s">
        <v>255</v>
      </c>
      <c r="D186" s="620">
        <v>138</v>
      </c>
      <c r="E186" s="621">
        <v>0</v>
      </c>
      <c r="F186" s="621">
        <v>138</v>
      </c>
      <c r="G186" s="621">
        <v>0</v>
      </c>
      <c r="H186" s="621">
        <v>0</v>
      </c>
      <c r="I186" s="452" t="s">
        <v>1022</v>
      </c>
      <c r="J186" s="622" t="str">
        <f t="array" ref="J186">IFERROR(INDEX(UtilityList!$H$4:$H$251,MATCH('Table 2.1a'!$A186&amp;'Table 2.1a'!$B186&amp;'Table 2.1a'!$C186,UtilityList!$A$4:$A$251&amp;UtilityList!$B$4:$B$251&amp;UtilityList!$C$4:$C$251,0)),"")</f>
        <v>PCE Eligible Active</v>
      </c>
      <c r="K186" s="709">
        <f t="array" ref="K186">IFERROR(INDEX(UtilityList!$Q$4:$Q$251,MATCH('Table 2.1a'!$A186&amp;'Table 2.1a'!$B186&amp;'Table 2.1a'!$C186,UtilityList!$A$4:$A$251&amp;UtilityList!$B$4:$B$251&amp;UtilityList!$C$4:$C$251,0)),"")</f>
        <v>0</v>
      </c>
      <c r="L186" s="622" t="str">
        <f t="array" ref="L186">IFERROR(INDEX(UtilityList!$I$4:$I$251,MATCH('Table 2.1a'!$A186&amp;'Table 2.1a'!$B186&amp;'Table 2.1a'!$C186,UtilityList!$A$4:$A$251&amp;UtilityList!$B$4:$B$251&amp;UtilityList!$C$4:$C$251,0)),"")</f>
        <v>MIDDKEC</v>
      </c>
      <c r="M186" s="369" t="str">
        <f t="array" ref="M186">IFERROR(INDEX(UtilityList!$J$4:$J$251,MATCH('Table 2.1a'!$A186&amp;'Table 2.1a'!$B186&amp;'Table 2.1a'!$C186,UtilityList!$A$4:$A$251&amp;UtilityList!$B$4:$B$251&amp;UtilityList!$C$4:$C$251,0)),"")</f>
        <v>Lower Yukon-Kuskokwim</v>
      </c>
      <c r="N186" s="369" t="str">
        <f t="array" ref="N186">IFERROR(INDEX(UtilityList!$K$4:$K$251,MATCH('Table 2.1a'!$A186&amp;'Table 2.1a'!$B186&amp;'Table 2.1a'!$C186,UtilityList!$A$4:$A$251&amp;UtilityList!$B$4:$B$251&amp;UtilityList!$C$4:$C$251,0)),"")</f>
        <v>Bethel (CA)</v>
      </c>
      <c r="O186" s="369" t="str">
        <f t="array" ref="O186">IFERROR(INDEX(UtilityList!$L$4:$L$251,MATCH('Table 2.1a'!$A186&amp;'Table 2.1a'!$B186&amp;'Table 2.1a'!$C186,UtilityList!$A$4:$A$251&amp;UtilityList!$B$4:$B$251&amp;UtilityList!$C$4:$C$251,0)),"")</f>
        <v>Calista</v>
      </c>
      <c r="P186" s="369" t="str">
        <f t="array" ref="P186">IFERROR(INDEX(UtilityList!$M$4:$M$251,MATCH('Table 2.1a'!$A186&amp;'Table 2.1a'!$B186&amp;'Table 2.1a'!$C186,UtilityList!$A$4:$A$251&amp;UtilityList!$B$4:$B$251&amp;UtilityList!$C$4:$C$251,0)),"")</f>
        <v>SW</v>
      </c>
    </row>
    <row r="187" spans="1:16" s="344" customFormat="1" ht="90" x14ac:dyDescent="0.25">
      <c r="A187" s="619" t="s">
        <v>258</v>
      </c>
      <c r="B187" s="361" t="s">
        <v>259</v>
      </c>
      <c r="C187" s="350" t="s">
        <v>682</v>
      </c>
      <c r="D187" s="620">
        <v>9900</v>
      </c>
      <c r="E187" s="621">
        <v>0</v>
      </c>
      <c r="F187" s="621">
        <v>9900</v>
      </c>
      <c r="G187" s="621">
        <v>0</v>
      </c>
      <c r="H187" s="621">
        <v>0</v>
      </c>
      <c r="I187" s="452" t="s">
        <v>1020</v>
      </c>
      <c r="J187" s="622" t="str">
        <f t="array" ref="J187">IFERROR(INDEX(UtilityList!$H$4:$H$251,MATCH('Table 2.1a'!$A187&amp;'Table 2.1a'!$B187&amp;'Table 2.1a'!$C187,UtilityList!$A$4:$A$251&amp;UtilityList!$B$4:$B$251&amp;UtilityList!$C$4:$C$251,0)),"")</f>
        <v>PCE Eligible Active</v>
      </c>
      <c r="K187" s="709" t="str">
        <f t="array" ref="K187">IFERROR(INDEX(UtilityList!$Q$4:$Q$251,MATCH('Table 2.1a'!$A187&amp;'Table 2.1a'!$B187&amp;'Table 2.1a'!$C187,UtilityList!$A$4:$A$251&amp;UtilityList!$B$4:$B$251&amp;UtilityList!$C$4:$C$251,0)),"")</f>
        <v>Provides power to South Naknek and King Salmon via intertie. Data includes South Naknek's and King Salmon's information.</v>
      </c>
      <c r="L187" s="622" t="str">
        <f t="array" ref="L187">IFERROR(INDEX(UtilityList!$I$4:$I$251,MATCH('Table 2.1a'!$A187&amp;'Table 2.1a'!$B187&amp;'Table 2.1a'!$C187,UtilityList!$A$4:$A$251&amp;UtilityList!$B$4:$B$251&amp;UtilityList!$C$4:$C$251,0)),"")</f>
        <v>NAKNEA</v>
      </c>
      <c r="M187" s="369" t="str">
        <f t="array" ref="M187">IFERROR(INDEX(UtilityList!$J$4:$J$251,MATCH('Table 2.1a'!$A187&amp;'Table 2.1a'!$B187&amp;'Table 2.1a'!$C187,UtilityList!$A$4:$A$251&amp;UtilityList!$B$4:$B$251&amp;UtilityList!$C$4:$C$251,0)),"")</f>
        <v>Bristol Bay</v>
      </c>
      <c r="N187" s="369" t="str">
        <f t="array" ref="N187">IFERROR(INDEX(UtilityList!$K$4:$K$251,MATCH('Table 2.1a'!$A187&amp;'Table 2.1a'!$B187&amp;'Table 2.1a'!$C187,UtilityList!$A$4:$A$251&amp;UtilityList!$B$4:$B$251&amp;UtilityList!$C$4:$C$251,0)),"")</f>
        <v>Bristol Bay</v>
      </c>
      <c r="O187" s="369" t="str">
        <f t="array" ref="O187">IFERROR(INDEX(UtilityList!$L$4:$L$251,MATCH('Table 2.1a'!$A187&amp;'Table 2.1a'!$B187&amp;'Table 2.1a'!$C187,UtilityList!$A$4:$A$251&amp;UtilityList!$B$4:$B$251&amp;UtilityList!$C$4:$C$251,0)),"")</f>
        <v>Bristol Bay</v>
      </c>
      <c r="P187" s="369" t="str">
        <f t="array" ref="P187">IFERROR(INDEX(UtilityList!$M$4:$M$251,MATCH('Table 2.1a'!$A187&amp;'Table 2.1a'!$B187&amp;'Table 2.1a'!$C187,UtilityList!$A$4:$A$251&amp;UtilityList!$B$4:$B$251&amp;UtilityList!$C$4:$C$251,0)),"")</f>
        <v>SW</v>
      </c>
    </row>
    <row r="188" spans="1:16" s="344" customFormat="1" ht="45" x14ac:dyDescent="0.25">
      <c r="A188" s="619" t="s">
        <v>260</v>
      </c>
      <c r="B188" s="361" t="s">
        <v>261</v>
      </c>
      <c r="C188" s="350" t="s">
        <v>261</v>
      </c>
      <c r="D188" s="620">
        <v>250</v>
      </c>
      <c r="E188" s="621">
        <v>0</v>
      </c>
      <c r="F188" s="621">
        <v>250</v>
      </c>
      <c r="G188" s="621">
        <v>0</v>
      </c>
      <c r="H188" s="621">
        <v>0</v>
      </c>
      <c r="I188" s="452" t="s">
        <v>1022</v>
      </c>
      <c r="J188" s="622" t="str">
        <f t="array" ref="J188">IFERROR(INDEX(UtilityList!$H$4:$H$251,MATCH('Table 2.1a'!$A188&amp;'Table 2.1a'!$B188&amp;'Table 2.1a'!$C188,UtilityList!$A$4:$A$251&amp;UtilityList!$B$4:$B$251&amp;UtilityList!$C$4:$C$251,0)),"")</f>
        <v>PCE Eligible Active</v>
      </c>
      <c r="K188" s="709" t="str">
        <f t="array" ref="K188">IFERROR(INDEX(UtilityList!$Q$4:$Q$251,MATCH('Table 2.1a'!$A188&amp;'Table 2.1a'!$B188&amp;'Table 2.1a'!$C188,UtilityList!$A$4:$A$251&amp;UtilityList!$B$4:$B$251&amp;UtilityList!$C$4:$C$251,0)),"")</f>
        <v>Purchases power from Bethel Utilities Corporation</v>
      </c>
      <c r="L188" s="622" t="str">
        <f t="array" ref="L188">IFERROR(INDEX(UtilityList!$I$4:$I$251,MATCH('Table 2.1a'!$A188&amp;'Table 2.1a'!$B188&amp;'Table 2.1a'!$C188,UtilityList!$A$4:$A$251&amp;UtilityList!$B$4:$B$251&amp;UtilityList!$C$4:$C$251,0)),"")</f>
        <v>NAPAC</v>
      </c>
      <c r="M188" s="369" t="str">
        <f t="array" ref="M188">IFERROR(INDEX(UtilityList!$J$4:$J$251,MATCH('Table 2.1a'!$A188&amp;'Table 2.1a'!$B188&amp;'Table 2.1a'!$C188,UtilityList!$A$4:$A$251&amp;UtilityList!$B$4:$B$251&amp;UtilityList!$C$4:$C$251,0)),"")</f>
        <v>Lower Yukon-Kuskokwim</v>
      </c>
      <c r="N188" s="369" t="str">
        <f t="array" ref="N188">IFERROR(INDEX(UtilityList!$K$4:$K$251,MATCH('Table 2.1a'!$A188&amp;'Table 2.1a'!$B188&amp;'Table 2.1a'!$C188,UtilityList!$A$4:$A$251&amp;UtilityList!$B$4:$B$251&amp;UtilityList!$C$4:$C$251,0)),"")</f>
        <v>Bethel (CA)</v>
      </c>
      <c r="O188" s="369" t="str">
        <f t="array" ref="O188">IFERROR(INDEX(UtilityList!$L$4:$L$251,MATCH('Table 2.1a'!$A188&amp;'Table 2.1a'!$B188&amp;'Table 2.1a'!$C188,UtilityList!$A$4:$A$251&amp;UtilityList!$B$4:$B$251&amp;UtilityList!$C$4:$C$251,0)),"")</f>
        <v>Calista</v>
      </c>
      <c r="P188" s="369" t="str">
        <f t="array" ref="P188">IFERROR(INDEX(UtilityList!$M$4:$M$251,MATCH('Table 2.1a'!$A188&amp;'Table 2.1a'!$B188&amp;'Table 2.1a'!$C188,UtilityList!$A$4:$A$251&amp;UtilityList!$B$4:$B$251&amp;UtilityList!$C$4:$C$251,0)),"")</f>
        <v>SW</v>
      </c>
    </row>
    <row r="189" spans="1:16" s="344" customFormat="1" x14ac:dyDescent="0.25">
      <c r="A189" s="619" t="s">
        <v>264</v>
      </c>
      <c r="B189" s="361" t="s">
        <v>265</v>
      </c>
      <c r="C189" s="350" t="s">
        <v>265</v>
      </c>
      <c r="D189" s="620">
        <v>921</v>
      </c>
      <c r="E189" s="621">
        <v>0</v>
      </c>
      <c r="F189" s="621">
        <v>921</v>
      </c>
      <c r="G189" s="621">
        <v>0</v>
      </c>
      <c r="H189" s="621">
        <v>0</v>
      </c>
      <c r="I189" s="452" t="s">
        <v>1022</v>
      </c>
      <c r="J189" s="622" t="str">
        <f t="array" ref="J189">IFERROR(INDEX(UtilityList!$H$4:$H$251,MATCH('Table 2.1a'!$A189&amp;'Table 2.1a'!$B189&amp;'Table 2.1a'!$C189,UtilityList!$A$4:$A$251&amp;UtilityList!$B$4:$B$251&amp;UtilityList!$C$4:$C$251,0)),"")</f>
        <v>PCE Eligible Active</v>
      </c>
      <c r="K189" s="709">
        <f t="array" ref="K189">IFERROR(INDEX(UtilityList!$Q$4:$Q$251,MATCH('Table 2.1a'!$A189&amp;'Table 2.1a'!$B189&amp;'Table 2.1a'!$C189,UtilityList!$A$4:$A$251&amp;UtilityList!$B$4:$B$251&amp;UtilityList!$C$4:$C$251,0)),"")</f>
        <v>0</v>
      </c>
      <c r="L189" s="622" t="str">
        <f t="array" ref="L189">IFERROR(INDEX(UtilityList!$I$4:$I$251,MATCH('Table 2.1a'!$A189&amp;'Table 2.1a'!$B189&amp;'Table 2.1a'!$C189,UtilityList!$A$4:$A$251&amp;UtilityList!$B$4:$B$251&amp;UtilityList!$C$4:$C$251,0)),"")</f>
        <v>NATELP</v>
      </c>
      <c r="M189" s="369" t="str">
        <f t="array" ref="M189">IFERROR(INDEX(UtilityList!$J$4:$J$251,MATCH('Table 2.1a'!$A189&amp;'Table 2.1a'!$B189&amp;'Table 2.1a'!$C189,UtilityList!$A$4:$A$251&amp;UtilityList!$B$4:$B$251&amp;UtilityList!$C$4:$C$251,0)),"")</f>
        <v>Lower Yukon-Kuskokwim</v>
      </c>
      <c r="N189" s="369" t="str">
        <f t="array" ref="N189">IFERROR(INDEX(UtilityList!$K$4:$K$251,MATCH('Table 2.1a'!$A189&amp;'Table 2.1a'!$B189&amp;'Table 2.1a'!$C189,UtilityList!$A$4:$A$251&amp;UtilityList!$B$4:$B$251&amp;UtilityList!$C$4:$C$251,0)),"")</f>
        <v>Bethel (CA)</v>
      </c>
      <c r="O189" s="369" t="str">
        <f t="array" ref="O189">IFERROR(INDEX(UtilityList!$L$4:$L$251,MATCH('Table 2.1a'!$A189&amp;'Table 2.1a'!$B189&amp;'Table 2.1a'!$C189,UtilityList!$A$4:$A$251&amp;UtilityList!$B$4:$B$251&amp;UtilityList!$C$4:$C$251,0)),"")</f>
        <v>Calista</v>
      </c>
      <c r="P189" s="369" t="str">
        <f t="array" ref="P189">IFERROR(INDEX(UtilityList!$M$4:$M$251,MATCH('Table 2.1a'!$A189&amp;'Table 2.1a'!$B189&amp;'Table 2.1a'!$C189,UtilityList!$A$4:$A$251&amp;UtilityList!$B$4:$B$251&amp;UtilityList!$C$4:$C$251,0)),"")</f>
        <v>SW</v>
      </c>
    </row>
    <row r="190" spans="1:16" s="344" customFormat="1" ht="30" x14ac:dyDescent="0.25">
      <c r="A190" s="619" t="s">
        <v>266</v>
      </c>
      <c r="B190" s="361" t="s">
        <v>267</v>
      </c>
      <c r="C190" s="350" t="s">
        <v>267</v>
      </c>
      <c r="D190" s="620">
        <v>24</v>
      </c>
      <c r="E190" s="621">
        <v>0</v>
      </c>
      <c r="F190" s="621">
        <v>0</v>
      </c>
      <c r="G190" s="621">
        <v>0</v>
      </c>
      <c r="H190" s="621">
        <v>24</v>
      </c>
      <c r="I190" s="452" t="s">
        <v>1021</v>
      </c>
      <c r="J190" s="622" t="str">
        <f t="array" ref="J190">IFERROR(INDEX(UtilityList!$H$4:$H$251,MATCH('Table 2.1a'!$A190&amp;'Table 2.1a'!$B190&amp;'Table 2.1a'!$C190,UtilityList!$A$4:$A$251&amp;UtilityList!$B$4:$B$251&amp;UtilityList!$C$4:$C$251,0)),"")</f>
        <v>PCE Eligible Active</v>
      </c>
      <c r="K190" s="709">
        <f t="array" ref="K190">IFERROR(INDEX(UtilityList!$Q$4:$Q$251,MATCH('Table 2.1a'!$A190&amp;'Table 2.1a'!$B190&amp;'Table 2.1a'!$C190,UtilityList!$A$4:$A$251&amp;UtilityList!$B$4:$B$251&amp;UtilityList!$C$4:$C$251,0)),"")</f>
        <v>0</v>
      </c>
      <c r="L190" s="622" t="str">
        <f t="array" ref="L190">IFERROR(INDEX(UtilityList!$I$4:$I$251,MATCH('Table 2.1a'!$A190&amp;'Table 2.1a'!$B190&amp;'Table 2.1a'!$C190,UtilityList!$A$4:$A$251&amp;UtilityList!$B$4:$B$251&amp;UtilityList!$C$4:$C$251,0)),"")</f>
        <v>PERR</v>
      </c>
      <c r="M190" s="369" t="str">
        <f t="array" ref="M190">IFERROR(INDEX(UtilityList!$J$4:$J$251,MATCH('Table 2.1a'!$A190&amp;'Table 2.1a'!$B190&amp;'Table 2.1a'!$C190,UtilityList!$A$4:$A$251&amp;UtilityList!$B$4:$B$251&amp;UtilityList!$C$4:$C$251,0)),"")</f>
        <v>Bristol Bay</v>
      </c>
      <c r="N190" s="369" t="str">
        <f t="array" ref="N190">IFERROR(INDEX(UtilityList!$K$4:$K$251,MATCH('Table 2.1a'!$A190&amp;'Table 2.1a'!$B190&amp;'Table 2.1a'!$C190,UtilityList!$A$4:$A$251&amp;UtilityList!$B$4:$B$251&amp;UtilityList!$C$4:$C$251,0)),"")</f>
        <v>Lake and Peninsula</v>
      </c>
      <c r="O190" s="369" t="str">
        <f t="array" ref="O190">IFERROR(INDEX(UtilityList!$L$4:$L$251,MATCH('Table 2.1a'!$A190&amp;'Table 2.1a'!$B190&amp;'Table 2.1a'!$C190,UtilityList!$A$4:$A$251&amp;UtilityList!$B$4:$B$251&amp;UtilityList!$C$4:$C$251,0)),"")</f>
        <v>Bristol Bay</v>
      </c>
      <c r="P190" s="369" t="str">
        <f t="array" ref="P190">IFERROR(INDEX(UtilityList!$M$4:$M$251,MATCH('Table 2.1a'!$A190&amp;'Table 2.1a'!$B190&amp;'Table 2.1a'!$C190,UtilityList!$A$4:$A$251&amp;UtilityList!$B$4:$B$251&amp;UtilityList!$C$4:$C$251,0)),"")</f>
        <v>SW</v>
      </c>
    </row>
    <row r="191" spans="1:16" s="344" customFormat="1" x14ac:dyDescent="0.25">
      <c r="A191" s="619" t="s">
        <v>266</v>
      </c>
      <c r="B191" s="361" t="s">
        <v>267</v>
      </c>
      <c r="C191" s="350" t="s">
        <v>267</v>
      </c>
      <c r="D191" s="620">
        <v>473</v>
      </c>
      <c r="E191" s="621">
        <v>0</v>
      </c>
      <c r="F191" s="621">
        <v>473</v>
      </c>
      <c r="G191" s="621">
        <v>0</v>
      </c>
      <c r="H191" s="621">
        <v>0</v>
      </c>
      <c r="I191" s="452" t="s">
        <v>1022</v>
      </c>
      <c r="J191" s="622" t="str">
        <f t="array" ref="J191">IFERROR(INDEX(UtilityList!$H$4:$H$251,MATCH('Table 2.1a'!$A191&amp;'Table 2.1a'!$B191&amp;'Table 2.1a'!$C191,UtilityList!$A$4:$A$251&amp;UtilityList!$B$4:$B$251&amp;UtilityList!$C$4:$C$251,0)),"")</f>
        <v>PCE Eligible Active</v>
      </c>
      <c r="K191" s="709">
        <f t="array" ref="K191">IFERROR(INDEX(UtilityList!$Q$4:$Q$251,MATCH('Table 2.1a'!$A191&amp;'Table 2.1a'!$B191&amp;'Table 2.1a'!$C191,UtilityList!$A$4:$A$251&amp;UtilityList!$B$4:$B$251&amp;UtilityList!$C$4:$C$251,0)),"")</f>
        <v>0</v>
      </c>
      <c r="L191" s="622" t="str">
        <f t="array" ref="L191">IFERROR(INDEX(UtilityList!$I$4:$I$251,MATCH('Table 2.1a'!$A191&amp;'Table 2.1a'!$B191&amp;'Table 2.1a'!$C191,UtilityList!$A$4:$A$251&amp;UtilityList!$B$4:$B$251&amp;UtilityList!$C$4:$C$251,0)),"")</f>
        <v>PERR</v>
      </c>
      <c r="M191" s="369" t="str">
        <f t="array" ref="M191">IFERROR(INDEX(UtilityList!$J$4:$J$251,MATCH('Table 2.1a'!$A191&amp;'Table 2.1a'!$B191&amp;'Table 2.1a'!$C191,UtilityList!$A$4:$A$251&amp;UtilityList!$B$4:$B$251&amp;UtilityList!$C$4:$C$251,0)),"")</f>
        <v>Bristol Bay</v>
      </c>
      <c r="N191" s="369" t="str">
        <f t="array" ref="N191">IFERROR(INDEX(UtilityList!$K$4:$K$251,MATCH('Table 2.1a'!$A191&amp;'Table 2.1a'!$B191&amp;'Table 2.1a'!$C191,UtilityList!$A$4:$A$251&amp;UtilityList!$B$4:$B$251&amp;UtilityList!$C$4:$C$251,0)),"")</f>
        <v>Lake and Peninsula</v>
      </c>
      <c r="O191" s="369" t="str">
        <f t="array" ref="O191">IFERROR(INDEX(UtilityList!$L$4:$L$251,MATCH('Table 2.1a'!$A191&amp;'Table 2.1a'!$B191&amp;'Table 2.1a'!$C191,UtilityList!$A$4:$A$251&amp;UtilityList!$B$4:$B$251&amp;UtilityList!$C$4:$C$251,0)),"")</f>
        <v>Bristol Bay</v>
      </c>
      <c r="P191" s="369" t="str">
        <f t="array" ref="P191">IFERROR(INDEX(UtilityList!$M$4:$M$251,MATCH('Table 2.1a'!$A191&amp;'Table 2.1a'!$B191&amp;'Table 2.1a'!$C191,UtilityList!$A$4:$A$251&amp;UtilityList!$B$4:$B$251&amp;UtilityList!$C$4:$C$251,0)),"")</f>
        <v>SW</v>
      </c>
    </row>
    <row r="192" spans="1:16" s="344" customFormat="1" x14ac:dyDescent="0.25">
      <c r="A192" s="619" t="s">
        <v>268</v>
      </c>
      <c r="B192" s="361" t="s">
        <v>269</v>
      </c>
      <c r="C192" s="350" t="s">
        <v>269</v>
      </c>
      <c r="D192" s="620">
        <v>300</v>
      </c>
      <c r="E192" s="621">
        <v>0</v>
      </c>
      <c r="F192" s="621">
        <v>300</v>
      </c>
      <c r="G192" s="621">
        <v>0</v>
      </c>
      <c r="H192" s="621">
        <v>0</v>
      </c>
      <c r="I192" s="452" t="s">
        <v>1022</v>
      </c>
      <c r="J192" s="622" t="str">
        <f t="array" ref="J192">IFERROR(INDEX(UtilityList!$H$4:$H$251,MATCH('Table 2.1a'!$A192&amp;'Table 2.1a'!$B192&amp;'Table 2.1a'!$C192,UtilityList!$A$4:$A$251&amp;UtilityList!$B$4:$B$251&amp;UtilityList!$C$4:$C$251,0)),"")</f>
        <v>PCE Eligible Active</v>
      </c>
      <c r="K192" s="709">
        <f t="array" ref="K192">IFERROR(INDEX(UtilityList!$Q$4:$Q$251,MATCH('Table 2.1a'!$A192&amp;'Table 2.1a'!$B192&amp;'Table 2.1a'!$C192,UtilityList!$A$4:$A$251&amp;UtilityList!$B$4:$B$251&amp;UtilityList!$C$4:$C$251,0)),"")</f>
        <v>0</v>
      </c>
      <c r="L192" s="622" t="str">
        <f t="array" ref="L192">IFERROR(INDEX(UtilityList!$I$4:$I$251,MATCH('Table 2.1a'!$A192&amp;'Table 2.1a'!$B192&amp;'Table 2.1a'!$C192,UtilityList!$A$4:$A$251&amp;UtilityList!$B$4:$B$251&amp;UtilityList!$C$4:$C$251,0)),"")</f>
        <v>NELSLEC</v>
      </c>
      <c r="M192" s="369" t="str">
        <f t="array" ref="M192">IFERROR(INDEX(UtilityList!$J$4:$J$251,MATCH('Table 2.1a'!$A192&amp;'Table 2.1a'!$B192&amp;'Table 2.1a'!$C192,UtilityList!$A$4:$A$251&amp;UtilityList!$B$4:$B$251&amp;UtilityList!$C$4:$C$251,0)),"")</f>
        <v>Aleutians</v>
      </c>
      <c r="N192" s="369" t="str">
        <f t="array" ref="N192">IFERROR(INDEX(UtilityList!$K$4:$K$251,MATCH('Table 2.1a'!$A192&amp;'Table 2.1a'!$B192&amp;'Table 2.1a'!$C192,UtilityList!$A$4:$A$251&amp;UtilityList!$B$4:$B$251&amp;UtilityList!$C$4:$C$251,0)),"")</f>
        <v>Aleutians East</v>
      </c>
      <c r="O192" s="369" t="str">
        <f t="array" ref="O192">IFERROR(INDEX(UtilityList!$L$4:$L$251,MATCH('Table 2.1a'!$A192&amp;'Table 2.1a'!$B192&amp;'Table 2.1a'!$C192,UtilityList!$A$4:$A$251&amp;UtilityList!$B$4:$B$251&amp;UtilityList!$C$4:$C$251,0)),"")</f>
        <v>Aleut</v>
      </c>
      <c r="P192" s="369" t="str">
        <f t="array" ref="P192">IFERROR(INDEX(UtilityList!$M$4:$M$251,MATCH('Table 2.1a'!$A192&amp;'Table 2.1a'!$B192&amp;'Table 2.1a'!$C192,UtilityList!$A$4:$A$251&amp;UtilityList!$B$4:$B$251&amp;UtilityList!$C$4:$C$251,0)),"")</f>
        <v>SW</v>
      </c>
    </row>
    <row r="193" spans="1:16" s="344" customFormat="1" x14ac:dyDescent="0.25">
      <c r="A193" s="619" t="s">
        <v>270</v>
      </c>
      <c r="B193" s="361" t="s">
        <v>271</v>
      </c>
      <c r="C193" s="350" t="s">
        <v>271</v>
      </c>
      <c r="D193" s="620">
        <v>420</v>
      </c>
      <c r="E193" s="621">
        <v>0</v>
      </c>
      <c r="F193" s="621">
        <v>420</v>
      </c>
      <c r="G193" s="621">
        <v>0</v>
      </c>
      <c r="H193" s="621">
        <v>0</v>
      </c>
      <c r="I193" s="452" t="s">
        <v>1022</v>
      </c>
      <c r="J193" s="622" t="str">
        <f t="array" ref="J193">IFERROR(INDEX(UtilityList!$H$4:$H$251,MATCH('Table 2.1a'!$A193&amp;'Table 2.1a'!$B193&amp;'Table 2.1a'!$C193,UtilityList!$A$4:$A$251&amp;UtilityList!$B$4:$B$251&amp;UtilityList!$C$4:$C$251,0)),"")</f>
        <v>PCE Eligible Active</v>
      </c>
      <c r="K193" s="709">
        <f t="array" ref="K193">IFERROR(INDEX(UtilityList!$Q$4:$Q$251,MATCH('Table 2.1a'!$A193&amp;'Table 2.1a'!$B193&amp;'Table 2.1a'!$C193,UtilityList!$A$4:$A$251&amp;UtilityList!$B$4:$B$251&amp;UtilityList!$C$4:$C$251,0)),"")</f>
        <v>0</v>
      </c>
      <c r="L193" s="622" t="str">
        <f t="array" ref="L193">IFERROR(INDEX(UtilityList!$I$4:$I$251,MATCH('Table 2.1a'!$A193&amp;'Table 2.1a'!$B193&amp;'Table 2.1a'!$C193,UtilityList!$A$4:$A$251&amp;UtilityList!$B$4:$B$251&amp;UtilityList!$C$4:$C$251,0)),"")</f>
        <v>NEWKVC</v>
      </c>
      <c r="M193" s="369" t="str">
        <f t="array" ref="M193">IFERROR(INDEX(UtilityList!$J$4:$J$251,MATCH('Table 2.1a'!$A193&amp;'Table 2.1a'!$B193&amp;'Table 2.1a'!$C193,UtilityList!$A$4:$A$251&amp;UtilityList!$B$4:$B$251&amp;UtilityList!$C$4:$C$251,0)),"")</f>
        <v>Bristol Bay</v>
      </c>
      <c r="N193" s="369" t="str">
        <f t="array" ref="N193">IFERROR(INDEX(UtilityList!$K$4:$K$251,MATCH('Table 2.1a'!$A193&amp;'Table 2.1a'!$B193&amp;'Table 2.1a'!$C193,UtilityList!$A$4:$A$251&amp;UtilityList!$B$4:$B$251&amp;UtilityList!$C$4:$C$251,0)),"")</f>
        <v>Dillingham (CA)</v>
      </c>
      <c r="O193" s="369" t="str">
        <f t="array" ref="O193">IFERROR(INDEX(UtilityList!$L$4:$L$251,MATCH('Table 2.1a'!$A193&amp;'Table 2.1a'!$B193&amp;'Table 2.1a'!$C193,UtilityList!$A$4:$A$251&amp;UtilityList!$B$4:$B$251&amp;UtilityList!$C$4:$C$251,0)),"")</f>
        <v>Bristol Bay</v>
      </c>
      <c r="P193" s="369" t="str">
        <f t="array" ref="P193">IFERROR(INDEX(UtilityList!$M$4:$M$251,MATCH('Table 2.1a'!$A193&amp;'Table 2.1a'!$B193&amp;'Table 2.1a'!$C193,UtilityList!$A$4:$A$251&amp;UtilityList!$B$4:$B$251&amp;UtilityList!$C$4:$C$251,0)),"")</f>
        <v>SW</v>
      </c>
    </row>
    <row r="194" spans="1:16" s="344" customFormat="1" x14ac:dyDescent="0.25">
      <c r="A194" s="619" t="s">
        <v>272</v>
      </c>
      <c r="B194" s="361" t="s">
        <v>273</v>
      </c>
      <c r="C194" s="350" t="s">
        <v>273</v>
      </c>
      <c r="D194" s="620">
        <v>300</v>
      </c>
      <c r="E194" s="621">
        <v>0</v>
      </c>
      <c r="F194" s="621">
        <v>300</v>
      </c>
      <c r="G194" s="621">
        <v>0</v>
      </c>
      <c r="H194" s="621">
        <v>0</v>
      </c>
      <c r="I194" s="452" t="s">
        <v>1022</v>
      </c>
      <c r="J194" s="622" t="str">
        <f t="array" ref="J194">IFERROR(INDEX(UtilityList!$H$4:$H$251,MATCH('Table 2.1a'!$A194&amp;'Table 2.1a'!$B194&amp;'Table 2.1a'!$C194,UtilityList!$A$4:$A$251&amp;UtilityList!$B$4:$B$251&amp;UtilityList!$C$4:$C$251,0)),"")</f>
        <v>PCE Eligible Active</v>
      </c>
      <c r="K194" s="709">
        <f t="array" ref="K194">IFERROR(INDEX(UtilityList!$Q$4:$Q$251,MATCH('Table 2.1a'!$A194&amp;'Table 2.1a'!$B194&amp;'Table 2.1a'!$C194,UtilityList!$A$4:$A$251&amp;UtilityList!$B$4:$B$251&amp;UtilityList!$C$4:$C$251,0)),"")</f>
        <v>0</v>
      </c>
      <c r="L194" s="622" t="str">
        <f t="array" ref="L194">IFERROR(INDEX(UtilityList!$I$4:$I$251,MATCH('Table 2.1a'!$A194&amp;'Table 2.1a'!$B194&amp;'Table 2.1a'!$C194,UtilityList!$A$4:$A$251&amp;UtilityList!$B$4:$B$251&amp;UtilityList!$C$4:$C$251,0)),"")</f>
        <v>NIKO</v>
      </c>
      <c r="M194" s="369" t="str">
        <f t="array" ref="M194">IFERROR(INDEX(UtilityList!$J$4:$J$251,MATCH('Table 2.1a'!$A194&amp;'Table 2.1a'!$B194&amp;'Table 2.1a'!$C194,UtilityList!$A$4:$A$251&amp;UtilityList!$B$4:$B$251&amp;UtilityList!$C$4:$C$251,0)),"")</f>
        <v>Yukon-Koyukuk/Upper Tanana</v>
      </c>
      <c r="N194" s="369" t="str">
        <f t="array" ref="N194">IFERROR(INDEX(UtilityList!$K$4:$K$251,MATCH('Table 2.1a'!$A194&amp;'Table 2.1a'!$B194&amp;'Table 2.1a'!$C194,UtilityList!$A$4:$A$251&amp;UtilityList!$B$4:$B$251&amp;UtilityList!$C$4:$C$251,0)),"")</f>
        <v>Yukon-Koyukuk (CA)</v>
      </c>
      <c r="O194" s="369" t="str">
        <f t="array" ref="O194">IFERROR(INDEX(UtilityList!$L$4:$L$251,MATCH('Table 2.1a'!$A194&amp;'Table 2.1a'!$B194&amp;'Table 2.1a'!$C194,UtilityList!$A$4:$A$251&amp;UtilityList!$B$4:$B$251&amp;UtilityList!$C$4:$C$251,0)),"")</f>
        <v>Doyon</v>
      </c>
      <c r="P194" s="369" t="str">
        <f t="array" ref="P194">IFERROR(INDEX(UtilityList!$M$4:$M$251,MATCH('Table 2.1a'!$A194&amp;'Table 2.1a'!$B194&amp;'Table 2.1a'!$C194,UtilityList!$A$4:$A$251&amp;UtilityList!$B$4:$B$251&amp;UtilityList!$C$4:$C$251,0)),"")</f>
        <v>SW</v>
      </c>
    </row>
    <row r="195" spans="1:16" s="344" customFormat="1" x14ac:dyDescent="0.25">
      <c r="A195" s="619" t="s">
        <v>274</v>
      </c>
      <c r="B195" s="361" t="s">
        <v>275</v>
      </c>
      <c r="C195" s="350" t="s">
        <v>276</v>
      </c>
      <c r="D195" s="620">
        <v>20500</v>
      </c>
      <c r="E195" s="621">
        <v>0</v>
      </c>
      <c r="F195" s="621">
        <v>20500</v>
      </c>
      <c r="G195" s="621">
        <v>0</v>
      </c>
      <c r="H195" s="621">
        <v>0</v>
      </c>
      <c r="I195" s="452" t="s">
        <v>1020</v>
      </c>
      <c r="J195" s="622" t="str">
        <f t="array" ref="J195">IFERROR(INDEX(UtilityList!$H$4:$H$251,MATCH('Table 2.1a'!$A195&amp;'Table 2.1a'!$B195&amp;'Table 2.1a'!$C195,UtilityList!$A$4:$A$251&amp;UtilityList!$B$4:$B$251&amp;UtilityList!$C$4:$C$251,0)),"")</f>
        <v>PCE Eligible Active</v>
      </c>
      <c r="K195" s="709">
        <f t="array" ref="K195">IFERROR(INDEX(UtilityList!$Q$4:$Q$251,MATCH('Table 2.1a'!$A195&amp;'Table 2.1a'!$B195&amp;'Table 2.1a'!$C195,UtilityList!$A$4:$A$251&amp;UtilityList!$B$4:$B$251&amp;UtilityList!$C$4:$C$251,0)),"")</f>
        <v>0</v>
      </c>
      <c r="L195" s="622" t="str">
        <f t="array" ref="L195">IFERROR(INDEX(UtilityList!$I$4:$I$251,MATCH('Table 2.1a'!$A195&amp;'Table 2.1a'!$B195&amp;'Table 2.1a'!$C195,UtilityList!$A$4:$A$251&amp;UtilityList!$B$4:$B$251&amp;UtilityList!$C$4:$C$251,0)),"")</f>
        <v>NOME</v>
      </c>
      <c r="M195" s="369" t="str">
        <f t="array" ref="M195">IFERROR(INDEX(UtilityList!$J$4:$J$251,MATCH('Table 2.1a'!$A195&amp;'Table 2.1a'!$B195&amp;'Table 2.1a'!$C195,UtilityList!$A$4:$A$251&amp;UtilityList!$B$4:$B$251&amp;UtilityList!$C$4:$C$251,0)),"")</f>
        <v>Bering Straits</v>
      </c>
      <c r="N195" s="369" t="str">
        <f t="array" ref="N195">IFERROR(INDEX(UtilityList!$K$4:$K$251,MATCH('Table 2.1a'!$A195&amp;'Table 2.1a'!$B195&amp;'Table 2.1a'!$C195,UtilityList!$A$4:$A$251&amp;UtilityList!$B$4:$B$251&amp;UtilityList!$C$4:$C$251,0)),"")</f>
        <v>Nome (CA)</v>
      </c>
      <c r="O195" s="369" t="str">
        <f t="array" ref="O195">IFERROR(INDEX(UtilityList!$L$4:$L$251,MATCH('Table 2.1a'!$A195&amp;'Table 2.1a'!$B195&amp;'Table 2.1a'!$C195,UtilityList!$A$4:$A$251&amp;UtilityList!$B$4:$B$251&amp;UtilityList!$C$4:$C$251,0)),"")</f>
        <v>Bering Straits</v>
      </c>
      <c r="P195" s="369" t="str">
        <f t="array" ref="P195">IFERROR(INDEX(UtilityList!$M$4:$M$251,MATCH('Table 2.1a'!$A195&amp;'Table 2.1a'!$B195&amp;'Table 2.1a'!$C195,UtilityList!$A$4:$A$251&amp;UtilityList!$B$4:$B$251&amp;UtilityList!$C$4:$C$251,0)),"")</f>
        <v>AN</v>
      </c>
    </row>
    <row r="196" spans="1:16" s="344" customFormat="1" x14ac:dyDescent="0.25">
      <c r="A196" s="619" t="s">
        <v>277</v>
      </c>
      <c r="B196" s="361" t="s">
        <v>278</v>
      </c>
      <c r="C196" s="350" t="s">
        <v>278</v>
      </c>
      <c r="D196" s="620">
        <v>2800</v>
      </c>
      <c r="E196" s="621">
        <v>0</v>
      </c>
      <c r="F196" s="621">
        <v>2800</v>
      </c>
      <c r="G196" s="621">
        <v>0</v>
      </c>
      <c r="H196" s="621">
        <v>0</v>
      </c>
      <c r="I196" s="452" t="s">
        <v>1020</v>
      </c>
      <c r="J196" s="622" t="str">
        <f t="array" ref="J196">IFERROR(INDEX(UtilityList!$H$4:$H$251,MATCH('Table 2.1a'!$A196&amp;'Table 2.1a'!$B196&amp;'Table 2.1a'!$C196,UtilityList!$A$4:$A$251&amp;UtilityList!$B$4:$B$251&amp;UtilityList!$C$4:$C$251,0)),"")</f>
        <v>PCE Eligible Active</v>
      </c>
      <c r="K196" s="709">
        <f t="array" ref="K196">IFERROR(INDEX(UtilityList!$Q$4:$Q$251,MATCH('Table 2.1a'!$A196&amp;'Table 2.1a'!$B196&amp;'Table 2.1a'!$C196,UtilityList!$A$4:$A$251&amp;UtilityList!$B$4:$B$251&amp;UtilityList!$C$4:$C$251,0)),"")</f>
        <v>0</v>
      </c>
      <c r="L196" s="622" t="str">
        <f t="array" ref="L196">IFERROR(INDEX(UtilityList!$I$4:$I$251,MATCH('Table 2.1a'!$A196&amp;'Table 2.1a'!$B196&amp;'Table 2.1a'!$C196,UtilityList!$A$4:$A$251&amp;UtilityList!$B$4:$B$251&amp;UtilityList!$C$4:$C$251,0)),"")</f>
        <v>NORTSB</v>
      </c>
      <c r="M196" s="369" t="str">
        <f t="array" ref="M196">IFERROR(INDEX(UtilityList!$J$4:$J$251,MATCH('Table 2.1a'!$A196&amp;'Table 2.1a'!$B196&amp;'Table 2.1a'!$C196,UtilityList!$A$4:$A$251&amp;UtilityList!$B$4:$B$251&amp;UtilityList!$C$4:$C$251,0)),"")</f>
        <v>North Slope</v>
      </c>
      <c r="N196" s="369" t="str">
        <f t="array" ref="N196">IFERROR(INDEX(UtilityList!$K$4:$K$251,MATCH('Table 2.1a'!$A196&amp;'Table 2.1a'!$B196&amp;'Table 2.1a'!$C196,UtilityList!$A$4:$A$251&amp;UtilityList!$B$4:$B$251&amp;UtilityList!$C$4:$C$251,0)),"")</f>
        <v>North Slope</v>
      </c>
      <c r="O196" s="369" t="str">
        <f t="array" ref="O196">IFERROR(INDEX(UtilityList!$L$4:$L$251,MATCH('Table 2.1a'!$A196&amp;'Table 2.1a'!$B196&amp;'Table 2.1a'!$C196,UtilityList!$A$4:$A$251&amp;UtilityList!$B$4:$B$251&amp;UtilityList!$C$4:$C$251,0)),"")</f>
        <v>Arctic Slope</v>
      </c>
      <c r="P196" s="369" t="str">
        <f t="array" ref="P196">IFERROR(INDEX(UtilityList!$M$4:$M$251,MATCH('Table 2.1a'!$A196&amp;'Table 2.1a'!$B196&amp;'Table 2.1a'!$C196,UtilityList!$A$4:$A$251&amp;UtilityList!$B$4:$B$251&amp;UtilityList!$C$4:$C$251,0)),"")</f>
        <v>AN</v>
      </c>
    </row>
    <row r="197" spans="1:16" s="344" customFormat="1" x14ac:dyDescent="0.25">
      <c r="A197" s="619" t="s">
        <v>277</v>
      </c>
      <c r="B197" s="350" t="s">
        <v>279</v>
      </c>
      <c r="C197" s="350" t="s">
        <v>279</v>
      </c>
      <c r="D197" s="620">
        <v>3200</v>
      </c>
      <c r="E197" s="621">
        <v>0</v>
      </c>
      <c r="F197" s="621">
        <v>3200</v>
      </c>
      <c r="G197" s="621">
        <v>0</v>
      </c>
      <c r="H197" s="621">
        <v>0</v>
      </c>
      <c r="I197" s="452" t="s">
        <v>1020</v>
      </c>
      <c r="J197" s="622" t="str">
        <f t="array" ref="J197">IFERROR(INDEX(UtilityList!$H$4:$H$251,MATCH('Table 2.1a'!$A197&amp;'Table 2.1a'!$B197&amp;'Table 2.1a'!$C197,UtilityList!$A$4:$A$251&amp;UtilityList!$B$4:$B$251&amp;UtilityList!$C$4:$C$251,0)),"")</f>
        <v>PCE Eligible Active</v>
      </c>
      <c r="K197" s="709">
        <f t="array" ref="K197">IFERROR(INDEX(UtilityList!$Q$4:$Q$251,MATCH('Table 2.1a'!$A197&amp;'Table 2.1a'!$B197&amp;'Table 2.1a'!$C197,UtilityList!$A$4:$A$251&amp;UtilityList!$B$4:$B$251&amp;UtilityList!$C$4:$C$251,0)),"")</f>
        <v>0</v>
      </c>
      <c r="L197" s="622" t="str">
        <f t="array" ref="L197">IFERROR(INDEX(UtilityList!$I$4:$I$251,MATCH('Table 2.1a'!$A197&amp;'Table 2.1a'!$B197&amp;'Table 2.1a'!$C197,UtilityList!$A$4:$A$251&amp;UtilityList!$B$4:$B$251&amp;UtilityList!$C$4:$C$251,0)),"")</f>
        <v>NORTSB</v>
      </c>
      <c r="M197" s="369" t="str">
        <f t="array" ref="M197">IFERROR(INDEX(UtilityList!$J$4:$J$251,MATCH('Table 2.1a'!$A197&amp;'Table 2.1a'!$B197&amp;'Table 2.1a'!$C197,UtilityList!$A$4:$A$251&amp;UtilityList!$B$4:$B$251&amp;UtilityList!$C$4:$C$251,0)),"")</f>
        <v>North Slope</v>
      </c>
      <c r="N197" s="369" t="str">
        <f t="array" ref="N197">IFERROR(INDEX(UtilityList!$K$4:$K$251,MATCH('Table 2.1a'!$A197&amp;'Table 2.1a'!$B197&amp;'Table 2.1a'!$C197,UtilityList!$A$4:$A$251&amp;UtilityList!$B$4:$B$251&amp;UtilityList!$C$4:$C$251,0)),"")</f>
        <v>North Slope</v>
      </c>
      <c r="O197" s="369" t="str">
        <f t="array" ref="O197">IFERROR(INDEX(UtilityList!$L$4:$L$251,MATCH('Table 2.1a'!$A197&amp;'Table 2.1a'!$B197&amp;'Table 2.1a'!$C197,UtilityList!$A$4:$A$251&amp;UtilityList!$B$4:$B$251&amp;UtilityList!$C$4:$C$251,0)),"")</f>
        <v>Arctic Slope</v>
      </c>
      <c r="P197" s="369" t="str">
        <f t="array" ref="P197">IFERROR(INDEX(UtilityList!$M$4:$M$251,MATCH('Table 2.1a'!$A197&amp;'Table 2.1a'!$B197&amp;'Table 2.1a'!$C197,UtilityList!$A$4:$A$251&amp;UtilityList!$B$4:$B$251&amp;UtilityList!$C$4:$C$251,0)),"")</f>
        <v>AN</v>
      </c>
    </row>
    <row r="198" spans="1:16" s="344" customFormat="1" x14ac:dyDescent="0.25">
      <c r="A198" s="619" t="s">
        <v>277</v>
      </c>
      <c r="B198" s="361" t="s">
        <v>280</v>
      </c>
      <c r="C198" s="350" t="s">
        <v>280</v>
      </c>
      <c r="D198" s="620">
        <v>2600</v>
      </c>
      <c r="E198" s="621">
        <v>0</v>
      </c>
      <c r="F198" s="621">
        <v>2600</v>
      </c>
      <c r="G198" s="621">
        <v>0</v>
      </c>
      <c r="H198" s="621">
        <v>0</v>
      </c>
      <c r="I198" s="452" t="s">
        <v>1020</v>
      </c>
      <c r="J198" s="622" t="str">
        <f t="array" ref="J198">IFERROR(INDEX(UtilityList!$H$4:$H$251,MATCH('Table 2.1a'!$A198&amp;'Table 2.1a'!$B198&amp;'Table 2.1a'!$C198,UtilityList!$A$4:$A$251&amp;UtilityList!$B$4:$B$251&amp;UtilityList!$C$4:$C$251,0)),"")</f>
        <v>PCE Eligible Active</v>
      </c>
      <c r="K198" s="709">
        <f t="array" ref="K198">IFERROR(INDEX(UtilityList!$Q$4:$Q$251,MATCH('Table 2.1a'!$A198&amp;'Table 2.1a'!$B198&amp;'Table 2.1a'!$C198,UtilityList!$A$4:$A$251&amp;UtilityList!$B$4:$B$251&amp;UtilityList!$C$4:$C$251,0)),"")</f>
        <v>0</v>
      </c>
      <c r="L198" s="622" t="str">
        <f t="array" ref="L198">IFERROR(INDEX(UtilityList!$I$4:$I$251,MATCH('Table 2.1a'!$A198&amp;'Table 2.1a'!$B198&amp;'Table 2.1a'!$C198,UtilityList!$A$4:$A$251&amp;UtilityList!$B$4:$B$251&amp;UtilityList!$C$4:$C$251,0)),"")</f>
        <v>NORTSB</v>
      </c>
      <c r="M198" s="369" t="str">
        <f t="array" ref="M198">IFERROR(INDEX(UtilityList!$J$4:$J$251,MATCH('Table 2.1a'!$A198&amp;'Table 2.1a'!$B198&amp;'Table 2.1a'!$C198,UtilityList!$A$4:$A$251&amp;UtilityList!$B$4:$B$251&amp;UtilityList!$C$4:$C$251,0)),"")</f>
        <v>North Slope</v>
      </c>
      <c r="N198" s="369" t="str">
        <f t="array" ref="N198">IFERROR(INDEX(UtilityList!$K$4:$K$251,MATCH('Table 2.1a'!$A198&amp;'Table 2.1a'!$B198&amp;'Table 2.1a'!$C198,UtilityList!$A$4:$A$251&amp;UtilityList!$B$4:$B$251&amp;UtilityList!$C$4:$C$251,0)),"")</f>
        <v>North Slope</v>
      </c>
      <c r="O198" s="369" t="str">
        <f t="array" ref="O198">IFERROR(INDEX(UtilityList!$L$4:$L$251,MATCH('Table 2.1a'!$A198&amp;'Table 2.1a'!$B198&amp;'Table 2.1a'!$C198,UtilityList!$A$4:$A$251&amp;UtilityList!$B$4:$B$251&amp;UtilityList!$C$4:$C$251,0)),"")</f>
        <v>Arctic Slope</v>
      </c>
      <c r="P198" s="369" t="str">
        <f t="array" ref="P198">IFERROR(INDEX(UtilityList!$M$4:$M$251,MATCH('Table 2.1a'!$A198&amp;'Table 2.1a'!$B198&amp;'Table 2.1a'!$C198,UtilityList!$A$4:$A$251&amp;UtilityList!$B$4:$B$251&amp;UtilityList!$C$4:$C$251,0)),"")</f>
        <v>AN</v>
      </c>
    </row>
    <row r="199" spans="1:16" s="344" customFormat="1" x14ac:dyDescent="0.25">
      <c r="A199" s="619" t="s">
        <v>277</v>
      </c>
      <c r="B199" s="361" t="s">
        <v>281</v>
      </c>
      <c r="C199" s="350" t="s">
        <v>281</v>
      </c>
      <c r="D199" s="620">
        <v>4200</v>
      </c>
      <c r="E199" s="621">
        <v>0</v>
      </c>
      <c r="F199" s="621">
        <v>4200</v>
      </c>
      <c r="G199" s="621">
        <v>0</v>
      </c>
      <c r="H199" s="621">
        <v>0</v>
      </c>
      <c r="I199" s="452" t="s">
        <v>1020</v>
      </c>
      <c r="J199" s="622" t="str">
        <f t="array" ref="J199">IFERROR(INDEX(UtilityList!$H$4:$H$251,MATCH('Table 2.1a'!$A199&amp;'Table 2.1a'!$B199&amp;'Table 2.1a'!$C199,UtilityList!$A$4:$A$251&amp;UtilityList!$B$4:$B$251&amp;UtilityList!$C$4:$C$251,0)),"")</f>
        <v>PCE Eligible Active</v>
      </c>
      <c r="K199" s="709">
        <f t="array" ref="K199">IFERROR(INDEX(UtilityList!$Q$4:$Q$251,MATCH('Table 2.1a'!$A199&amp;'Table 2.1a'!$B199&amp;'Table 2.1a'!$C199,UtilityList!$A$4:$A$251&amp;UtilityList!$B$4:$B$251&amp;UtilityList!$C$4:$C$251,0)),"")</f>
        <v>0</v>
      </c>
      <c r="L199" s="622" t="str">
        <f t="array" ref="L199">IFERROR(INDEX(UtilityList!$I$4:$I$251,MATCH('Table 2.1a'!$A199&amp;'Table 2.1a'!$B199&amp;'Table 2.1a'!$C199,UtilityList!$A$4:$A$251&amp;UtilityList!$B$4:$B$251&amp;UtilityList!$C$4:$C$251,0)),"")</f>
        <v>NORTSB</v>
      </c>
      <c r="M199" s="369" t="str">
        <f t="array" ref="M199">IFERROR(INDEX(UtilityList!$J$4:$J$251,MATCH('Table 2.1a'!$A199&amp;'Table 2.1a'!$B199&amp;'Table 2.1a'!$C199,UtilityList!$A$4:$A$251&amp;UtilityList!$B$4:$B$251&amp;UtilityList!$C$4:$C$251,0)),"")</f>
        <v>North Slope</v>
      </c>
      <c r="N199" s="369" t="str">
        <f t="array" ref="N199">IFERROR(INDEX(UtilityList!$K$4:$K$251,MATCH('Table 2.1a'!$A199&amp;'Table 2.1a'!$B199&amp;'Table 2.1a'!$C199,UtilityList!$A$4:$A$251&amp;UtilityList!$B$4:$B$251&amp;UtilityList!$C$4:$C$251,0)),"")</f>
        <v>North Slope</v>
      </c>
      <c r="O199" s="369" t="str">
        <f t="array" ref="O199">IFERROR(INDEX(UtilityList!$L$4:$L$251,MATCH('Table 2.1a'!$A199&amp;'Table 2.1a'!$B199&amp;'Table 2.1a'!$C199,UtilityList!$A$4:$A$251&amp;UtilityList!$B$4:$B$251&amp;UtilityList!$C$4:$C$251,0)),"")</f>
        <v>Arctic Slope</v>
      </c>
      <c r="P199" s="369" t="str">
        <f t="array" ref="P199">IFERROR(INDEX(UtilityList!$M$4:$M$251,MATCH('Table 2.1a'!$A199&amp;'Table 2.1a'!$B199&amp;'Table 2.1a'!$C199,UtilityList!$A$4:$A$251&amp;UtilityList!$B$4:$B$251&amp;UtilityList!$C$4:$C$251,0)),"")</f>
        <v>AN</v>
      </c>
    </row>
    <row r="200" spans="1:16" s="344" customFormat="1" x14ac:dyDescent="0.25">
      <c r="A200" s="619" t="s">
        <v>277</v>
      </c>
      <c r="B200" s="361" t="s">
        <v>282</v>
      </c>
      <c r="C200" s="350" t="s">
        <v>282</v>
      </c>
      <c r="D200" s="620">
        <v>2700</v>
      </c>
      <c r="E200" s="621">
        <v>0</v>
      </c>
      <c r="F200" s="621">
        <v>2700</v>
      </c>
      <c r="G200" s="621">
        <v>0</v>
      </c>
      <c r="H200" s="621">
        <v>0</v>
      </c>
      <c r="I200" s="452" t="s">
        <v>1020</v>
      </c>
      <c r="J200" s="622" t="str">
        <f t="array" ref="J200">IFERROR(INDEX(UtilityList!$H$4:$H$251,MATCH('Table 2.1a'!$A200&amp;'Table 2.1a'!$B200&amp;'Table 2.1a'!$C200,UtilityList!$A$4:$A$251&amp;UtilityList!$B$4:$B$251&amp;UtilityList!$C$4:$C$251,0)),"")</f>
        <v>PCE Eligible Active</v>
      </c>
      <c r="K200" s="709">
        <f t="array" ref="K200">IFERROR(INDEX(UtilityList!$Q$4:$Q$251,MATCH('Table 2.1a'!$A200&amp;'Table 2.1a'!$B200&amp;'Table 2.1a'!$C200,UtilityList!$A$4:$A$251&amp;UtilityList!$B$4:$B$251&amp;UtilityList!$C$4:$C$251,0)),"")</f>
        <v>0</v>
      </c>
      <c r="L200" s="622" t="str">
        <f t="array" ref="L200">IFERROR(INDEX(UtilityList!$I$4:$I$251,MATCH('Table 2.1a'!$A200&amp;'Table 2.1a'!$B200&amp;'Table 2.1a'!$C200,UtilityList!$A$4:$A$251&amp;UtilityList!$B$4:$B$251&amp;UtilityList!$C$4:$C$251,0)),"")</f>
        <v>NORTSB</v>
      </c>
      <c r="M200" s="369" t="str">
        <f t="array" ref="M200">IFERROR(INDEX(UtilityList!$J$4:$J$251,MATCH('Table 2.1a'!$A200&amp;'Table 2.1a'!$B200&amp;'Table 2.1a'!$C200,UtilityList!$A$4:$A$251&amp;UtilityList!$B$4:$B$251&amp;UtilityList!$C$4:$C$251,0)),"")</f>
        <v>North Slope</v>
      </c>
      <c r="N200" s="369" t="str">
        <f t="array" ref="N200">IFERROR(INDEX(UtilityList!$K$4:$K$251,MATCH('Table 2.1a'!$A200&amp;'Table 2.1a'!$B200&amp;'Table 2.1a'!$C200,UtilityList!$A$4:$A$251&amp;UtilityList!$B$4:$B$251&amp;UtilityList!$C$4:$C$251,0)),"")</f>
        <v>North Slope</v>
      </c>
      <c r="O200" s="369" t="str">
        <f t="array" ref="O200">IFERROR(INDEX(UtilityList!$L$4:$L$251,MATCH('Table 2.1a'!$A200&amp;'Table 2.1a'!$B200&amp;'Table 2.1a'!$C200,UtilityList!$A$4:$A$251&amp;UtilityList!$B$4:$B$251&amp;UtilityList!$C$4:$C$251,0)),"")</f>
        <v>Arctic Slope</v>
      </c>
      <c r="P200" s="369" t="str">
        <f t="array" ref="P200">IFERROR(INDEX(UtilityList!$M$4:$M$251,MATCH('Table 2.1a'!$A200&amp;'Table 2.1a'!$B200&amp;'Table 2.1a'!$C200,UtilityList!$A$4:$A$251&amp;UtilityList!$B$4:$B$251&amp;UtilityList!$C$4:$C$251,0)),"")</f>
        <v>AN</v>
      </c>
    </row>
    <row r="201" spans="1:16" s="344" customFormat="1" x14ac:dyDescent="0.25">
      <c r="A201" s="619" t="s">
        <v>277</v>
      </c>
      <c r="B201" s="361" t="s">
        <v>283</v>
      </c>
      <c r="C201" s="350" t="s">
        <v>283</v>
      </c>
      <c r="D201" s="620">
        <v>1800</v>
      </c>
      <c r="E201" s="621">
        <v>0</v>
      </c>
      <c r="F201" s="621">
        <v>1800</v>
      </c>
      <c r="G201" s="621">
        <v>0</v>
      </c>
      <c r="H201" s="621">
        <v>0</v>
      </c>
      <c r="I201" s="452" t="s">
        <v>1020</v>
      </c>
      <c r="J201" s="622" t="str">
        <f t="array" ref="J201">IFERROR(INDEX(UtilityList!$H$4:$H$251,MATCH('Table 2.1a'!$A201&amp;'Table 2.1a'!$B201&amp;'Table 2.1a'!$C201,UtilityList!$A$4:$A$251&amp;UtilityList!$B$4:$B$251&amp;UtilityList!$C$4:$C$251,0)),"")</f>
        <v>PCE Eligible Active</v>
      </c>
      <c r="K201" s="709">
        <f t="array" ref="K201">IFERROR(INDEX(UtilityList!$Q$4:$Q$251,MATCH('Table 2.1a'!$A201&amp;'Table 2.1a'!$B201&amp;'Table 2.1a'!$C201,UtilityList!$A$4:$A$251&amp;UtilityList!$B$4:$B$251&amp;UtilityList!$C$4:$C$251,0)),"")</f>
        <v>0</v>
      </c>
      <c r="L201" s="622" t="str">
        <f t="array" ref="L201">IFERROR(INDEX(UtilityList!$I$4:$I$251,MATCH('Table 2.1a'!$A201&amp;'Table 2.1a'!$B201&amp;'Table 2.1a'!$C201,UtilityList!$A$4:$A$251&amp;UtilityList!$B$4:$B$251&amp;UtilityList!$C$4:$C$251,0)),"")</f>
        <v>NORTSB</v>
      </c>
      <c r="M201" s="369" t="str">
        <f t="array" ref="M201">IFERROR(INDEX(UtilityList!$J$4:$J$251,MATCH('Table 2.1a'!$A201&amp;'Table 2.1a'!$B201&amp;'Table 2.1a'!$C201,UtilityList!$A$4:$A$251&amp;UtilityList!$B$4:$B$251&amp;UtilityList!$C$4:$C$251,0)),"")</f>
        <v>North Slope</v>
      </c>
      <c r="N201" s="369" t="str">
        <f t="array" ref="N201">IFERROR(INDEX(UtilityList!$K$4:$K$251,MATCH('Table 2.1a'!$A201&amp;'Table 2.1a'!$B201&amp;'Table 2.1a'!$C201,UtilityList!$A$4:$A$251&amp;UtilityList!$B$4:$B$251&amp;UtilityList!$C$4:$C$251,0)),"")</f>
        <v>North Slope</v>
      </c>
      <c r="O201" s="369" t="str">
        <f t="array" ref="O201">IFERROR(INDEX(UtilityList!$L$4:$L$251,MATCH('Table 2.1a'!$A201&amp;'Table 2.1a'!$B201&amp;'Table 2.1a'!$C201,UtilityList!$A$4:$A$251&amp;UtilityList!$B$4:$B$251&amp;UtilityList!$C$4:$C$251,0)),"")</f>
        <v>Arctic Slope</v>
      </c>
      <c r="P201" s="369" t="str">
        <f t="array" ref="P201">IFERROR(INDEX(UtilityList!$M$4:$M$251,MATCH('Table 2.1a'!$A201&amp;'Table 2.1a'!$B201&amp;'Table 2.1a'!$C201,UtilityList!$A$4:$A$251&amp;UtilityList!$B$4:$B$251&amp;UtilityList!$C$4:$C$251,0)),"")</f>
        <v>AN</v>
      </c>
    </row>
    <row r="202" spans="1:16" s="344" customFormat="1" x14ac:dyDescent="0.25">
      <c r="A202" s="619" t="s">
        <v>277</v>
      </c>
      <c r="B202" s="361" t="s">
        <v>284</v>
      </c>
      <c r="C202" s="350" t="s">
        <v>284</v>
      </c>
      <c r="D202" s="620">
        <v>3000</v>
      </c>
      <c r="E202" s="621">
        <v>0</v>
      </c>
      <c r="F202" s="621">
        <v>3000</v>
      </c>
      <c r="G202" s="621">
        <v>0</v>
      </c>
      <c r="H202" s="621">
        <v>0</v>
      </c>
      <c r="I202" s="452" t="s">
        <v>1020</v>
      </c>
      <c r="J202" s="622" t="str">
        <f t="array" ref="J202">IFERROR(INDEX(UtilityList!$H$4:$H$251,MATCH('Table 2.1a'!$A202&amp;'Table 2.1a'!$B202&amp;'Table 2.1a'!$C202,UtilityList!$A$4:$A$251&amp;UtilityList!$B$4:$B$251&amp;UtilityList!$C$4:$C$251,0)),"")</f>
        <v>PCE Eligible Active</v>
      </c>
      <c r="K202" s="709">
        <f t="array" ref="K202">IFERROR(INDEX(UtilityList!$Q$4:$Q$251,MATCH('Table 2.1a'!$A202&amp;'Table 2.1a'!$B202&amp;'Table 2.1a'!$C202,UtilityList!$A$4:$A$251&amp;UtilityList!$B$4:$B$251&amp;UtilityList!$C$4:$C$251,0)),"")</f>
        <v>0</v>
      </c>
      <c r="L202" s="622" t="str">
        <f t="array" ref="L202">IFERROR(INDEX(UtilityList!$I$4:$I$251,MATCH('Table 2.1a'!$A202&amp;'Table 2.1a'!$B202&amp;'Table 2.1a'!$C202,UtilityList!$A$4:$A$251&amp;UtilityList!$B$4:$B$251&amp;UtilityList!$C$4:$C$251,0)),"")</f>
        <v>NORTSB</v>
      </c>
      <c r="M202" s="369" t="str">
        <f t="array" ref="M202">IFERROR(INDEX(UtilityList!$J$4:$J$251,MATCH('Table 2.1a'!$A202&amp;'Table 2.1a'!$B202&amp;'Table 2.1a'!$C202,UtilityList!$A$4:$A$251&amp;UtilityList!$B$4:$B$251&amp;UtilityList!$C$4:$C$251,0)),"")</f>
        <v>North Slope</v>
      </c>
      <c r="N202" s="369" t="str">
        <f t="array" ref="N202">IFERROR(INDEX(UtilityList!$K$4:$K$251,MATCH('Table 2.1a'!$A202&amp;'Table 2.1a'!$B202&amp;'Table 2.1a'!$C202,UtilityList!$A$4:$A$251&amp;UtilityList!$B$4:$B$251&amp;UtilityList!$C$4:$C$251,0)),"")</f>
        <v>North Slope</v>
      </c>
      <c r="O202" s="369" t="str">
        <f t="array" ref="O202">IFERROR(INDEX(UtilityList!$L$4:$L$251,MATCH('Table 2.1a'!$A202&amp;'Table 2.1a'!$B202&amp;'Table 2.1a'!$C202,UtilityList!$A$4:$A$251&amp;UtilityList!$B$4:$B$251&amp;UtilityList!$C$4:$C$251,0)),"")</f>
        <v>Arctic Slope</v>
      </c>
      <c r="P202" s="369" t="str">
        <f t="array" ref="P202">IFERROR(INDEX(UtilityList!$M$4:$M$251,MATCH('Table 2.1a'!$A202&amp;'Table 2.1a'!$B202&amp;'Table 2.1a'!$C202,UtilityList!$A$4:$A$251&amp;UtilityList!$B$4:$B$251&amp;UtilityList!$C$4:$C$251,0)),"")</f>
        <v>AN</v>
      </c>
    </row>
    <row r="203" spans="1:16" s="344" customFormat="1" x14ac:dyDescent="0.25">
      <c r="A203" s="619" t="s">
        <v>285</v>
      </c>
      <c r="B203" s="361" t="s">
        <v>521</v>
      </c>
      <c r="C203" s="350" t="s">
        <v>286</v>
      </c>
      <c r="D203" s="620">
        <v>708</v>
      </c>
      <c r="E203" s="621">
        <v>0</v>
      </c>
      <c r="F203" s="621">
        <v>708</v>
      </c>
      <c r="G203" s="621">
        <v>0</v>
      </c>
      <c r="H203" s="621">
        <v>0</v>
      </c>
      <c r="I203" s="452" t="s">
        <v>1022</v>
      </c>
      <c r="J203" s="622" t="str">
        <f t="array" ref="J203">IFERROR(INDEX(UtilityList!$H$4:$H$251,MATCH('Table 2.1a'!$A203&amp;'Table 2.1a'!$B203&amp;'Table 2.1a'!$C203,UtilityList!$A$4:$A$251&amp;UtilityList!$B$4:$B$251&amp;UtilityList!$C$4:$C$251,0)),"")</f>
        <v>PCE Eligible Active</v>
      </c>
      <c r="K203" s="709">
        <f t="array" ref="K203">IFERROR(INDEX(UtilityList!$Q$4:$Q$251,MATCH('Table 2.1a'!$A203&amp;'Table 2.1a'!$B203&amp;'Table 2.1a'!$C203,UtilityList!$A$4:$A$251&amp;UtilityList!$B$4:$B$251&amp;UtilityList!$C$4:$C$251,0)),"")</f>
        <v>0</v>
      </c>
      <c r="L203" s="622" t="str">
        <f t="array" ref="L203">IFERROR(INDEX(UtilityList!$I$4:$I$251,MATCH('Table 2.1a'!$A203&amp;'Table 2.1a'!$B203&amp;'Table 2.1a'!$C203,UtilityList!$A$4:$A$251&amp;UtilityList!$B$4:$B$251&amp;UtilityList!$C$4:$C$251,0)),"")</f>
        <v>NUNAIEC</v>
      </c>
      <c r="M203" s="369" t="str">
        <f t="array" ref="M203">IFERROR(INDEX(UtilityList!$J$4:$J$251,MATCH('Table 2.1a'!$A203&amp;'Table 2.1a'!$B203&amp;'Table 2.1a'!$C203,UtilityList!$A$4:$A$251&amp;UtilityList!$B$4:$B$251&amp;UtilityList!$C$4:$C$251,0)),"")</f>
        <v>Lower Yukon-Kuskokwim</v>
      </c>
      <c r="N203" s="369" t="str">
        <f t="array" ref="N203">IFERROR(INDEX(UtilityList!$K$4:$K$251,MATCH('Table 2.1a'!$A203&amp;'Table 2.1a'!$B203&amp;'Table 2.1a'!$C203,UtilityList!$A$4:$A$251&amp;UtilityList!$B$4:$B$251&amp;UtilityList!$C$4:$C$251,0)),"")</f>
        <v>Wade Hampton (CA)</v>
      </c>
      <c r="O203" s="369" t="str">
        <f t="array" ref="O203">IFERROR(INDEX(UtilityList!$L$4:$L$251,MATCH('Table 2.1a'!$A203&amp;'Table 2.1a'!$B203&amp;'Table 2.1a'!$C203,UtilityList!$A$4:$A$251&amp;UtilityList!$B$4:$B$251&amp;UtilityList!$C$4:$C$251,0)),"")</f>
        <v>Calista</v>
      </c>
      <c r="P203" s="369" t="str">
        <f t="array" ref="P203">IFERROR(INDEX(UtilityList!$M$4:$M$251,MATCH('Table 2.1a'!$A203&amp;'Table 2.1a'!$B203&amp;'Table 2.1a'!$C203,UtilityList!$A$4:$A$251&amp;UtilityList!$B$4:$B$251&amp;UtilityList!$C$4:$C$251,0)),"")</f>
        <v>YU</v>
      </c>
    </row>
    <row r="204" spans="1:16" s="344" customFormat="1" ht="75" x14ac:dyDescent="0.25">
      <c r="A204" s="619" t="s">
        <v>536</v>
      </c>
      <c r="B204" s="361" t="s">
        <v>287</v>
      </c>
      <c r="C204" s="350" t="s">
        <v>687</v>
      </c>
      <c r="D204" s="620">
        <v>6600</v>
      </c>
      <c r="E204" s="621">
        <v>0</v>
      </c>
      <c r="F204" s="621">
        <v>6600</v>
      </c>
      <c r="G204" s="621">
        <v>0</v>
      </c>
      <c r="H204" s="621">
        <v>0</v>
      </c>
      <c r="I204" s="452" t="s">
        <v>1020</v>
      </c>
      <c r="J204" s="622" t="str">
        <f t="array" ref="J204">IFERROR(INDEX(UtilityList!$H$4:$H$251,MATCH('Table 2.1a'!$A204&amp;'Table 2.1a'!$B204&amp;'Table 2.1a'!$C204,UtilityList!$A$4:$A$251&amp;UtilityList!$B$4:$B$251&amp;UtilityList!$C$4:$C$251,0)),"")</f>
        <v>PCE Eligible Active</v>
      </c>
      <c r="K204" s="709" t="str">
        <f t="array" ref="K204">IFERROR(INDEX(UtilityList!$Q$4:$Q$251,MATCH('Table 2.1a'!$A204&amp;'Table 2.1a'!$B204&amp;'Table 2.1a'!$C204,UtilityList!$A$4:$A$251&amp;UtilityList!$B$4:$B$251&amp;UtilityList!$C$4:$C$251,0)),"")</f>
        <v>Provides power to Aleknagik via intertie. Data includes Aleknagik's information.</v>
      </c>
      <c r="L204" s="622" t="str">
        <f t="array" ref="L204">IFERROR(INDEX(UtilityList!$I$4:$I$251,MATCH('Table 2.1a'!$A204&amp;'Table 2.1a'!$B204&amp;'Table 2.1a'!$C204,UtilityList!$A$4:$A$251&amp;UtilityList!$B$4:$B$251&amp;UtilityList!$C$4:$C$251,0)),"")</f>
        <v>NETCI</v>
      </c>
      <c r="M204" s="369" t="str">
        <f t="array" ref="M204">IFERROR(INDEX(UtilityList!$J$4:$J$251,MATCH('Table 2.1a'!$A204&amp;'Table 2.1a'!$B204&amp;'Table 2.1a'!$C204,UtilityList!$A$4:$A$251&amp;UtilityList!$B$4:$B$251&amp;UtilityList!$C$4:$C$251,0)),"")</f>
        <v>Bristol Bay</v>
      </c>
      <c r="N204" s="369" t="str">
        <f t="array" ref="N204">IFERROR(INDEX(UtilityList!$K$4:$K$251,MATCH('Table 2.1a'!$A204&amp;'Table 2.1a'!$B204&amp;'Table 2.1a'!$C204,UtilityList!$A$4:$A$251&amp;UtilityList!$B$4:$B$251&amp;UtilityList!$C$4:$C$251,0)),"")</f>
        <v>Dillingham (CA)</v>
      </c>
      <c r="O204" s="369" t="str">
        <f t="array" ref="O204">IFERROR(INDEX(UtilityList!$L$4:$L$251,MATCH('Table 2.1a'!$A204&amp;'Table 2.1a'!$B204&amp;'Table 2.1a'!$C204,UtilityList!$A$4:$A$251&amp;UtilityList!$B$4:$B$251&amp;UtilityList!$C$4:$C$251,0)),"")</f>
        <v>Bristol Bay</v>
      </c>
      <c r="P204" s="369" t="str">
        <f t="array" ref="P204">IFERROR(INDEX(UtilityList!$M$4:$M$251,MATCH('Table 2.1a'!$A204&amp;'Table 2.1a'!$B204&amp;'Table 2.1a'!$C204,UtilityList!$A$4:$A$251&amp;UtilityList!$B$4:$B$251&amp;UtilityList!$C$4:$C$251,0)),"")</f>
        <v>SW</v>
      </c>
    </row>
    <row r="205" spans="1:16" s="344" customFormat="1" x14ac:dyDescent="0.25">
      <c r="A205" s="619" t="s">
        <v>288</v>
      </c>
      <c r="B205" s="361" t="s">
        <v>289</v>
      </c>
      <c r="C205" s="350" t="s">
        <v>289</v>
      </c>
      <c r="D205" s="620">
        <v>336</v>
      </c>
      <c r="E205" s="621">
        <v>0</v>
      </c>
      <c r="F205" s="621">
        <v>336</v>
      </c>
      <c r="G205" s="621">
        <v>0</v>
      </c>
      <c r="H205" s="621">
        <v>0</v>
      </c>
      <c r="I205" s="452" t="s">
        <v>1022</v>
      </c>
      <c r="J205" s="622" t="str">
        <f t="array" ref="J205">IFERROR(INDEX(UtilityList!$H$4:$H$251,MATCH('Table 2.1a'!$A205&amp;'Table 2.1a'!$B205&amp;'Table 2.1a'!$C205,UtilityList!$A$4:$A$251&amp;UtilityList!$B$4:$B$251&amp;UtilityList!$C$4:$C$251,0)),"")</f>
        <v>PCE Eligible Active</v>
      </c>
      <c r="K205" s="709">
        <f t="array" ref="K205">IFERROR(INDEX(UtilityList!$Q$4:$Q$251,MATCH('Table 2.1a'!$A205&amp;'Table 2.1a'!$B205&amp;'Table 2.1a'!$C205,UtilityList!$A$4:$A$251&amp;UtilityList!$B$4:$B$251&amp;UtilityList!$C$4:$C$251,0)),"")</f>
        <v>0</v>
      </c>
      <c r="L205" s="622" t="str">
        <f t="array" ref="L205">IFERROR(INDEX(UtilityList!$I$4:$I$251,MATCH('Table 2.1a'!$A205&amp;'Table 2.1a'!$B205&amp;'Table 2.1a'!$C205,UtilityList!$A$4:$A$251&amp;UtilityList!$B$4:$B$251&amp;UtilityList!$C$4:$C$251,0)),"")</f>
        <v>OUZI</v>
      </c>
      <c r="M205" s="369" t="str">
        <f t="array" ref="M205">IFERROR(INDEX(UtilityList!$J$4:$J$251,MATCH('Table 2.1a'!$A205&amp;'Table 2.1a'!$B205&amp;'Table 2.1a'!$C205,UtilityList!$A$4:$A$251&amp;UtilityList!$B$4:$B$251&amp;UtilityList!$C$4:$C$251,0)),"")</f>
        <v>Kodiak</v>
      </c>
      <c r="N205" s="369" t="str">
        <f t="array" ref="N205">IFERROR(INDEX(UtilityList!$K$4:$K$251,MATCH('Table 2.1a'!$A205&amp;'Table 2.1a'!$B205&amp;'Table 2.1a'!$C205,UtilityList!$A$4:$A$251&amp;UtilityList!$B$4:$B$251&amp;UtilityList!$C$4:$C$251,0)),"")</f>
        <v>Kodiak Island</v>
      </c>
      <c r="O205" s="369" t="str">
        <f t="array" ref="O205">IFERROR(INDEX(UtilityList!$L$4:$L$251,MATCH('Table 2.1a'!$A205&amp;'Table 2.1a'!$B205&amp;'Table 2.1a'!$C205,UtilityList!$A$4:$A$251&amp;UtilityList!$B$4:$B$251&amp;UtilityList!$C$4:$C$251,0)),"")</f>
        <v>Koniag</v>
      </c>
      <c r="P205" s="369" t="str">
        <f t="array" ref="P205">IFERROR(INDEX(UtilityList!$M$4:$M$251,MATCH('Table 2.1a'!$A205&amp;'Table 2.1a'!$B205&amp;'Table 2.1a'!$C205,UtilityList!$A$4:$A$251&amp;UtilityList!$B$4:$B$251&amp;UtilityList!$C$4:$C$251,0)),"")</f>
        <v>SC</v>
      </c>
    </row>
    <row r="206" spans="1:16" s="344" customFormat="1" x14ac:dyDescent="0.25">
      <c r="A206" s="619" t="s">
        <v>290</v>
      </c>
      <c r="B206" s="361" t="s">
        <v>291</v>
      </c>
      <c r="C206" s="350" t="s">
        <v>291</v>
      </c>
      <c r="D206" s="620">
        <v>211</v>
      </c>
      <c r="E206" s="621">
        <v>0</v>
      </c>
      <c r="F206" s="621">
        <v>211</v>
      </c>
      <c r="G206" s="621">
        <v>0</v>
      </c>
      <c r="H206" s="621">
        <v>0</v>
      </c>
      <c r="I206" s="452" t="s">
        <v>1022</v>
      </c>
      <c r="J206" s="622" t="str">
        <f t="array" ref="J206">IFERROR(INDEX(UtilityList!$H$4:$H$251,MATCH('Table 2.1a'!$A206&amp;'Table 2.1a'!$B206&amp;'Table 2.1a'!$C206,UtilityList!$A$4:$A$251&amp;UtilityList!$B$4:$B$251&amp;UtilityList!$C$4:$C$251,0)),"")</f>
        <v>PCE Eligible Active</v>
      </c>
      <c r="K206" s="709">
        <f t="array" ref="K206">IFERROR(INDEX(UtilityList!$Q$4:$Q$251,MATCH('Table 2.1a'!$A206&amp;'Table 2.1a'!$B206&amp;'Table 2.1a'!$C206,UtilityList!$A$4:$A$251&amp;UtilityList!$B$4:$B$251&amp;UtilityList!$C$4:$C$251,0)),"")</f>
        <v>0</v>
      </c>
      <c r="L206" s="622" t="str">
        <f t="array" ref="L206">IFERROR(INDEX(UtilityList!$I$4:$I$251,MATCH('Table 2.1a'!$A206&amp;'Table 2.1a'!$B206&amp;'Table 2.1a'!$C206,UtilityList!$A$4:$A$251&amp;UtilityList!$B$4:$B$251&amp;UtilityList!$C$4:$C$251,0)),"")</f>
        <v>PEDRBV</v>
      </c>
      <c r="M206" s="369" t="str">
        <f t="array" ref="M206">IFERROR(INDEX(UtilityList!$J$4:$J$251,MATCH('Table 2.1a'!$A206&amp;'Table 2.1a'!$B206&amp;'Table 2.1a'!$C206,UtilityList!$A$4:$A$251&amp;UtilityList!$B$4:$B$251&amp;UtilityList!$C$4:$C$251,0)),"")</f>
        <v>Bristol Bay</v>
      </c>
      <c r="N206" s="369" t="str">
        <f t="array" ref="N206">IFERROR(INDEX(UtilityList!$K$4:$K$251,MATCH('Table 2.1a'!$A206&amp;'Table 2.1a'!$B206&amp;'Table 2.1a'!$C206,UtilityList!$A$4:$A$251&amp;UtilityList!$B$4:$B$251&amp;UtilityList!$C$4:$C$251,0)),"")</f>
        <v>Lake and Peninsula</v>
      </c>
      <c r="O206" s="369" t="str">
        <f t="array" ref="O206">IFERROR(INDEX(UtilityList!$L$4:$L$251,MATCH('Table 2.1a'!$A206&amp;'Table 2.1a'!$B206&amp;'Table 2.1a'!$C206,UtilityList!$A$4:$A$251&amp;UtilityList!$B$4:$B$251&amp;UtilityList!$C$4:$C$251,0)),"")</f>
        <v>Bristol Bay</v>
      </c>
      <c r="P206" s="369" t="str">
        <f t="array" ref="P206">IFERROR(INDEX(UtilityList!$M$4:$M$251,MATCH('Table 2.1a'!$A206&amp;'Table 2.1a'!$B206&amp;'Table 2.1a'!$C206,UtilityList!$A$4:$A$251&amp;UtilityList!$B$4:$B$251&amp;UtilityList!$C$4:$C$251,0)),"")</f>
        <v>SW</v>
      </c>
    </row>
    <row r="207" spans="1:16" s="344" customFormat="1" x14ac:dyDescent="0.25">
      <c r="A207" s="619" t="s">
        <v>292</v>
      </c>
      <c r="B207" s="361" t="s">
        <v>293</v>
      </c>
      <c r="C207" s="350" t="s">
        <v>293</v>
      </c>
      <c r="D207" s="620">
        <v>2850</v>
      </c>
      <c r="E207" s="621">
        <v>0</v>
      </c>
      <c r="F207" s="621">
        <v>2200</v>
      </c>
      <c r="G207" s="621">
        <v>700</v>
      </c>
      <c r="H207" s="621">
        <v>0</v>
      </c>
      <c r="I207" s="452" t="s">
        <v>1020</v>
      </c>
      <c r="J207" s="622" t="str">
        <f t="array" ref="J207">IFERROR(INDEX(UtilityList!$H$4:$H$251,MATCH('Table 2.1a'!$A207&amp;'Table 2.1a'!$B207&amp;'Table 2.1a'!$C207,UtilityList!$A$4:$A$251&amp;UtilityList!$B$4:$B$251&amp;UtilityList!$C$4:$C$251,0)),"")</f>
        <v>PCE Eligible Active</v>
      </c>
      <c r="K207" s="709">
        <f t="array" ref="K207">IFERROR(INDEX(UtilityList!$Q$4:$Q$251,MATCH('Table 2.1a'!$A207&amp;'Table 2.1a'!$B207&amp;'Table 2.1a'!$C207,UtilityList!$A$4:$A$251&amp;UtilityList!$B$4:$B$251&amp;UtilityList!$C$4:$C$251,0)),"")</f>
        <v>0</v>
      </c>
      <c r="L207" s="622">
        <f t="array" ref="L207">IFERROR(INDEX(UtilityList!$I$4:$I$251,MATCH('Table 2.1a'!$A207&amp;'Table 2.1a'!$B207&amp;'Table 2.1a'!$C207,UtilityList!$A$4:$A$251&amp;UtilityList!$B$4:$B$251&amp;UtilityList!$C$4:$C$251,0)),"")</f>
        <v>0</v>
      </c>
      <c r="M207" s="369" t="str">
        <f t="array" ref="M207">IFERROR(INDEX(UtilityList!$J$4:$J$251,MATCH('Table 2.1a'!$A207&amp;'Table 2.1a'!$B207&amp;'Table 2.1a'!$C207,UtilityList!$A$4:$A$251&amp;UtilityList!$B$4:$B$251&amp;UtilityList!$C$4:$C$251,0)),"")</f>
        <v>Southeast</v>
      </c>
      <c r="N207" s="369" t="str">
        <f t="array" ref="N207">IFERROR(INDEX(UtilityList!$K$4:$K$251,MATCH('Table 2.1a'!$A207&amp;'Table 2.1a'!$B207&amp;'Table 2.1a'!$C207,UtilityList!$A$4:$A$251&amp;UtilityList!$B$4:$B$251&amp;UtilityList!$C$4:$C$251,0)),"")</f>
        <v>Hoonah-Angoon (CA)</v>
      </c>
      <c r="O207" s="369" t="str">
        <f t="array" ref="O207">IFERROR(INDEX(UtilityList!$L$4:$L$251,MATCH('Table 2.1a'!$A207&amp;'Table 2.1a'!$B207&amp;'Table 2.1a'!$C207,UtilityList!$A$4:$A$251&amp;UtilityList!$B$4:$B$251&amp;UtilityList!$C$4:$C$251,0)),"")</f>
        <v>Sealaska</v>
      </c>
      <c r="P207" s="369" t="str">
        <f t="array" ref="P207">IFERROR(INDEX(UtilityList!$M$4:$M$251,MATCH('Table 2.1a'!$A207&amp;'Table 2.1a'!$B207&amp;'Table 2.1a'!$C207,UtilityList!$A$4:$A$251&amp;UtilityList!$B$4:$B$251&amp;UtilityList!$C$4:$C$251,0)),"")</f>
        <v>SE</v>
      </c>
    </row>
    <row r="208" spans="1:16" s="344" customFormat="1" x14ac:dyDescent="0.25">
      <c r="A208" s="619" t="s">
        <v>294</v>
      </c>
      <c r="B208" s="339" t="s">
        <v>522</v>
      </c>
      <c r="C208" s="350" t="s">
        <v>295</v>
      </c>
      <c r="D208" s="620">
        <v>12700</v>
      </c>
      <c r="E208" s="621">
        <v>0</v>
      </c>
      <c r="F208" s="621">
        <v>10700</v>
      </c>
      <c r="G208" s="621">
        <v>2000</v>
      </c>
      <c r="H208" s="621">
        <v>0</v>
      </c>
      <c r="I208" s="452" t="s">
        <v>1020</v>
      </c>
      <c r="J208" s="622" t="str">
        <f t="array" ref="J208">IFERROR(INDEX(UtilityList!$H$4:$H$251,MATCH('Table 2.1a'!$A208&amp;'Table 2.1a'!$B208&amp;'Table 2.1a'!$C208,UtilityList!$A$4:$A$251&amp;UtilityList!$B$4:$B$251&amp;UtilityList!$C$4:$C$251,0)),"")</f>
        <v>PCE Ineligible</v>
      </c>
      <c r="K208" s="709">
        <f t="array" ref="K208">IFERROR(INDEX(UtilityList!$Q$4:$Q$251,MATCH('Table 2.1a'!$A208&amp;'Table 2.1a'!$B208&amp;'Table 2.1a'!$C208,UtilityList!$A$4:$A$251&amp;UtilityList!$B$4:$B$251&amp;UtilityList!$C$4:$C$251,0)),"")</f>
        <v>0</v>
      </c>
      <c r="L208" s="622" t="str">
        <f t="array" ref="L208">IFERROR(INDEX(UtilityList!$I$4:$I$251,MATCH('Table 2.1a'!$A208&amp;'Table 2.1a'!$B208&amp;'Table 2.1a'!$C208,UtilityList!$A$4:$A$251&amp;UtilityList!$B$4:$B$251&amp;UtilityList!$C$4:$C$251,0)),"")</f>
        <v>PETERSBURG</v>
      </c>
      <c r="M208" s="369" t="str">
        <f t="array" ref="M208">IFERROR(INDEX(UtilityList!$J$4:$J$251,MATCH('Table 2.1a'!$A208&amp;'Table 2.1a'!$B208&amp;'Table 2.1a'!$C208,UtilityList!$A$4:$A$251&amp;UtilityList!$B$4:$B$251&amp;UtilityList!$C$4:$C$251,0)),"")</f>
        <v>Southeast</v>
      </c>
      <c r="N208" s="369" t="str">
        <f t="array" ref="N208">IFERROR(INDEX(UtilityList!$K$4:$K$251,MATCH('Table 2.1a'!$A208&amp;'Table 2.1a'!$B208&amp;'Table 2.1a'!$C208,UtilityList!$A$4:$A$251&amp;UtilityList!$B$4:$B$251&amp;UtilityList!$C$4:$C$251,0)),"")</f>
        <v>Petersburg (CA)</v>
      </c>
      <c r="O208" s="369" t="str">
        <f t="array" ref="O208">IFERROR(INDEX(UtilityList!$L$4:$L$251,MATCH('Table 2.1a'!$A208&amp;'Table 2.1a'!$B208&amp;'Table 2.1a'!$C208,UtilityList!$A$4:$A$251&amp;UtilityList!$B$4:$B$251&amp;UtilityList!$C$4:$C$251,0)),"")</f>
        <v>Sealaska</v>
      </c>
      <c r="P208" s="369" t="str">
        <f t="array" ref="P208">IFERROR(INDEX(UtilityList!$M$4:$M$251,MATCH('Table 2.1a'!$A208&amp;'Table 2.1a'!$B208&amp;'Table 2.1a'!$C208,UtilityList!$A$4:$A$251&amp;UtilityList!$B$4:$B$251&amp;UtilityList!$C$4:$C$251,0)),"")</f>
        <v>SE</v>
      </c>
    </row>
    <row r="209" spans="1:16" s="344" customFormat="1" x14ac:dyDescent="0.25">
      <c r="A209" s="619" t="s">
        <v>296</v>
      </c>
      <c r="B209" s="361" t="s">
        <v>297</v>
      </c>
      <c r="C209" s="350" t="s">
        <v>297</v>
      </c>
      <c r="D209" s="620">
        <v>246</v>
      </c>
      <c r="E209" s="621">
        <v>0</v>
      </c>
      <c r="F209" s="621">
        <v>246</v>
      </c>
      <c r="G209" s="621">
        <v>0</v>
      </c>
      <c r="H209" s="621">
        <v>0</v>
      </c>
      <c r="I209" s="452" t="s">
        <v>1022</v>
      </c>
      <c r="J209" s="622" t="str">
        <f t="array" ref="J209">IFERROR(INDEX(UtilityList!$H$4:$H$251,MATCH('Table 2.1a'!$A209&amp;'Table 2.1a'!$B209&amp;'Table 2.1a'!$C209,UtilityList!$A$4:$A$251&amp;UtilityList!$B$4:$B$251&amp;UtilityList!$C$4:$C$251,0)),"")</f>
        <v>PCE Eligible Active</v>
      </c>
      <c r="K209" s="709">
        <f t="array" ref="K209">IFERROR(INDEX(UtilityList!$Q$4:$Q$251,MATCH('Table 2.1a'!$A209&amp;'Table 2.1a'!$B209&amp;'Table 2.1a'!$C209,UtilityList!$A$4:$A$251&amp;UtilityList!$B$4:$B$251&amp;UtilityList!$C$4:$C$251,0)),"")</f>
        <v>0</v>
      </c>
      <c r="L209" s="622" t="str">
        <f t="array" ref="L209">IFERROR(INDEX(UtilityList!$I$4:$I$251,MATCH('Table 2.1a'!$A209&amp;'Table 2.1a'!$B209&amp;'Table 2.1a'!$C209,UtilityList!$A$4:$A$251&amp;UtilityList!$B$4:$B$251&amp;UtilityList!$C$4:$C$251,0)),"")</f>
        <v>PILOPEU</v>
      </c>
      <c r="M209" s="369" t="str">
        <f t="array" ref="M209">IFERROR(INDEX(UtilityList!$J$4:$J$251,MATCH('Table 2.1a'!$A209&amp;'Table 2.1a'!$B209&amp;'Table 2.1a'!$C209,UtilityList!$A$4:$A$251&amp;UtilityList!$B$4:$B$251&amp;UtilityList!$C$4:$C$251,0)),"")</f>
        <v>Bristol Bay</v>
      </c>
      <c r="N209" s="369" t="str">
        <f t="array" ref="N209">IFERROR(INDEX(UtilityList!$K$4:$K$251,MATCH('Table 2.1a'!$A209&amp;'Table 2.1a'!$B209&amp;'Table 2.1a'!$C209,UtilityList!$A$4:$A$251&amp;UtilityList!$B$4:$B$251&amp;UtilityList!$C$4:$C$251,0)),"")</f>
        <v>Lake and Peninsula</v>
      </c>
      <c r="O209" s="369" t="str">
        <f t="array" ref="O209">IFERROR(INDEX(UtilityList!$L$4:$L$251,MATCH('Table 2.1a'!$A209&amp;'Table 2.1a'!$B209&amp;'Table 2.1a'!$C209,UtilityList!$A$4:$A$251&amp;UtilityList!$B$4:$B$251&amp;UtilityList!$C$4:$C$251,0)),"")</f>
        <v>Bristol Bay</v>
      </c>
      <c r="P209" s="369" t="str">
        <f t="array" ref="P209">IFERROR(INDEX(UtilityList!$M$4:$M$251,MATCH('Table 2.1a'!$A209&amp;'Table 2.1a'!$B209&amp;'Table 2.1a'!$C209,UtilityList!$A$4:$A$251&amp;UtilityList!$B$4:$B$251&amp;UtilityList!$C$4:$C$251,0)),"")</f>
        <v>SW</v>
      </c>
    </row>
    <row r="210" spans="1:16" s="344" customFormat="1" x14ac:dyDescent="0.25">
      <c r="A210" s="619" t="s">
        <v>298</v>
      </c>
      <c r="B210" s="361" t="s">
        <v>299</v>
      </c>
      <c r="C210" s="350" t="s">
        <v>299</v>
      </c>
      <c r="D210" s="620">
        <v>129</v>
      </c>
      <c r="E210" s="621">
        <v>0</v>
      </c>
      <c r="F210" s="621">
        <v>129</v>
      </c>
      <c r="G210" s="621">
        <v>0</v>
      </c>
      <c r="H210" s="621">
        <v>0</v>
      </c>
      <c r="I210" s="452" t="s">
        <v>1022</v>
      </c>
      <c r="J210" s="622" t="str">
        <f t="array" ref="J210">IFERROR(INDEX(UtilityList!$H$4:$H$251,MATCH('Table 2.1a'!$A210&amp;'Table 2.1a'!$B210&amp;'Table 2.1a'!$C210,UtilityList!$A$4:$A$251&amp;UtilityList!$B$4:$B$251&amp;UtilityList!$C$4:$C$251,0)),"")</f>
        <v>PCE Eligible Inactive</v>
      </c>
      <c r="K210" s="709">
        <f t="array" ref="K210">IFERROR(INDEX(UtilityList!$Q$4:$Q$251,MATCH('Table 2.1a'!$A210&amp;'Table 2.1a'!$B210&amp;'Table 2.1a'!$C210,UtilityList!$A$4:$A$251&amp;UtilityList!$B$4:$B$251&amp;UtilityList!$C$4:$C$251,0)),"")</f>
        <v>0</v>
      </c>
      <c r="L210" s="622" t="str">
        <f t="array" ref="L210">IFERROR(INDEX(UtilityList!$I$4:$I$251,MATCH('Table 2.1a'!$A210&amp;'Table 2.1a'!$B210&amp;'Table 2.1a'!$C210,UtilityList!$A$4:$A$251&amp;UtilityList!$B$4:$B$251&amp;UtilityList!$C$4:$C$251,0)),"")</f>
        <v>PLAT</v>
      </c>
      <c r="M210" s="369" t="str">
        <f t="array" ref="M210">IFERROR(INDEX(UtilityList!$J$4:$J$251,MATCH('Table 2.1a'!$A210&amp;'Table 2.1a'!$B210&amp;'Table 2.1a'!$C210,UtilityList!$A$4:$A$251&amp;UtilityList!$B$4:$B$251&amp;UtilityList!$C$4:$C$251,0)),"")</f>
        <v>Lower Yukon-Kuskokwim</v>
      </c>
      <c r="N210" s="369" t="str">
        <f t="array" ref="N210">IFERROR(INDEX(UtilityList!$K$4:$K$251,MATCH('Table 2.1a'!$A210&amp;'Table 2.1a'!$B210&amp;'Table 2.1a'!$C210,UtilityList!$A$4:$A$251&amp;UtilityList!$B$4:$B$251&amp;UtilityList!$C$4:$C$251,0)),"")</f>
        <v>Bethel (CA)</v>
      </c>
      <c r="O210" s="369" t="str">
        <f t="array" ref="O210">IFERROR(INDEX(UtilityList!$L$4:$L$251,MATCH('Table 2.1a'!$A210&amp;'Table 2.1a'!$B210&amp;'Table 2.1a'!$C210,UtilityList!$A$4:$A$251&amp;UtilityList!$B$4:$B$251&amp;UtilityList!$C$4:$C$251,0)),"")</f>
        <v>Calista</v>
      </c>
      <c r="P210" s="369" t="str">
        <f t="array" ref="P210">IFERROR(INDEX(UtilityList!$M$4:$M$251,MATCH('Table 2.1a'!$A210&amp;'Table 2.1a'!$B210&amp;'Table 2.1a'!$C210,UtilityList!$A$4:$A$251&amp;UtilityList!$B$4:$B$251&amp;UtilityList!$C$4:$C$251,0)),"")</f>
        <v>SW</v>
      </c>
    </row>
    <row r="211" spans="1:16" s="344" customFormat="1" x14ac:dyDescent="0.25">
      <c r="A211" s="619" t="s">
        <v>300</v>
      </c>
      <c r="B211" s="361" t="s">
        <v>301</v>
      </c>
      <c r="C211" s="350" t="s">
        <v>301</v>
      </c>
      <c r="D211" s="620">
        <v>369</v>
      </c>
      <c r="E211" s="621">
        <v>0</v>
      </c>
      <c r="F211" s="621">
        <v>369</v>
      </c>
      <c r="G211" s="621">
        <v>0</v>
      </c>
      <c r="H211" s="621">
        <v>0</v>
      </c>
      <c r="I211" s="452" t="s">
        <v>1022</v>
      </c>
      <c r="J211" s="622" t="str">
        <f t="array" ref="J211">IFERROR(INDEX(UtilityList!$H$4:$H$251,MATCH('Table 2.1a'!$A211&amp;'Table 2.1a'!$B211&amp;'Table 2.1a'!$C211,UtilityList!$A$4:$A$251&amp;UtilityList!$B$4:$B$251&amp;UtilityList!$C$4:$C$251,0)),"")</f>
        <v>PCE Eligible Active</v>
      </c>
      <c r="K211" s="709">
        <f t="array" ref="K211">IFERROR(INDEX(UtilityList!$Q$4:$Q$251,MATCH('Table 2.1a'!$A211&amp;'Table 2.1a'!$B211&amp;'Table 2.1a'!$C211,UtilityList!$A$4:$A$251&amp;UtilityList!$B$4:$B$251&amp;UtilityList!$C$4:$C$251,0)),"")</f>
        <v>0</v>
      </c>
      <c r="L211" s="622" t="str">
        <f t="array" ref="L211">IFERROR(INDEX(UtilityList!$I$4:$I$251,MATCH('Table 2.1a'!$A211&amp;'Table 2.1a'!$B211&amp;'Table 2.1a'!$C211,UtilityList!$A$4:$A$251&amp;UtilityList!$B$4:$B$251&amp;UtilityList!$C$4:$C$251,0)),"")</f>
        <v>PORTHU</v>
      </c>
      <c r="M211" s="369" t="str">
        <f t="array" ref="M211">IFERROR(INDEX(UtilityList!$J$4:$J$251,MATCH('Table 2.1a'!$A211&amp;'Table 2.1a'!$B211&amp;'Table 2.1a'!$C211,UtilityList!$A$4:$A$251&amp;UtilityList!$B$4:$B$251&amp;UtilityList!$C$4:$C$251,0)),"")</f>
        <v>Bristol Bay</v>
      </c>
      <c r="N211" s="369" t="str">
        <f t="array" ref="N211">IFERROR(INDEX(UtilityList!$K$4:$K$251,MATCH('Table 2.1a'!$A211&amp;'Table 2.1a'!$B211&amp;'Table 2.1a'!$C211,UtilityList!$A$4:$A$251&amp;UtilityList!$B$4:$B$251&amp;UtilityList!$C$4:$C$251,0)),"")</f>
        <v>Lake and Peninsula</v>
      </c>
      <c r="O211" s="369" t="str">
        <f t="array" ref="O211">IFERROR(INDEX(UtilityList!$L$4:$L$251,MATCH('Table 2.1a'!$A211&amp;'Table 2.1a'!$B211&amp;'Table 2.1a'!$C211,UtilityList!$A$4:$A$251&amp;UtilityList!$B$4:$B$251&amp;UtilityList!$C$4:$C$251,0)),"")</f>
        <v>Bristol Bay</v>
      </c>
      <c r="P211" s="369" t="str">
        <f t="array" ref="P211">IFERROR(INDEX(UtilityList!$M$4:$M$251,MATCH('Table 2.1a'!$A211&amp;'Table 2.1a'!$B211&amp;'Table 2.1a'!$C211,UtilityList!$A$4:$A$251&amp;UtilityList!$B$4:$B$251&amp;UtilityList!$C$4:$C$251,0)),"")</f>
        <v>SW</v>
      </c>
    </row>
    <row r="212" spans="1:16" s="344" customFormat="1" x14ac:dyDescent="0.25">
      <c r="A212" s="619" t="s">
        <v>302</v>
      </c>
      <c r="B212" s="361" t="s">
        <v>303</v>
      </c>
      <c r="C212" s="350" t="s">
        <v>303</v>
      </c>
      <c r="D212" s="620">
        <v>1375</v>
      </c>
      <c r="E212" s="621">
        <v>0</v>
      </c>
      <c r="F212" s="621">
        <v>925</v>
      </c>
      <c r="G212" s="621">
        <v>0</v>
      </c>
      <c r="H212" s="621">
        <v>450</v>
      </c>
      <c r="I212" s="452" t="s">
        <v>1022</v>
      </c>
      <c r="J212" s="622" t="str">
        <f t="array" ref="J212">IFERROR(INDEX(UtilityList!$H$4:$H$251,MATCH('Table 2.1a'!$A212&amp;'Table 2.1a'!$B212&amp;'Table 2.1a'!$C212,UtilityList!$A$4:$A$251&amp;UtilityList!$B$4:$B$251&amp;UtilityList!$C$4:$C$251,0)),"")</f>
        <v>PCE Eligible Active</v>
      </c>
      <c r="K212" s="709">
        <f t="array" ref="K212">IFERROR(INDEX(UtilityList!$Q$4:$Q$251,MATCH('Table 2.1a'!$A212&amp;'Table 2.1a'!$B212&amp;'Table 2.1a'!$C212,UtilityList!$A$4:$A$251&amp;UtilityList!$B$4:$B$251&amp;UtilityList!$C$4:$C$251,0)),"")</f>
        <v>0</v>
      </c>
      <c r="L212" s="622" t="str">
        <f t="array" ref="L212">IFERROR(INDEX(UtilityList!$I$4:$I$251,MATCH('Table 2.1a'!$A212&amp;'Table 2.1a'!$B212&amp;'Table 2.1a'!$C212,UtilityList!$A$4:$A$251&amp;UtilityList!$B$4:$B$251&amp;UtilityList!$C$4:$C$251,0)),"")</f>
        <v>PUVUPC</v>
      </c>
      <c r="M212" s="369" t="str">
        <f t="array" ref="M212">IFERROR(INDEX(UtilityList!$J$4:$J$251,MATCH('Table 2.1a'!$A212&amp;'Table 2.1a'!$B212&amp;'Table 2.1a'!$C212,UtilityList!$A$4:$A$251&amp;UtilityList!$B$4:$B$251&amp;UtilityList!$C$4:$C$251,0)),"")</f>
        <v>Lower Yukon-Kuskokwim</v>
      </c>
      <c r="N212" s="369" t="str">
        <f t="array" ref="N212">IFERROR(INDEX(UtilityList!$K$4:$K$251,MATCH('Table 2.1a'!$A212&amp;'Table 2.1a'!$B212&amp;'Table 2.1a'!$C212,UtilityList!$A$4:$A$251&amp;UtilityList!$B$4:$B$251&amp;UtilityList!$C$4:$C$251,0)),"")</f>
        <v>Bethel (CA)</v>
      </c>
      <c r="O212" s="369" t="str">
        <f t="array" ref="O212">IFERROR(INDEX(UtilityList!$L$4:$L$251,MATCH('Table 2.1a'!$A212&amp;'Table 2.1a'!$B212&amp;'Table 2.1a'!$C212,UtilityList!$A$4:$A$251&amp;UtilityList!$B$4:$B$251&amp;UtilityList!$C$4:$C$251,0)),"")</f>
        <v>Calista</v>
      </c>
      <c r="P212" s="369" t="str">
        <f t="array" ref="P212">IFERROR(INDEX(UtilityList!$M$4:$M$251,MATCH('Table 2.1a'!$A212&amp;'Table 2.1a'!$B212&amp;'Table 2.1a'!$C212,UtilityList!$A$4:$A$251&amp;UtilityList!$B$4:$B$251&amp;UtilityList!$C$4:$C$251,0)),"")</f>
        <v>SW</v>
      </c>
    </row>
    <row r="213" spans="1:16" s="344" customFormat="1" x14ac:dyDescent="0.25">
      <c r="A213" s="619" t="s">
        <v>304</v>
      </c>
      <c r="B213" s="361" t="s">
        <v>305</v>
      </c>
      <c r="C213" s="350" t="s">
        <v>305</v>
      </c>
      <c r="D213" s="620">
        <v>367</v>
      </c>
      <c r="E213" s="621">
        <v>0</v>
      </c>
      <c r="F213" s="621">
        <v>367</v>
      </c>
      <c r="G213" s="621">
        <v>0</v>
      </c>
      <c r="H213" s="621">
        <v>0</v>
      </c>
      <c r="I213" s="452" t="s">
        <v>1022</v>
      </c>
      <c r="J213" s="622" t="str">
        <f t="array" ref="J213">IFERROR(INDEX(UtilityList!$H$4:$H$251,MATCH('Table 2.1a'!$A213&amp;'Table 2.1a'!$B213&amp;'Table 2.1a'!$C213,UtilityList!$A$4:$A$251&amp;UtilityList!$B$4:$B$251&amp;UtilityList!$C$4:$C$251,0)),"")</f>
        <v>PCE Eligible Inactive</v>
      </c>
      <c r="K213" s="709">
        <f t="array" ref="K213">IFERROR(INDEX(UtilityList!$Q$4:$Q$251,MATCH('Table 2.1a'!$A213&amp;'Table 2.1a'!$B213&amp;'Table 2.1a'!$C213,UtilityList!$A$4:$A$251&amp;UtilityList!$B$4:$B$251&amp;UtilityList!$C$4:$C$251,0)),"")</f>
        <v>0</v>
      </c>
      <c r="L213" s="622">
        <f t="array" ref="L213">IFERROR(INDEX(UtilityList!$I$4:$I$251,MATCH('Table 2.1a'!$A213&amp;'Table 2.1a'!$B213&amp;'Table 2.1a'!$C213,UtilityList!$A$4:$A$251&amp;UtilityList!$B$4:$B$251&amp;UtilityList!$C$4:$C$251,0)),"")</f>
        <v>0</v>
      </c>
      <c r="M213" s="369" t="str">
        <f t="array" ref="M213">IFERROR(INDEX(UtilityList!$J$4:$J$251,MATCH('Table 2.1a'!$A213&amp;'Table 2.1a'!$B213&amp;'Table 2.1a'!$C213,UtilityList!$A$4:$A$251&amp;UtilityList!$B$4:$B$251&amp;UtilityList!$C$4:$C$251,0)),"")</f>
        <v>Yukon-Koyukuk/Upper Tanana</v>
      </c>
      <c r="N213" s="369" t="str">
        <f t="array" ref="N213">IFERROR(INDEX(UtilityList!$K$4:$K$251,MATCH('Table 2.1a'!$A213&amp;'Table 2.1a'!$B213&amp;'Table 2.1a'!$C213,UtilityList!$A$4:$A$251&amp;UtilityList!$B$4:$B$251&amp;UtilityList!$C$4:$C$251,0)),"")</f>
        <v>Yukon-Koyukuk (CA)</v>
      </c>
      <c r="O213" s="369" t="str">
        <f t="array" ref="O213">IFERROR(INDEX(UtilityList!$L$4:$L$251,MATCH('Table 2.1a'!$A213&amp;'Table 2.1a'!$B213&amp;'Table 2.1a'!$C213,UtilityList!$A$4:$A$251&amp;UtilityList!$B$4:$B$251&amp;UtilityList!$C$4:$C$251,0)),"")</f>
        <v>Doyon</v>
      </c>
      <c r="P213" s="369" t="str">
        <f t="array" ref="P213">IFERROR(INDEX(UtilityList!$M$4:$M$251,MATCH('Table 2.1a'!$A213&amp;'Table 2.1a'!$B213&amp;'Table 2.1a'!$C213,UtilityList!$A$4:$A$251&amp;UtilityList!$B$4:$B$251&amp;UtilityList!$C$4:$C$251,0)),"")</f>
        <v>YU</v>
      </c>
    </row>
    <row r="214" spans="1:16" s="344" customFormat="1" x14ac:dyDescent="0.25">
      <c r="A214" s="619" t="s">
        <v>306</v>
      </c>
      <c r="B214" s="361" t="s">
        <v>307</v>
      </c>
      <c r="C214" s="350" t="s">
        <v>307</v>
      </c>
      <c r="D214" s="620">
        <v>464</v>
      </c>
      <c r="E214" s="621">
        <v>0</v>
      </c>
      <c r="F214" s="621">
        <v>464</v>
      </c>
      <c r="G214" s="621">
        <v>0</v>
      </c>
      <c r="H214" s="621">
        <v>0</v>
      </c>
      <c r="I214" s="452" t="s">
        <v>1022</v>
      </c>
      <c r="J214" s="622" t="str">
        <f t="array" ref="J214">IFERROR(INDEX(UtilityList!$H$4:$H$251,MATCH('Table 2.1a'!$A214&amp;'Table 2.1a'!$B214&amp;'Table 2.1a'!$C214,UtilityList!$A$4:$A$251&amp;UtilityList!$B$4:$B$251&amp;UtilityList!$C$4:$C$251,0)),"")</f>
        <v>PCE Eligible Active</v>
      </c>
      <c r="K214" s="709">
        <f t="array" ref="K214">IFERROR(INDEX(UtilityList!$Q$4:$Q$251,MATCH('Table 2.1a'!$A214&amp;'Table 2.1a'!$B214&amp;'Table 2.1a'!$C214,UtilityList!$A$4:$A$251&amp;UtilityList!$B$4:$B$251&amp;UtilityList!$C$4:$C$251,0)),"")</f>
        <v>0</v>
      </c>
      <c r="L214" s="622" t="str">
        <f t="array" ref="L214">IFERROR(INDEX(UtilityList!$I$4:$I$251,MATCH('Table 2.1a'!$A214&amp;'Table 2.1a'!$B214&amp;'Table 2.1a'!$C214,UtilityList!$A$4:$A$251&amp;UtilityList!$B$4:$B$251&amp;UtilityList!$C$4:$C$251,0)),"")</f>
        <v>RUBY</v>
      </c>
      <c r="M214" s="369" t="str">
        <f t="array" ref="M214">IFERROR(INDEX(UtilityList!$J$4:$J$251,MATCH('Table 2.1a'!$A214&amp;'Table 2.1a'!$B214&amp;'Table 2.1a'!$C214,UtilityList!$A$4:$A$251&amp;UtilityList!$B$4:$B$251&amp;UtilityList!$C$4:$C$251,0)),"")</f>
        <v>Yukon-Koyukuk/Upper Tanana</v>
      </c>
      <c r="N214" s="369" t="str">
        <f t="array" ref="N214">IFERROR(INDEX(UtilityList!$K$4:$K$251,MATCH('Table 2.1a'!$A214&amp;'Table 2.1a'!$B214&amp;'Table 2.1a'!$C214,UtilityList!$A$4:$A$251&amp;UtilityList!$B$4:$B$251&amp;UtilityList!$C$4:$C$251,0)),"")</f>
        <v>Yukon-Koyukuk (CA)</v>
      </c>
      <c r="O214" s="369" t="str">
        <f t="array" ref="O214">IFERROR(INDEX(UtilityList!$L$4:$L$251,MATCH('Table 2.1a'!$A214&amp;'Table 2.1a'!$B214&amp;'Table 2.1a'!$C214,UtilityList!$A$4:$A$251&amp;UtilityList!$B$4:$B$251&amp;UtilityList!$C$4:$C$251,0)),"")</f>
        <v>Doyon</v>
      </c>
      <c r="P214" s="369" t="str">
        <f t="array" ref="P214">IFERROR(INDEX(UtilityList!$M$4:$M$251,MATCH('Table 2.1a'!$A214&amp;'Table 2.1a'!$B214&amp;'Table 2.1a'!$C214,UtilityList!$A$4:$A$251&amp;UtilityList!$B$4:$B$251&amp;UtilityList!$C$4:$C$251,0)),"")</f>
        <v>YU</v>
      </c>
    </row>
    <row r="215" spans="1:16" s="344" customFormat="1" x14ac:dyDescent="0.25">
      <c r="A215" s="619" t="s">
        <v>308</v>
      </c>
      <c r="B215" s="361" t="s">
        <v>309</v>
      </c>
      <c r="C215" s="350" t="s">
        <v>309</v>
      </c>
      <c r="D215" s="620">
        <v>980</v>
      </c>
      <c r="E215" s="621">
        <v>0</v>
      </c>
      <c r="F215" s="621">
        <v>980</v>
      </c>
      <c r="G215" s="621">
        <v>0</v>
      </c>
      <c r="H215" s="621">
        <v>0</v>
      </c>
      <c r="I215" s="452" t="s">
        <v>1022</v>
      </c>
      <c r="J215" s="622" t="str">
        <f t="array" ref="J215">IFERROR(INDEX(UtilityList!$H$4:$H$251,MATCH('Table 2.1a'!$A215&amp;'Table 2.1a'!$B215&amp;'Table 2.1a'!$C215,UtilityList!$A$4:$A$251&amp;UtilityList!$B$4:$B$251&amp;UtilityList!$C$4:$C$251,0)),"")</f>
        <v>PCE Eligible Inactive</v>
      </c>
      <c r="K215" s="709">
        <f t="array" ref="K215">IFERROR(INDEX(UtilityList!$Q$4:$Q$251,MATCH('Table 2.1a'!$A215&amp;'Table 2.1a'!$B215&amp;'Table 2.1a'!$C215,UtilityList!$A$4:$A$251&amp;UtilityList!$B$4:$B$251&amp;UtilityList!$C$4:$C$251,0)),"")</f>
        <v>0</v>
      </c>
      <c r="L215" s="622" t="str">
        <f t="array" ref="L215">IFERROR(INDEX(UtilityList!$I$4:$I$251,MATCH('Table 2.1a'!$A215&amp;'Table 2.1a'!$B215&amp;'Table 2.1a'!$C215,UtilityList!$A$4:$A$251&amp;UtilityList!$B$4:$B$251&amp;UtilityList!$C$4:$C$251,0)),"")</f>
        <v>ST. GEORGE</v>
      </c>
      <c r="M215" s="369" t="str">
        <f t="array" ref="M215">IFERROR(INDEX(UtilityList!$J$4:$J$251,MATCH('Table 2.1a'!$A215&amp;'Table 2.1a'!$B215&amp;'Table 2.1a'!$C215,UtilityList!$A$4:$A$251&amp;UtilityList!$B$4:$B$251&amp;UtilityList!$C$4:$C$251,0)),"")</f>
        <v>Aleutians</v>
      </c>
      <c r="N215" s="369" t="str">
        <f t="array" ref="N215">IFERROR(INDEX(UtilityList!$K$4:$K$251,MATCH('Table 2.1a'!$A215&amp;'Table 2.1a'!$B215&amp;'Table 2.1a'!$C215,UtilityList!$A$4:$A$251&amp;UtilityList!$B$4:$B$251&amp;UtilityList!$C$4:$C$251,0)),"")</f>
        <v>Aleutians West (CA)</v>
      </c>
      <c r="O215" s="369" t="str">
        <f t="array" ref="O215">IFERROR(INDEX(UtilityList!$L$4:$L$251,MATCH('Table 2.1a'!$A215&amp;'Table 2.1a'!$B215&amp;'Table 2.1a'!$C215,UtilityList!$A$4:$A$251&amp;UtilityList!$B$4:$B$251&amp;UtilityList!$C$4:$C$251,0)),"")</f>
        <v>Aleut</v>
      </c>
      <c r="P215" s="369" t="str">
        <f t="array" ref="P215">IFERROR(INDEX(UtilityList!$M$4:$M$251,MATCH('Table 2.1a'!$A215&amp;'Table 2.1a'!$B215&amp;'Table 2.1a'!$C215,UtilityList!$A$4:$A$251&amp;UtilityList!$B$4:$B$251&amp;UtilityList!$C$4:$C$251,0)),"")</f>
        <v>SW</v>
      </c>
    </row>
    <row r="216" spans="1:16" s="344" customFormat="1" x14ac:dyDescent="0.25">
      <c r="A216" s="619" t="s">
        <v>633</v>
      </c>
      <c r="B216" s="361" t="s">
        <v>320</v>
      </c>
      <c r="C216" s="350" t="s">
        <v>320</v>
      </c>
      <c r="D216" s="620">
        <v>2620</v>
      </c>
      <c r="E216" s="621">
        <v>0</v>
      </c>
      <c r="F216" s="621">
        <v>2620</v>
      </c>
      <c r="G216" s="621">
        <v>0</v>
      </c>
      <c r="H216" s="621">
        <v>0</v>
      </c>
      <c r="I216" s="452" t="s">
        <v>1022</v>
      </c>
      <c r="J216" s="622" t="str">
        <f t="array" ref="J216">IFERROR(INDEX(UtilityList!$H$4:$H$251,MATCH('Table 2.1a'!$A216&amp;'Table 2.1a'!$B216&amp;'Table 2.1a'!$C216,UtilityList!$A$4:$A$251&amp;UtilityList!$B$4:$B$251&amp;UtilityList!$C$4:$C$251,0)),"")</f>
        <v>PCE Eligible Active</v>
      </c>
      <c r="K216" s="709">
        <f t="array" ref="K216">IFERROR(INDEX(UtilityList!$Q$4:$Q$251,MATCH('Table 2.1a'!$A216&amp;'Table 2.1a'!$B216&amp;'Table 2.1a'!$C216,UtilityList!$A$4:$A$251&amp;UtilityList!$B$4:$B$251&amp;UtilityList!$C$4:$C$251,0)),"")</f>
        <v>0</v>
      </c>
      <c r="L216" s="622" t="str">
        <f t="array" ref="L216">IFERROR(INDEX(UtilityList!$I$4:$I$251,MATCH('Table 2.1a'!$A216&amp;'Table 2.1a'!$B216&amp;'Table 2.1a'!$C216,UtilityList!$A$4:$A$251&amp;UtilityList!$B$4:$B$251&amp;UtilityList!$C$4:$C$251,0)),"")</f>
        <v>STPMEU</v>
      </c>
      <c r="M216" s="369" t="str">
        <f t="array" ref="M216">IFERROR(INDEX(UtilityList!$J$4:$J$251,MATCH('Table 2.1a'!$A216&amp;'Table 2.1a'!$B216&amp;'Table 2.1a'!$C216,UtilityList!$A$4:$A$251&amp;UtilityList!$B$4:$B$251&amp;UtilityList!$C$4:$C$251,0)),"")</f>
        <v>Aleutians</v>
      </c>
      <c r="N216" s="369" t="str">
        <f t="array" ref="N216">IFERROR(INDEX(UtilityList!$K$4:$K$251,MATCH('Table 2.1a'!$A216&amp;'Table 2.1a'!$B216&amp;'Table 2.1a'!$C216,UtilityList!$A$4:$A$251&amp;UtilityList!$B$4:$B$251&amp;UtilityList!$C$4:$C$251,0)),"")</f>
        <v>Aleutians West (CA)</v>
      </c>
      <c r="O216" s="369" t="str">
        <f t="array" ref="O216">IFERROR(INDEX(UtilityList!$L$4:$L$251,MATCH('Table 2.1a'!$A216&amp;'Table 2.1a'!$B216&amp;'Table 2.1a'!$C216,UtilityList!$A$4:$A$251&amp;UtilityList!$B$4:$B$251&amp;UtilityList!$C$4:$C$251,0)),"")</f>
        <v>Aleut</v>
      </c>
      <c r="P216" s="369" t="str">
        <f t="array" ref="P216">IFERROR(INDEX(UtilityList!$M$4:$M$251,MATCH('Table 2.1a'!$A216&amp;'Table 2.1a'!$B216&amp;'Table 2.1a'!$C216,UtilityList!$A$4:$A$251&amp;UtilityList!$B$4:$B$251&amp;UtilityList!$C$4:$C$251,0)),"")</f>
        <v>SW</v>
      </c>
    </row>
    <row r="217" spans="1:16" s="344" customFormat="1" ht="30" x14ac:dyDescent="0.25">
      <c r="A217" s="619" t="s">
        <v>633</v>
      </c>
      <c r="B217" s="361" t="s">
        <v>320</v>
      </c>
      <c r="C217" s="350" t="s">
        <v>320</v>
      </c>
      <c r="D217" s="620">
        <v>675</v>
      </c>
      <c r="E217" s="621">
        <v>0</v>
      </c>
      <c r="F217" s="621">
        <v>0</v>
      </c>
      <c r="G217" s="621">
        <v>0</v>
      </c>
      <c r="H217" s="621">
        <v>675</v>
      </c>
      <c r="I217" s="452" t="s">
        <v>1021</v>
      </c>
      <c r="J217" s="622" t="str">
        <f t="array" ref="J217">IFERROR(INDEX(UtilityList!$H$4:$H$251,MATCH('Table 2.1a'!$A217&amp;'Table 2.1a'!$B217&amp;'Table 2.1a'!$C217,UtilityList!$A$4:$A$251&amp;UtilityList!$B$4:$B$251&amp;UtilityList!$C$4:$C$251,0)),"")</f>
        <v>PCE Eligible Active</v>
      </c>
      <c r="K217" s="709">
        <f t="array" ref="K217">IFERROR(INDEX(UtilityList!$Q$4:$Q$251,MATCH('Table 2.1a'!$A217&amp;'Table 2.1a'!$B217&amp;'Table 2.1a'!$C217,UtilityList!$A$4:$A$251&amp;UtilityList!$B$4:$B$251&amp;UtilityList!$C$4:$C$251,0)),"")</f>
        <v>0</v>
      </c>
      <c r="L217" s="622" t="str">
        <f t="array" ref="L217">IFERROR(INDEX(UtilityList!$I$4:$I$251,MATCH('Table 2.1a'!$A217&amp;'Table 2.1a'!$B217&amp;'Table 2.1a'!$C217,UtilityList!$A$4:$A$251&amp;UtilityList!$B$4:$B$251&amp;UtilityList!$C$4:$C$251,0)),"")</f>
        <v>STPMEU</v>
      </c>
      <c r="M217" s="369" t="str">
        <f t="array" ref="M217">IFERROR(INDEX(UtilityList!$J$4:$J$251,MATCH('Table 2.1a'!$A217&amp;'Table 2.1a'!$B217&amp;'Table 2.1a'!$C217,UtilityList!$A$4:$A$251&amp;UtilityList!$B$4:$B$251&amp;UtilityList!$C$4:$C$251,0)),"")</f>
        <v>Aleutians</v>
      </c>
      <c r="N217" s="369" t="str">
        <f t="array" ref="N217">IFERROR(INDEX(UtilityList!$K$4:$K$251,MATCH('Table 2.1a'!$A217&amp;'Table 2.1a'!$B217&amp;'Table 2.1a'!$C217,UtilityList!$A$4:$A$251&amp;UtilityList!$B$4:$B$251&amp;UtilityList!$C$4:$C$251,0)),"")</f>
        <v>Aleutians West (CA)</v>
      </c>
      <c r="O217" s="369" t="str">
        <f t="array" ref="O217">IFERROR(INDEX(UtilityList!$L$4:$L$251,MATCH('Table 2.1a'!$A217&amp;'Table 2.1a'!$B217&amp;'Table 2.1a'!$C217,UtilityList!$A$4:$A$251&amp;UtilityList!$B$4:$B$251&amp;UtilityList!$C$4:$C$251,0)),"")</f>
        <v>Aleut</v>
      </c>
      <c r="P217" s="369" t="str">
        <f t="array" ref="P217">IFERROR(INDEX(UtilityList!$M$4:$M$251,MATCH('Table 2.1a'!$A217&amp;'Table 2.1a'!$B217&amp;'Table 2.1a'!$C217,UtilityList!$A$4:$A$251&amp;UtilityList!$B$4:$B$251&amp;UtilityList!$C$4:$C$251,0)),"")</f>
        <v>SW</v>
      </c>
    </row>
    <row r="218" spans="1:16" s="344" customFormat="1" x14ac:dyDescent="0.25">
      <c r="A218" s="619" t="s">
        <v>310</v>
      </c>
      <c r="B218" s="361" t="s">
        <v>311</v>
      </c>
      <c r="C218" s="350" t="s">
        <v>311</v>
      </c>
      <c r="D218" s="620">
        <v>15600</v>
      </c>
      <c r="E218" s="621">
        <v>0</v>
      </c>
      <c r="F218" s="621">
        <v>15600</v>
      </c>
      <c r="G218" s="621">
        <v>0</v>
      </c>
      <c r="H218" s="621">
        <v>0</v>
      </c>
      <c r="I218" s="452" t="s">
        <v>1020</v>
      </c>
      <c r="J218" s="622" t="str">
        <f t="array" ref="J218">IFERROR(INDEX(UtilityList!$H$4:$H$251,MATCH('Table 2.1a'!$A218&amp;'Table 2.1a'!$B218&amp;'Table 2.1a'!$C218,UtilityList!$A$4:$A$251&amp;UtilityList!$B$4:$B$251&amp;UtilityList!$C$4:$C$251,0)),"")</f>
        <v>PCE Ineligible</v>
      </c>
      <c r="K218" s="709">
        <f t="array" ref="K218">IFERROR(INDEX(UtilityList!$Q$4:$Q$251,MATCH('Table 2.1a'!$A218&amp;'Table 2.1a'!$B218&amp;'Table 2.1a'!$C218,UtilityList!$A$4:$A$251&amp;UtilityList!$B$4:$B$251&amp;UtilityList!$C$4:$C$251,0)),"")</f>
        <v>0</v>
      </c>
      <c r="L218" s="622" t="str">
        <f t="array" ref="L218">IFERROR(INDEX(UtilityList!$I$4:$I$251,MATCH('Table 2.1a'!$A218&amp;'Table 2.1a'!$B218&amp;'Table 2.1a'!$C218,UtilityList!$A$4:$A$251&amp;UtilityList!$B$4:$B$251&amp;UtilityList!$C$4:$C$251,0)),"")</f>
        <v>SEWARD</v>
      </c>
      <c r="M218" s="369" t="str">
        <f t="array" ref="M218">IFERROR(INDEX(UtilityList!$J$4:$J$251,MATCH('Table 2.1a'!$A218&amp;'Table 2.1a'!$B218&amp;'Table 2.1a'!$C218,UtilityList!$A$4:$A$251&amp;UtilityList!$B$4:$B$251&amp;UtilityList!$C$4:$C$251,0)),"")</f>
        <v>Railbelt</v>
      </c>
      <c r="N218" s="369" t="str">
        <f t="array" ref="N218">IFERROR(INDEX(UtilityList!$K$4:$K$251,MATCH('Table 2.1a'!$A218&amp;'Table 2.1a'!$B218&amp;'Table 2.1a'!$C218,UtilityList!$A$4:$A$251&amp;UtilityList!$B$4:$B$251&amp;UtilityList!$C$4:$C$251,0)),"")</f>
        <v>Kenai Peninsula</v>
      </c>
      <c r="O218" s="369" t="str">
        <f t="array" ref="O218">IFERROR(INDEX(UtilityList!$L$4:$L$251,MATCH('Table 2.1a'!$A218&amp;'Table 2.1a'!$B218&amp;'Table 2.1a'!$C218,UtilityList!$A$4:$A$251&amp;UtilityList!$B$4:$B$251&amp;UtilityList!$C$4:$C$251,0)),"")</f>
        <v>Chugach</v>
      </c>
      <c r="P218" s="369" t="str">
        <f t="array" ref="P218">IFERROR(INDEX(UtilityList!$M$4:$M$251,MATCH('Table 2.1a'!$A218&amp;'Table 2.1a'!$B218&amp;'Table 2.1a'!$C218,UtilityList!$A$4:$A$251&amp;UtilityList!$B$4:$B$251&amp;UtilityList!$C$4:$C$251,0)),"")</f>
        <v>SC</v>
      </c>
    </row>
    <row r="219" spans="1:16" s="344" customFormat="1" x14ac:dyDescent="0.25">
      <c r="A219" s="619" t="s">
        <v>638</v>
      </c>
      <c r="B219" s="361" t="s">
        <v>313</v>
      </c>
      <c r="C219" s="350" t="s">
        <v>314</v>
      </c>
      <c r="D219" s="620">
        <v>7000</v>
      </c>
      <c r="E219" s="621">
        <v>0</v>
      </c>
      <c r="F219" s="621">
        <v>0</v>
      </c>
      <c r="G219" s="621">
        <v>7000</v>
      </c>
      <c r="H219" s="621">
        <v>0</v>
      </c>
      <c r="I219" s="452" t="s">
        <v>1020</v>
      </c>
      <c r="J219" s="622" t="str">
        <f t="array" ref="J219">IFERROR(INDEX(UtilityList!$H$4:$H$251,MATCH('Table 2.1a'!$A219&amp;'Table 2.1a'!$B219&amp;'Table 2.1a'!$C219,UtilityList!$A$4:$A$251&amp;UtilityList!$B$4:$B$251&amp;UtilityList!$C$4:$C$251,0)),"")</f>
        <v>PCE Ineligible</v>
      </c>
      <c r="K219" s="709">
        <f t="array" ref="K219">IFERROR(INDEX(UtilityList!$Q$4:$Q$251,MATCH('Table 2.1a'!$A219&amp;'Table 2.1a'!$B219&amp;'Table 2.1a'!$C219,UtilityList!$A$4:$A$251&amp;UtilityList!$B$4:$B$251&amp;UtilityList!$C$4:$C$251,0)),"")</f>
        <v>0</v>
      </c>
      <c r="L219" s="622" t="str">
        <f t="array" ref="L219">IFERROR(INDEX(UtilityList!$I$4:$I$251,MATCH('Table 2.1a'!$A219&amp;'Table 2.1a'!$B219&amp;'Table 2.1a'!$C219,UtilityList!$A$4:$A$251&amp;UtilityList!$B$4:$B$251&amp;UtilityList!$C$4:$C$251,0)),"")</f>
        <v>SITKA</v>
      </c>
      <c r="M219" s="369" t="str">
        <f t="array" ref="M219">IFERROR(INDEX(UtilityList!$J$4:$J$251,MATCH('Table 2.1a'!$A219&amp;'Table 2.1a'!$B219&amp;'Table 2.1a'!$C219,UtilityList!$A$4:$A$251&amp;UtilityList!$B$4:$B$251&amp;UtilityList!$C$4:$C$251,0)),"")</f>
        <v>Southeast</v>
      </c>
      <c r="N219" s="369" t="str">
        <f t="array" ref="N219">IFERROR(INDEX(UtilityList!$K$4:$K$251,MATCH('Table 2.1a'!$A219&amp;'Table 2.1a'!$B219&amp;'Table 2.1a'!$C219,UtilityList!$A$4:$A$251&amp;UtilityList!$B$4:$B$251&amp;UtilityList!$C$4:$C$251,0)),"")</f>
        <v>Sitka</v>
      </c>
      <c r="O219" s="369" t="str">
        <f t="array" ref="O219">IFERROR(INDEX(UtilityList!$L$4:$L$251,MATCH('Table 2.1a'!$A219&amp;'Table 2.1a'!$B219&amp;'Table 2.1a'!$C219,UtilityList!$A$4:$A$251&amp;UtilityList!$B$4:$B$251&amp;UtilityList!$C$4:$C$251,0)),"")</f>
        <v>Sealaska</v>
      </c>
      <c r="P219" s="369" t="str">
        <f t="array" ref="P219">IFERROR(INDEX(UtilityList!$M$4:$M$251,MATCH('Table 2.1a'!$A219&amp;'Table 2.1a'!$B219&amp;'Table 2.1a'!$C219,UtilityList!$A$4:$A$251&amp;UtilityList!$B$4:$B$251&amp;UtilityList!$C$4:$C$251,0)),"")</f>
        <v>SE</v>
      </c>
    </row>
    <row r="220" spans="1:16" s="344" customFormat="1" x14ac:dyDescent="0.25">
      <c r="A220" s="619" t="s">
        <v>638</v>
      </c>
      <c r="B220" s="361" t="s">
        <v>315</v>
      </c>
      <c r="C220" s="350" t="s">
        <v>314</v>
      </c>
      <c r="D220" s="620">
        <v>18600</v>
      </c>
      <c r="E220" s="621">
        <v>0</v>
      </c>
      <c r="F220" s="621">
        <v>0</v>
      </c>
      <c r="G220" s="621">
        <v>18600</v>
      </c>
      <c r="H220" s="621">
        <v>0</v>
      </c>
      <c r="I220" s="452" t="s">
        <v>1020</v>
      </c>
      <c r="J220" s="622" t="str">
        <f t="array" ref="J220">IFERROR(INDEX(UtilityList!$H$4:$H$251,MATCH('Table 2.1a'!$A220&amp;'Table 2.1a'!$B220&amp;'Table 2.1a'!$C220,UtilityList!$A$4:$A$251&amp;UtilityList!$B$4:$B$251&amp;UtilityList!$C$4:$C$251,0)),"")</f>
        <v>PCE Ineligible</v>
      </c>
      <c r="K220" s="709">
        <f t="array" ref="K220">IFERROR(INDEX(UtilityList!$Q$4:$Q$251,MATCH('Table 2.1a'!$A220&amp;'Table 2.1a'!$B220&amp;'Table 2.1a'!$C220,UtilityList!$A$4:$A$251&amp;UtilityList!$B$4:$B$251&amp;UtilityList!$C$4:$C$251,0)),"")</f>
        <v>0</v>
      </c>
      <c r="L220" s="622" t="str">
        <f t="array" ref="L220">IFERROR(INDEX(UtilityList!$I$4:$I$251,MATCH('Table 2.1a'!$A220&amp;'Table 2.1a'!$B220&amp;'Table 2.1a'!$C220,UtilityList!$A$4:$A$251&amp;UtilityList!$B$4:$B$251&amp;UtilityList!$C$4:$C$251,0)),"")</f>
        <v>SITKA</v>
      </c>
      <c r="M220" s="369" t="str">
        <f t="array" ref="M220">IFERROR(INDEX(UtilityList!$J$4:$J$251,MATCH('Table 2.1a'!$A220&amp;'Table 2.1a'!$B220&amp;'Table 2.1a'!$C220,UtilityList!$A$4:$A$251&amp;UtilityList!$B$4:$B$251&amp;UtilityList!$C$4:$C$251,0)),"")</f>
        <v>Southeast</v>
      </c>
      <c r="N220" s="369" t="str">
        <f t="array" ref="N220">IFERROR(INDEX(UtilityList!$K$4:$K$251,MATCH('Table 2.1a'!$A220&amp;'Table 2.1a'!$B220&amp;'Table 2.1a'!$C220,UtilityList!$A$4:$A$251&amp;UtilityList!$B$4:$B$251&amp;UtilityList!$C$4:$C$251,0)),"")</f>
        <v>Sitka</v>
      </c>
      <c r="O220" s="369" t="str">
        <f t="array" ref="O220">IFERROR(INDEX(UtilityList!$L$4:$L$251,MATCH('Table 2.1a'!$A220&amp;'Table 2.1a'!$B220&amp;'Table 2.1a'!$C220,UtilityList!$A$4:$A$251&amp;UtilityList!$B$4:$B$251&amp;UtilityList!$C$4:$C$251,0)),"")</f>
        <v>Sealaska</v>
      </c>
      <c r="P220" s="369" t="str">
        <f t="array" ref="P220">IFERROR(INDEX(UtilityList!$M$4:$M$251,MATCH('Table 2.1a'!$A220&amp;'Table 2.1a'!$B220&amp;'Table 2.1a'!$C220,UtilityList!$A$4:$A$251&amp;UtilityList!$B$4:$B$251&amp;UtilityList!$C$4:$C$251,0)),"")</f>
        <v>SE</v>
      </c>
    </row>
    <row r="221" spans="1:16" s="344" customFormat="1" x14ac:dyDescent="0.25">
      <c r="A221" s="619" t="s">
        <v>638</v>
      </c>
      <c r="B221" s="361" t="s">
        <v>316</v>
      </c>
      <c r="C221" s="350" t="s">
        <v>314</v>
      </c>
      <c r="D221" s="620">
        <v>12100</v>
      </c>
      <c r="E221" s="621">
        <v>0</v>
      </c>
      <c r="F221" s="621">
        <v>12100</v>
      </c>
      <c r="G221" s="621">
        <v>0</v>
      </c>
      <c r="H221" s="621">
        <v>0</v>
      </c>
      <c r="I221" s="452" t="s">
        <v>1020</v>
      </c>
      <c r="J221" s="622" t="str">
        <f t="array" ref="J221">IFERROR(INDEX(UtilityList!$H$4:$H$251,MATCH('Table 2.1a'!$A221&amp;'Table 2.1a'!$B221&amp;'Table 2.1a'!$C221,UtilityList!$A$4:$A$251&amp;UtilityList!$B$4:$B$251&amp;UtilityList!$C$4:$C$251,0)),"")</f>
        <v>PCE Ineligible</v>
      </c>
      <c r="K221" s="709">
        <f t="array" ref="K221">IFERROR(INDEX(UtilityList!$Q$4:$Q$251,MATCH('Table 2.1a'!$A221&amp;'Table 2.1a'!$B221&amp;'Table 2.1a'!$C221,UtilityList!$A$4:$A$251&amp;UtilityList!$B$4:$B$251&amp;UtilityList!$C$4:$C$251,0)),"")</f>
        <v>0</v>
      </c>
      <c r="L221" s="622" t="str">
        <f t="array" ref="L221">IFERROR(INDEX(UtilityList!$I$4:$I$251,MATCH('Table 2.1a'!$A221&amp;'Table 2.1a'!$B221&amp;'Table 2.1a'!$C221,UtilityList!$A$4:$A$251&amp;UtilityList!$B$4:$B$251&amp;UtilityList!$C$4:$C$251,0)),"")</f>
        <v>SITKA</v>
      </c>
      <c r="M221" s="369" t="str">
        <f t="array" ref="M221">IFERROR(INDEX(UtilityList!$J$4:$J$251,MATCH('Table 2.1a'!$A221&amp;'Table 2.1a'!$B221&amp;'Table 2.1a'!$C221,UtilityList!$A$4:$A$251&amp;UtilityList!$B$4:$B$251&amp;UtilityList!$C$4:$C$251,0)),"")</f>
        <v>Southeast</v>
      </c>
      <c r="N221" s="369" t="str">
        <f t="array" ref="N221">IFERROR(INDEX(UtilityList!$K$4:$K$251,MATCH('Table 2.1a'!$A221&amp;'Table 2.1a'!$B221&amp;'Table 2.1a'!$C221,UtilityList!$A$4:$A$251&amp;UtilityList!$B$4:$B$251&amp;UtilityList!$C$4:$C$251,0)),"")</f>
        <v>Sitka</v>
      </c>
      <c r="O221" s="369" t="str">
        <f t="array" ref="O221">IFERROR(INDEX(UtilityList!$L$4:$L$251,MATCH('Table 2.1a'!$A221&amp;'Table 2.1a'!$B221&amp;'Table 2.1a'!$C221,UtilityList!$A$4:$A$251&amp;UtilityList!$B$4:$B$251&amp;UtilityList!$C$4:$C$251,0)),"")</f>
        <v>Sealaska</v>
      </c>
      <c r="P221" s="369" t="str">
        <f t="array" ref="P221">IFERROR(INDEX(UtilityList!$M$4:$M$251,MATCH('Table 2.1a'!$A221&amp;'Table 2.1a'!$B221&amp;'Table 2.1a'!$C221,UtilityList!$A$4:$A$251&amp;UtilityList!$B$4:$B$251&amp;UtilityList!$C$4:$C$251,0)),"")</f>
        <v>SE</v>
      </c>
    </row>
    <row r="222" spans="1:16" s="344" customFormat="1" x14ac:dyDescent="0.25">
      <c r="A222" s="619" t="s">
        <v>317</v>
      </c>
      <c r="B222" s="339" t="s">
        <v>318</v>
      </c>
      <c r="C222" s="351" t="s">
        <v>659</v>
      </c>
      <c r="D222" s="620">
        <v>22500</v>
      </c>
      <c r="E222" s="621">
        <v>0</v>
      </c>
      <c r="F222" s="621">
        <v>0</v>
      </c>
      <c r="G222" s="735">
        <v>20000</v>
      </c>
      <c r="H222" s="621">
        <v>0</v>
      </c>
      <c r="I222" s="452" t="s">
        <v>1019</v>
      </c>
      <c r="J222" s="622" t="str">
        <f t="array" ref="J222">IFERROR(INDEX(UtilityList!$H$4:$H$251,MATCH('Table 2.1a'!$A222&amp;'Table 2.1a'!$B222&amp;'Table 2.1a'!$C222,UtilityList!$A$4:$A$251&amp;UtilityList!$B$4:$B$251&amp;UtilityList!$C$4:$C$251,0)),"")</f>
        <v>PCE Ineligible</v>
      </c>
      <c r="K222" s="709">
        <f t="array" ref="K222">IFERROR(INDEX(UtilityList!$Q$4:$Q$251,MATCH('Table 2.1a'!$A222&amp;'Table 2.1a'!$B222&amp;'Table 2.1a'!$C222,UtilityList!$A$4:$A$251&amp;UtilityList!$B$4:$B$251&amp;UtilityList!$C$4:$C$251,0)),"")</f>
        <v>0</v>
      </c>
      <c r="L222" s="622">
        <f t="array" ref="L222">IFERROR(INDEX(UtilityList!$I$4:$I$251,MATCH('Table 2.1a'!$A222&amp;'Table 2.1a'!$B222&amp;'Table 2.1a'!$C222,UtilityList!$A$4:$A$251&amp;UtilityList!$B$4:$B$251&amp;UtilityList!$C$4:$C$251,0)),"")</f>
        <v>0</v>
      </c>
      <c r="M222" s="369" t="str">
        <f t="array" ref="M222">IFERROR(INDEX(UtilityList!$J$4:$J$251,MATCH('Table 2.1a'!$A222&amp;'Table 2.1a'!$B222&amp;'Table 2.1a'!$C222,UtilityList!$A$4:$A$251&amp;UtilityList!$B$4:$B$251&amp;UtilityList!$C$4:$C$251,0)),"")</f>
        <v>Southeast</v>
      </c>
      <c r="N222" s="369" t="str">
        <f t="array" ref="N222">IFERROR(INDEX(UtilityList!$K$4:$K$251,MATCH('Table 2.1a'!$A222&amp;'Table 2.1a'!$B222&amp;'Table 2.1a'!$C222,UtilityList!$A$4:$A$251&amp;UtilityList!$B$4:$B$251&amp;UtilityList!$C$4:$C$251,0)),"")</f>
        <v>Ketchikan Gateway</v>
      </c>
      <c r="O222" s="369" t="str">
        <f t="array" ref="O222">IFERROR(INDEX(UtilityList!$L$4:$L$251,MATCH('Table 2.1a'!$A222&amp;'Table 2.1a'!$B222&amp;'Table 2.1a'!$C222,UtilityList!$A$4:$A$251&amp;UtilityList!$B$4:$B$251&amp;UtilityList!$C$4:$C$251,0)),"")</f>
        <v>Sealaska</v>
      </c>
      <c r="P222" s="369" t="str">
        <f t="array" ref="P222">IFERROR(INDEX(UtilityList!$M$4:$M$251,MATCH('Table 2.1a'!$A222&amp;'Table 2.1a'!$B222&amp;'Table 2.1a'!$C222,UtilityList!$A$4:$A$251&amp;UtilityList!$B$4:$B$251&amp;UtilityList!$C$4:$C$251,0)),"")</f>
        <v>SE</v>
      </c>
    </row>
    <row r="223" spans="1:16" s="344" customFormat="1" x14ac:dyDescent="0.25">
      <c r="A223" s="619" t="s">
        <v>321</v>
      </c>
      <c r="B223" s="361" t="s">
        <v>322</v>
      </c>
      <c r="C223" s="350" t="s">
        <v>322</v>
      </c>
      <c r="D223" s="620">
        <v>263</v>
      </c>
      <c r="E223" s="621">
        <v>0</v>
      </c>
      <c r="F223" s="621">
        <v>263</v>
      </c>
      <c r="G223" s="621">
        <v>0</v>
      </c>
      <c r="H223" s="621">
        <v>0</v>
      </c>
      <c r="I223" s="452" t="s">
        <v>1022</v>
      </c>
      <c r="J223" s="622" t="str">
        <f t="array" ref="J223">IFERROR(INDEX(UtilityList!$H$4:$H$251,MATCH('Table 2.1a'!$A223&amp;'Table 2.1a'!$B223&amp;'Table 2.1a'!$C223,UtilityList!$A$4:$A$251&amp;UtilityList!$B$4:$B$251&amp;UtilityList!$C$4:$C$251,0)),"")</f>
        <v>PCE Eligible Inactive</v>
      </c>
      <c r="K223" s="709">
        <f t="array" ref="K223">IFERROR(INDEX(UtilityList!$Q$4:$Q$251,MATCH('Table 2.1a'!$A223&amp;'Table 2.1a'!$B223&amp;'Table 2.1a'!$C223,UtilityList!$A$4:$A$251&amp;UtilityList!$B$4:$B$251&amp;UtilityList!$C$4:$C$251,0)),"")</f>
        <v>0</v>
      </c>
      <c r="L223" s="622" t="str">
        <f t="array" ref="L223">IFERROR(INDEX(UtilityList!$I$4:$I$251,MATCH('Table 2.1a'!$A223&amp;'Table 2.1a'!$B223&amp;'Table 2.1a'!$C223,UtilityList!$A$4:$A$251&amp;UtilityList!$B$4:$B$251&amp;UtilityList!$C$4:$C$251,0)),"")</f>
        <v>STEVVIC</v>
      </c>
      <c r="M223" s="369" t="str">
        <f t="array" ref="M223">IFERROR(INDEX(UtilityList!$J$4:$J$251,MATCH('Table 2.1a'!$A223&amp;'Table 2.1a'!$B223&amp;'Table 2.1a'!$C223,UtilityList!$A$4:$A$251&amp;UtilityList!$B$4:$B$251&amp;UtilityList!$C$4:$C$251,0)),"")</f>
        <v>Yukon-Koyukuk/Upper Tanana</v>
      </c>
      <c r="N223" s="369" t="str">
        <f t="array" ref="N223">IFERROR(INDEX(UtilityList!$K$4:$K$251,MATCH('Table 2.1a'!$A223&amp;'Table 2.1a'!$B223&amp;'Table 2.1a'!$C223,UtilityList!$A$4:$A$251&amp;UtilityList!$B$4:$B$251&amp;UtilityList!$C$4:$C$251,0)),"")</f>
        <v>Yukon-Koyukuk (CA)</v>
      </c>
      <c r="O223" s="369" t="str">
        <f t="array" ref="O223">IFERROR(INDEX(UtilityList!$L$4:$L$251,MATCH('Table 2.1a'!$A223&amp;'Table 2.1a'!$B223&amp;'Table 2.1a'!$C223,UtilityList!$A$4:$A$251&amp;UtilityList!$B$4:$B$251&amp;UtilityList!$C$4:$C$251,0)),"")</f>
        <v>Doyon</v>
      </c>
      <c r="P223" s="369" t="str">
        <f t="array" ref="P223">IFERROR(INDEX(UtilityList!$M$4:$M$251,MATCH('Table 2.1a'!$A223&amp;'Table 2.1a'!$B223&amp;'Table 2.1a'!$C223,UtilityList!$A$4:$A$251&amp;UtilityList!$B$4:$B$251&amp;UtilityList!$C$4:$C$251,0)),"")</f>
        <v>YU</v>
      </c>
    </row>
    <row r="224" spans="1:16" s="344" customFormat="1" ht="45" x14ac:dyDescent="0.25">
      <c r="A224" s="351" t="s">
        <v>1084</v>
      </c>
      <c r="B224" s="361" t="s">
        <v>297</v>
      </c>
      <c r="C224" s="350" t="s">
        <v>1085</v>
      </c>
      <c r="D224" s="620">
        <v>20</v>
      </c>
      <c r="E224" s="621">
        <v>0</v>
      </c>
      <c r="F224" s="621">
        <v>0</v>
      </c>
      <c r="G224" s="621">
        <v>0</v>
      </c>
      <c r="H224" s="621">
        <v>20</v>
      </c>
      <c r="I224" s="452" t="s">
        <v>1021</v>
      </c>
      <c r="J224" s="622" t="s">
        <v>673</v>
      </c>
      <c r="K224" s="709" t="s">
        <v>1086</v>
      </c>
      <c r="L224" s="622" t="s">
        <v>512</v>
      </c>
      <c r="M224" s="369" t="s">
        <v>392</v>
      </c>
      <c r="N224" s="369" t="s">
        <v>410</v>
      </c>
      <c r="O224" s="369" t="s">
        <v>392</v>
      </c>
      <c r="P224" s="369" t="s">
        <v>362</v>
      </c>
    </row>
    <row r="225" spans="1:16" s="344" customFormat="1" x14ac:dyDescent="0.25">
      <c r="A225" s="619" t="s">
        <v>323</v>
      </c>
      <c r="B225" s="361" t="s">
        <v>324</v>
      </c>
      <c r="C225" s="350" t="s">
        <v>324</v>
      </c>
      <c r="D225" s="620">
        <v>216</v>
      </c>
      <c r="E225" s="621">
        <v>0</v>
      </c>
      <c r="F225" s="621">
        <v>216</v>
      </c>
      <c r="G225" s="621">
        <v>0</v>
      </c>
      <c r="H225" s="621">
        <v>0</v>
      </c>
      <c r="I225" s="452" t="s">
        <v>1022</v>
      </c>
      <c r="J225" s="622" t="str">
        <f t="array" ref="J225">IFERROR(INDEX(UtilityList!$H$4:$H$251,MATCH('Table 2.1a'!$A225&amp;'Table 2.1a'!$B225&amp;'Table 2.1a'!$C225,UtilityList!$A$4:$A$251&amp;UtilityList!$B$4:$B$251&amp;UtilityList!$C$4:$C$251,0)),"")</f>
        <v>PCE Eligible Active</v>
      </c>
      <c r="K225" s="709">
        <f t="array" ref="K225">IFERROR(INDEX(UtilityList!$Q$4:$Q$251,MATCH('Table 2.1a'!$A225&amp;'Table 2.1a'!$B225&amp;'Table 2.1a'!$C225,UtilityList!$A$4:$A$251&amp;UtilityList!$B$4:$B$251&amp;UtilityList!$C$4:$C$251,0)),"")</f>
        <v>0</v>
      </c>
      <c r="L225" s="622" t="str">
        <f t="array" ref="L225">IFERROR(INDEX(UtilityList!$I$4:$I$251,MATCH('Table 2.1a'!$A225&amp;'Table 2.1a'!$B225&amp;'Table 2.1a'!$C225,UtilityList!$A$4:$A$251&amp;UtilityList!$B$4:$B$251&amp;UtilityList!$C$4:$C$251,0)),"")</f>
        <v>TAKOC</v>
      </c>
      <c r="M225" s="369" t="str">
        <f t="array" ref="M225">IFERROR(INDEX(UtilityList!$J$4:$J$251,MATCH('Table 2.1a'!$A225&amp;'Table 2.1a'!$B225&amp;'Table 2.1a'!$C225,UtilityList!$A$4:$A$251&amp;UtilityList!$B$4:$B$251&amp;UtilityList!$C$4:$C$251,0)),"")</f>
        <v>Yukon-Koyukuk/Upper Tanana</v>
      </c>
      <c r="N225" s="369" t="str">
        <f t="array" ref="N225">IFERROR(INDEX(UtilityList!$K$4:$K$251,MATCH('Table 2.1a'!$A225&amp;'Table 2.1a'!$B225&amp;'Table 2.1a'!$C225,UtilityList!$A$4:$A$251&amp;UtilityList!$B$4:$B$251&amp;UtilityList!$C$4:$C$251,0)),"")</f>
        <v>Yukon-Koyukuk (CA)</v>
      </c>
      <c r="O225" s="369" t="str">
        <f t="array" ref="O225">IFERROR(INDEX(UtilityList!$L$4:$L$251,MATCH('Table 2.1a'!$A225&amp;'Table 2.1a'!$B225&amp;'Table 2.1a'!$C225,UtilityList!$A$4:$A$251&amp;UtilityList!$B$4:$B$251&amp;UtilityList!$C$4:$C$251,0)),"")</f>
        <v>Doyon</v>
      </c>
      <c r="P225" s="369" t="str">
        <f t="array" ref="P225">IFERROR(INDEX(UtilityList!$M$4:$M$251,MATCH('Table 2.1a'!$A225&amp;'Table 2.1a'!$B225&amp;'Table 2.1a'!$C225,UtilityList!$A$4:$A$251&amp;UtilityList!$B$4:$B$251&amp;UtilityList!$C$4:$C$251,0)),"")</f>
        <v>SW</v>
      </c>
    </row>
    <row r="226" spans="1:16" s="344" customFormat="1" x14ac:dyDescent="0.25">
      <c r="A226" s="619" t="s">
        <v>325</v>
      </c>
      <c r="B226" s="361" t="s">
        <v>326</v>
      </c>
      <c r="C226" s="350" t="s">
        <v>326</v>
      </c>
      <c r="D226" s="620">
        <v>466</v>
      </c>
      <c r="E226" s="621">
        <v>0</v>
      </c>
      <c r="F226" s="621">
        <v>466</v>
      </c>
      <c r="G226" s="621">
        <v>0</v>
      </c>
      <c r="H226" s="621">
        <v>0</v>
      </c>
      <c r="I226" s="452" t="s">
        <v>1022</v>
      </c>
      <c r="J226" s="622" t="str">
        <f t="array" ref="J226">IFERROR(INDEX(UtilityList!$H$4:$H$251,MATCH('Table 2.1a'!$A226&amp;'Table 2.1a'!$B226&amp;'Table 2.1a'!$C226,UtilityList!$A$4:$A$251&amp;UtilityList!$B$4:$B$251&amp;UtilityList!$C$4:$C$251,0)),"")</f>
        <v>PCE Eligible Active</v>
      </c>
      <c r="K226" s="709">
        <f t="array" ref="K226">IFERROR(INDEX(UtilityList!$Q$4:$Q$251,MATCH('Table 2.1a'!$A226&amp;'Table 2.1a'!$B226&amp;'Table 2.1a'!$C226,UtilityList!$A$4:$A$251&amp;UtilityList!$B$4:$B$251&amp;UtilityList!$C$4:$C$251,0)),"")</f>
        <v>0</v>
      </c>
      <c r="L226" s="622" t="str">
        <f t="array" ref="L226">IFERROR(INDEX(UtilityList!$I$4:$I$251,MATCH('Table 2.1a'!$A226&amp;'Table 2.1a'!$B226&amp;'Table 2.1a'!$C226,UtilityList!$A$4:$A$251&amp;UtilityList!$B$4:$B$251&amp;UtilityList!$C$4:$C$251,0)),"")</f>
        <v>TANAEC</v>
      </c>
      <c r="M226" s="369" t="str">
        <f t="array" ref="M226">IFERROR(INDEX(UtilityList!$J$4:$J$251,MATCH('Table 2.1a'!$A226&amp;'Table 2.1a'!$B226&amp;'Table 2.1a'!$C226,UtilityList!$A$4:$A$251&amp;UtilityList!$B$4:$B$251&amp;UtilityList!$C$4:$C$251,0)),"")</f>
        <v>Bristol Bay</v>
      </c>
      <c r="N226" s="369" t="str">
        <f t="array" ref="N226">IFERROR(INDEX(UtilityList!$K$4:$K$251,MATCH('Table 2.1a'!$A226&amp;'Table 2.1a'!$B226&amp;'Table 2.1a'!$C226,UtilityList!$A$4:$A$251&amp;UtilityList!$B$4:$B$251&amp;UtilityList!$C$4:$C$251,0)),"")</f>
        <v>Lake and Peninsula</v>
      </c>
      <c r="O226" s="369" t="str">
        <f t="array" ref="O226">IFERROR(INDEX(UtilityList!$L$4:$L$251,MATCH('Table 2.1a'!$A226&amp;'Table 2.1a'!$B226&amp;'Table 2.1a'!$C226,UtilityList!$A$4:$A$251&amp;UtilityList!$B$4:$B$251&amp;UtilityList!$C$4:$C$251,0)),"")</f>
        <v>Cook Inlet</v>
      </c>
      <c r="P226" s="369" t="str">
        <f t="array" ref="P226">IFERROR(INDEX(UtilityList!$M$4:$M$251,MATCH('Table 2.1a'!$A226&amp;'Table 2.1a'!$B226&amp;'Table 2.1a'!$C226,UtilityList!$A$4:$A$251&amp;UtilityList!$B$4:$B$251&amp;UtilityList!$C$4:$C$251,0)),"")</f>
        <v>SW</v>
      </c>
    </row>
    <row r="227" spans="1:16" s="344" customFormat="1" x14ac:dyDescent="0.25">
      <c r="A227" s="619" t="s">
        <v>510</v>
      </c>
      <c r="B227" s="361" t="s">
        <v>327</v>
      </c>
      <c r="C227" s="350" t="s">
        <v>327</v>
      </c>
      <c r="D227" s="620">
        <v>1545</v>
      </c>
      <c r="E227" s="621">
        <v>0</v>
      </c>
      <c r="F227" s="621">
        <v>1545</v>
      </c>
      <c r="G227" s="621">
        <v>0</v>
      </c>
      <c r="H227" s="621">
        <v>0</v>
      </c>
      <c r="I227" s="452" t="s">
        <v>1022</v>
      </c>
      <c r="J227" s="622" t="str">
        <f t="array" ref="J227">IFERROR(INDEX(UtilityList!$H$4:$H$251,MATCH('Table 2.1a'!$A227&amp;'Table 2.1a'!$B227&amp;'Table 2.1a'!$C227,UtilityList!$A$4:$A$251&amp;UtilityList!$B$4:$B$251&amp;UtilityList!$C$4:$C$251,0)),"")</f>
        <v>PCE Eligible Active</v>
      </c>
      <c r="K227" s="709">
        <f t="array" ref="K227">IFERROR(INDEX(UtilityList!$Q$4:$Q$251,MATCH('Table 2.1a'!$A227&amp;'Table 2.1a'!$B227&amp;'Table 2.1a'!$C227,UtilityList!$A$4:$A$251&amp;UtilityList!$B$4:$B$251&amp;UtilityList!$C$4:$C$251,0)),"")</f>
        <v>0</v>
      </c>
      <c r="L227" s="622" t="str">
        <f t="array" ref="L227">IFERROR(INDEX(UtilityList!$I$4:$I$251,MATCH('Table 2.1a'!$A227&amp;'Table 2.1a'!$B227&amp;'Table 2.1a'!$C227,UtilityList!$A$4:$A$251&amp;UtilityList!$B$4:$B$251&amp;UtilityList!$C$4:$C$251,0)),"")</f>
        <v>TPC</v>
      </c>
      <c r="M227" s="369" t="str">
        <f t="array" ref="M227">IFERROR(INDEX(UtilityList!$J$4:$J$251,MATCH('Table 2.1a'!$A227&amp;'Table 2.1a'!$B227&amp;'Table 2.1a'!$C227,UtilityList!$A$4:$A$251&amp;UtilityList!$B$4:$B$251&amp;UtilityList!$C$4:$C$251,0)),"")</f>
        <v>Yukon-Koyukuk/Upper Tanana</v>
      </c>
      <c r="N227" s="369" t="str">
        <f t="array" ref="N227">IFERROR(INDEX(UtilityList!$K$4:$K$251,MATCH('Table 2.1a'!$A227&amp;'Table 2.1a'!$B227&amp;'Table 2.1a'!$C227,UtilityList!$A$4:$A$251&amp;UtilityList!$B$4:$B$251&amp;UtilityList!$C$4:$C$251,0)),"")</f>
        <v>Yukon-Koyukuk (CA)</v>
      </c>
      <c r="O227" s="369" t="str">
        <f t="array" ref="O227">IFERROR(INDEX(UtilityList!$L$4:$L$251,MATCH('Table 2.1a'!$A227&amp;'Table 2.1a'!$B227&amp;'Table 2.1a'!$C227,UtilityList!$A$4:$A$251&amp;UtilityList!$B$4:$B$251&amp;UtilityList!$C$4:$C$251,0)),"")</f>
        <v>Doyon</v>
      </c>
      <c r="P227" s="369" t="str">
        <f t="array" ref="P227">IFERROR(INDEX(UtilityList!$M$4:$M$251,MATCH('Table 2.1a'!$A227&amp;'Table 2.1a'!$B227&amp;'Table 2.1a'!$C227,UtilityList!$A$4:$A$251&amp;UtilityList!$B$4:$B$251&amp;UtilityList!$C$4:$C$251,0)),"")</f>
        <v>YU</v>
      </c>
    </row>
    <row r="228" spans="1:16" s="344" customFormat="1" x14ac:dyDescent="0.25">
      <c r="A228" s="619" t="s">
        <v>328</v>
      </c>
      <c r="B228" s="361" t="s">
        <v>329</v>
      </c>
      <c r="C228" s="350" t="s">
        <v>329</v>
      </c>
      <c r="D228" s="620">
        <v>315</v>
      </c>
      <c r="E228" s="621">
        <v>0</v>
      </c>
      <c r="F228" s="621">
        <v>315</v>
      </c>
      <c r="G228" s="621">
        <v>0</v>
      </c>
      <c r="H228" s="621">
        <v>0</v>
      </c>
      <c r="I228" s="452" t="s">
        <v>1022</v>
      </c>
      <c r="J228" s="622" t="str">
        <f t="array" ref="J228">IFERROR(INDEX(UtilityList!$H$4:$H$251,MATCH('Table 2.1a'!$A228&amp;'Table 2.1a'!$B228&amp;'Table 2.1a'!$C228,UtilityList!$A$4:$A$251&amp;UtilityList!$B$4:$B$251&amp;UtilityList!$C$4:$C$251,0)),"")</f>
        <v>PCE Eligible Active</v>
      </c>
      <c r="K228" s="709">
        <f t="array" ref="K228">IFERROR(INDEX(UtilityList!$Q$4:$Q$251,MATCH('Table 2.1a'!$A228&amp;'Table 2.1a'!$B228&amp;'Table 2.1a'!$C228,UtilityList!$A$4:$A$251&amp;UtilityList!$B$4:$B$251&amp;UtilityList!$C$4:$C$251,0)),"")</f>
        <v>0</v>
      </c>
      <c r="L228" s="622" t="str">
        <f t="array" ref="L228">IFERROR(INDEX(UtilityList!$I$4:$I$251,MATCH('Table 2.1a'!$A228&amp;'Table 2.1a'!$B228&amp;'Table 2.1a'!$C228,UtilityList!$A$4:$A$251&amp;UtilityList!$B$4:$B$251&amp;UtilityList!$C$4:$C$251,0)),"")</f>
        <v>TATIVIC</v>
      </c>
      <c r="M228" s="369" t="str">
        <f t="array" ref="M228">IFERROR(INDEX(UtilityList!$J$4:$J$251,MATCH('Table 2.1a'!$A228&amp;'Table 2.1a'!$B228&amp;'Table 2.1a'!$C228,UtilityList!$A$4:$A$251&amp;UtilityList!$B$4:$B$251&amp;UtilityList!$C$4:$C$251,0)),"")</f>
        <v>Copper River/Chugach</v>
      </c>
      <c r="N228" s="369" t="str">
        <f t="array" ref="N228">IFERROR(INDEX(UtilityList!$K$4:$K$251,MATCH('Table 2.1a'!$A228&amp;'Table 2.1a'!$B228&amp;'Table 2.1a'!$C228,UtilityList!$A$4:$A$251&amp;UtilityList!$B$4:$B$251&amp;UtilityList!$C$4:$C$251,0)),"")</f>
        <v>Valdez-Cordova (CA)</v>
      </c>
      <c r="O228" s="369" t="str">
        <f t="array" ref="O228">IFERROR(INDEX(UtilityList!$L$4:$L$251,MATCH('Table 2.1a'!$A228&amp;'Table 2.1a'!$B228&amp;'Table 2.1a'!$C228,UtilityList!$A$4:$A$251&amp;UtilityList!$B$4:$B$251&amp;UtilityList!$C$4:$C$251,0)),"")</f>
        <v>Chugach</v>
      </c>
      <c r="P228" s="369" t="str">
        <f t="array" ref="P228">IFERROR(INDEX(UtilityList!$M$4:$M$251,MATCH('Table 2.1a'!$A228&amp;'Table 2.1a'!$B228&amp;'Table 2.1a'!$C228,UtilityList!$A$4:$A$251&amp;UtilityList!$B$4:$B$251&amp;UtilityList!$C$4:$C$251,0)),"")</f>
        <v>SC</v>
      </c>
    </row>
    <row r="229" spans="1:16" s="344" customFormat="1" x14ac:dyDescent="0.25">
      <c r="A229" s="619" t="s">
        <v>1080</v>
      </c>
      <c r="B229" s="361" t="s">
        <v>330</v>
      </c>
      <c r="C229" s="350" t="s">
        <v>330</v>
      </c>
      <c r="D229" s="620">
        <v>4035</v>
      </c>
      <c r="E229" s="621">
        <v>0</v>
      </c>
      <c r="F229" s="621">
        <v>4035</v>
      </c>
      <c r="G229" s="621">
        <v>0</v>
      </c>
      <c r="H229" s="621">
        <v>0</v>
      </c>
      <c r="I229" s="452" t="s">
        <v>1022</v>
      </c>
      <c r="J229" s="622" t="str">
        <f t="array" ref="J229">IFERROR(INDEX(UtilityList!$H$4:$H$251,MATCH('Table 2.1a'!$A229&amp;'Table 2.1a'!$B229&amp;'Table 2.1a'!$C229,UtilityList!$A$4:$A$251&amp;UtilityList!$B$4:$B$251&amp;UtilityList!$C$4:$C$251,0)),"")</f>
        <v>PCE Eligible Active</v>
      </c>
      <c r="K229" s="709">
        <f t="array" ref="K229">IFERROR(INDEX(UtilityList!$Q$4:$Q$251,MATCH('Table 2.1a'!$A229&amp;'Table 2.1a'!$B229&amp;'Table 2.1a'!$C229,UtilityList!$A$4:$A$251&amp;UtilityList!$B$4:$B$251&amp;UtilityList!$C$4:$C$251,0)),"")</f>
        <v>0</v>
      </c>
      <c r="L229" s="622" t="str">
        <f t="array" ref="L229">IFERROR(INDEX(UtilityList!$I$4:$I$251,MATCH('Table 2.1a'!$A229&amp;'Table 2.1a'!$B229&amp;'Table 2.1a'!$C229,UtilityList!$A$4:$A$251&amp;UtilityList!$B$4:$B$251&amp;UtilityList!$C$4:$C$251,0)),"")</f>
        <v>TDXA</v>
      </c>
      <c r="M229" s="369" t="str">
        <f t="array" ref="M229">IFERROR(INDEX(UtilityList!$J$4:$J$251,MATCH('Table 2.1a'!$A229&amp;'Table 2.1a'!$B229&amp;'Table 2.1a'!$C229,UtilityList!$A$4:$A$251&amp;UtilityList!$B$4:$B$251&amp;UtilityList!$C$4:$C$251,0)),"")</f>
        <v>Aleutians</v>
      </c>
      <c r="N229" s="369" t="str">
        <f t="array" ref="N229">IFERROR(INDEX(UtilityList!$K$4:$K$251,MATCH('Table 2.1a'!$A229&amp;'Table 2.1a'!$B229&amp;'Table 2.1a'!$C229,UtilityList!$A$4:$A$251&amp;UtilityList!$B$4:$B$251&amp;UtilityList!$C$4:$C$251,0)),"")</f>
        <v>Aleutians West (CA)</v>
      </c>
      <c r="O229" s="369" t="str">
        <f t="array" ref="O229">IFERROR(INDEX(UtilityList!$L$4:$L$251,MATCH('Table 2.1a'!$A229&amp;'Table 2.1a'!$B229&amp;'Table 2.1a'!$C229,UtilityList!$A$4:$A$251&amp;UtilityList!$B$4:$B$251&amp;UtilityList!$C$4:$C$251,0)),"")</f>
        <v>Aleut</v>
      </c>
      <c r="P229" s="369" t="str">
        <f t="array" ref="P229">IFERROR(INDEX(UtilityList!$M$4:$M$251,MATCH('Table 2.1a'!$A229&amp;'Table 2.1a'!$B229&amp;'Table 2.1a'!$C229,UtilityList!$A$4:$A$251&amp;UtilityList!$B$4:$B$251&amp;UtilityList!$C$4:$C$251,0)),"")</f>
        <v>SW</v>
      </c>
    </row>
    <row r="230" spans="1:16" s="344" customFormat="1" ht="30" x14ac:dyDescent="0.25">
      <c r="A230" s="619" t="s">
        <v>331</v>
      </c>
      <c r="B230" s="361" t="s">
        <v>332</v>
      </c>
      <c r="C230" s="350" t="s">
        <v>332</v>
      </c>
      <c r="D230" s="620">
        <v>1000</v>
      </c>
      <c r="E230" s="621">
        <v>0</v>
      </c>
      <c r="F230" s="621">
        <v>0</v>
      </c>
      <c r="G230" s="621">
        <v>0</v>
      </c>
      <c r="H230" s="621">
        <v>1000</v>
      </c>
      <c r="I230" s="452" t="s">
        <v>1021</v>
      </c>
      <c r="J230" s="622" t="str">
        <f t="array" ref="J230">IFERROR(INDEX(UtilityList!$H$4:$H$251,MATCH('Table 2.1a'!$A230&amp;'Table 2.1a'!$B230&amp;'Table 2.1a'!$C230,UtilityList!$A$4:$A$251&amp;UtilityList!$B$4:$B$251&amp;UtilityList!$C$4:$C$251,0)),"")</f>
        <v>PCE Eligible Active</v>
      </c>
      <c r="K230" s="709">
        <f t="array" ref="K230">IFERROR(INDEX(UtilityList!$Q$4:$Q$251,MATCH('Table 2.1a'!$A230&amp;'Table 2.1a'!$B230&amp;'Table 2.1a'!$C230,UtilityList!$A$4:$A$251&amp;UtilityList!$B$4:$B$251&amp;UtilityList!$C$4:$C$251,0)),"")</f>
        <v>0</v>
      </c>
      <c r="L230" s="622" t="str">
        <f t="array" ref="L230">IFERROR(INDEX(UtilityList!$I$4:$I$251,MATCH('Table 2.1a'!$A230&amp;'Table 2.1a'!$B230&amp;'Table 2.1a'!$C230,UtilityList!$A$4:$A$251&amp;UtilityList!$B$4:$B$251&amp;UtilityList!$C$4:$C$251,0)),"")</f>
        <v>TDXC</v>
      </c>
      <c r="M230" s="369" t="str">
        <f t="array" ref="M230">IFERROR(INDEX(UtilityList!$J$4:$J$251,MATCH('Table 2.1a'!$A230&amp;'Table 2.1a'!$B230&amp;'Table 2.1a'!$C230,UtilityList!$A$4:$A$251&amp;UtilityList!$B$4:$B$251&amp;UtilityList!$C$4:$C$251,0)),"")</f>
        <v>Aleutians</v>
      </c>
      <c r="N230" s="369" t="str">
        <f t="array" ref="N230">IFERROR(INDEX(UtilityList!$K$4:$K$251,MATCH('Table 2.1a'!$A230&amp;'Table 2.1a'!$B230&amp;'Table 2.1a'!$C230,UtilityList!$A$4:$A$251&amp;UtilityList!$B$4:$B$251&amp;UtilityList!$C$4:$C$251,0)),"")</f>
        <v>Aleutians East</v>
      </c>
      <c r="O230" s="369" t="str">
        <f t="array" ref="O230">IFERROR(INDEX(UtilityList!$L$4:$L$251,MATCH('Table 2.1a'!$A230&amp;'Table 2.1a'!$B230&amp;'Table 2.1a'!$C230,UtilityList!$A$4:$A$251&amp;UtilityList!$B$4:$B$251&amp;UtilityList!$C$4:$C$251,0)),"")</f>
        <v>Aleut</v>
      </c>
      <c r="P230" s="369" t="str">
        <f t="array" ref="P230">IFERROR(INDEX(UtilityList!$M$4:$M$251,MATCH('Table 2.1a'!$A230&amp;'Table 2.1a'!$B230&amp;'Table 2.1a'!$C230,UtilityList!$A$4:$A$251&amp;UtilityList!$B$4:$B$251&amp;UtilityList!$C$4:$C$251,0)),"")</f>
        <v>SW</v>
      </c>
    </row>
    <row r="231" spans="1:16" s="344" customFormat="1" x14ac:dyDescent="0.25">
      <c r="A231" s="619" t="s">
        <v>331</v>
      </c>
      <c r="B231" s="361" t="s">
        <v>332</v>
      </c>
      <c r="C231" s="350" t="s">
        <v>332</v>
      </c>
      <c r="D231" s="620">
        <v>2880</v>
      </c>
      <c r="E231" s="621">
        <v>0</v>
      </c>
      <c r="F231" s="621">
        <v>2880</v>
      </c>
      <c r="G231" s="621">
        <v>0</v>
      </c>
      <c r="H231" s="621">
        <v>0</v>
      </c>
      <c r="I231" s="452" t="s">
        <v>1022</v>
      </c>
      <c r="J231" s="622" t="str">
        <f t="array" ref="J231">IFERROR(INDEX(UtilityList!$H$4:$H$251,MATCH('Table 2.1a'!$A231&amp;'Table 2.1a'!$B231&amp;'Table 2.1a'!$C231,UtilityList!$A$4:$A$251&amp;UtilityList!$B$4:$B$251&amp;UtilityList!$C$4:$C$251,0)),"")</f>
        <v>PCE Eligible Active</v>
      </c>
      <c r="K231" s="709">
        <f t="array" ref="K231">IFERROR(INDEX(UtilityList!$Q$4:$Q$251,MATCH('Table 2.1a'!$A231&amp;'Table 2.1a'!$B231&amp;'Table 2.1a'!$C231,UtilityList!$A$4:$A$251&amp;UtilityList!$B$4:$B$251&amp;UtilityList!$C$4:$C$251,0)),"")</f>
        <v>0</v>
      </c>
      <c r="L231" s="622" t="str">
        <f t="array" ref="L231">IFERROR(INDEX(UtilityList!$I$4:$I$251,MATCH('Table 2.1a'!$A231&amp;'Table 2.1a'!$B231&amp;'Table 2.1a'!$C231,UtilityList!$A$4:$A$251&amp;UtilityList!$B$4:$B$251&amp;UtilityList!$C$4:$C$251,0)),"")</f>
        <v>TDXC</v>
      </c>
      <c r="M231" s="369" t="str">
        <f t="array" ref="M231">IFERROR(INDEX(UtilityList!$J$4:$J$251,MATCH('Table 2.1a'!$A231&amp;'Table 2.1a'!$B231&amp;'Table 2.1a'!$C231,UtilityList!$A$4:$A$251&amp;UtilityList!$B$4:$B$251&amp;UtilityList!$C$4:$C$251,0)),"")</f>
        <v>Aleutians</v>
      </c>
      <c r="N231" s="369" t="str">
        <f t="array" ref="N231">IFERROR(INDEX(UtilityList!$K$4:$K$251,MATCH('Table 2.1a'!$A231&amp;'Table 2.1a'!$B231&amp;'Table 2.1a'!$C231,UtilityList!$A$4:$A$251&amp;UtilityList!$B$4:$B$251&amp;UtilityList!$C$4:$C$251,0)),"")</f>
        <v>Aleutians East</v>
      </c>
      <c r="O231" s="369" t="str">
        <f t="array" ref="O231">IFERROR(INDEX(UtilityList!$L$4:$L$251,MATCH('Table 2.1a'!$A231&amp;'Table 2.1a'!$B231&amp;'Table 2.1a'!$C231,UtilityList!$A$4:$A$251&amp;UtilityList!$B$4:$B$251&amp;UtilityList!$C$4:$C$251,0)),"")</f>
        <v>Aleut</v>
      </c>
      <c r="P231" s="369" t="str">
        <f t="array" ref="P231">IFERROR(INDEX(UtilityList!$M$4:$M$251,MATCH('Table 2.1a'!$A231&amp;'Table 2.1a'!$B231&amp;'Table 2.1a'!$C231,UtilityList!$A$4:$A$251&amp;UtilityList!$B$4:$B$251&amp;UtilityList!$C$4:$C$251,0)),"")</f>
        <v>SW</v>
      </c>
    </row>
    <row r="232" spans="1:16" s="344" customFormat="1" x14ac:dyDescent="0.25">
      <c r="A232" s="619" t="s">
        <v>333</v>
      </c>
      <c r="B232" s="361" t="s">
        <v>334</v>
      </c>
      <c r="C232" s="350" t="s">
        <v>334</v>
      </c>
      <c r="D232" s="620">
        <v>486</v>
      </c>
      <c r="E232" s="621">
        <v>0</v>
      </c>
      <c r="F232" s="621">
        <v>486</v>
      </c>
      <c r="G232" s="621">
        <v>0</v>
      </c>
      <c r="H232" s="621">
        <v>0</v>
      </c>
      <c r="I232" s="452" t="s">
        <v>1022</v>
      </c>
      <c r="J232" s="622" t="str">
        <f t="array" ref="J232">IFERROR(INDEX(UtilityList!$H$4:$H$251,MATCH('Table 2.1a'!$A232&amp;'Table 2.1a'!$B232&amp;'Table 2.1a'!$C232,UtilityList!$A$4:$A$251&amp;UtilityList!$B$4:$B$251&amp;UtilityList!$C$4:$C$251,0)),"")</f>
        <v>PCE Eligible Active</v>
      </c>
      <c r="K232" s="709">
        <f t="array" ref="K232">IFERROR(INDEX(UtilityList!$Q$4:$Q$251,MATCH('Table 2.1a'!$A232&amp;'Table 2.1a'!$B232&amp;'Table 2.1a'!$C232,UtilityList!$A$4:$A$251&amp;UtilityList!$B$4:$B$251&amp;UtilityList!$C$4:$C$251,0)),"")</f>
        <v>0</v>
      </c>
      <c r="L232" s="622" t="str">
        <f t="array" ref="L232">IFERROR(INDEX(UtilityList!$I$4:$I$251,MATCH('Table 2.1a'!$A232&amp;'Table 2.1a'!$B232&amp;'Table 2.1a'!$C232,UtilityList!$A$4:$A$251&amp;UtilityList!$B$4:$B$251&amp;UtilityList!$C$4:$C$251,0)),"")</f>
        <v>TMG</v>
      </c>
      <c r="M232" s="369" t="str">
        <f t="array" ref="M232">IFERROR(INDEX(UtilityList!$J$4:$J$251,MATCH('Table 2.1a'!$A232&amp;'Table 2.1a'!$B232&amp;'Table 2.1a'!$C232,UtilityList!$A$4:$A$251&amp;UtilityList!$B$4:$B$251&amp;UtilityList!$C$4:$C$251,0)),"")</f>
        <v>Yukon-Koyukuk/Upper Tanana</v>
      </c>
      <c r="N232" s="369" t="str">
        <f t="array" ref="N232">IFERROR(INDEX(UtilityList!$K$4:$K$251,MATCH('Table 2.1a'!$A232&amp;'Table 2.1a'!$B232&amp;'Table 2.1a'!$C232,UtilityList!$A$4:$A$251&amp;UtilityList!$B$4:$B$251&amp;UtilityList!$C$4:$C$251,0)),"")</f>
        <v>Yukon-Koyukuk (CA)</v>
      </c>
      <c r="O232" s="369" t="str">
        <f t="array" ref="O232">IFERROR(INDEX(UtilityList!$L$4:$L$251,MATCH('Table 2.1a'!$A232&amp;'Table 2.1a'!$B232&amp;'Table 2.1a'!$C232,UtilityList!$A$4:$A$251&amp;UtilityList!$B$4:$B$251&amp;UtilityList!$C$4:$C$251,0)),"")</f>
        <v>Doyon</v>
      </c>
      <c r="P232" s="369" t="str">
        <f t="array" ref="P232">IFERROR(INDEX(UtilityList!$M$4:$M$251,MATCH('Table 2.1a'!$A232&amp;'Table 2.1a'!$B232&amp;'Table 2.1a'!$C232,UtilityList!$A$4:$A$251&amp;UtilityList!$B$4:$B$251&amp;UtilityList!$C$4:$C$251,0)),"")</f>
        <v>YU</v>
      </c>
    </row>
    <row r="233" spans="1:16" s="344" customFormat="1" x14ac:dyDescent="0.25">
      <c r="A233" s="619" t="s">
        <v>335</v>
      </c>
      <c r="B233" s="361" t="s">
        <v>336</v>
      </c>
      <c r="C233" s="350" t="s">
        <v>336</v>
      </c>
      <c r="D233" s="620">
        <v>240</v>
      </c>
      <c r="E233" s="621">
        <v>0</v>
      </c>
      <c r="F233" s="621">
        <v>240</v>
      </c>
      <c r="G233" s="621">
        <v>0</v>
      </c>
      <c r="H233" s="621">
        <v>0</v>
      </c>
      <c r="I233" s="452" t="s">
        <v>1022</v>
      </c>
      <c r="J233" s="622" t="str">
        <f t="array" ref="J233">IFERROR(INDEX(UtilityList!$H$4:$H$251,MATCH('Table 2.1a'!$A233&amp;'Table 2.1a'!$B233&amp;'Table 2.1a'!$C233,UtilityList!$A$4:$A$251&amp;UtilityList!$B$4:$B$251&amp;UtilityList!$C$4:$C$251,0)),"")</f>
        <v>PCE Eligible Active</v>
      </c>
      <c r="K233" s="709">
        <f t="array" ref="K233">IFERROR(INDEX(UtilityList!$Q$4:$Q$251,MATCH('Table 2.1a'!$A233&amp;'Table 2.1a'!$B233&amp;'Table 2.1a'!$C233,UtilityList!$A$4:$A$251&amp;UtilityList!$B$4:$B$251&amp;UtilityList!$C$4:$C$251,0)),"")</f>
        <v>0</v>
      </c>
      <c r="L233" s="622" t="str">
        <f t="array" ref="L233">IFERROR(INDEX(UtilityList!$I$4:$I$251,MATCH('Table 2.1a'!$A233&amp;'Table 2.1a'!$B233&amp;'Table 2.1a'!$C233,UtilityList!$A$4:$A$251&amp;UtilityList!$B$4:$B$251&amp;UtilityList!$C$4:$C$251,0)),"")</f>
        <v>TENAS</v>
      </c>
      <c r="M233" s="369" t="str">
        <f t="array" ref="M233">IFERROR(INDEX(UtilityList!$J$4:$J$251,MATCH('Table 2.1a'!$A233&amp;'Table 2.1a'!$B233&amp;'Table 2.1a'!$C233,UtilityList!$A$4:$A$251&amp;UtilityList!$B$4:$B$251&amp;UtilityList!$C$4:$C$251,0)),"")</f>
        <v>Southeast</v>
      </c>
      <c r="N233" s="369" t="str">
        <f t="array" ref="N233">IFERROR(INDEX(UtilityList!$K$4:$K$251,MATCH('Table 2.1a'!$A233&amp;'Table 2.1a'!$B233&amp;'Table 2.1a'!$C233,UtilityList!$A$4:$A$251&amp;UtilityList!$B$4:$B$251&amp;UtilityList!$C$4:$C$251,0)),"")</f>
        <v>Hoonah-Angoon (CA)</v>
      </c>
      <c r="O233" s="369" t="str">
        <f t="array" ref="O233">IFERROR(INDEX(UtilityList!$L$4:$L$251,MATCH('Table 2.1a'!$A233&amp;'Table 2.1a'!$B233&amp;'Table 2.1a'!$C233,UtilityList!$A$4:$A$251&amp;UtilityList!$B$4:$B$251&amp;UtilityList!$C$4:$C$251,0)),"")</f>
        <v>Sealaska</v>
      </c>
      <c r="P233" s="369" t="str">
        <f t="array" ref="P233">IFERROR(INDEX(UtilityList!$M$4:$M$251,MATCH('Table 2.1a'!$A233&amp;'Table 2.1a'!$B233&amp;'Table 2.1a'!$C233,UtilityList!$A$4:$A$251&amp;UtilityList!$B$4:$B$251&amp;UtilityList!$C$4:$C$251,0)),"")</f>
        <v>SE</v>
      </c>
    </row>
    <row r="234" spans="1:16" s="344" customFormat="1" x14ac:dyDescent="0.25">
      <c r="A234" s="619" t="s">
        <v>337</v>
      </c>
      <c r="B234" s="361" t="s">
        <v>338</v>
      </c>
      <c r="C234" s="350" t="s">
        <v>338</v>
      </c>
      <c r="D234" s="620">
        <v>795</v>
      </c>
      <c r="E234" s="621">
        <v>0</v>
      </c>
      <c r="F234" s="621">
        <v>795</v>
      </c>
      <c r="G234" s="621">
        <v>0</v>
      </c>
      <c r="H234" s="621">
        <v>0</v>
      </c>
      <c r="I234" s="452" t="s">
        <v>1022</v>
      </c>
      <c r="J234" s="622" t="str">
        <f t="array" ref="J234">IFERROR(INDEX(UtilityList!$H$4:$H$251,MATCH('Table 2.1a'!$A234&amp;'Table 2.1a'!$B234&amp;'Table 2.1a'!$C234,UtilityList!$A$4:$A$251&amp;UtilityList!$B$4:$B$251&amp;UtilityList!$C$4:$C$251,0)),"")</f>
        <v>PCE Eligible Active</v>
      </c>
      <c r="K234" s="709">
        <f t="array" ref="K234">IFERROR(INDEX(UtilityList!$Q$4:$Q$251,MATCH('Table 2.1a'!$A234&amp;'Table 2.1a'!$B234&amp;'Table 2.1a'!$C234,UtilityList!$A$4:$A$251&amp;UtilityList!$B$4:$B$251&amp;UtilityList!$C$4:$C$251,0)),"")</f>
        <v>0</v>
      </c>
      <c r="L234" s="622" t="str">
        <f t="array" ref="L234">IFERROR(INDEX(UtilityList!$I$4:$I$251,MATCH('Table 2.1a'!$A234&amp;'Table 2.1a'!$B234&amp;'Table 2.1a'!$C234,UtilityList!$A$4:$A$251&amp;UtilityList!$B$4:$B$251&amp;UtilityList!$C$4:$C$251,0)),"")</f>
        <v>TULUTPU</v>
      </c>
      <c r="M234" s="369" t="str">
        <f t="array" ref="M234">IFERROR(INDEX(UtilityList!$J$4:$J$251,MATCH('Table 2.1a'!$A234&amp;'Table 2.1a'!$B234&amp;'Table 2.1a'!$C234,UtilityList!$A$4:$A$251&amp;UtilityList!$B$4:$B$251&amp;UtilityList!$C$4:$C$251,0)),"")</f>
        <v>Lower Yukon-Kuskokwim</v>
      </c>
      <c r="N234" s="369" t="str">
        <f t="array" ref="N234">IFERROR(INDEX(UtilityList!$K$4:$K$251,MATCH('Table 2.1a'!$A234&amp;'Table 2.1a'!$B234&amp;'Table 2.1a'!$C234,UtilityList!$A$4:$A$251&amp;UtilityList!$B$4:$B$251&amp;UtilityList!$C$4:$C$251,0)),"")</f>
        <v>Bethel (CA)</v>
      </c>
      <c r="O234" s="369" t="str">
        <f t="array" ref="O234">IFERROR(INDEX(UtilityList!$L$4:$L$251,MATCH('Table 2.1a'!$A234&amp;'Table 2.1a'!$B234&amp;'Table 2.1a'!$C234,UtilityList!$A$4:$A$251&amp;UtilityList!$B$4:$B$251&amp;UtilityList!$C$4:$C$251,0)),"")</f>
        <v>Calista</v>
      </c>
      <c r="P234" s="369" t="str">
        <f t="array" ref="P234">IFERROR(INDEX(UtilityList!$M$4:$M$251,MATCH('Table 2.1a'!$A234&amp;'Table 2.1a'!$B234&amp;'Table 2.1a'!$C234,UtilityList!$A$4:$A$251&amp;UtilityList!$B$4:$B$251&amp;UtilityList!$C$4:$C$251,0)),"")</f>
        <v>SW</v>
      </c>
    </row>
    <row r="235" spans="1:16" s="344" customFormat="1" x14ac:dyDescent="0.25">
      <c r="A235" s="619" t="s">
        <v>339</v>
      </c>
      <c r="B235" s="361" t="s">
        <v>340</v>
      </c>
      <c r="C235" s="350" t="s">
        <v>340</v>
      </c>
      <c r="D235" s="620">
        <v>865</v>
      </c>
      <c r="E235" s="621">
        <v>0</v>
      </c>
      <c r="F235" s="621">
        <v>865</v>
      </c>
      <c r="G235" s="621">
        <v>0</v>
      </c>
      <c r="H235" s="621">
        <v>0</v>
      </c>
      <c r="I235" s="452" t="s">
        <v>1022</v>
      </c>
      <c r="J235" s="622" t="str">
        <f t="array" ref="J235">IFERROR(INDEX(UtilityList!$H$4:$H$251,MATCH('Table 2.1a'!$A235&amp;'Table 2.1a'!$B235&amp;'Table 2.1a'!$C235,UtilityList!$A$4:$A$251&amp;UtilityList!$B$4:$B$251&amp;UtilityList!$C$4:$C$251,0)),"")</f>
        <v>PCE Eligible Active</v>
      </c>
      <c r="K235" s="709">
        <f t="array" ref="K235">IFERROR(INDEX(UtilityList!$Q$4:$Q$251,MATCH('Table 2.1a'!$A235&amp;'Table 2.1a'!$B235&amp;'Table 2.1a'!$C235,UtilityList!$A$4:$A$251&amp;UtilityList!$B$4:$B$251&amp;UtilityList!$C$4:$C$251,0)),"")</f>
        <v>0</v>
      </c>
      <c r="L235" s="622" t="str">
        <f t="array" ref="L235">IFERROR(INDEX(UtilityList!$I$4:$I$251,MATCH('Table 2.1a'!$A235&amp;'Table 2.1a'!$B235&amp;'Table 2.1a'!$C235,UtilityList!$A$4:$A$251&amp;UtilityList!$B$4:$B$251&amp;UtilityList!$C$4:$C$251,0)),"")</f>
        <v>TUNTCSA</v>
      </c>
      <c r="M235" s="369" t="str">
        <f t="array" ref="M235">IFERROR(INDEX(UtilityList!$J$4:$J$251,MATCH('Table 2.1a'!$A235&amp;'Table 2.1a'!$B235&amp;'Table 2.1a'!$C235,UtilityList!$A$4:$A$251&amp;UtilityList!$B$4:$B$251&amp;UtilityList!$C$4:$C$251,0)),"")</f>
        <v>Lower Yukon-Kuskokwim</v>
      </c>
      <c r="N235" s="369" t="str">
        <f t="array" ref="N235">IFERROR(INDEX(UtilityList!$K$4:$K$251,MATCH('Table 2.1a'!$A235&amp;'Table 2.1a'!$B235&amp;'Table 2.1a'!$C235,UtilityList!$A$4:$A$251&amp;UtilityList!$B$4:$B$251&amp;UtilityList!$C$4:$C$251,0)),"")</f>
        <v>Bethel (CA)</v>
      </c>
      <c r="O235" s="369" t="str">
        <f t="array" ref="O235">IFERROR(INDEX(UtilityList!$L$4:$L$251,MATCH('Table 2.1a'!$A235&amp;'Table 2.1a'!$B235&amp;'Table 2.1a'!$C235,UtilityList!$A$4:$A$251&amp;UtilityList!$B$4:$B$251&amp;UtilityList!$C$4:$C$251,0)),"")</f>
        <v>Calista</v>
      </c>
      <c r="P235" s="369" t="str">
        <f t="array" ref="P235">IFERROR(INDEX(UtilityList!$M$4:$M$251,MATCH('Table 2.1a'!$A235&amp;'Table 2.1a'!$B235&amp;'Table 2.1a'!$C235,UtilityList!$A$4:$A$251&amp;UtilityList!$B$4:$B$251&amp;UtilityList!$C$4:$C$251,0)),"")</f>
        <v>SW</v>
      </c>
    </row>
    <row r="236" spans="1:16" s="344" customFormat="1" x14ac:dyDescent="0.25">
      <c r="A236" s="619" t="s">
        <v>341</v>
      </c>
      <c r="B236" s="361" t="s">
        <v>342</v>
      </c>
      <c r="C236" s="350" t="s">
        <v>342</v>
      </c>
      <c r="D236" s="620">
        <v>220</v>
      </c>
      <c r="E236" s="621">
        <v>0</v>
      </c>
      <c r="F236" s="621">
        <v>220</v>
      </c>
      <c r="G236" s="621">
        <v>0</v>
      </c>
      <c r="H236" s="621">
        <v>0</v>
      </c>
      <c r="I236" s="452" t="s">
        <v>1022</v>
      </c>
      <c r="J236" s="622" t="str">
        <f t="array" ref="J236">IFERROR(INDEX(UtilityList!$H$4:$H$251,MATCH('Table 2.1a'!$A236&amp;'Table 2.1a'!$B236&amp;'Table 2.1a'!$C236,UtilityList!$A$4:$A$251&amp;UtilityList!$B$4:$B$251&amp;UtilityList!$C$4:$C$251,0)),"")</f>
        <v>PCE Eligible Active</v>
      </c>
      <c r="K236" s="709">
        <f t="array" ref="K236">IFERROR(INDEX(UtilityList!$Q$4:$Q$251,MATCH('Table 2.1a'!$A236&amp;'Table 2.1a'!$B236&amp;'Table 2.1a'!$C236,UtilityList!$A$4:$A$251&amp;UtilityList!$B$4:$B$251&amp;UtilityList!$C$4:$C$251,0)),"")</f>
        <v>0</v>
      </c>
      <c r="L236" s="622" t="str">
        <f t="array" ref="L236">IFERROR(INDEX(UtilityList!$I$4:$I$251,MATCH('Table 2.1a'!$A236&amp;'Table 2.1a'!$B236&amp;'Table 2.1a'!$C236,UtilityList!$A$4:$A$251&amp;UtilityList!$B$4:$B$251&amp;UtilityList!$C$4:$C$251,0)),"")</f>
        <v>TWINHVC</v>
      </c>
      <c r="M236" s="369" t="str">
        <f t="array" ref="M236">IFERROR(INDEX(UtilityList!$J$4:$J$251,MATCH('Table 2.1a'!$A236&amp;'Table 2.1a'!$B236&amp;'Table 2.1a'!$C236,UtilityList!$A$4:$A$251&amp;UtilityList!$B$4:$B$251&amp;UtilityList!$C$4:$C$251,0)),"")</f>
        <v>Bristol Bay</v>
      </c>
      <c r="N236" s="369" t="str">
        <f t="array" ref="N236">IFERROR(INDEX(UtilityList!$K$4:$K$251,MATCH('Table 2.1a'!$A236&amp;'Table 2.1a'!$B236&amp;'Table 2.1a'!$C236,UtilityList!$A$4:$A$251&amp;UtilityList!$B$4:$B$251&amp;UtilityList!$C$4:$C$251,0)),"")</f>
        <v>Dillingham (CA)</v>
      </c>
      <c r="O236" s="369" t="str">
        <f t="array" ref="O236">IFERROR(INDEX(UtilityList!$L$4:$L$251,MATCH('Table 2.1a'!$A236&amp;'Table 2.1a'!$B236&amp;'Table 2.1a'!$C236,UtilityList!$A$4:$A$251&amp;UtilityList!$B$4:$B$251&amp;UtilityList!$C$4:$C$251,0)),"")</f>
        <v>Bristol Bay</v>
      </c>
      <c r="P236" s="369" t="str">
        <f t="array" ref="P236">IFERROR(INDEX(UtilityList!$M$4:$M$251,MATCH('Table 2.1a'!$A236&amp;'Table 2.1a'!$B236&amp;'Table 2.1a'!$C236,UtilityList!$A$4:$A$251&amp;UtilityList!$B$4:$B$251&amp;UtilityList!$C$4:$C$251,0)),"")</f>
        <v>SW</v>
      </c>
    </row>
    <row r="237" spans="1:16" s="344" customFormat="1" x14ac:dyDescent="0.25">
      <c r="A237" s="619" t="s">
        <v>343</v>
      </c>
      <c r="B237" s="361" t="s">
        <v>344</v>
      </c>
      <c r="C237" s="350" t="s">
        <v>344</v>
      </c>
      <c r="D237" s="620">
        <v>261</v>
      </c>
      <c r="E237" s="621">
        <v>0</v>
      </c>
      <c r="F237" s="621">
        <v>196</v>
      </c>
      <c r="G237" s="621">
        <v>0</v>
      </c>
      <c r="H237" s="621">
        <v>65</v>
      </c>
      <c r="I237" s="452" t="s">
        <v>1022</v>
      </c>
      <c r="J237" s="622" t="str">
        <f t="array" ref="J237">IFERROR(INDEX(UtilityList!$H$4:$H$251,MATCH('Table 2.1a'!$A237&amp;'Table 2.1a'!$B237&amp;'Table 2.1a'!$C237,UtilityList!$A$4:$A$251&amp;UtilityList!$B$4:$B$251&amp;UtilityList!$C$4:$C$251,0)),"")</f>
        <v>PCE Eligible Active</v>
      </c>
      <c r="K237" s="709">
        <f t="array" ref="K237">IFERROR(INDEX(UtilityList!$Q$4:$Q$251,MATCH('Table 2.1a'!$A237&amp;'Table 2.1a'!$B237&amp;'Table 2.1a'!$C237,UtilityList!$A$4:$A$251&amp;UtilityList!$B$4:$B$251&amp;UtilityList!$C$4:$C$251,0)),"")</f>
        <v>0</v>
      </c>
      <c r="L237" s="622" t="str">
        <f t="array" ref="L237">IFERROR(INDEX(UtilityList!$I$4:$I$251,MATCH('Table 2.1a'!$A237&amp;'Table 2.1a'!$B237&amp;'Table 2.1a'!$C237,UtilityList!$A$4:$A$251&amp;UtilityList!$B$4:$B$251&amp;UtilityList!$C$4:$C$251,0)),"")</f>
        <v>UMNAP</v>
      </c>
      <c r="M237" s="369" t="str">
        <f t="array" ref="M237">IFERROR(INDEX(UtilityList!$J$4:$J$251,MATCH('Table 2.1a'!$A237&amp;'Table 2.1a'!$B237&amp;'Table 2.1a'!$C237,UtilityList!$A$4:$A$251&amp;UtilityList!$B$4:$B$251&amp;UtilityList!$C$4:$C$251,0)),"")</f>
        <v>Aleutians</v>
      </c>
      <c r="N237" s="369" t="str">
        <f t="array" ref="N237">IFERROR(INDEX(UtilityList!$K$4:$K$251,MATCH('Table 2.1a'!$A237&amp;'Table 2.1a'!$B237&amp;'Table 2.1a'!$C237,UtilityList!$A$4:$A$251&amp;UtilityList!$B$4:$B$251&amp;UtilityList!$C$4:$C$251,0)),"")</f>
        <v>Aleutians West (CA)</v>
      </c>
      <c r="O237" s="369" t="str">
        <f t="array" ref="O237">IFERROR(INDEX(UtilityList!$L$4:$L$251,MATCH('Table 2.1a'!$A237&amp;'Table 2.1a'!$B237&amp;'Table 2.1a'!$C237,UtilityList!$A$4:$A$251&amp;UtilityList!$B$4:$B$251&amp;UtilityList!$C$4:$C$251,0)),"")</f>
        <v>Aleut</v>
      </c>
      <c r="P237" s="369" t="str">
        <f t="array" ref="P237">IFERROR(INDEX(UtilityList!$M$4:$M$251,MATCH('Table 2.1a'!$A237&amp;'Table 2.1a'!$B237&amp;'Table 2.1a'!$C237,UtilityList!$A$4:$A$251&amp;UtilityList!$B$4:$B$251&amp;UtilityList!$C$4:$C$251,0)),"")</f>
        <v>SW</v>
      </c>
    </row>
    <row r="238" spans="1:16" s="344" customFormat="1" x14ac:dyDescent="0.25">
      <c r="A238" s="619" t="s">
        <v>537</v>
      </c>
      <c r="B238" s="361" t="s">
        <v>345</v>
      </c>
      <c r="C238" s="350" t="s">
        <v>345</v>
      </c>
      <c r="D238" s="620">
        <v>2600</v>
      </c>
      <c r="E238" s="621">
        <v>0</v>
      </c>
      <c r="F238" s="621">
        <v>2000</v>
      </c>
      <c r="G238" s="621">
        <v>0</v>
      </c>
      <c r="H238" s="621">
        <v>600</v>
      </c>
      <c r="I238" s="452" t="s">
        <v>1020</v>
      </c>
      <c r="J238" s="622" t="str">
        <f t="array" ref="J238">IFERROR(INDEX(UtilityList!$H$4:$H$251,MATCH('Table 2.1a'!$A238&amp;'Table 2.1a'!$B238&amp;'Table 2.1a'!$C238,UtilityList!$A$4:$A$251&amp;UtilityList!$B$4:$B$251&amp;UtilityList!$C$4:$C$251,0)),"")</f>
        <v>PCE Eligible Active</v>
      </c>
      <c r="K238" s="709">
        <f t="array" ref="K238">IFERROR(INDEX(UtilityList!$Q$4:$Q$251,MATCH('Table 2.1a'!$A238&amp;'Table 2.1a'!$B238&amp;'Table 2.1a'!$C238,UtilityList!$A$4:$A$251&amp;UtilityList!$B$4:$B$251&amp;UtilityList!$C$4:$C$251,0)),"")</f>
        <v>0</v>
      </c>
      <c r="L238" s="622" t="str">
        <f t="array" ref="L238">IFERROR(INDEX(UtilityList!$I$4:$I$251,MATCH('Table 2.1a'!$A238&amp;'Table 2.1a'!$B238&amp;'Table 2.1a'!$C238,UtilityList!$A$4:$A$251&amp;UtilityList!$B$4:$B$251&amp;UtilityList!$C$4:$C$251,0)),"")</f>
        <v>UVEC</v>
      </c>
      <c r="M238" s="369" t="str">
        <f t="array" ref="M238">IFERROR(INDEX(UtilityList!$J$4:$J$251,MATCH('Table 2.1a'!$A238&amp;'Table 2.1a'!$B238&amp;'Table 2.1a'!$C238,UtilityList!$A$4:$A$251&amp;UtilityList!$B$4:$B$251&amp;UtilityList!$C$4:$C$251,0)),"")</f>
        <v>Bering Straits</v>
      </c>
      <c r="N238" s="369" t="str">
        <f t="array" ref="N238">IFERROR(INDEX(UtilityList!$K$4:$K$251,MATCH('Table 2.1a'!$A238&amp;'Table 2.1a'!$B238&amp;'Table 2.1a'!$C238,UtilityList!$A$4:$A$251&amp;UtilityList!$B$4:$B$251&amp;UtilityList!$C$4:$C$251,0)),"")</f>
        <v>Nome (CA)</v>
      </c>
      <c r="O238" s="369" t="str">
        <f t="array" ref="O238">IFERROR(INDEX(UtilityList!$L$4:$L$251,MATCH('Table 2.1a'!$A238&amp;'Table 2.1a'!$B238&amp;'Table 2.1a'!$C238,UtilityList!$A$4:$A$251&amp;UtilityList!$B$4:$B$251&amp;UtilityList!$C$4:$C$251,0)),"")</f>
        <v>Bering Straits</v>
      </c>
      <c r="P238" s="369" t="str">
        <f t="array" ref="P238">IFERROR(INDEX(UtilityList!$M$4:$M$251,MATCH('Table 2.1a'!$A238&amp;'Table 2.1a'!$B238&amp;'Table 2.1a'!$C238,UtilityList!$A$4:$A$251&amp;UtilityList!$B$4:$B$251&amp;UtilityList!$C$4:$C$251,0)),"")</f>
        <v>AN</v>
      </c>
    </row>
    <row r="239" spans="1:16" s="344" customFormat="1" x14ac:dyDescent="0.25">
      <c r="A239" s="619" t="s">
        <v>637</v>
      </c>
      <c r="B239" s="361" t="s">
        <v>490</v>
      </c>
      <c r="C239" s="350" t="s">
        <v>490</v>
      </c>
      <c r="D239" s="620">
        <v>17500</v>
      </c>
      <c r="E239" s="621">
        <v>0</v>
      </c>
      <c r="F239" s="621">
        <v>17500</v>
      </c>
      <c r="G239" s="621">
        <v>0</v>
      </c>
      <c r="H239" s="621">
        <v>0</v>
      </c>
      <c r="I239" s="452" t="s">
        <v>1020</v>
      </c>
      <c r="J239" s="622" t="str">
        <f t="array" ref="J239">IFERROR(INDEX(UtilityList!$H$4:$H$251,MATCH('Table 2.1a'!$A239&amp;'Table 2.1a'!$B239&amp;'Table 2.1a'!$C239,UtilityList!$A$4:$A$251&amp;UtilityList!$B$4:$B$251&amp;UtilityList!$C$4:$C$251,0)),"")</f>
        <v>PCE Eligible Active</v>
      </c>
      <c r="K239" s="709">
        <f t="array" ref="K239">IFERROR(INDEX(UtilityList!$Q$4:$Q$251,MATCH('Table 2.1a'!$A239&amp;'Table 2.1a'!$B239&amp;'Table 2.1a'!$C239,UtilityList!$A$4:$A$251&amp;UtilityList!$B$4:$B$251&amp;UtilityList!$C$4:$C$251,0)),"")</f>
        <v>0</v>
      </c>
      <c r="L239" s="622" t="str">
        <f t="array" ref="L239">IFERROR(INDEX(UtilityList!$I$4:$I$251,MATCH('Table 2.1a'!$A239&amp;'Table 2.1a'!$B239&amp;'Table 2.1a'!$C239,UtilityList!$A$4:$A$251&amp;UtilityList!$B$4:$B$251&amp;UtilityList!$C$4:$C$251,0)),"")</f>
        <v>UNALASKA</v>
      </c>
      <c r="M239" s="369" t="str">
        <f t="array" ref="M239">IFERROR(INDEX(UtilityList!$J$4:$J$251,MATCH('Table 2.1a'!$A239&amp;'Table 2.1a'!$B239&amp;'Table 2.1a'!$C239,UtilityList!$A$4:$A$251&amp;UtilityList!$B$4:$B$251&amp;UtilityList!$C$4:$C$251,0)),"")</f>
        <v>Aleutians</v>
      </c>
      <c r="N239" s="369" t="str">
        <f t="array" ref="N239">IFERROR(INDEX(UtilityList!$K$4:$K$251,MATCH('Table 2.1a'!$A239&amp;'Table 2.1a'!$B239&amp;'Table 2.1a'!$C239,UtilityList!$A$4:$A$251&amp;UtilityList!$B$4:$B$251&amp;UtilityList!$C$4:$C$251,0)),"")</f>
        <v>Aleutians West (CA)</v>
      </c>
      <c r="O239" s="369" t="str">
        <f t="array" ref="O239">IFERROR(INDEX(UtilityList!$L$4:$L$251,MATCH('Table 2.1a'!$A239&amp;'Table 2.1a'!$B239&amp;'Table 2.1a'!$C239,UtilityList!$A$4:$A$251&amp;UtilityList!$B$4:$B$251&amp;UtilityList!$C$4:$C$251,0)),"")</f>
        <v>Aleut</v>
      </c>
      <c r="P239" s="369" t="str">
        <f t="array" ref="P239">IFERROR(INDEX(UtilityList!$M$4:$M$251,MATCH('Table 2.1a'!$A239&amp;'Table 2.1a'!$B239&amp;'Table 2.1a'!$C239,UtilityList!$A$4:$A$251&amp;UtilityList!$B$4:$B$251&amp;UtilityList!$C$4:$C$251,0)),"")</f>
        <v>SW</v>
      </c>
    </row>
    <row r="240" spans="1:16" s="344" customFormat="1" x14ac:dyDescent="0.25">
      <c r="A240" s="619" t="s">
        <v>637</v>
      </c>
      <c r="B240" s="361" t="s">
        <v>491</v>
      </c>
      <c r="C240" s="350" t="s">
        <v>492</v>
      </c>
      <c r="D240" s="620">
        <v>1100</v>
      </c>
      <c r="E240" s="621">
        <v>0</v>
      </c>
      <c r="F240" s="621">
        <v>1100</v>
      </c>
      <c r="G240" s="621">
        <v>0</v>
      </c>
      <c r="H240" s="621">
        <v>0</v>
      </c>
      <c r="I240" s="452" t="s">
        <v>1020</v>
      </c>
      <c r="J240" s="622" t="str">
        <f t="array" ref="J240">IFERROR(INDEX(UtilityList!$H$4:$H$251,MATCH('Table 2.1a'!$A240&amp;'Table 2.1a'!$B240&amp;'Table 2.1a'!$C240,UtilityList!$A$4:$A$251&amp;UtilityList!$B$4:$B$251&amp;UtilityList!$C$4:$C$251,0)),"")</f>
        <v>PCE Eligible Active</v>
      </c>
      <c r="K240" s="709">
        <f t="array" ref="K240">IFERROR(INDEX(UtilityList!$Q$4:$Q$251,MATCH('Table 2.1a'!$A240&amp;'Table 2.1a'!$B240&amp;'Table 2.1a'!$C240,UtilityList!$A$4:$A$251&amp;UtilityList!$B$4:$B$251&amp;UtilityList!$C$4:$C$251,0)),"")</f>
        <v>0</v>
      </c>
      <c r="L240" s="622" t="str">
        <f t="array" ref="L240">IFERROR(INDEX(UtilityList!$I$4:$I$251,MATCH('Table 2.1a'!$A240&amp;'Table 2.1a'!$B240&amp;'Table 2.1a'!$C240,UtilityList!$A$4:$A$251&amp;UtilityList!$B$4:$B$251&amp;UtilityList!$C$4:$C$251,0)),"")</f>
        <v>UNALASKA</v>
      </c>
      <c r="M240" s="369" t="str">
        <f t="array" ref="M240">IFERROR(INDEX(UtilityList!$J$4:$J$251,MATCH('Table 2.1a'!$A240&amp;'Table 2.1a'!$B240&amp;'Table 2.1a'!$C240,UtilityList!$A$4:$A$251&amp;UtilityList!$B$4:$B$251&amp;UtilityList!$C$4:$C$251,0)),"")</f>
        <v>Aleutians</v>
      </c>
      <c r="N240" s="369" t="str">
        <f t="array" ref="N240">IFERROR(INDEX(UtilityList!$K$4:$K$251,MATCH('Table 2.1a'!$A240&amp;'Table 2.1a'!$B240&amp;'Table 2.1a'!$C240,UtilityList!$A$4:$A$251&amp;UtilityList!$B$4:$B$251&amp;UtilityList!$C$4:$C$251,0)),"")</f>
        <v>Aleutians West (CA)</v>
      </c>
      <c r="O240" s="369" t="str">
        <f t="array" ref="O240">IFERROR(INDEX(UtilityList!$L$4:$L$251,MATCH('Table 2.1a'!$A240&amp;'Table 2.1a'!$B240&amp;'Table 2.1a'!$C240,UtilityList!$A$4:$A$251&amp;UtilityList!$B$4:$B$251&amp;UtilityList!$C$4:$C$251,0)),"")</f>
        <v>Aleut</v>
      </c>
      <c r="P240" s="369" t="str">
        <f t="array" ref="P240">IFERROR(INDEX(UtilityList!$M$4:$M$251,MATCH('Table 2.1a'!$A240&amp;'Table 2.1a'!$B240&amp;'Table 2.1a'!$C240,UtilityList!$A$4:$A$251&amp;UtilityList!$B$4:$B$251&amp;UtilityList!$C$4:$C$251,0)),"")</f>
        <v>SW</v>
      </c>
    </row>
    <row r="241" spans="1:20" s="344" customFormat="1" x14ac:dyDescent="0.25">
      <c r="A241" s="619" t="s">
        <v>348</v>
      </c>
      <c r="B241" s="361" t="s">
        <v>349</v>
      </c>
      <c r="C241" s="350" t="s">
        <v>349</v>
      </c>
      <c r="D241" s="620">
        <v>495</v>
      </c>
      <c r="E241" s="621">
        <v>0</v>
      </c>
      <c r="F241" s="621">
        <v>495</v>
      </c>
      <c r="G241" s="621">
        <v>0</v>
      </c>
      <c r="H241" s="621">
        <v>0</v>
      </c>
      <c r="I241" s="452" t="s">
        <v>1022</v>
      </c>
      <c r="J241" s="622" t="str">
        <f t="array" ref="J241">IFERROR(INDEX(UtilityList!$H$4:$H$251,MATCH('Table 2.1a'!$A241&amp;'Table 2.1a'!$B241&amp;'Table 2.1a'!$C241,UtilityList!$A$4:$A$251&amp;UtilityList!$B$4:$B$251&amp;UtilityList!$C$4:$C$251,0)),"")</f>
        <v>PCE Eligible Inactive</v>
      </c>
      <c r="K241" s="709">
        <f t="array" ref="K241">IFERROR(INDEX(UtilityList!$Q$4:$Q$251,MATCH('Table 2.1a'!$A241&amp;'Table 2.1a'!$B241&amp;'Table 2.1a'!$C241,UtilityList!$A$4:$A$251&amp;UtilityList!$B$4:$B$251&amp;UtilityList!$C$4:$C$251,0)),"")</f>
        <v>0</v>
      </c>
      <c r="L241" s="622" t="str">
        <f t="array" ref="L241">IFERROR(INDEX(UtilityList!$I$4:$I$251,MATCH('Table 2.1a'!$A241&amp;'Table 2.1a'!$B241&amp;'Table 2.1a'!$C241,UtilityList!$A$4:$A$251&amp;UtilityList!$B$4:$B$251&amp;UtilityList!$C$4:$C$251,0)),"")</f>
        <v>VENEVE</v>
      </c>
      <c r="M241" s="369" t="str">
        <f t="array" ref="M241">IFERROR(INDEX(UtilityList!$J$4:$J$251,MATCH('Table 2.1a'!$A241&amp;'Table 2.1a'!$B241&amp;'Table 2.1a'!$C241,UtilityList!$A$4:$A$251&amp;UtilityList!$B$4:$B$251&amp;UtilityList!$C$4:$C$251,0)),"")</f>
        <v>Yukon-Koyukuk/Upper Tanana</v>
      </c>
      <c r="N241" s="369" t="str">
        <f t="array" ref="N241">IFERROR(INDEX(UtilityList!$K$4:$K$251,MATCH('Table 2.1a'!$A241&amp;'Table 2.1a'!$B241&amp;'Table 2.1a'!$C241,UtilityList!$A$4:$A$251&amp;UtilityList!$B$4:$B$251&amp;UtilityList!$C$4:$C$251,0)),"")</f>
        <v>Yukon-Koyukuk (CA)</v>
      </c>
      <c r="O241" s="369" t="str">
        <f t="array" ref="O241">IFERROR(INDEX(UtilityList!$L$4:$L$251,MATCH('Table 2.1a'!$A241&amp;'Table 2.1a'!$B241&amp;'Table 2.1a'!$C241,UtilityList!$A$4:$A$251&amp;UtilityList!$B$4:$B$251&amp;UtilityList!$C$4:$C$251,0)),"")</f>
        <v>Doyon</v>
      </c>
      <c r="P241" s="369" t="str">
        <f t="array" ref="P241">IFERROR(INDEX(UtilityList!$M$4:$M$251,MATCH('Table 2.1a'!$A241&amp;'Table 2.1a'!$B241&amp;'Table 2.1a'!$C241,UtilityList!$A$4:$A$251&amp;UtilityList!$B$4:$B$251&amp;UtilityList!$C$4:$C$251,0)),"")</f>
        <v>YU</v>
      </c>
    </row>
    <row r="242" spans="1:20" s="344" customFormat="1" x14ac:dyDescent="0.25">
      <c r="A242" s="619" t="s">
        <v>350</v>
      </c>
      <c r="B242" s="361" t="s">
        <v>351</v>
      </c>
      <c r="C242" s="350" t="s">
        <v>351</v>
      </c>
      <c r="D242" s="620">
        <v>585</v>
      </c>
      <c r="E242" s="621">
        <v>0</v>
      </c>
      <c r="F242" s="621">
        <v>585</v>
      </c>
      <c r="G242" s="621">
        <v>0</v>
      </c>
      <c r="H242" s="621">
        <v>0</v>
      </c>
      <c r="I242" s="452" t="s">
        <v>1022</v>
      </c>
      <c r="J242" s="622" t="str">
        <f t="array" ref="J242">IFERROR(INDEX(UtilityList!$H$4:$H$251,MATCH('Table 2.1a'!$A242&amp;'Table 2.1a'!$B242&amp;'Table 2.1a'!$C242,UtilityList!$A$4:$A$251&amp;UtilityList!$B$4:$B$251&amp;UtilityList!$C$4:$C$251,0)),"")</f>
        <v>PCE Eligible Active</v>
      </c>
      <c r="K242" s="709">
        <f t="array" ref="K242">IFERROR(INDEX(UtilityList!$Q$4:$Q$251,MATCH('Table 2.1a'!$A242&amp;'Table 2.1a'!$B242&amp;'Table 2.1a'!$C242,UtilityList!$A$4:$A$251&amp;UtilityList!$B$4:$B$251&amp;UtilityList!$C$4:$C$251,0)),"")</f>
        <v>0</v>
      </c>
      <c r="L242" s="622" t="str">
        <f t="array" ref="L242">IFERROR(INDEX(UtilityList!$I$4:$I$251,MATCH('Table 2.1a'!$A242&amp;'Table 2.1a'!$B242&amp;'Table 2.1a'!$C242,UtilityList!$A$4:$A$251&amp;UtilityList!$B$4:$B$251&amp;UtilityList!$C$4:$C$251,0)),"")</f>
        <v>WHITMU</v>
      </c>
      <c r="M242" s="369" t="str">
        <f t="array" ref="M242">IFERROR(INDEX(UtilityList!$J$4:$J$251,MATCH('Table 2.1a'!$A242&amp;'Table 2.1a'!$B242&amp;'Table 2.1a'!$C242,UtilityList!$A$4:$A$251&amp;UtilityList!$B$4:$B$251&amp;UtilityList!$C$4:$C$251,0)),"")</f>
        <v>Bering Straits</v>
      </c>
      <c r="N242" s="369" t="str">
        <f t="array" ref="N242">IFERROR(INDEX(UtilityList!$K$4:$K$251,MATCH('Table 2.1a'!$A242&amp;'Table 2.1a'!$B242&amp;'Table 2.1a'!$C242,UtilityList!$A$4:$A$251&amp;UtilityList!$B$4:$B$251&amp;UtilityList!$C$4:$C$251,0)),"")</f>
        <v>Nome (CA)</v>
      </c>
      <c r="O242" s="369" t="str">
        <f t="array" ref="O242">IFERROR(INDEX(UtilityList!$L$4:$L$251,MATCH('Table 2.1a'!$A242&amp;'Table 2.1a'!$B242&amp;'Table 2.1a'!$C242,UtilityList!$A$4:$A$251&amp;UtilityList!$B$4:$B$251&amp;UtilityList!$C$4:$C$251,0)),"")</f>
        <v>Bering Straits</v>
      </c>
      <c r="P242" s="369" t="str">
        <f t="array" ref="P242">IFERROR(INDEX(UtilityList!$M$4:$M$251,MATCH('Table 2.1a'!$A242&amp;'Table 2.1a'!$B242&amp;'Table 2.1a'!$C242,UtilityList!$A$4:$A$251&amp;UtilityList!$B$4:$B$251&amp;UtilityList!$C$4:$C$251,0)),"")</f>
        <v>AN</v>
      </c>
    </row>
    <row r="243" spans="1:20" s="344" customFormat="1" x14ac:dyDescent="0.25">
      <c r="A243" s="619" t="s">
        <v>352</v>
      </c>
      <c r="B243" s="361" t="s">
        <v>353</v>
      </c>
      <c r="C243" s="350" t="s">
        <v>353</v>
      </c>
      <c r="D243" s="620">
        <v>8500</v>
      </c>
      <c r="E243" s="621">
        <v>0</v>
      </c>
      <c r="F243" s="621">
        <v>8500</v>
      </c>
      <c r="G243" s="621">
        <v>0</v>
      </c>
      <c r="H243" s="621">
        <v>0</v>
      </c>
      <c r="I243" s="452" t="s">
        <v>1020</v>
      </c>
      <c r="J243" s="622" t="str">
        <f t="array" ref="J243">IFERROR(INDEX(UtilityList!$H$4:$H$251,MATCH('Table 2.1a'!$A243&amp;'Table 2.1a'!$B243&amp;'Table 2.1a'!$C243,UtilityList!$A$4:$A$251&amp;UtilityList!$B$4:$B$251&amp;UtilityList!$C$4:$C$251,0)),"")</f>
        <v>PCE Ineligible</v>
      </c>
      <c r="K243" s="709">
        <f t="array" ref="K243">IFERROR(INDEX(UtilityList!$Q$4:$Q$251,MATCH('Table 2.1a'!$A243&amp;'Table 2.1a'!$B243&amp;'Table 2.1a'!$C243,UtilityList!$A$4:$A$251&amp;UtilityList!$B$4:$B$251&amp;UtilityList!$C$4:$C$251,0)),"")</f>
        <v>0</v>
      </c>
      <c r="L243" s="622" t="str">
        <f t="array" ref="L243">IFERROR(INDEX(UtilityList!$I$4:$I$251,MATCH('Table 2.1a'!$A243&amp;'Table 2.1a'!$B243&amp;'Table 2.1a'!$C243,UtilityList!$A$4:$A$251&amp;UtilityList!$B$4:$B$251&amp;UtilityList!$C$4:$C$251,0)),"")</f>
        <v>WRANGELL</v>
      </c>
      <c r="M243" s="369" t="str">
        <f t="array" ref="M243">IFERROR(INDEX(UtilityList!$J$4:$J$251,MATCH('Table 2.1a'!$A243&amp;'Table 2.1a'!$B243&amp;'Table 2.1a'!$C243,UtilityList!$A$4:$A$251&amp;UtilityList!$B$4:$B$251&amp;UtilityList!$C$4:$C$251,0)),"")</f>
        <v>Southeast</v>
      </c>
      <c r="N243" s="369" t="str">
        <f t="array" ref="N243">IFERROR(INDEX(UtilityList!$K$4:$K$251,MATCH('Table 2.1a'!$A243&amp;'Table 2.1a'!$B243&amp;'Table 2.1a'!$C243,UtilityList!$A$4:$A$251&amp;UtilityList!$B$4:$B$251&amp;UtilityList!$C$4:$C$251,0)),"")</f>
        <v>Wrangell</v>
      </c>
      <c r="O243" s="369" t="str">
        <f t="array" ref="O243">IFERROR(INDEX(UtilityList!$L$4:$L$251,MATCH('Table 2.1a'!$A243&amp;'Table 2.1a'!$B243&amp;'Table 2.1a'!$C243,UtilityList!$A$4:$A$251&amp;UtilityList!$B$4:$B$251&amp;UtilityList!$C$4:$C$251,0)),"")</f>
        <v>Sealaska</v>
      </c>
      <c r="P243" s="369" t="str">
        <f t="array" ref="P243">IFERROR(INDEX(UtilityList!$M$4:$M$251,MATCH('Table 2.1a'!$A243&amp;'Table 2.1a'!$B243&amp;'Table 2.1a'!$C243,UtilityList!$A$4:$A$251&amp;UtilityList!$B$4:$B$251&amp;UtilityList!$C$4:$C$251,0)),"")</f>
        <v>SE</v>
      </c>
    </row>
    <row r="244" spans="1:20" s="344" customFormat="1" x14ac:dyDescent="0.25">
      <c r="A244" s="619" t="s">
        <v>354</v>
      </c>
      <c r="B244" s="361" t="s">
        <v>355</v>
      </c>
      <c r="C244" s="350" t="s">
        <v>355</v>
      </c>
      <c r="D244" s="620">
        <v>3700</v>
      </c>
      <c r="E244" s="621">
        <v>0</v>
      </c>
      <c r="F244" s="621">
        <v>3700</v>
      </c>
      <c r="G244" s="621">
        <v>0</v>
      </c>
      <c r="H244" s="621">
        <v>0</v>
      </c>
      <c r="I244" s="452" t="s">
        <v>1020</v>
      </c>
      <c r="J244" s="622" t="str">
        <f t="array" ref="J244">IFERROR(INDEX(UtilityList!$H$4:$H$251,MATCH('Table 2.1a'!$A244&amp;'Table 2.1a'!$B244&amp;'Table 2.1a'!$C244,UtilityList!$A$4:$A$251&amp;UtilityList!$B$4:$B$251&amp;UtilityList!$C$4:$C$251,0)),"")</f>
        <v>PCE Eligible Active</v>
      </c>
      <c r="K244" s="709">
        <f t="array" ref="K244">IFERROR(INDEX(UtilityList!$Q$4:$Q$251,MATCH('Table 2.1a'!$A244&amp;'Table 2.1a'!$B244&amp;'Table 2.1a'!$C244,UtilityList!$A$4:$A$251&amp;UtilityList!$B$4:$B$251&amp;UtilityList!$C$4:$C$251,0)),"")</f>
        <v>0</v>
      </c>
      <c r="L244" s="622" t="str">
        <f t="array" ref="L244">IFERROR(INDEX(UtilityList!$I$4:$I$251,MATCH('Table 2.1a'!$A244&amp;'Table 2.1a'!$B244&amp;'Table 2.1a'!$C244,UtilityList!$A$4:$A$251&amp;UtilityList!$B$4:$B$251&amp;UtilityList!$C$4:$C$251,0)),"")</f>
        <v>YAKUP</v>
      </c>
      <c r="M244" s="369" t="str">
        <f t="array" ref="M244">IFERROR(INDEX(UtilityList!$J$4:$J$251,MATCH('Table 2.1a'!$A244&amp;'Table 2.1a'!$B244&amp;'Table 2.1a'!$C244,UtilityList!$A$4:$A$251&amp;UtilityList!$B$4:$B$251&amp;UtilityList!$C$4:$C$251,0)),"")</f>
        <v>Southeast</v>
      </c>
      <c r="N244" s="369" t="str">
        <f t="array" ref="N244">IFERROR(INDEX(UtilityList!$K$4:$K$251,MATCH('Table 2.1a'!$A244&amp;'Table 2.1a'!$B244&amp;'Table 2.1a'!$C244,UtilityList!$A$4:$A$251&amp;UtilityList!$B$4:$B$251&amp;UtilityList!$C$4:$C$251,0)),"")</f>
        <v>Yakutat</v>
      </c>
      <c r="O244" s="369" t="str">
        <f t="array" ref="O244">IFERROR(INDEX(UtilityList!$L$4:$L$251,MATCH('Table 2.1a'!$A244&amp;'Table 2.1a'!$B244&amp;'Table 2.1a'!$C244,UtilityList!$A$4:$A$251&amp;UtilityList!$B$4:$B$251&amp;UtilityList!$C$4:$C$251,0)),"")</f>
        <v>Sealaska</v>
      </c>
      <c r="P244" s="369" t="str">
        <f t="array" ref="P244">IFERROR(INDEX(UtilityList!$M$4:$M$251,MATCH('Table 2.1a'!$A244&amp;'Table 2.1a'!$B244&amp;'Table 2.1a'!$C244,UtilityList!$A$4:$A$251&amp;UtilityList!$B$4:$B$251&amp;UtilityList!$C$4:$C$251,0)),"")</f>
        <v>SE</v>
      </c>
    </row>
    <row r="245" spans="1:20" x14ac:dyDescent="0.25">
      <c r="A245" s="224"/>
      <c r="B245" s="270"/>
      <c r="C245" s="237"/>
      <c r="D245" s="232"/>
      <c r="E245" s="235"/>
      <c r="F245" s="235"/>
      <c r="G245" s="235"/>
      <c r="H245" s="235"/>
      <c r="I245" s="716"/>
      <c r="J245" s="225"/>
      <c r="K245" s="225"/>
      <c r="L245" s="225"/>
      <c r="M245" s="226"/>
      <c r="N245" s="231"/>
      <c r="O245" s="227"/>
      <c r="P245" s="228"/>
      <c r="Q245" s="228"/>
      <c r="R245" s="228"/>
      <c r="S245" s="228"/>
      <c r="T245" s="228"/>
    </row>
    <row r="246" spans="1:20" x14ac:dyDescent="0.25">
      <c r="A246" s="224"/>
      <c r="B246" s="270"/>
      <c r="C246" s="240"/>
      <c r="D246" s="229"/>
      <c r="E246" s="235"/>
      <c r="F246" s="235"/>
      <c r="G246" s="235"/>
      <c r="H246" s="235"/>
      <c r="I246" s="716"/>
      <c r="J246" s="233"/>
      <c r="K246" s="233"/>
      <c r="L246" s="233"/>
      <c r="M246" s="234"/>
      <c r="N246" s="236"/>
      <c r="O246" s="227"/>
      <c r="P246" s="228"/>
      <c r="Q246" s="228"/>
      <c r="R246" s="228"/>
      <c r="S246" s="228"/>
      <c r="T246" s="228"/>
    </row>
    <row r="247" spans="1:20" x14ac:dyDescent="0.25">
      <c r="A247" s="224"/>
      <c r="B247" s="270"/>
      <c r="C247" s="237"/>
      <c r="D247" s="232"/>
      <c r="E247" s="235"/>
      <c r="F247" s="235"/>
      <c r="G247" s="235"/>
      <c r="H247" s="235"/>
      <c r="I247" s="716"/>
      <c r="J247" s="225"/>
      <c r="K247" s="225"/>
      <c r="L247" s="225"/>
      <c r="M247" s="230"/>
      <c r="N247" s="236"/>
      <c r="O247" s="227"/>
      <c r="P247" s="228"/>
      <c r="Q247" s="228"/>
      <c r="R247" s="228"/>
      <c r="S247" s="228"/>
      <c r="T247" s="228"/>
    </row>
  </sheetData>
  <autoFilter ref="A3:P244"/>
  <sortState ref="A4:Q243">
    <sortCondition ref="A4:A243"/>
    <sortCondition ref="C4:C243"/>
    <sortCondition ref="B4:B243"/>
  </sortState>
  <mergeCells count="2">
    <mergeCell ref="A1:N1"/>
    <mergeCell ref="A2:P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A1:S246"/>
  <sheetViews>
    <sheetView showGridLines="0" workbookViewId="0">
      <pane xSplit="3" ySplit="3" topLeftCell="D4" activePane="bottomRight" state="frozen"/>
      <selection pane="topRight" activeCell="D1" sqref="D1"/>
      <selection pane="bottomLeft" activeCell="A5" sqref="A5"/>
      <selection pane="bottomRight" activeCell="C244" sqref="C244"/>
    </sheetView>
  </sheetViews>
  <sheetFormatPr defaultRowHeight="15" x14ac:dyDescent="0.25"/>
  <cols>
    <col min="1" max="1" width="35.85546875" style="341" bestFit="1" customWidth="1"/>
    <col min="2" max="2" width="34.7109375" style="341" bestFit="1" customWidth="1"/>
    <col min="3" max="3" width="33.5703125" style="341" bestFit="1" customWidth="1"/>
    <col min="4" max="4" width="21.85546875" style="341" bestFit="1" customWidth="1"/>
    <col min="5" max="5" width="12.5703125" style="341" bestFit="1" customWidth="1"/>
    <col min="6" max="6" width="14" style="341" bestFit="1" customWidth="1"/>
    <col min="7" max="7" width="15.140625" style="341" bestFit="1" customWidth="1"/>
    <col min="8" max="8" width="15.5703125" style="341" bestFit="1" customWidth="1"/>
    <col min="9" max="9" width="22.5703125" style="341" bestFit="1" customWidth="1"/>
    <col min="10" max="10" width="24.140625" style="341" bestFit="1" customWidth="1"/>
    <col min="11" max="11" width="22.85546875" style="348" customWidth="1"/>
    <col min="12" max="12" width="38.7109375" style="341" bestFit="1" customWidth="1"/>
    <col min="13" max="13" width="21.42578125" style="341" customWidth="1"/>
    <col min="14" max="14" width="25.5703125" style="341" bestFit="1" customWidth="1"/>
    <col min="15" max="15" width="27.140625" style="341" bestFit="1" customWidth="1"/>
    <col min="16" max="16" width="15.5703125" style="341" bestFit="1" customWidth="1"/>
    <col min="17" max="18" width="22.7109375" style="341" customWidth="1"/>
    <col min="19" max="19" width="7.85546875" style="341" customWidth="1"/>
    <col min="20" max="16384" width="9.140625" style="341"/>
  </cols>
  <sheetData>
    <row r="1" spans="1:19" ht="135.75" customHeight="1" x14ac:dyDescent="0.25">
      <c r="A1" s="871" t="s">
        <v>1041</v>
      </c>
      <c r="B1" s="871"/>
      <c r="C1" s="872"/>
      <c r="D1" s="872"/>
      <c r="E1" s="872"/>
      <c r="F1" s="872"/>
      <c r="G1" s="872"/>
      <c r="H1" s="872"/>
      <c r="I1" s="872"/>
      <c r="J1" s="872"/>
      <c r="K1" s="872"/>
      <c r="L1" s="872"/>
      <c r="M1" s="872"/>
      <c r="N1" s="330"/>
      <c r="O1" s="330"/>
      <c r="P1" s="330"/>
      <c r="Q1" s="330"/>
      <c r="R1" s="330"/>
      <c r="S1" s="223"/>
    </row>
    <row r="2" spans="1:19" s="342" customFormat="1" ht="15.75" customHeight="1" thickBot="1" x14ac:dyDescent="0.3">
      <c r="A2" s="874" t="s">
        <v>1139</v>
      </c>
      <c r="B2" s="874"/>
      <c r="C2" s="874"/>
      <c r="D2" s="874"/>
      <c r="E2" s="874"/>
      <c r="F2" s="874"/>
      <c r="G2" s="874"/>
      <c r="H2" s="874"/>
      <c r="I2" s="874"/>
      <c r="J2" s="874"/>
      <c r="K2" s="874"/>
      <c r="L2" s="874"/>
      <c r="M2" s="874"/>
      <c r="N2" s="874"/>
      <c r="O2" s="874"/>
      <c r="P2" s="874"/>
      <c r="Q2" s="732"/>
      <c r="R2" s="732"/>
      <c r="S2" s="732"/>
    </row>
    <row r="3" spans="1:19" s="342" customFormat="1" ht="31.5" customHeight="1" thickBot="1" x14ac:dyDescent="0.3">
      <c r="A3" s="77" t="s">
        <v>661</v>
      </c>
      <c r="B3" s="77" t="s">
        <v>1</v>
      </c>
      <c r="C3" s="299" t="s">
        <v>604</v>
      </c>
      <c r="D3" s="300" t="s">
        <v>646</v>
      </c>
      <c r="E3" s="300" t="s">
        <v>1004</v>
      </c>
      <c r="F3" s="300" t="s">
        <v>600</v>
      </c>
      <c r="G3" s="301" t="s">
        <v>8</v>
      </c>
      <c r="H3" s="300" t="s">
        <v>3</v>
      </c>
      <c r="I3" s="122" t="s">
        <v>4</v>
      </c>
      <c r="J3" s="96" t="s">
        <v>716</v>
      </c>
      <c r="K3" s="77" t="s">
        <v>20</v>
      </c>
      <c r="L3" s="302" t="s">
        <v>601</v>
      </c>
      <c r="M3" s="302" t="s">
        <v>5</v>
      </c>
      <c r="N3" s="302" t="s">
        <v>6</v>
      </c>
      <c r="O3" s="302" t="s">
        <v>552</v>
      </c>
      <c r="P3" s="302" t="s">
        <v>553</v>
      </c>
      <c r="Q3" s="355"/>
      <c r="R3" s="356"/>
    </row>
    <row r="4" spans="1:19" s="344" customFormat="1" ht="30" x14ac:dyDescent="0.25">
      <c r="A4" s="346" t="s">
        <v>27</v>
      </c>
      <c r="B4" s="345" t="s">
        <v>28</v>
      </c>
      <c r="C4" s="344" t="s">
        <v>28</v>
      </c>
      <c r="D4" s="377">
        <v>1</v>
      </c>
      <c r="E4" s="357">
        <v>0</v>
      </c>
      <c r="F4" s="357">
        <v>1</v>
      </c>
      <c r="G4" s="357">
        <v>0</v>
      </c>
      <c r="H4" s="357">
        <v>0</v>
      </c>
      <c r="I4" s="345" t="s">
        <v>718</v>
      </c>
      <c r="J4" s="174" t="str">
        <f t="array" ref="J4">INDEX(UtilityList!H$4:H$251,MATCH('Table 2.1b_percent'!$A4&amp;'Table 2.1b_percent'!$B4&amp;'Table 2.1b_percent'!$C4,UtilityList!$A$4:$A$251&amp;UtilityList!$B$4:$B$251&amp;UtilityList!$C$4:$C$251,0))</f>
        <v>PCE Eligible Inactive</v>
      </c>
      <c r="K4" s="737">
        <f t="array" ref="K4">INDEX(UtilityList!Q$4:Q$251,MATCH('Table 2.1b_percent'!$A4&amp;'Table 2.1b_percent'!$B4&amp;'Table 2.1b_percent'!$C4,UtilityList!$A$4:$A$251&amp;UtilityList!$B$4:$B$251&amp;UtilityList!$C$4:$C$251,0))</f>
        <v>0</v>
      </c>
      <c r="L4" s="386" t="str">
        <f t="array" ref="L4">INDEX(UtilityList!I$4:I$251,MATCH('Table 2.1b_percent'!$A4&amp;'Table 2.1b_percent'!$B4&amp;'Table 2.1b_percent'!$C4,UtilityList!$A$4:$A$251&amp;UtilityList!$B$4:$B$251&amp;UtilityList!$C$4:$C$251,0))</f>
        <v>AKHIK</v>
      </c>
      <c r="M4" s="98" t="str">
        <f t="array" ref="M4">INDEX(UtilityList!J$4:J$251,MATCH('Table 2.1b_percent'!$A4&amp;'Table 2.1b_percent'!$B4&amp;'Table 2.1b_percent'!$C4,UtilityList!$A$4:$A$251&amp;UtilityList!$B$4:$B$251&amp;UtilityList!$C$4:$C$251,0))</f>
        <v>Kodiak</v>
      </c>
      <c r="N4" s="98" t="str">
        <f t="array" ref="N4">INDEX(UtilityList!K$4:K$251,MATCH('Table 2.1b_percent'!$A4&amp;'Table 2.1b_percent'!$B4&amp;'Table 2.1b_percent'!$C4,UtilityList!$A$4:$A$251&amp;UtilityList!$B$4:$B$251&amp;UtilityList!$C$4:$C$251,0))</f>
        <v>Kodiak Island</v>
      </c>
      <c r="O4" s="98" t="str">
        <f t="array" ref="O4">INDEX(UtilityList!L$4:L$251,MATCH('Table 2.1b_percent'!$A4&amp;'Table 2.1b_percent'!$B4&amp;'Table 2.1b_percent'!$C4,UtilityList!$A$4:$A$251&amp;UtilityList!$B$4:$B$251&amp;UtilityList!$C$4:$C$251,0))</f>
        <v>Koniag</v>
      </c>
      <c r="P4" s="98" t="str">
        <f t="array" ref="P4">INDEX(UtilityList!M$4:M$251,MATCH('Table 2.1b_percent'!$A4&amp;'Table 2.1b_percent'!$B4&amp;'Table 2.1b_percent'!$C4,UtilityList!$A$4:$A$251&amp;UtilityList!$B$4:$B$251&amp;UtilityList!$C$4:$C$251,0))</f>
        <v>SC</v>
      </c>
    </row>
    <row r="5" spans="1:19" s="344" customFormat="1" ht="30" x14ac:dyDescent="0.25">
      <c r="A5" s="619" t="s">
        <v>29</v>
      </c>
      <c r="B5" s="361" t="s">
        <v>30</v>
      </c>
      <c r="C5" s="350" t="s">
        <v>30</v>
      </c>
      <c r="D5" s="625">
        <v>1</v>
      </c>
      <c r="E5" s="626">
        <v>0</v>
      </c>
      <c r="F5" s="626">
        <v>1</v>
      </c>
      <c r="G5" s="626">
        <v>0</v>
      </c>
      <c r="H5" s="626">
        <v>0</v>
      </c>
      <c r="I5" s="361" t="s">
        <v>718</v>
      </c>
      <c r="J5" s="622" t="str">
        <f t="array" ref="J5">INDEX(UtilityList!H$4:H$251,MATCH('Table 2.1b_percent'!$A5&amp;'Table 2.1b_percent'!$B5&amp;'Table 2.1b_percent'!$C5,UtilityList!$A$4:$A$251&amp;UtilityList!$B$4:$B$251&amp;UtilityList!$C$4:$C$251,0))</f>
        <v>PCE Eligible Active</v>
      </c>
      <c r="K5" s="709">
        <f t="array" ref="K5">INDEX(UtilityList!Q$4:Q$251,MATCH('Table 2.1b_percent'!$A5&amp;'Table 2.1b_percent'!$B5&amp;'Table 2.1b_percent'!$C5,UtilityList!$A$4:$A$251&amp;UtilityList!$B$4:$B$251&amp;UtilityList!$C$4:$C$251,0))</f>
        <v>0</v>
      </c>
      <c r="L5" s="627" t="str">
        <f t="array" ref="L5">INDEX(UtilityList!I$4:I$251,MATCH('Table 2.1b_percent'!$A5&amp;'Table 2.1b_percent'!$B5&amp;'Table 2.1b_percent'!$C5,UtilityList!$A$4:$A$251&amp;UtilityList!$B$4:$B$251&amp;UtilityList!$C$4:$C$251,0))</f>
        <v>AKIANCE</v>
      </c>
      <c r="M5" s="452" t="str">
        <f t="array" ref="M5">INDEX(UtilityList!J$4:J$251,MATCH('Table 2.1b_percent'!$A5&amp;'Table 2.1b_percent'!$B5&amp;'Table 2.1b_percent'!$C5,UtilityList!$A$4:$A$251&amp;UtilityList!$B$4:$B$251&amp;UtilityList!$C$4:$C$251,0))</f>
        <v>Lower Yukon-Kuskokwim</v>
      </c>
      <c r="N5" s="452" t="str">
        <f t="array" ref="N5">INDEX(UtilityList!K$4:K$251,MATCH('Table 2.1b_percent'!$A5&amp;'Table 2.1b_percent'!$B5&amp;'Table 2.1b_percent'!$C5,UtilityList!$A$4:$A$251&amp;UtilityList!$B$4:$B$251&amp;UtilityList!$C$4:$C$251,0))</f>
        <v>Bethel (CA)</v>
      </c>
      <c r="O5" s="452" t="str">
        <f t="array" ref="O5">INDEX(UtilityList!L$4:L$251,MATCH('Table 2.1b_percent'!$A5&amp;'Table 2.1b_percent'!$B5&amp;'Table 2.1b_percent'!$C5,UtilityList!$A$4:$A$251&amp;UtilityList!$B$4:$B$251&amp;UtilityList!$C$4:$C$251,0))</f>
        <v>Calista</v>
      </c>
      <c r="P5" s="452" t="str">
        <f t="array" ref="P5">INDEX(UtilityList!M$4:M$251,MATCH('Table 2.1b_percent'!$A5&amp;'Table 2.1b_percent'!$B5&amp;'Table 2.1b_percent'!$C5,UtilityList!$A$4:$A$251&amp;UtilityList!$B$4:$B$251&amp;UtilityList!$C$4:$C$251,0))</f>
        <v>SW</v>
      </c>
    </row>
    <row r="6" spans="1:19" s="344" customFormat="1" ht="30" x14ac:dyDescent="0.25">
      <c r="A6" s="619" t="s">
        <v>31</v>
      </c>
      <c r="B6" s="361" t="s">
        <v>32</v>
      </c>
      <c r="C6" s="350" t="s">
        <v>32</v>
      </c>
      <c r="D6" s="625">
        <v>1</v>
      </c>
      <c r="E6" s="626">
        <v>0</v>
      </c>
      <c r="F6" s="626">
        <v>1</v>
      </c>
      <c r="G6" s="626">
        <v>0</v>
      </c>
      <c r="H6" s="626">
        <v>0</v>
      </c>
      <c r="I6" s="361" t="s">
        <v>718</v>
      </c>
      <c r="J6" s="622" t="str">
        <f t="array" ref="J6">INDEX(UtilityList!H$4:H$251,MATCH('Table 2.1b_percent'!$A6&amp;'Table 2.1b_percent'!$B6&amp;'Table 2.1b_percent'!$C6,UtilityList!$A$4:$A$251&amp;UtilityList!$B$4:$B$251&amp;UtilityList!$C$4:$C$251,0))</f>
        <v>PCE Eligible Active</v>
      </c>
      <c r="K6" s="709">
        <f t="array" ref="K6">INDEX(UtilityList!Q$4:Q$251,MATCH('Table 2.1b_percent'!$A6&amp;'Table 2.1b_percent'!$B6&amp;'Table 2.1b_percent'!$C6,UtilityList!$A$4:$A$251&amp;UtilityList!$B$4:$B$251&amp;UtilityList!$C$4:$C$251,0))</f>
        <v>0</v>
      </c>
      <c r="L6" s="627" t="str">
        <f t="array" ref="L6">INDEX(UtilityList!I$4:I$251,MATCH('Table 2.1b_percent'!$A6&amp;'Table 2.1b_percent'!$B6&amp;'Table 2.1b_percent'!$C6,UtilityList!$A$4:$A$251&amp;UtilityList!$B$4:$B$251&amp;UtilityList!$C$4:$C$251,0))</f>
        <v>AKIA</v>
      </c>
      <c r="M6" s="452" t="str">
        <f t="array" ref="M6">INDEX(UtilityList!J$4:J$251,MATCH('Table 2.1b_percent'!$A6&amp;'Table 2.1b_percent'!$B6&amp;'Table 2.1b_percent'!$C6,UtilityList!$A$4:$A$251&amp;UtilityList!$B$4:$B$251&amp;UtilityList!$C$4:$C$251,0))</f>
        <v>Lower Yukon-Kuskokwim</v>
      </c>
      <c r="N6" s="452" t="str">
        <f t="array" ref="N6">INDEX(UtilityList!K$4:K$251,MATCH('Table 2.1b_percent'!$A6&amp;'Table 2.1b_percent'!$B6&amp;'Table 2.1b_percent'!$C6,UtilityList!$A$4:$A$251&amp;UtilityList!$B$4:$B$251&amp;UtilityList!$C$4:$C$251,0))</f>
        <v>Bethel (CA)</v>
      </c>
      <c r="O6" s="452" t="str">
        <f t="array" ref="O6">INDEX(UtilityList!L$4:L$251,MATCH('Table 2.1b_percent'!$A6&amp;'Table 2.1b_percent'!$B6&amp;'Table 2.1b_percent'!$C6,UtilityList!$A$4:$A$251&amp;UtilityList!$B$4:$B$251&amp;UtilityList!$C$4:$C$251,0))</f>
        <v>Calista</v>
      </c>
      <c r="P6" s="452" t="str">
        <f t="array" ref="P6">INDEX(UtilityList!M$4:M$251,MATCH('Table 2.1b_percent'!$A6&amp;'Table 2.1b_percent'!$B6&amp;'Table 2.1b_percent'!$C6,UtilityList!$A$4:$A$251&amp;UtilityList!$B$4:$B$251&amp;UtilityList!$C$4:$C$251,0))</f>
        <v>SW</v>
      </c>
    </row>
    <row r="7" spans="1:19" s="344" customFormat="1" ht="30" x14ac:dyDescent="0.25">
      <c r="A7" s="619" t="s">
        <v>33</v>
      </c>
      <c r="B7" s="361" t="s">
        <v>34</v>
      </c>
      <c r="C7" s="350" t="s">
        <v>34</v>
      </c>
      <c r="D7" s="625">
        <v>1</v>
      </c>
      <c r="E7" s="626">
        <v>0</v>
      </c>
      <c r="F7" s="626">
        <v>1</v>
      </c>
      <c r="G7" s="626">
        <v>0</v>
      </c>
      <c r="H7" s="626">
        <v>0</v>
      </c>
      <c r="I7" s="361" t="s">
        <v>718</v>
      </c>
      <c r="J7" s="622" t="str">
        <f t="array" ref="J7">INDEX(UtilityList!H$4:H$251,MATCH('Table 2.1b_percent'!$A7&amp;'Table 2.1b_percent'!$B7&amp;'Table 2.1b_percent'!$C7,UtilityList!$A$4:$A$251&amp;UtilityList!$B$4:$B$251&amp;UtilityList!$C$4:$C$251,0))</f>
        <v>PCE Eligible Active</v>
      </c>
      <c r="K7" s="709">
        <f t="array" ref="K7">INDEX(UtilityList!Q$4:Q$251,MATCH('Table 2.1b_percent'!$A7&amp;'Table 2.1b_percent'!$B7&amp;'Table 2.1b_percent'!$C7,UtilityList!$A$4:$A$251&amp;UtilityList!$B$4:$B$251&amp;UtilityList!$C$4:$C$251,0))</f>
        <v>0</v>
      </c>
      <c r="L7" s="627" t="str">
        <f t="array" ref="L7">INDEX(UtilityList!I$4:I$251,MATCH('Table 2.1b_percent'!$A7&amp;'Table 2.1b_percent'!$B7&amp;'Table 2.1b_percent'!$C7,UtilityList!$A$4:$A$251&amp;UtilityList!$B$4:$B$251&amp;UtilityList!$C$4:$C$251,0))</f>
        <v>AKUT</v>
      </c>
      <c r="M7" s="452" t="str">
        <f t="array" ref="M7">INDEX(UtilityList!J$4:J$251,MATCH('Table 2.1b_percent'!$A7&amp;'Table 2.1b_percent'!$B7&amp;'Table 2.1b_percent'!$C7,UtilityList!$A$4:$A$251&amp;UtilityList!$B$4:$B$251&amp;UtilityList!$C$4:$C$251,0))</f>
        <v>Aleutians</v>
      </c>
      <c r="N7" s="452" t="str">
        <f t="array" ref="N7">INDEX(UtilityList!K$4:K$251,MATCH('Table 2.1b_percent'!$A7&amp;'Table 2.1b_percent'!$B7&amp;'Table 2.1b_percent'!$C7,UtilityList!$A$4:$A$251&amp;UtilityList!$B$4:$B$251&amp;UtilityList!$C$4:$C$251,0))</f>
        <v>Aleutians East</v>
      </c>
      <c r="O7" s="452" t="str">
        <f t="array" ref="O7">INDEX(UtilityList!L$4:L$251,MATCH('Table 2.1b_percent'!$A7&amp;'Table 2.1b_percent'!$B7&amp;'Table 2.1b_percent'!$C7,UtilityList!$A$4:$A$251&amp;UtilityList!$B$4:$B$251&amp;UtilityList!$C$4:$C$251,0))</f>
        <v>Aleut</v>
      </c>
      <c r="P7" s="452" t="str">
        <f t="array" ref="P7">INDEX(UtilityList!M$4:M$251,MATCH('Table 2.1b_percent'!$A7&amp;'Table 2.1b_percent'!$B7&amp;'Table 2.1b_percent'!$C7,UtilityList!$A$4:$A$251&amp;UtilityList!$B$4:$B$251&amp;UtilityList!$C$4:$C$251,0))</f>
        <v>SW</v>
      </c>
    </row>
    <row r="8" spans="1:19" s="344" customFormat="1" x14ac:dyDescent="0.25">
      <c r="A8" s="619" t="s">
        <v>523</v>
      </c>
      <c r="B8" s="361" t="s">
        <v>35</v>
      </c>
      <c r="C8" s="350" t="s">
        <v>36</v>
      </c>
      <c r="D8" s="625">
        <v>1</v>
      </c>
      <c r="E8" s="626">
        <v>0</v>
      </c>
      <c r="F8" s="626">
        <v>0</v>
      </c>
      <c r="G8" s="626">
        <v>1</v>
      </c>
      <c r="H8" s="626">
        <v>0</v>
      </c>
      <c r="I8" s="361" t="s">
        <v>648</v>
      </c>
      <c r="J8" s="622" t="str">
        <f t="array" ref="J8">INDEX(UtilityList!H$4:H$251,MATCH('Table 2.1b_percent'!$A8&amp;'Table 2.1b_percent'!$B8&amp;'Table 2.1b_percent'!$C8,UtilityList!$A$4:$A$251&amp;UtilityList!$B$4:$B$251&amp;UtilityList!$C$4:$C$251,0))</f>
        <v>PCE Ineligible</v>
      </c>
      <c r="K8" s="709">
        <f t="array" ref="K8">INDEX(UtilityList!Q$4:Q$251,MATCH('Table 2.1b_percent'!$A8&amp;'Table 2.1b_percent'!$B8&amp;'Table 2.1b_percent'!$C8,UtilityList!$A$4:$A$251&amp;UtilityList!$B$4:$B$251&amp;UtilityList!$C$4:$C$251,0))</f>
        <v>0</v>
      </c>
      <c r="L8" s="627" t="str">
        <f t="array" ref="L8">INDEX(UtilityList!I$4:I$251,MATCH('Table 2.1b_percent'!$A8&amp;'Table 2.1b_percent'!$B8&amp;'Table 2.1b_percent'!$C8,UtilityList!$A$4:$A$251&amp;UtilityList!$B$4:$B$251&amp;UtilityList!$C$4:$C$251,0))</f>
        <v>AEL&amp;P</v>
      </c>
      <c r="M8" s="452" t="str">
        <f t="array" ref="M8">INDEX(UtilityList!J$4:J$251,MATCH('Table 2.1b_percent'!$A8&amp;'Table 2.1b_percent'!$B8&amp;'Table 2.1b_percent'!$C8,UtilityList!$A$4:$A$251&amp;UtilityList!$B$4:$B$251&amp;UtilityList!$C$4:$C$251,0))</f>
        <v>Southeast</v>
      </c>
      <c r="N8" s="452" t="str">
        <f t="array" ref="N8">INDEX(UtilityList!K$4:K$251,MATCH('Table 2.1b_percent'!$A8&amp;'Table 2.1b_percent'!$B8&amp;'Table 2.1b_percent'!$C8,UtilityList!$A$4:$A$251&amp;UtilityList!$B$4:$B$251&amp;UtilityList!$C$4:$C$251,0))</f>
        <v>Juneau</v>
      </c>
      <c r="O8" s="452" t="str">
        <f t="array" ref="O8">INDEX(UtilityList!L$4:L$251,MATCH('Table 2.1b_percent'!$A8&amp;'Table 2.1b_percent'!$B8&amp;'Table 2.1b_percent'!$C8,UtilityList!$A$4:$A$251&amp;UtilityList!$B$4:$B$251&amp;UtilityList!$C$4:$C$251,0))</f>
        <v>Sealaska</v>
      </c>
      <c r="P8" s="452" t="str">
        <f t="array" ref="P8">INDEX(UtilityList!M$4:M$251,MATCH('Table 2.1b_percent'!$A8&amp;'Table 2.1b_percent'!$B8&amp;'Table 2.1b_percent'!$C8,UtilityList!$A$4:$A$251&amp;UtilityList!$B$4:$B$251&amp;UtilityList!$C$4:$C$251,0))</f>
        <v>SE</v>
      </c>
    </row>
    <row r="9" spans="1:19" s="344" customFormat="1" x14ac:dyDescent="0.25">
      <c r="A9" s="619" t="s">
        <v>523</v>
      </c>
      <c r="B9" s="361" t="s">
        <v>37</v>
      </c>
      <c r="C9" s="350" t="s">
        <v>36</v>
      </c>
      <c r="D9" s="625">
        <v>1</v>
      </c>
      <c r="E9" s="626">
        <v>0.93093922651933703</v>
      </c>
      <c r="F9" s="626">
        <v>6.9060773480662987E-2</v>
      </c>
      <c r="G9" s="626">
        <v>0</v>
      </c>
      <c r="H9" s="626">
        <v>0</v>
      </c>
      <c r="I9" s="361" t="s">
        <v>648</v>
      </c>
      <c r="J9" s="622" t="str">
        <f t="array" ref="J9">INDEX(UtilityList!H$4:H$251,MATCH('Table 2.1b_percent'!$A9&amp;'Table 2.1b_percent'!$B9&amp;'Table 2.1b_percent'!$C9,UtilityList!$A$4:$A$251&amp;UtilityList!$B$4:$B$251&amp;UtilityList!$C$4:$C$251,0))</f>
        <v>PCE Ineligible</v>
      </c>
      <c r="K9" s="709">
        <f t="array" ref="K9">INDEX(UtilityList!Q$4:Q$251,MATCH('Table 2.1b_percent'!$A9&amp;'Table 2.1b_percent'!$B9&amp;'Table 2.1b_percent'!$C9,UtilityList!$A$4:$A$251&amp;UtilityList!$B$4:$B$251&amp;UtilityList!$C$4:$C$251,0))</f>
        <v>0</v>
      </c>
      <c r="L9" s="627" t="str">
        <f t="array" ref="L9">INDEX(UtilityList!I$4:I$251,MATCH('Table 2.1b_percent'!$A9&amp;'Table 2.1b_percent'!$B9&amp;'Table 2.1b_percent'!$C9,UtilityList!$A$4:$A$251&amp;UtilityList!$B$4:$B$251&amp;UtilityList!$C$4:$C$251,0))</f>
        <v>AEL&amp;P</v>
      </c>
      <c r="M9" s="452" t="str">
        <f t="array" ref="M9">INDEX(UtilityList!J$4:J$251,MATCH('Table 2.1b_percent'!$A9&amp;'Table 2.1b_percent'!$B9&amp;'Table 2.1b_percent'!$C9,UtilityList!$A$4:$A$251&amp;UtilityList!$B$4:$B$251&amp;UtilityList!$C$4:$C$251,0))</f>
        <v>Southeast</v>
      </c>
      <c r="N9" s="452" t="str">
        <f t="array" ref="N9">INDEX(UtilityList!K$4:K$251,MATCH('Table 2.1b_percent'!$A9&amp;'Table 2.1b_percent'!$B9&amp;'Table 2.1b_percent'!$C9,UtilityList!$A$4:$A$251&amp;UtilityList!$B$4:$B$251&amp;UtilityList!$C$4:$C$251,0))</f>
        <v>Juneau</v>
      </c>
      <c r="O9" s="452" t="str">
        <f t="array" ref="O9">INDEX(UtilityList!L$4:L$251,MATCH('Table 2.1b_percent'!$A9&amp;'Table 2.1b_percent'!$B9&amp;'Table 2.1b_percent'!$C9,UtilityList!$A$4:$A$251&amp;UtilityList!$B$4:$B$251&amp;UtilityList!$C$4:$C$251,0))</f>
        <v>Sealaska</v>
      </c>
      <c r="P9" s="452" t="str">
        <f t="array" ref="P9">INDEX(UtilityList!M$4:M$251,MATCH('Table 2.1b_percent'!$A9&amp;'Table 2.1b_percent'!$B9&amp;'Table 2.1b_percent'!$C9,UtilityList!$A$4:$A$251&amp;UtilityList!$B$4:$B$251&amp;UtilityList!$C$4:$C$251,0))</f>
        <v>SE</v>
      </c>
    </row>
    <row r="10" spans="1:19" s="344" customFormat="1" x14ac:dyDescent="0.25">
      <c r="A10" s="619" t="s">
        <v>523</v>
      </c>
      <c r="B10" s="361" t="s">
        <v>38</v>
      </c>
      <c r="C10" s="350" t="s">
        <v>36</v>
      </c>
      <c r="D10" s="625">
        <v>1</v>
      </c>
      <c r="E10" s="626">
        <v>0</v>
      </c>
      <c r="F10" s="626">
        <v>0.83505154639175261</v>
      </c>
      <c r="G10" s="626">
        <v>0.16494845360824742</v>
      </c>
      <c r="H10" s="626">
        <v>0</v>
      </c>
      <c r="I10" s="361" t="s">
        <v>648</v>
      </c>
      <c r="J10" s="622" t="str">
        <f t="array" ref="J10">INDEX(UtilityList!H$4:H$251,MATCH('Table 2.1b_percent'!$A10&amp;'Table 2.1b_percent'!$B10&amp;'Table 2.1b_percent'!$C10,UtilityList!$A$4:$A$251&amp;UtilityList!$B$4:$B$251&amp;UtilityList!$C$4:$C$251,0))</f>
        <v>PCE Ineligible</v>
      </c>
      <c r="K10" s="709">
        <f t="array" ref="K10">INDEX(UtilityList!Q$4:Q$251,MATCH('Table 2.1b_percent'!$A10&amp;'Table 2.1b_percent'!$B10&amp;'Table 2.1b_percent'!$C10,UtilityList!$A$4:$A$251&amp;UtilityList!$B$4:$B$251&amp;UtilityList!$C$4:$C$251,0))</f>
        <v>0</v>
      </c>
      <c r="L10" s="627" t="str">
        <f t="array" ref="L10">INDEX(UtilityList!I$4:I$251,MATCH('Table 2.1b_percent'!$A10&amp;'Table 2.1b_percent'!$B10&amp;'Table 2.1b_percent'!$C10,UtilityList!$A$4:$A$251&amp;UtilityList!$B$4:$B$251&amp;UtilityList!$C$4:$C$251,0))</f>
        <v>AEL&amp;P</v>
      </c>
      <c r="M10" s="452" t="str">
        <f t="array" ref="M10">INDEX(UtilityList!J$4:J$251,MATCH('Table 2.1b_percent'!$A10&amp;'Table 2.1b_percent'!$B10&amp;'Table 2.1b_percent'!$C10,UtilityList!$A$4:$A$251&amp;UtilityList!$B$4:$B$251&amp;UtilityList!$C$4:$C$251,0))</f>
        <v>Southeast</v>
      </c>
      <c r="N10" s="452" t="str">
        <f t="array" ref="N10">INDEX(UtilityList!K$4:K$251,MATCH('Table 2.1b_percent'!$A10&amp;'Table 2.1b_percent'!$B10&amp;'Table 2.1b_percent'!$C10,UtilityList!$A$4:$A$251&amp;UtilityList!$B$4:$B$251&amp;UtilityList!$C$4:$C$251,0))</f>
        <v>Juneau</v>
      </c>
      <c r="O10" s="452" t="str">
        <f t="array" ref="O10">INDEX(UtilityList!L$4:L$251,MATCH('Table 2.1b_percent'!$A10&amp;'Table 2.1b_percent'!$B10&amp;'Table 2.1b_percent'!$C10,UtilityList!$A$4:$A$251&amp;UtilityList!$B$4:$B$251&amp;UtilityList!$C$4:$C$251,0))</f>
        <v>Sealaska</v>
      </c>
      <c r="P10" s="452" t="str">
        <f t="array" ref="P10">INDEX(UtilityList!M$4:M$251,MATCH('Table 2.1b_percent'!$A10&amp;'Table 2.1b_percent'!$B10&amp;'Table 2.1b_percent'!$C10,UtilityList!$A$4:$A$251&amp;UtilityList!$B$4:$B$251&amp;UtilityList!$C$4:$C$251,0))</f>
        <v>SE</v>
      </c>
    </row>
    <row r="11" spans="1:19" s="344" customFormat="1" x14ac:dyDescent="0.25">
      <c r="A11" s="619" t="s">
        <v>523</v>
      </c>
      <c r="B11" s="361" t="s">
        <v>39</v>
      </c>
      <c r="C11" s="350" t="s">
        <v>36</v>
      </c>
      <c r="D11" s="625">
        <v>1</v>
      </c>
      <c r="E11" s="626">
        <v>0</v>
      </c>
      <c r="F11" s="626">
        <v>0</v>
      </c>
      <c r="G11" s="626">
        <v>1</v>
      </c>
      <c r="H11" s="626">
        <v>0</v>
      </c>
      <c r="I11" s="361" t="s">
        <v>648</v>
      </c>
      <c r="J11" s="622" t="str">
        <f t="array" ref="J11">INDEX(UtilityList!H$4:H$251,MATCH('Table 2.1b_percent'!$A11&amp;'Table 2.1b_percent'!$B11&amp;'Table 2.1b_percent'!$C11,UtilityList!$A$4:$A$251&amp;UtilityList!$B$4:$B$251&amp;UtilityList!$C$4:$C$251,0))</f>
        <v>PCE Ineligible</v>
      </c>
      <c r="K11" s="709">
        <f t="array" ref="K11">INDEX(UtilityList!Q$4:Q$251,MATCH('Table 2.1b_percent'!$A11&amp;'Table 2.1b_percent'!$B11&amp;'Table 2.1b_percent'!$C11,UtilityList!$A$4:$A$251&amp;UtilityList!$B$4:$B$251&amp;UtilityList!$C$4:$C$251,0))</f>
        <v>0</v>
      </c>
      <c r="L11" s="627" t="str">
        <f t="array" ref="L11">INDEX(UtilityList!I$4:I$251,MATCH('Table 2.1b_percent'!$A11&amp;'Table 2.1b_percent'!$B11&amp;'Table 2.1b_percent'!$C11,UtilityList!$A$4:$A$251&amp;UtilityList!$B$4:$B$251&amp;UtilityList!$C$4:$C$251,0))</f>
        <v>AEL&amp;P</v>
      </c>
      <c r="M11" s="452" t="str">
        <f t="array" ref="M11">INDEX(UtilityList!J$4:J$251,MATCH('Table 2.1b_percent'!$A11&amp;'Table 2.1b_percent'!$B11&amp;'Table 2.1b_percent'!$C11,UtilityList!$A$4:$A$251&amp;UtilityList!$B$4:$B$251&amp;UtilityList!$C$4:$C$251,0))</f>
        <v>Southeast</v>
      </c>
      <c r="N11" s="452" t="str">
        <f t="array" ref="N11">INDEX(UtilityList!K$4:K$251,MATCH('Table 2.1b_percent'!$A11&amp;'Table 2.1b_percent'!$B11&amp;'Table 2.1b_percent'!$C11,UtilityList!$A$4:$A$251&amp;UtilityList!$B$4:$B$251&amp;UtilityList!$C$4:$C$251,0))</f>
        <v>Juneau</v>
      </c>
      <c r="O11" s="452" t="str">
        <f t="array" ref="O11">INDEX(UtilityList!L$4:L$251,MATCH('Table 2.1b_percent'!$A11&amp;'Table 2.1b_percent'!$B11&amp;'Table 2.1b_percent'!$C11,UtilityList!$A$4:$A$251&amp;UtilityList!$B$4:$B$251&amp;UtilityList!$C$4:$C$251,0))</f>
        <v>Sealaska</v>
      </c>
      <c r="P11" s="452" t="str">
        <f t="array" ref="P11">INDEX(UtilityList!M$4:M$251,MATCH('Table 2.1b_percent'!$A11&amp;'Table 2.1b_percent'!$B11&amp;'Table 2.1b_percent'!$C11,UtilityList!$A$4:$A$251&amp;UtilityList!$B$4:$B$251&amp;UtilityList!$C$4:$C$251,0))</f>
        <v>SE</v>
      </c>
    </row>
    <row r="12" spans="1:19" s="344" customFormat="1" x14ac:dyDescent="0.25">
      <c r="A12" s="619" t="s">
        <v>523</v>
      </c>
      <c r="B12" s="361" t="s">
        <v>40</v>
      </c>
      <c r="C12" s="350" t="s">
        <v>36</v>
      </c>
      <c r="D12" s="625">
        <v>1</v>
      </c>
      <c r="E12" s="626">
        <v>0.60291734197730962</v>
      </c>
      <c r="F12" s="626">
        <v>0.39708265802269044</v>
      </c>
      <c r="G12" s="626">
        <v>0</v>
      </c>
      <c r="H12" s="626">
        <v>0</v>
      </c>
      <c r="I12" s="361" t="s">
        <v>648</v>
      </c>
      <c r="J12" s="622" t="str">
        <f t="array" ref="J12">INDEX(UtilityList!H$4:H$251,MATCH('Table 2.1b_percent'!$A12&amp;'Table 2.1b_percent'!$B12&amp;'Table 2.1b_percent'!$C12,UtilityList!$A$4:$A$251&amp;UtilityList!$B$4:$B$251&amp;UtilityList!$C$4:$C$251,0))</f>
        <v>PCE Ineligible</v>
      </c>
      <c r="K12" s="709">
        <f t="array" ref="K12">INDEX(UtilityList!Q$4:Q$251,MATCH('Table 2.1b_percent'!$A12&amp;'Table 2.1b_percent'!$B12&amp;'Table 2.1b_percent'!$C12,UtilityList!$A$4:$A$251&amp;UtilityList!$B$4:$B$251&amp;UtilityList!$C$4:$C$251,0))</f>
        <v>0</v>
      </c>
      <c r="L12" s="627" t="str">
        <f t="array" ref="L12">INDEX(UtilityList!I$4:I$251,MATCH('Table 2.1b_percent'!$A12&amp;'Table 2.1b_percent'!$B12&amp;'Table 2.1b_percent'!$C12,UtilityList!$A$4:$A$251&amp;UtilityList!$B$4:$B$251&amp;UtilityList!$C$4:$C$251,0))</f>
        <v>AEL&amp;P</v>
      </c>
      <c r="M12" s="452" t="str">
        <f t="array" ref="M12">INDEX(UtilityList!J$4:J$251,MATCH('Table 2.1b_percent'!$A12&amp;'Table 2.1b_percent'!$B12&amp;'Table 2.1b_percent'!$C12,UtilityList!$A$4:$A$251&amp;UtilityList!$B$4:$B$251&amp;UtilityList!$C$4:$C$251,0))</f>
        <v>Southeast</v>
      </c>
      <c r="N12" s="452" t="str">
        <f t="array" ref="N12">INDEX(UtilityList!K$4:K$251,MATCH('Table 2.1b_percent'!$A12&amp;'Table 2.1b_percent'!$B12&amp;'Table 2.1b_percent'!$C12,UtilityList!$A$4:$A$251&amp;UtilityList!$B$4:$B$251&amp;UtilityList!$C$4:$C$251,0))</f>
        <v>Juneau</v>
      </c>
      <c r="O12" s="452" t="str">
        <f t="array" ref="O12">INDEX(UtilityList!L$4:L$251,MATCH('Table 2.1b_percent'!$A12&amp;'Table 2.1b_percent'!$B12&amp;'Table 2.1b_percent'!$C12,UtilityList!$A$4:$A$251&amp;UtilityList!$B$4:$B$251&amp;UtilityList!$C$4:$C$251,0))</f>
        <v>Sealaska</v>
      </c>
      <c r="P12" s="452" t="str">
        <f t="array" ref="P12">INDEX(UtilityList!M$4:M$251,MATCH('Table 2.1b_percent'!$A12&amp;'Table 2.1b_percent'!$B12&amp;'Table 2.1b_percent'!$C12,UtilityList!$A$4:$A$251&amp;UtilityList!$B$4:$B$251&amp;UtilityList!$C$4:$C$251,0))</f>
        <v>SE</v>
      </c>
    </row>
    <row r="13" spans="1:19" s="344" customFormat="1" x14ac:dyDescent="0.25">
      <c r="A13" s="619" t="s">
        <v>523</v>
      </c>
      <c r="B13" s="361" t="s">
        <v>41</v>
      </c>
      <c r="C13" s="350" t="s">
        <v>36</v>
      </c>
      <c r="D13" s="625">
        <v>1</v>
      </c>
      <c r="E13" s="626">
        <v>0</v>
      </c>
      <c r="F13" s="626">
        <v>0</v>
      </c>
      <c r="G13" s="626">
        <v>1</v>
      </c>
      <c r="H13" s="626">
        <v>0</v>
      </c>
      <c r="I13" s="361" t="s">
        <v>648</v>
      </c>
      <c r="J13" s="622" t="str">
        <f t="array" ref="J13">INDEX(UtilityList!H$4:H$251,MATCH('Table 2.1b_percent'!$A13&amp;'Table 2.1b_percent'!$B13&amp;'Table 2.1b_percent'!$C13,UtilityList!$A$4:$A$251&amp;UtilityList!$B$4:$B$251&amp;UtilityList!$C$4:$C$251,0))</f>
        <v>PCE Ineligible</v>
      </c>
      <c r="K13" s="709">
        <f t="array" ref="K13">INDEX(UtilityList!Q$4:Q$251,MATCH('Table 2.1b_percent'!$A13&amp;'Table 2.1b_percent'!$B13&amp;'Table 2.1b_percent'!$C13,UtilityList!$A$4:$A$251&amp;UtilityList!$B$4:$B$251&amp;UtilityList!$C$4:$C$251,0))</f>
        <v>0</v>
      </c>
      <c r="L13" s="627" t="str">
        <f t="array" ref="L13">INDEX(UtilityList!I$4:I$251,MATCH('Table 2.1b_percent'!$A13&amp;'Table 2.1b_percent'!$B13&amp;'Table 2.1b_percent'!$C13,UtilityList!$A$4:$A$251&amp;UtilityList!$B$4:$B$251&amp;UtilityList!$C$4:$C$251,0))</f>
        <v>AEL&amp;P</v>
      </c>
      <c r="M13" s="452" t="str">
        <f t="array" ref="M13">INDEX(UtilityList!J$4:J$251,MATCH('Table 2.1b_percent'!$A13&amp;'Table 2.1b_percent'!$B13&amp;'Table 2.1b_percent'!$C13,UtilityList!$A$4:$A$251&amp;UtilityList!$B$4:$B$251&amp;UtilityList!$C$4:$C$251,0))</f>
        <v>Southeast</v>
      </c>
      <c r="N13" s="452" t="str">
        <f t="array" ref="N13">INDEX(UtilityList!K$4:K$251,MATCH('Table 2.1b_percent'!$A13&amp;'Table 2.1b_percent'!$B13&amp;'Table 2.1b_percent'!$C13,UtilityList!$A$4:$A$251&amp;UtilityList!$B$4:$B$251&amp;UtilityList!$C$4:$C$251,0))</f>
        <v>Juneau</v>
      </c>
      <c r="O13" s="452" t="str">
        <f t="array" ref="O13">INDEX(UtilityList!L$4:L$251,MATCH('Table 2.1b_percent'!$A13&amp;'Table 2.1b_percent'!$B13&amp;'Table 2.1b_percent'!$C13,UtilityList!$A$4:$A$251&amp;UtilityList!$B$4:$B$251&amp;UtilityList!$C$4:$C$251,0))</f>
        <v>Sealaska</v>
      </c>
      <c r="P13" s="452" t="str">
        <f t="array" ref="P13">INDEX(UtilityList!M$4:M$251,MATCH('Table 2.1b_percent'!$A13&amp;'Table 2.1b_percent'!$B13&amp;'Table 2.1b_percent'!$C13,UtilityList!$A$4:$A$251&amp;UtilityList!$B$4:$B$251&amp;UtilityList!$C$4:$C$251,0))</f>
        <v>SE</v>
      </c>
    </row>
    <row r="14" spans="1:19" s="344" customFormat="1" x14ac:dyDescent="0.25">
      <c r="A14" s="619" t="s">
        <v>523</v>
      </c>
      <c r="B14" s="361" t="s">
        <v>42</v>
      </c>
      <c r="C14" s="350" t="s">
        <v>36</v>
      </c>
      <c r="D14" s="625">
        <v>1</v>
      </c>
      <c r="E14" s="626">
        <v>0</v>
      </c>
      <c r="F14" s="626">
        <v>0</v>
      </c>
      <c r="G14" s="626">
        <v>1</v>
      </c>
      <c r="H14" s="626">
        <v>0</v>
      </c>
      <c r="I14" s="361" t="s">
        <v>648</v>
      </c>
      <c r="J14" s="622" t="str">
        <f t="array" ref="J14">INDEX(UtilityList!H$4:H$251,MATCH('Table 2.1b_percent'!$A14&amp;'Table 2.1b_percent'!$B14&amp;'Table 2.1b_percent'!$C14,UtilityList!$A$4:$A$251&amp;UtilityList!$B$4:$B$251&amp;UtilityList!$C$4:$C$251,0))</f>
        <v>PCE Ineligible</v>
      </c>
      <c r="K14" s="709">
        <f t="array" ref="K14">INDEX(UtilityList!Q$4:Q$251,MATCH('Table 2.1b_percent'!$A14&amp;'Table 2.1b_percent'!$B14&amp;'Table 2.1b_percent'!$C14,UtilityList!$A$4:$A$251&amp;UtilityList!$B$4:$B$251&amp;UtilityList!$C$4:$C$251,0))</f>
        <v>0</v>
      </c>
      <c r="L14" s="627" t="str">
        <f t="array" ref="L14">INDEX(UtilityList!I$4:I$251,MATCH('Table 2.1b_percent'!$A14&amp;'Table 2.1b_percent'!$B14&amp;'Table 2.1b_percent'!$C14,UtilityList!$A$4:$A$251&amp;UtilityList!$B$4:$B$251&amp;UtilityList!$C$4:$C$251,0))</f>
        <v>AEL&amp;P</v>
      </c>
      <c r="M14" s="452" t="str">
        <f t="array" ref="M14">INDEX(UtilityList!J$4:J$251,MATCH('Table 2.1b_percent'!$A14&amp;'Table 2.1b_percent'!$B14&amp;'Table 2.1b_percent'!$C14,UtilityList!$A$4:$A$251&amp;UtilityList!$B$4:$B$251&amp;UtilityList!$C$4:$C$251,0))</f>
        <v>Southeast</v>
      </c>
      <c r="N14" s="452" t="str">
        <f t="array" ref="N14">INDEX(UtilityList!K$4:K$251,MATCH('Table 2.1b_percent'!$A14&amp;'Table 2.1b_percent'!$B14&amp;'Table 2.1b_percent'!$C14,UtilityList!$A$4:$A$251&amp;UtilityList!$B$4:$B$251&amp;UtilityList!$C$4:$C$251,0))</f>
        <v>Juneau</v>
      </c>
      <c r="O14" s="452" t="str">
        <f t="array" ref="O14">INDEX(UtilityList!L$4:L$251,MATCH('Table 2.1b_percent'!$A14&amp;'Table 2.1b_percent'!$B14&amp;'Table 2.1b_percent'!$C14,UtilityList!$A$4:$A$251&amp;UtilityList!$B$4:$B$251&amp;UtilityList!$C$4:$C$251,0))</f>
        <v>Sealaska</v>
      </c>
      <c r="P14" s="452" t="str">
        <f t="array" ref="P14">INDEX(UtilityList!M$4:M$251,MATCH('Table 2.1b_percent'!$A14&amp;'Table 2.1b_percent'!$B14&amp;'Table 2.1b_percent'!$C14,UtilityList!$A$4:$A$251&amp;UtilityList!$B$4:$B$251&amp;UtilityList!$C$4:$C$251,0))</f>
        <v>SE</v>
      </c>
    </row>
    <row r="15" spans="1:19" s="344" customFormat="1" ht="90" x14ac:dyDescent="0.25">
      <c r="A15" s="619" t="s">
        <v>642</v>
      </c>
      <c r="B15" s="361" t="s">
        <v>666</v>
      </c>
      <c r="C15" s="350"/>
      <c r="D15" s="625">
        <v>1</v>
      </c>
      <c r="E15" s="626">
        <v>0</v>
      </c>
      <c r="F15" s="626">
        <v>0</v>
      </c>
      <c r="G15" s="626">
        <v>0</v>
      </c>
      <c r="H15" s="626">
        <v>1</v>
      </c>
      <c r="I15" s="361" t="s">
        <v>647</v>
      </c>
      <c r="J15" s="622" t="str">
        <f t="array" ref="J15">INDEX(UtilityList!H$4:H$251,MATCH('Table 2.1b_percent'!$A15&amp;'Table 2.1b_percent'!$B15&amp;'Table 2.1b_percent'!$C15,UtilityList!$A$4:$A$251&amp;UtilityList!$B$4:$B$251&amp;UtilityList!$C$4:$C$251,0))</f>
        <v>PCE Ineligible</v>
      </c>
      <c r="K15" s="709" t="str">
        <f t="array" ref="K15">INDEX(UtilityList!Q$4:Q$251,MATCH('Table 2.1b_percent'!$A15&amp;'Table 2.1b_percent'!$B15&amp;'Table 2.1b_percent'!$C15,UtilityList!$A$4:$A$251&amp;UtilityList!$B$4:$B$251&amp;UtilityList!$C$4:$C$251,0))</f>
        <v>Plant is also know as Delta Wind. Alaska Environmental LLC is an independent power producer that sells all its power to GVEA.</v>
      </c>
      <c r="L15" s="627" t="str">
        <f t="array" ref="L15">INDEX(UtilityList!I$4:I$251,MATCH('Table 2.1b_percent'!$A15&amp;'Table 2.1b_percent'!$B15&amp;'Table 2.1b_percent'!$C15,UtilityList!$A$4:$A$251&amp;UtilityList!$B$4:$B$251&amp;UtilityList!$C$4:$C$251,0))</f>
        <v>AKENV</v>
      </c>
      <c r="M15" s="452" t="str">
        <f t="array" ref="M15">INDEX(UtilityList!J$4:J$251,MATCH('Table 2.1b_percent'!$A15&amp;'Table 2.1b_percent'!$B15&amp;'Table 2.1b_percent'!$C15,UtilityList!$A$4:$A$251&amp;UtilityList!$B$4:$B$251&amp;UtilityList!$C$4:$C$251,0))</f>
        <v>Railbelt</v>
      </c>
      <c r="N15" s="452" t="str">
        <f t="array" ref="N15">INDEX(UtilityList!K$4:K$251,MATCH('Table 2.1b_percent'!$A15&amp;'Table 2.1b_percent'!$B15&amp;'Table 2.1b_percent'!$C15,UtilityList!$A$4:$A$251&amp;UtilityList!$B$4:$B$251&amp;UtilityList!$C$4:$C$251,0))</f>
        <v>Southeast Fairbanks (CA)</v>
      </c>
      <c r="O15" s="452" t="str">
        <f t="array" ref="O15">INDEX(UtilityList!L$4:L$251,MATCH('Table 2.1b_percent'!$A15&amp;'Table 2.1b_percent'!$B15&amp;'Table 2.1b_percent'!$C15,UtilityList!$A$4:$A$251&amp;UtilityList!$B$4:$B$251&amp;UtilityList!$C$4:$C$251,0))</f>
        <v>Doyon</v>
      </c>
      <c r="P15" s="452" t="str">
        <f t="array" ref="P15">INDEX(UtilityList!M$4:M$251,MATCH('Table 2.1b_percent'!$A15&amp;'Table 2.1b_percent'!$B15&amp;'Table 2.1b_percent'!$C15,UtilityList!$A$4:$A$251&amp;UtilityList!$B$4:$B$251&amp;UtilityList!$C$4:$C$251,0))</f>
        <v>YU</v>
      </c>
    </row>
    <row r="16" spans="1:19" s="344" customFormat="1" ht="60" x14ac:dyDescent="0.25">
      <c r="A16" s="619" t="s">
        <v>43</v>
      </c>
      <c r="B16" s="361" t="s">
        <v>44</v>
      </c>
      <c r="C16" s="350" t="s">
        <v>678</v>
      </c>
      <c r="D16" s="625">
        <v>1</v>
      </c>
      <c r="E16" s="626">
        <v>0</v>
      </c>
      <c r="F16" s="626">
        <v>1</v>
      </c>
      <c r="G16" s="626">
        <v>0</v>
      </c>
      <c r="H16" s="626">
        <v>0</v>
      </c>
      <c r="I16" s="361" t="s">
        <v>718</v>
      </c>
      <c r="J16" s="622" t="str">
        <f t="array" ref="J16">INDEX(UtilityList!H$4:H$251,MATCH('Table 2.1b_percent'!$A16&amp;'Table 2.1b_percent'!$B16&amp;'Table 2.1b_percent'!$C16,UtilityList!$A$4:$A$251&amp;UtilityList!$B$4:$B$251&amp;UtilityList!$C$4:$C$251,0))</f>
        <v>PCE Eligible Active</v>
      </c>
      <c r="K16" s="709" t="str">
        <f t="array" ref="K16">INDEX(UtilityList!Q$4:Q$251,MATCH('Table 2.1b_percent'!$A16&amp;'Table 2.1b_percent'!$B16&amp;'Table 2.1b_percent'!$C16,UtilityList!$A$4:$A$251&amp;UtilityList!$B$4:$B$251&amp;UtilityList!$C$4:$C$251,0))</f>
        <v>Provides power to Alatna via intertie. Data includes Alatna's information.</v>
      </c>
      <c r="L16" s="627" t="str">
        <f t="array" ref="L16">INDEX(UtilityList!I$4:I$251,MATCH('Table 2.1b_percent'!$A16&amp;'Table 2.1b_percent'!$B16&amp;'Table 2.1b_percent'!$C16,UtilityList!$A$4:$A$251&amp;UtilityList!$B$4:$B$251&amp;UtilityList!$C$4:$C$251,0))</f>
        <v>ALASPCA</v>
      </c>
      <c r="M16" s="452" t="str">
        <f t="array" ref="M16">INDEX(UtilityList!J$4:J$251,MATCH('Table 2.1b_percent'!$A16&amp;'Table 2.1b_percent'!$B16&amp;'Table 2.1b_percent'!$C16,UtilityList!$A$4:$A$251&amp;UtilityList!$B$4:$B$251&amp;UtilityList!$C$4:$C$251,0))</f>
        <v>Yukon-Koyukuk/Upper Tanana</v>
      </c>
      <c r="N16" s="452" t="str">
        <f t="array" ref="N16">INDEX(UtilityList!K$4:K$251,MATCH('Table 2.1b_percent'!$A16&amp;'Table 2.1b_percent'!$B16&amp;'Table 2.1b_percent'!$C16,UtilityList!$A$4:$A$251&amp;UtilityList!$B$4:$B$251&amp;UtilityList!$C$4:$C$251,0))</f>
        <v>Yukon-Koyukuk (CA)</v>
      </c>
      <c r="O16" s="452" t="str">
        <f t="array" ref="O16">INDEX(UtilityList!L$4:L$251,MATCH('Table 2.1b_percent'!$A16&amp;'Table 2.1b_percent'!$B16&amp;'Table 2.1b_percent'!$C16,UtilityList!$A$4:$A$251&amp;UtilityList!$B$4:$B$251&amp;UtilityList!$C$4:$C$251,0))</f>
        <v>Doyon</v>
      </c>
      <c r="P16" s="452" t="str">
        <f t="array" ref="P16">INDEX(UtilityList!M$4:M$251,MATCH('Table 2.1b_percent'!$A16&amp;'Table 2.1b_percent'!$B16&amp;'Table 2.1b_percent'!$C16,UtilityList!$A$4:$A$251&amp;UtilityList!$B$4:$B$251&amp;UtilityList!$C$4:$C$251,0))</f>
        <v>YU</v>
      </c>
    </row>
    <row r="17" spans="1:16" s="344" customFormat="1" ht="75" x14ac:dyDescent="0.25">
      <c r="A17" s="619" t="s">
        <v>43</v>
      </c>
      <c r="B17" s="361" t="s">
        <v>45</v>
      </c>
      <c r="C17" s="350" t="s">
        <v>680</v>
      </c>
      <c r="D17" s="625">
        <v>1</v>
      </c>
      <c r="E17" s="626">
        <v>0</v>
      </c>
      <c r="F17" s="626">
        <v>1</v>
      </c>
      <c r="G17" s="626">
        <v>0</v>
      </c>
      <c r="H17" s="626">
        <v>0</v>
      </c>
      <c r="I17" s="361" t="s">
        <v>718</v>
      </c>
      <c r="J17" s="622" t="str">
        <f t="array" ref="J17">INDEX(UtilityList!H$4:H$251,MATCH('Table 2.1b_percent'!$A17&amp;'Table 2.1b_percent'!$B17&amp;'Table 2.1b_percent'!$C17,UtilityList!$A$4:$A$251&amp;UtilityList!$B$4:$B$251&amp;UtilityList!$C$4:$C$251,0))</f>
        <v>PCE Eligible Active</v>
      </c>
      <c r="K17" s="709" t="str">
        <f t="array" ref="K17">INDEX(UtilityList!Q$4:Q$251,MATCH('Table 2.1b_percent'!$A17&amp;'Table 2.1b_percent'!$B17&amp;'Table 2.1b_percent'!$C17,UtilityList!$A$4:$A$251&amp;UtilityList!$B$4:$B$251&amp;UtilityList!$C$4:$C$251,0))</f>
        <v>Provides power to Evansville via intertie. Data includes Evansville's information.</v>
      </c>
      <c r="L17" s="627" t="str">
        <f t="array" ref="L17">INDEX(UtilityList!I$4:I$251,MATCH('Table 2.1b_percent'!$A17&amp;'Table 2.1b_percent'!$B17&amp;'Table 2.1b_percent'!$C17,UtilityList!$A$4:$A$251&amp;UtilityList!$B$4:$B$251&amp;UtilityList!$C$4:$C$251,0))</f>
        <v>ALASPCA</v>
      </c>
      <c r="M17" s="452" t="str">
        <f t="array" ref="M17">INDEX(UtilityList!J$4:J$251,MATCH('Table 2.1b_percent'!$A17&amp;'Table 2.1b_percent'!$B17&amp;'Table 2.1b_percent'!$C17,UtilityList!$A$4:$A$251&amp;UtilityList!$B$4:$B$251&amp;UtilityList!$C$4:$C$251,0))</f>
        <v>Yukon-Koyukuk/Upper Tanana</v>
      </c>
      <c r="N17" s="452" t="str">
        <f t="array" ref="N17">INDEX(UtilityList!K$4:K$251,MATCH('Table 2.1b_percent'!$A17&amp;'Table 2.1b_percent'!$B17&amp;'Table 2.1b_percent'!$C17,UtilityList!$A$4:$A$251&amp;UtilityList!$B$4:$B$251&amp;UtilityList!$C$4:$C$251,0))</f>
        <v>Yukon-Koyukuk (CA)</v>
      </c>
      <c r="O17" s="452" t="str">
        <f t="array" ref="O17">INDEX(UtilityList!L$4:L$251,MATCH('Table 2.1b_percent'!$A17&amp;'Table 2.1b_percent'!$B17&amp;'Table 2.1b_percent'!$C17,UtilityList!$A$4:$A$251&amp;UtilityList!$B$4:$B$251&amp;UtilityList!$C$4:$C$251,0))</f>
        <v>Doyon</v>
      </c>
      <c r="P17" s="452" t="str">
        <f t="array" ref="P17">INDEX(UtilityList!M$4:M$251,MATCH('Table 2.1b_percent'!$A17&amp;'Table 2.1b_percent'!$B17&amp;'Table 2.1b_percent'!$C17,UtilityList!$A$4:$A$251&amp;UtilityList!$B$4:$B$251&amp;UtilityList!$C$4:$C$251,0))</f>
        <v>YU</v>
      </c>
    </row>
    <row r="18" spans="1:16" s="344" customFormat="1" ht="30" x14ac:dyDescent="0.25">
      <c r="A18" s="619" t="s">
        <v>43</v>
      </c>
      <c r="B18" s="361" t="s">
        <v>46</v>
      </c>
      <c r="C18" s="350" t="s">
        <v>46</v>
      </c>
      <c r="D18" s="625">
        <v>1</v>
      </c>
      <c r="E18" s="626">
        <v>0</v>
      </c>
      <c r="F18" s="626">
        <v>1</v>
      </c>
      <c r="G18" s="626">
        <v>0</v>
      </c>
      <c r="H18" s="626">
        <v>0</v>
      </c>
      <c r="I18" s="361" t="s">
        <v>718</v>
      </c>
      <c r="J18" s="622" t="str">
        <f t="array" ref="J18">INDEX(UtilityList!H$4:H$251,MATCH('Table 2.1b_percent'!$A18&amp;'Table 2.1b_percent'!$B18&amp;'Table 2.1b_percent'!$C18,UtilityList!$A$4:$A$251&amp;UtilityList!$B$4:$B$251&amp;UtilityList!$C$4:$C$251,0))</f>
        <v>PCE Eligible Active</v>
      </c>
      <c r="K18" s="709" t="str">
        <f t="array" ref="K18">INDEX(UtilityList!Q$4:Q$251,MATCH('Table 2.1b_percent'!$A18&amp;'Table 2.1b_percent'!$B18&amp;'Table 2.1b_percent'!$C18,UtilityList!$A$4:$A$251&amp;UtilityList!$B$4:$B$251&amp;UtilityList!$C$4:$C$251,0))</f>
        <v>Receives power from Slana via intertie.</v>
      </c>
      <c r="L18" s="627" t="str">
        <f t="array" ref="L18">INDEX(UtilityList!I$4:I$251,MATCH('Table 2.1b_percent'!$A18&amp;'Table 2.1b_percent'!$B18&amp;'Table 2.1b_percent'!$C18,UtilityList!$A$4:$A$251&amp;UtilityList!$B$4:$B$251&amp;UtilityList!$C$4:$C$251,0))</f>
        <v>ALASPCA</v>
      </c>
      <c r="M18" s="452" t="str">
        <f t="array" ref="M18">INDEX(UtilityList!J$4:J$251,MATCH('Table 2.1b_percent'!$A18&amp;'Table 2.1b_percent'!$B18&amp;'Table 2.1b_percent'!$C18,UtilityList!$A$4:$A$251&amp;UtilityList!$B$4:$B$251&amp;UtilityList!$C$4:$C$251,0))</f>
        <v>Copper River/Chugach</v>
      </c>
      <c r="N18" s="452" t="str">
        <f t="array" ref="N18">INDEX(UtilityList!K$4:K$251,MATCH('Table 2.1b_percent'!$A18&amp;'Table 2.1b_percent'!$B18&amp;'Table 2.1b_percent'!$C18,UtilityList!$A$4:$A$251&amp;UtilityList!$B$4:$B$251&amp;UtilityList!$C$4:$C$251,0))</f>
        <v>Valdez-Cordova (CA)</v>
      </c>
      <c r="O18" s="452" t="str">
        <f t="array" ref="O18">INDEX(UtilityList!L$4:L$251,MATCH('Table 2.1b_percent'!$A18&amp;'Table 2.1b_percent'!$B18&amp;'Table 2.1b_percent'!$C18,UtilityList!$A$4:$A$251&amp;UtilityList!$B$4:$B$251&amp;UtilityList!$C$4:$C$251,0))</f>
        <v>Ahtna</v>
      </c>
      <c r="P18" s="452" t="str">
        <f t="array" ref="P18">INDEX(UtilityList!M$4:M$251,MATCH('Table 2.1b_percent'!$A18&amp;'Table 2.1b_percent'!$B18&amp;'Table 2.1b_percent'!$C18,UtilityList!$A$4:$A$251&amp;UtilityList!$B$4:$B$251&amp;UtilityList!$C$4:$C$251,0))</f>
        <v>YU</v>
      </c>
    </row>
    <row r="19" spans="1:16" s="344" customFormat="1" ht="60" x14ac:dyDescent="0.25">
      <c r="A19" s="619" t="s">
        <v>43</v>
      </c>
      <c r="B19" s="361" t="s">
        <v>47</v>
      </c>
      <c r="C19" s="350" t="s">
        <v>47</v>
      </c>
      <c r="D19" s="625">
        <v>1</v>
      </c>
      <c r="E19" s="626">
        <v>0</v>
      </c>
      <c r="F19" s="626">
        <v>1</v>
      </c>
      <c r="G19" s="626">
        <v>0</v>
      </c>
      <c r="H19" s="626">
        <v>0</v>
      </c>
      <c r="I19" s="361" t="s">
        <v>718</v>
      </c>
      <c r="J19" s="622" t="str">
        <f t="array" ref="J19">INDEX(UtilityList!H$4:H$251,MATCH('Table 2.1b_percent'!$A19&amp;'Table 2.1b_percent'!$B19&amp;'Table 2.1b_percent'!$C19,UtilityList!$A$4:$A$251&amp;UtilityList!$B$4:$B$251&amp;UtilityList!$C$4:$C$251,0))</f>
        <v>PCE Eligible Active</v>
      </c>
      <c r="K19" s="709" t="str">
        <f t="array" ref="K19">INDEX(UtilityList!Q$4:Q$251,MATCH('Table 2.1b_percent'!$A19&amp;'Table 2.1b_percent'!$B19&amp;'Table 2.1b_percent'!$C19,UtilityList!$A$4:$A$251&amp;UtilityList!$B$4:$B$251&amp;UtilityList!$C$4:$C$251,0))</f>
        <v>Part of the Alaska Power Company's grid on Prince of Wales Island.</v>
      </c>
      <c r="L19" s="627" t="str">
        <f t="array" ref="L19">INDEX(UtilityList!I$4:I$251,MATCH('Table 2.1b_percent'!$A19&amp;'Table 2.1b_percent'!$B19&amp;'Table 2.1b_percent'!$C19,UtilityList!$A$4:$A$251&amp;UtilityList!$B$4:$B$251&amp;UtilityList!$C$4:$C$251,0))</f>
        <v>ALASPCA</v>
      </c>
      <c r="M19" s="452" t="str">
        <f t="array" ref="M19">INDEX(UtilityList!J$4:J$251,MATCH('Table 2.1b_percent'!$A19&amp;'Table 2.1b_percent'!$B19&amp;'Table 2.1b_percent'!$C19,UtilityList!$A$4:$A$251&amp;UtilityList!$B$4:$B$251&amp;UtilityList!$C$4:$C$251,0))</f>
        <v>Southeast</v>
      </c>
      <c r="N19" s="452" t="str">
        <f t="array" ref="N19">INDEX(UtilityList!K$4:K$251,MATCH('Table 2.1b_percent'!$A19&amp;'Table 2.1b_percent'!$B19&amp;'Table 2.1b_percent'!$C19,UtilityList!$A$4:$A$251&amp;UtilityList!$B$4:$B$251&amp;UtilityList!$C$4:$C$251,0))</f>
        <v>Prince of Wales-Hyder (CA)</v>
      </c>
      <c r="O19" s="452" t="str">
        <f t="array" ref="O19">INDEX(UtilityList!L$4:L$251,MATCH('Table 2.1b_percent'!$A19&amp;'Table 2.1b_percent'!$B19&amp;'Table 2.1b_percent'!$C19,UtilityList!$A$4:$A$251&amp;UtilityList!$B$4:$B$251&amp;UtilityList!$C$4:$C$251,0))</f>
        <v>Sealaska</v>
      </c>
      <c r="P19" s="452" t="str">
        <f t="array" ref="P19">INDEX(UtilityList!M$4:M$251,MATCH('Table 2.1b_percent'!$A19&amp;'Table 2.1b_percent'!$B19&amp;'Table 2.1b_percent'!$C19,UtilityList!$A$4:$A$251&amp;UtilityList!$B$4:$B$251&amp;UtilityList!$C$4:$C$251,0))</f>
        <v>SE</v>
      </c>
    </row>
    <row r="20" spans="1:16" s="344" customFormat="1" ht="105" x14ac:dyDescent="0.25">
      <c r="A20" s="619" t="s">
        <v>43</v>
      </c>
      <c r="B20" s="361" t="s">
        <v>48</v>
      </c>
      <c r="C20" s="350" t="s">
        <v>991</v>
      </c>
      <c r="D20" s="625">
        <v>1</v>
      </c>
      <c r="E20" s="626">
        <v>0</v>
      </c>
      <c r="F20" s="626">
        <v>1</v>
      </c>
      <c r="G20" s="626">
        <v>0</v>
      </c>
      <c r="H20" s="626">
        <v>0</v>
      </c>
      <c r="I20" s="361" t="s">
        <v>648</v>
      </c>
      <c r="J20" s="622" t="str">
        <f t="array" ref="J20">INDEX(UtilityList!H$4:H$251,MATCH('Table 2.1b_percent'!$A20&amp;'Table 2.1b_percent'!$B20&amp;'Table 2.1b_percent'!$C20,UtilityList!$A$4:$A$251&amp;UtilityList!$B$4:$B$251&amp;UtilityList!$C$4:$C$251,0))</f>
        <v>PCE Eligible Active</v>
      </c>
      <c r="K20" s="709" t="str">
        <f t="array" ref="K20">INDEX(UtilityList!Q$4:Q$251,MATCH('Table 2.1b_percent'!$A20&amp;'Table 2.1b_percent'!$B20&amp;'Table 2.1b_percent'!$C20,UtilityList!$A$4:$A$251&amp;UtilityList!$B$4:$B$251&amp;UtilityList!$C$4:$C$251,0))</f>
        <v>Part of the Alaska Power Company's grid on Prince of Wales Island. Provides to Hollis, Hydaburg, Klawock, Thorne Bay and Kaasan.</v>
      </c>
      <c r="L20" s="627" t="str">
        <f t="array" ref="L20">INDEX(UtilityList!I$4:I$251,MATCH('Table 2.1b_percent'!$A20&amp;'Table 2.1b_percent'!$B20&amp;'Table 2.1b_percent'!$C20,UtilityList!$A$4:$A$251&amp;UtilityList!$B$4:$B$251&amp;UtilityList!$C$4:$C$251,0))</f>
        <v>ALASPCA</v>
      </c>
      <c r="M20" s="452" t="str">
        <f t="array" ref="M20">INDEX(UtilityList!J$4:J$251,MATCH('Table 2.1b_percent'!$A20&amp;'Table 2.1b_percent'!$B20&amp;'Table 2.1b_percent'!$C20,UtilityList!$A$4:$A$251&amp;UtilityList!$B$4:$B$251&amp;UtilityList!$C$4:$C$251,0))</f>
        <v>Southeast</v>
      </c>
      <c r="N20" s="452" t="str">
        <f t="array" ref="N20">INDEX(UtilityList!K$4:K$251,MATCH('Table 2.1b_percent'!$A20&amp;'Table 2.1b_percent'!$B20&amp;'Table 2.1b_percent'!$C20,UtilityList!$A$4:$A$251&amp;UtilityList!$B$4:$B$251&amp;UtilityList!$C$4:$C$251,0))</f>
        <v>Prince of Wales-Hyder (CA)</v>
      </c>
      <c r="O20" s="452" t="str">
        <f t="array" ref="O20">INDEX(UtilityList!L$4:L$251,MATCH('Table 2.1b_percent'!$A20&amp;'Table 2.1b_percent'!$B20&amp;'Table 2.1b_percent'!$C20,UtilityList!$A$4:$A$251&amp;UtilityList!$B$4:$B$251&amp;UtilityList!$C$4:$C$251,0))</f>
        <v>Sealaska</v>
      </c>
      <c r="P20" s="452" t="str">
        <f t="array" ref="P20">INDEX(UtilityList!M$4:M$251,MATCH('Table 2.1b_percent'!$A20&amp;'Table 2.1b_percent'!$B20&amp;'Table 2.1b_percent'!$C20,UtilityList!$A$4:$A$251&amp;UtilityList!$B$4:$B$251&amp;UtilityList!$C$4:$C$251,0))</f>
        <v>SE</v>
      </c>
    </row>
    <row r="21" spans="1:16" s="344" customFormat="1" ht="60" x14ac:dyDescent="0.25">
      <c r="A21" s="619" t="s">
        <v>43</v>
      </c>
      <c r="B21" s="361" t="s">
        <v>49</v>
      </c>
      <c r="C21" s="350" t="s">
        <v>48</v>
      </c>
      <c r="D21" s="625">
        <v>1</v>
      </c>
      <c r="E21" s="626">
        <v>0</v>
      </c>
      <c r="F21" s="626">
        <v>1</v>
      </c>
      <c r="G21" s="626">
        <v>0</v>
      </c>
      <c r="H21" s="626">
        <v>0</v>
      </c>
      <c r="I21" s="361" t="s">
        <v>648</v>
      </c>
      <c r="J21" s="622" t="str">
        <f t="array" ref="J21">INDEX(UtilityList!H$4:H$251,MATCH('Table 2.1b_percent'!$A21&amp;'Table 2.1b_percent'!$B21&amp;'Table 2.1b_percent'!$C21,UtilityList!$A$4:$A$251&amp;UtilityList!$B$4:$B$251&amp;UtilityList!$C$4:$C$251,0))</f>
        <v>PCE Eligible Active</v>
      </c>
      <c r="K21" s="709" t="str">
        <f t="array" ref="K21">INDEX(UtilityList!Q$4:Q$251,MATCH('Table 2.1b_percent'!$A21&amp;'Table 2.1b_percent'!$B21&amp;'Table 2.1b_percent'!$C21,UtilityList!$A$4:$A$251&amp;UtilityList!$B$4:$B$251&amp;UtilityList!$C$4:$C$251,0))</f>
        <v>Provides power to Hollis, Klawock, Thorne Bay/Kasaan and Hydaburg via intertie.</v>
      </c>
      <c r="L21" s="627" t="str">
        <f t="array" ref="L21">INDEX(UtilityList!I$4:I$251,MATCH('Table 2.1b_percent'!$A21&amp;'Table 2.1b_percent'!$B21&amp;'Table 2.1b_percent'!$C21,UtilityList!$A$4:$A$251&amp;UtilityList!$B$4:$B$251&amp;UtilityList!$C$4:$C$251,0))</f>
        <v>ALASPCA</v>
      </c>
      <c r="M21" s="452" t="str">
        <f t="array" ref="M21">INDEX(UtilityList!J$4:J$251,MATCH('Table 2.1b_percent'!$A21&amp;'Table 2.1b_percent'!$B21&amp;'Table 2.1b_percent'!$C21,UtilityList!$A$4:$A$251&amp;UtilityList!$B$4:$B$251&amp;UtilityList!$C$4:$C$251,0))</f>
        <v>Southeast</v>
      </c>
      <c r="N21" s="452" t="str">
        <f t="array" ref="N21">INDEX(UtilityList!K$4:K$251,MATCH('Table 2.1b_percent'!$A21&amp;'Table 2.1b_percent'!$B21&amp;'Table 2.1b_percent'!$C21,UtilityList!$A$4:$A$251&amp;UtilityList!$B$4:$B$251&amp;UtilityList!$C$4:$C$251,0))</f>
        <v>Prince of Wales-Hyder (CA)</v>
      </c>
      <c r="O21" s="452" t="str">
        <f t="array" ref="O21">INDEX(UtilityList!L$4:L$251,MATCH('Table 2.1b_percent'!$A21&amp;'Table 2.1b_percent'!$B21&amp;'Table 2.1b_percent'!$C21,UtilityList!$A$4:$A$251&amp;UtilityList!$B$4:$B$251&amp;UtilityList!$C$4:$C$251,0))</f>
        <v>Sealaska</v>
      </c>
      <c r="P21" s="452" t="str">
        <f t="array" ref="P21">INDEX(UtilityList!M$4:M$251,MATCH('Table 2.1b_percent'!$A21&amp;'Table 2.1b_percent'!$B21&amp;'Table 2.1b_percent'!$C21,UtilityList!$A$4:$A$251&amp;UtilityList!$B$4:$B$251&amp;UtilityList!$C$4:$C$251,0))</f>
        <v>SE</v>
      </c>
    </row>
    <row r="22" spans="1:16" s="344" customFormat="1" ht="60" x14ac:dyDescent="0.25">
      <c r="A22" s="619" t="s">
        <v>43</v>
      </c>
      <c r="B22" s="361" t="s">
        <v>58</v>
      </c>
      <c r="C22" s="351" t="s">
        <v>649</v>
      </c>
      <c r="D22" s="625">
        <v>1</v>
      </c>
      <c r="E22" s="626">
        <v>0</v>
      </c>
      <c r="F22" s="626">
        <v>0</v>
      </c>
      <c r="G22" s="626">
        <v>1</v>
      </c>
      <c r="H22" s="626">
        <v>0</v>
      </c>
      <c r="I22" s="361" t="s">
        <v>648</v>
      </c>
      <c r="J22" s="622" t="str">
        <f t="array" ref="J22">INDEX(UtilityList!H$4:H$251,MATCH('Table 2.1b_percent'!$A22&amp;'Table 2.1b_percent'!$B22&amp;'Table 2.1b_percent'!$C22,UtilityList!$A$4:$A$251&amp;UtilityList!$B$4:$B$251&amp;UtilityList!$C$4:$C$251,0))</f>
        <v>PCE Eligible Active</v>
      </c>
      <c r="K22" s="709" t="str">
        <f t="array" ref="K22">INDEX(UtilityList!Q$4:Q$251,MATCH('Table 2.1b_percent'!$A22&amp;'Table 2.1b_percent'!$B22&amp;'Table 2.1b_percent'!$C22,UtilityList!$A$4:$A$251&amp;UtilityList!$B$4:$B$251&amp;UtilityList!$C$4:$C$251,0))</f>
        <v>Provides power to Hollis, Klawock, Thorne Bay/Kasaan and Hydaburg via intertie.</v>
      </c>
      <c r="L22" s="627" t="str">
        <f t="array" ref="L22">INDEX(UtilityList!I$4:I$251,MATCH('Table 2.1b_percent'!$A22&amp;'Table 2.1b_percent'!$B22&amp;'Table 2.1b_percent'!$C22,UtilityList!$A$4:$A$251&amp;UtilityList!$B$4:$B$251&amp;UtilityList!$C$4:$C$251,0))</f>
        <v>ALASPCA</v>
      </c>
      <c r="M22" s="452" t="str">
        <f t="array" ref="M22">INDEX(UtilityList!J$4:J$251,MATCH('Table 2.1b_percent'!$A22&amp;'Table 2.1b_percent'!$B22&amp;'Table 2.1b_percent'!$C22,UtilityList!$A$4:$A$251&amp;UtilityList!$B$4:$B$251&amp;UtilityList!$C$4:$C$251,0))</f>
        <v>Southeast</v>
      </c>
      <c r="N22" s="452" t="str">
        <f t="array" ref="N22">INDEX(UtilityList!K$4:K$251,MATCH('Table 2.1b_percent'!$A22&amp;'Table 2.1b_percent'!$B22&amp;'Table 2.1b_percent'!$C22,UtilityList!$A$4:$A$251&amp;UtilityList!$B$4:$B$251&amp;UtilityList!$C$4:$C$251,0))</f>
        <v>Prince of Wales-Hyder (CA)</v>
      </c>
      <c r="O22" s="452" t="str">
        <f t="array" ref="O22">INDEX(UtilityList!L$4:L$251,MATCH('Table 2.1b_percent'!$A22&amp;'Table 2.1b_percent'!$B22&amp;'Table 2.1b_percent'!$C22,UtilityList!$A$4:$A$251&amp;UtilityList!$B$4:$B$251&amp;UtilityList!$C$4:$C$251,0))</f>
        <v>Sealaska</v>
      </c>
      <c r="P22" s="452" t="str">
        <f t="array" ref="P22">INDEX(UtilityList!M$4:M$251,MATCH('Table 2.1b_percent'!$A22&amp;'Table 2.1b_percent'!$B22&amp;'Table 2.1b_percent'!$C22,UtilityList!$A$4:$A$251&amp;UtilityList!$B$4:$B$251&amp;UtilityList!$C$4:$C$251,0))</f>
        <v>SE</v>
      </c>
    </row>
    <row r="23" spans="1:16" s="344" customFormat="1" ht="30" x14ac:dyDescent="0.25">
      <c r="A23" s="619" t="s">
        <v>43</v>
      </c>
      <c r="B23" s="339" t="s">
        <v>59</v>
      </c>
      <c r="C23" s="351" t="s">
        <v>649</v>
      </c>
      <c r="D23" s="625">
        <v>1</v>
      </c>
      <c r="E23" s="626">
        <v>0</v>
      </c>
      <c r="F23" s="626">
        <v>0</v>
      </c>
      <c r="G23" s="626">
        <v>1</v>
      </c>
      <c r="H23" s="626">
        <v>0</v>
      </c>
      <c r="I23" s="361" t="s">
        <v>648</v>
      </c>
      <c r="J23" s="622" t="str">
        <f t="array" ref="J23">INDEX(UtilityList!H$4:H$251,MATCH('Table 2.1b_percent'!$A23&amp;'Table 2.1b_percent'!$B23&amp;'Table 2.1b_percent'!$C23,UtilityList!$A$4:$A$251&amp;UtilityList!$B$4:$B$251&amp;UtilityList!$C$4:$C$251,0))</f>
        <v>PCE Eligible Active</v>
      </c>
      <c r="K23" s="709" t="str">
        <f t="array" ref="K23">INDEX(UtilityList!Q$4:Q$251,MATCH('Table 2.1b_percent'!$A23&amp;'Table 2.1b_percent'!$B23&amp;'Table 2.1b_percent'!$C23,UtilityList!$A$4:$A$251&amp;UtilityList!$B$4:$B$251&amp;UtilityList!$C$4:$C$251,0))</f>
        <v>Receives power from Craig via intertie.</v>
      </c>
      <c r="L23" s="627" t="str">
        <f t="array" ref="L23">INDEX(UtilityList!I$4:I$251,MATCH('Table 2.1b_percent'!$A23&amp;'Table 2.1b_percent'!$B23&amp;'Table 2.1b_percent'!$C23,UtilityList!$A$4:$A$251&amp;UtilityList!$B$4:$B$251&amp;UtilityList!$C$4:$C$251,0))</f>
        <v>ALASPCA</v>
      </c>
      <c r="M23" s="452" t="str">
        <f t="array" ref="M23">INDEX(UtilityList!J$4:J$251,MATCH('Table 2.1b_percent'!$A23&amp;'Table 2.1b_percent'!$B23&amp;'Table 2.1b_percent'!$C23,UtilityList!$A$4:$A$251&amp;UtilityList!$B$4:$B$251&amp;UtilityList!$C$4:$C$251,0))</f>
        <v>Southeast</v>
      </c>
      <c r="N23" s="452" t="str">
        <f t="array" ref="N23">INDEX(UtilityList!K$4:K$251,MATCH('Table 2.1b_percent'!$A23&amp;'Table 2.1b_percent'!$B23&amp;'Table 2.1b_percent'!$C23,UtilityList!$A$4:$A$251&amp;UtilityList!$B$4:$B$251&amp;UtilityList!$C$4:$C$251,0))</f>
        <v>Prince of Wales-Hyder (CA)</v>
      </c>
      <c r="O23" s="452" t="str">
        <f t="array" ref="O23">INDEX(UtilityList!L$4:L$251,MATCH('Table 2.1b_percent'!$A23&amp;'Table 2.1b_percent'!$B23&amp;'Table 2.1b_percent'!$C23,UtilityList!$A$4:$A$251&amp;UtilityList!$B$4:$B$251&amp;UtilityList!$C$4:$C$251,0))</f>
        <v>Sealaska</v>
      </c>
      <c r="P23" s="452" t="str">
        <f t="array" ref="P23">INDEX(UtilityList!M$4:M$251,MATCH('Table 2.1b_percent'!$A23&amp;'Table 2.1b_percent'!$B23&amp;'Table 2.1b_percent'!$C23,UtilityList!$A$4:$A$251&amp;UtilityList!$B$4:$B$251&amp;UtilityList!$C$4:$C$251,0))</f>
        <v>SE</v>
      </c>
    </row>
    <row r="24" spans="1:16" s="344" customFormat="1" ht="60" x14ac:dyDescent="0.25">
      <c r="A24" s="619" t="s">
        <v>43</v>
      </c>
      <c r="B24" s="361" t="s">
        <v>493</v>
      </c>
      <c r="C24" s="350" t="s">
        <v>686</v>
      </c>
      <c r="D24" s="625">
        <v>1</v>
      </c>
      <c r="E24" s="626">
        <v>0</v>
      </c>
      <c r="F24" s="626">
        <v>1</v>
      </c>
      <c r="G24" s="626">
        <v>0</v>
      </c>
      <c r="H24" s="626">
        <v>0</v>
      </c>
      <c r="I24" s="361" t="s">
        <v>718</v>
      </c>
      <c r="J24" s="622" t="str">
        <f t="array" ref="J24">INDEX(UtilityList!H$4:H$251,MATCH('Table 2.1b_percent'!$A24&amp;'Table 2.1b_percent'!$B24&amp;'Table 2.1b_percent'!$C24,UtilityList!$A$4:$A$251&amp;UtilityList!$B$4:$B$251&amp;UtilityList!$C$4:$C$251,0))</f>
        <v>PCE Eligible Active</v>
      </c>
      <c r="K24" s="709" t="str">
        <f t="array" ref="K24">INDEX(UtilityList!Q$4:Q$251,MATCH('Table 2.1b_percent'!$A24&amp;'Table 2.1b_percent'!$B24&amp;'Table 2.1b_percent'!$C24,UtilityList!$A$4:$A$251&amp;UtilityList!$B$4:$B$251&amp;UtilityList!$C$4:$C$251,0))</f>
        <v>Provides power to Eagle Village via intertie. Data includes Eagle Village's information.</v>
      </c>
      <c r="L24" s="627" t="str">
        <f t="array" ref="L24">INDEX(UtilityList!I$4:I$251,MATCH('Table 2.1b_percent'!$A24&amp;'Table 2.1b_percent'!$B24&amp;'Table 2.1b_percent'!$C24,UtilityList!$A$4:$A$251&amp;UtilityList!$B$4:$B$251&amp;UtilityList!$C$4:$C$251,0))</f>
        <v>ALASPCA</v>
      </c>
      <c r="M24" s="452" t="str">
        <f t="array" ref="M24">INDEX(UtilityList!J$4:J$251,MATCH('Table 2.1b_percent'!$A24&amp;'Table 2.1b_percent'!$B24&amp;'Table 2.1b_percent'!$C24,UtilityList!$A$4:$A$251&amp;UtilityList!$B$4:$B$251&amp;UtilityList!$C$4:$C$251,0))</f>
        <v>Yukon-Koyukuk/Upper Tanana</v>
      </c>
      <c r="N24" s="452" t="str">
        <f t="array" ref="N24">INDEX(UtilityList!K$4:K$251,MATCH('Table 2.1b_percent'!$A24&amp;'Table 2.1b_percent'!$B24&amp;'Table 2.1b_percent'!$C24,UtilityList!$A$4:$A$251&amp;UtilityList!$B$4:$B$251&amp;UtilityList!$C$4:$C$251,0))</f>
        <v>Southeast Fairbanks (CA)</v>
      </c>
      <c r="O24" s="452" t="str">
        <f t="array" ref="O24">INDEX(UtilityList!L$4:L$251,MATCH('Table 2.1b_percent'!$A24&amp;'Table 2.1b_percent'!$B24&amp;'Table 2.1b_percent'!$C24,UtilityList!$A$4:$A$251&amp;UtilityList!$B$4:$B$251&amp;UtilityList!$C$4:$C$251,0))</f>
        <v>Doyon</v>
      </c>
      <c r="P24" s="452" t="str">
        <f t="array" ref="P24">INDEX(UtilityList!M$4:M$251,MATCH('Table 2.1b_percent'!$A24&amp;'Table 2.1b_percent'!$B24&amp;'Table 2.1b_percent'!$C24,UtilityList!$A$4:$A$251&amp;UtilityList!$B$4:$B$251&amp;UtilityList!$C$4:$C$251,0))</f>
        <v>YU</v>
      </c>
    </row>
    <row r="25" spans="1:16" s="344" customFormat="1" ht="60" x14ac:dyDescent="0.25">
      <c r="A25" s="619" t="s">
        <v>43</v>
      </c>
      <c r="B25" s="361" t="s">
        <v>518</v>
      </c>
      <c r="C25" s="351" t="s">
        <v>650</v>
      </c>
      <c r="D25" s="625">
        <v>1</v>
      </c>
      <c r="E25" s="626">
        <v>0</v>
      </c>
      <c r="F25" s="626">
        <v>0</v>
      </c>
      <c r="G25" s="626">
        <v>1</v>
      </c>
      <c r="H25" s="626">
        <v>0</v>
      </c>
      <c r="I25" s="361" t="s">
        <v>648</v>
      </c>
      <c r="J25" s="622" t="str">
        <f t="array" ref="J25">INDEX(UtilityList!H$4:H$251,MATCH('Table 2.1b_percent'!$A25&amp;'Table 2.1b_percent'!$B25&amp;'Table 2.1b_percent'!$C25,UtilityList!$A$4:$A$251&amp;UtilityList!$B$4:$B$251&amp;UtilityList!$C$4:$C$251,0))</f>
        <v>PCE Eligible Active</v>
      </c>
      <c r="K25" s="709" t="str">
        <f t="array" ref="K25">INDEX(UtilityList!Q$4:Q$251,MATCH('Table 2.1b_percent'!$A25&amp;'Table 2.1b_percent'!$B25&amp;'Table 2.1b_percent'!$C25,UtilityList!$A$4:$A$251&amp;UtilityList!$B$4:$B$251&amp;UtilityList!$C$4:$C$251,0))</f>
        <v>Part of the Alaska Power Company's grid in the Upper Lynn Canal service area.</v>
      </c>
      <c r="L25" s="627" t="str">
        <f t="array" ref="L25">INDEX(UtilityList!I$4:I$251,MATCH('Table 2.1b_percent'!$A25&amp;'Table 2.1b_percent'!$B25&amp;'Table 2.1b_percent'!$C25,UtilityList!$A$4:$A$251&amp;UtilityList!$B$4:$B$251&amp;UtilityList!$C$4:$C$251,0))</f>
        <v>ALASPCA</v>
      </c>
      <c r="M25" s="452" t="str">
        <f t="array" ref="M25">INDEX(UtilityList!J$4:J$251,MATCH('Table 2.1b_percent'!$A25&amp;'Table 2.1b_percent'!$B25&amp;'Table 2.1b_percent'!$C25,UtilityList!$A$4:$A$251&amp;UtilityList!$B$4:$B$251&amp;UtilityList!$C$4:$C$251,0))</f>
        <v>Southeast</v>
      </c>
      <c r="N25" s="452" t="str">
        <f t="array" ref="N25">INDEX(UtilityList!K$4:K$251,MATCH('Table 2.1b_percent'!$A25&amp;'Table 2.1b_percent'!$B25&amp;'Table 2.1b_percent'!$C25,UtilityList!$A$4:$A$251&amp;UtilityList!$B$4:$B$251&amp;UtilityList!$C$4:$C$251,0))</f>
        <v>Skagway</v>
      </c>
      <c r="O25" s="452" t="str">
        <f t="array" ref="O25">INDEX(UtilityList!L$4:L$251,MATCH('Table 2.1b_percent'!$A25&amp;'Table 2.1b_percent'!$B25&amp;'Table 2.1b_percent'!$C25,UtilityList!$A$4:$A$251&amp;UtilityList!$B$4:$B$251&amp;UtilityList!$C$4:$C$251,0))</f>
        <v>Sealaska</v>
      </c>
      <c r="P25" s="452" t="str">
        <f t="array" ref="P25">INDEX(UtilityList!M$4:M$251,MATCH('Table 2.1b_percent'!$A25&amp;'Table 2.1b_percent'!$B25&amp;'Table 2.1b_percent'!$C25,UtilityList!$A$4:$A$251&amp;UtilityList!$B$4:$B$251&amp;UtilityList!$C$4:$C$251,0))</f>
        <v>SE</v>
      </c>
    </row>
    <row r="26" spans="1:16" s="344" customFormat="1" ht="90" x14ac:dyDescent="0.25">
      <c r="A26" s="619" t="s">
        <v>43</v>
      </c>
      <c r="B26" s="361" t="s">
        <v>50</v>
      </c>
      <c r="C26" s="619" t="s">
        <v>50</v>
      </c>
      <c r="D26" s="625">
        <v>1</v>
      </c>
      <c r="E26" s="626">
        <v>0</v>
      </c>
      <c r="F26" s="626">
        <v>0.95605242868157281</v>
      </c>
      <c r="G26" s="626">
        <v>4.3947571318427137E-2</v>
      </c>
      <c r="H26" s="626">
        <v>0</v>
      </c>
      <c r="I26" s="361" t="s">
        <v>660</v>
      </c>
      <c r="J26" s="622" t="str">
        <f t="array" ref="J26">INDEX(UtilityList!H$4:H$251,MATCH('Table 2.1b_percent'!$A26&amp;'Table 2.1b_percent'!$B26&amp;'Table 2.1b_percent'!$C26,UtilityList!$A$4:$A$251&amp;UtilityList!$B$4:$B$251&amp;UtilityList!$C$4:$C$251,0))</f>
        <v>PCE Eligible Active</v>
      </c>
      <c r="K26" s="709" t="str">
        <f t="array" ref="K26">INDEX(UtilityList!Q$4:Q$251,MATCH('Table 2.1b_percent'!$A26&amp;'Table 2.1b_percent'!$B26&amp;'Table 2.1b_percent'!$C26,UtilityList!$A$4:$A$251&amp;UtilityList!$B$4:$B$251&amp;UtilityList!$C$4:$C$251,0))</f>
        <v>Plant is also referred to as Lutak. Part of the Alaska Power Company's grid in the Upper Lynn Canal service area.</v>
      </c>
      <c r="L26" s="627" t="str">
        <f t="array" ref="L26">INDEX(UtilityList!I$4:I$251,MATCH('Table 2.1b_percent'!$A26&amp;'Table 2.1b_percent'!$B26&amp;'Table 2.1b_percent'!$C26,UtilityList!$A$4:$A$251&amp;UtilityList!$B$4:$B$251&amp;UtilityList!$C$4:$C$251,0))</f>
        <v>ALASPCA</v>
      </c>
      <c r="M26" s="452" t="str">
        <f t="array" ref="M26">INDEX(UtilityList!J$4:J$251,MATCH('Table 2.1b_percent'!$A26&amp;'Table 2.1b_percent'!$B26&amp;'Table 2.1b_percent'!$C26,UtilityList!$A$4:$A$251&amp;UtilityList!$B$4:$B$251&amp;UtilityList!$C$4:$C$251,0))</f>
        <v>Southeast</v>
      </c>
      <c r="N26" s="452" t="str">
        <f t="array" ref="N26">INDEX(UtilityList!K$4:K$251,MATCH('Table 2.1b_percent'!$A26&amp;'Table 2.1b_percent'!$B26&amp;'Table 2.1b_percent'!$C26,UtilityList!$A$4:$A$251&amp;UtilityList!$B$4:$B$251&amp;UtilityList!$C$4:$C$251,0))</f>
        <v>Haines</v>
      </c>
      <c r="O26" s="452" t="str">
        <f t="array" ref="O26">INDEX(UtilityList!L$4:L$251,MATCH('Table 2.1b_percent'!$A26&amp;'Table 2.1b_percent'!$B26&amp;'Table 2.1b_percent'!$C26,UtilityList!$A$4:$A$251&amp;UtilityList!$B$4:$B$251&amp;UtilityList!$C$4:$C$251,0))</f>
        <v>Sealaska</v>
      </c>
      <c r="P26" s="452" t="str">
        <f t="array" ref="P26">INDEX(UtilityList!M$4:M$251,MATCH('Table 2.1b_percent'!$A26&amp;'Table 2.1b_percent'!$B26&amp;'Table 2.1b_percent'!$C26,UtilityList!$A$4:$A$251&amp;UtilityList!$B$4:$B$251&amp;UtilityList!$C$4:$C$251,0))</f>
        <v>SE</v>
      </c>
    </row>
    <row r="27" spans="1:16" s="344" customFormat="1" ht="90" x14ac:dyDescent="0.25">
      <c r="A27" s="619" t="s">
        <v>43</v>
      </c>
      <c r="B27" s="361" t="s">
        <v>60</v>
      </c>
      <c r="C27" s="350" t="s">
        <v>60</v>
      </c>
      <c r="D27" s="625">
        <v>1</v>
      </c>
      <c r="E27" s="626">
        <v>0</v>
      </c>
      <c r="F27" s="626">
        <v>0.77272727272727271</v>
      </c>
      <c r="G27" s="626">
        <v>0.22727272727272727</v>
      </c>
      <c r="H27" s="626">
        <v>0</v>
      </c>
      <c r="I27" s="361" t="s">
        <v>660</v>
      </c>
      <c r="J27" s="622" t="str">
        <f t="array" ref="J27">INDEX(UtilityList!H$4:H$251,MATCH('Table 2.1b_percent'!$A27&amp;'Table 2.1b_percent'!$B27&amp;'Table 2.1b_percent'!$C27,UtilityList!$A$4:$A$251&amp;UtilityList!$B$4:$B$251&amp;UtilityList!$C$4:$C$251,0))</f>
        <v>PCE Eligible Active</v>
      </c>
      <c r="K27" s="709" t="str">
        <f t="array" ref="K27">INDEX(UtilityList!Q$4:Q$251,MATCH('Table 2.1b_percent'!$A27&amp;'Table 2.1b_percent'!$B27&amp;'Table 2.1b_percent'!$C27,UtilityList!$A$4:$A$251&amp;UtilityList!$B$4:$B$251&amp;UtilityList!$C$4:$C$251,0))</f>
        <v>Plant is also referred to as Dewey Lake. Part of the Alaska Power Company's grid in the Upper Lynn Canal service area.</v>
      </c>
      <c r="L27" s="627" t="str">
        <f t="array" ref="L27">INDEX(UtilityList!I$4:I$251,MATCH('Table 2.1b_percent'!$A27&amp;'Table 2.1b_percent'!$B27&amp;'Table 2.1b_percent'!$C27,UtilityList!$A$4:$A$251&amp;UtilityList!$B$4:$B$251&amp;UtilityList!$C$4:$C$251,0))</f>
        <v>ALASPCA</v>
      </c>
      <c r="M27" s="452" t="str">
        <f t="array" ref="M27">INDEX(UtilityList!J$4:J$251,MATCH('Table 2.1b_percent'!$A27&amp;'Table 2.1b_percent'!$B27&amp;'Table 2.1b_percent'!$C27,UtilityList!$A$4:$A$251&amp;UtilityList!$B$4:$B$251&amp;UtilityList!$C$4:$C$251,0))</f>
        <v>Southeast</v>
      </c>
      <c r="N27" s="452" t="str">
        <f t="array" ref="N27">INDEX(UtilityList!K$4:K$251,MATCH('Table 2.1b_percent'!$A27&amp;'Table 2.1b_percent'!$B27&amp;'Table 2.1b_percent'!$C27,UtilityList!$A$4:$A$251&amp;UtilityList!$B$4:$B$251&amp;UtilityList!$C$4:$C$251,0))</f>
        <v>Skagway</v>
      </c>
      <c r="O27" s="452" t="str">
        <f t="array" ref="O27">INDEX(UtilityList!L$4:L$251,MATCH('Table 2.1b_percent'!$A27&amp;'Table 2.1b_percent'!$B27&amp;'Table 2.1b_percent'!$C27,UtilityList!$A$4:$A$251&amp;UtilityList!$B$4:$B$251&amp;UtilityList!$C$4:$C$251,0))</f>
        <v>Sealaska</v>
      </c>
      <c r="P27" s="452" t="str">
        <f t="array" ref="P27">INDEX(UtilityList!M$4:M$251,MATCH('Table 2.1b_percent'!$A27&amp;'Table 2.1b_percent'!$B27&amp;'Table 2.1b_percent'!$C27,UtilityList!$A$4:$A$251&amp;UtilityList!$B$4:$B$251&amp;UtilityList!$C$4:$C$251,0))</f>
        <v>SE</v>
      </c>
    </row>
    <row r="28" spans="1:16" s="344" customFormat="1" ht="30" x14ac:dyDescent="0.25">
      <c r="A28" s="619" t="s">
        <v>43</v>
      </c>
      <c r="B28" s="361" t="s">
        <v>51</v>
      </c>
      <c r="C28" s="350" t="s">
        <v>51</v>
      </c>
      <c r="D28" s="625">
        <v>1</v>
      </c>
      <c r="E28" s="626">
        <v>0</v>
      </c>
      <c r="F28" s="626">
        <v>1</v>
      </c>
      <c r="G28" s="626">
        <v>0</v>
      </c>
      <c r="H28" s="626">
        <v>0</v>
      </c>
      <c r="I28" s="361" t="s">
        <v>718</v>
      </c>
      <c r="J28" s="622" t="str">
        <f t="array" ref="J28">INDEX(UtilityList!H$4:H$251,MATCH('Table 2.1b_percent'!$A28&amp;'Table 2.1b_percent'!$B28&amp;'Table 2.1b_percent'!$C28,UtilityList!$A$4:$A$251&amp;UtilityList!$B$4:$B$251&amp;UtilityList!$C$4:$C$251,0))</f>
        <v>PCE Eligible Active</v>
      </c>
      <c r="K28" s="709">
        <f t="array" ref="K28">INDEX(UtilityList!Q$4:Q$251,MATCH('Table 2.1b_percent'!$A28&amp;'Table 2.1b_percent'!$B28&amp;'Table 2.1b_percent'!$C28,UtilityList!$A$4:$A$251&amp;UtilityList!$B$4:$B$251&amp;UtilityList!$C$4:$C$251,0))</f>
        <v>0</v>
      </c>
      <c r="L28" s="627" t="str">
        <f t="array" ref="L28">INDEX(UtilityList!I$4:I$251,MATCH('Table 2.1b_percent'!$A28&amp;'Table 2.1b_percent'!$B28&amp;'Table 2.1b_percent'!$C28,UtilityList!$A$4:$A$251&amp;UtilityList!$B$4:$B$251&amp;UtilityList!$C$4:$C$251,0))</f>
        <v>ALASPCA</v>
      </c>
      <c r="M28" s="452" t="str">
        <f t="array" ref="M28">INDEX(UtilityList!J$4:J$251,MATCH('Table 2.1b_percent'!$A28&amp;'Table 2.1b_percent'!$B28&amp;'Table 2.1b_percent'!$C28,UtilityList!$A$4:$A$251&amp;UtilityList!$B$4:$B$251&amp;UtilityList!$C$4:$C$251,0))</f>
        <v>Yukon-Koyukuk/Upper Tanana</v>
      </c>
      <c r="N28" s="452" t="str">
        <f t="array" ref="N28">INDEX(UtilityList!K$4:K$251,MATCH('Table 2.1b_percent'!$A28&amp;'Table 2.1b_percent'!$B28&amp;'Table 2.1b_percent'!$C28,UtilityList!$A$4:$A$251&amp;UtilityList!$B$4:$B$251&amp;UtilityList!$C$4:$C$251,0))</f>
        <v>Southeast Fairbanks (CA)</v>
      </c>
      <c r="O28" s="452" t="str">
        <f t="array" ref="O28">INDEX(UtilityList!L$4:L$251,MATCH('Table 2.1b_percent'!$A28&amp;'Table 2.1b_percent'!$B28&amp;'Table 2.1b_percent'!$C28,UtilityList!$A$4:$A$251&amp;UtilityList!$B$4:$B$251&amp;UtilityList!$C$4:$C$251,0))</f>
        <v>Doyon</v>
      </c>
      <c r="P28" s="452" t="str">
        <f t="array" ref="P28">INDEX(UtilityList!M$4:M$251,MATCH('Table 2.1b_percent'!$A28&amp;'Table 2.1b_percent'!$B28&amp;'Table 2.1b_percent'!$C28,UtilityList!$A$4:$A$251&amp;UtilityList!$B$4:$B$251&amp;UtilityList!$C$4:$C$251,0))</f>
        <v>YU</v>
      </c>
    </row>
    <row r="29" spans="1:16" s="344" customFormat="1" ht="105" x14ac:dyDescent="0.25">
      <c r="A29" s="619" t="s">
        <v>43</v>
      </c>
      <c r="B29" s="361" t="s">
        <v>52</v>
      </c>
      <c r="C29" s="350" t="s">
        <v>52</v>
      </c>
      <c r="D29" s="625">
        <v>1</v>
      </c>
      <c r="E29" s="626">
        <v>0</v>
      </c>
      <c r="F29" s="626">
        <v>1</v>
      </c>
      <c r="G29" s="626">
        <v>0</v>
      </c>
      <c r="H29" s="626">
        <v>0</v>
      </c>
      <c r="I29" s="361" t="s">
        <v>718</v>
      </c>
      <c r="J29" s="622" t="str">
        <f t="array" ref="J29">INDEX(UtilityList!H$4:H$251,MATCH('Table 2.1b_percent'!$A29&amp;'Table 2.1b_percent'!$B29&amp;'Table 2.1b_percent'!$C29,UtilityList!$A$4:$A$251&amp;UtilityList!$B$4:$B$251&amp;UtilityList!$C$4:$C$251,0))</f>
        <v>PCE Eligible Active</v>
      </c>
      <c r="K29" s="709" t="str">
        <f t="array" ref="K29">INDEX(UtilityList!Q$4:Q$251,MATCH('Table 2.1b_percent'!$A29&amp;'Table 2.1b_percent'!$B29&amp;'Table 2.1b_percent'!$C29,UtilityList!$A$4:$A$251&amp;UtilityList!$B$4:$B$251&amp;UtilityList!$C$4:$C$251,0))</f>
        <v>Part of the Alaska Power Company's grid on Prince of Wales Island. Receives power from Craig. Refer to Craig for fuel use and cost.</v>
      </c>
      <c r="L29" s="627" t="str">
        <f t="array" ref="L29">INDEX(UtilityList!I$4:I$251,MATCH('Table 2.1b_percent'!$A29&amp;'Table 2.1b_percent'!$B29&amp;'Table 2.1b_percent'!$C29,UtilityList!$A$4:$A$251&amp;UtilityList!$B$4:$B$251&amp;UtilityList!$C$4:$C$251,0))</f>
        <v>ALASPCA</v>
      </c>
      <c r="M29" s="452" t="str">
        <f t="array" ref="M29">INDEX(UtilityList!J$4:J$251,MATCH('Table 2.1b_percent'!$A29&amp;'Table 2.1b_percent'!$B29&amp;'Table 2.1b_percent'!$C29,UtilityList!$A$4:$A$251&amp;UtilityList!$B$4:$B$251&amp;UtilityList!$C$4:$C$251,0))</f>
        <v>Southeast</v>
      </c>
      <c r="N29" s="452" t="str">
        <f t="array" ref="N29">INDEX(UtilityList!K$4:K$251,MATCH('Table 2.1b_percent'!$A29&amp;'Table 2.1b_percent'!$B29&amp;'Table 2.1b_percent'!$C29,UtilityList!$A$4:$A$251&amp;UtilityList!$B$4:$B$251&amp;UtilityList!$C$4:$C$251,0))</f>
        <v>Prince of Wales-Hyder (CA)</v>
      </c>
      <c r="O29" s="452" t="str">
        <f t="array" ref="O29">INDEX(UtilityList!L$4:L$251,MATCH('Table 2.1b_percent'!$A29&amp;'Table 2.1b_percent'!$B29&amp;'Table 2.1b_percent'!$C29,UtilityList!$A$4:$A$251&amp;UtilityList!$B$4:$B$251&amp;UtilityList!$C$4:$C$251,0))</f>
        <v>Sealaska</v>
      </c>
      <c r="P29" s="452" t="str">
        <f t="array" ref="P29">INDEX(UtilityList!M$4:M$251,MATCH('Table 2.1b_percent'!$A29&amp;'Table 2.1b_percent'!$B29&amp;'Table 2.1b_percent'!$C29,UtilityList!$A$4:$A$251&amp;UtilityList!$B$4:$B$251&amp;UtilityList!$C$4:$C$251,0))</f>
        <v>SE</v>
      </c>
    </row>
    <row r="30" spans="1:16" s="344" customFormat="1" ht="105" x14ac:dyDescent="0.25">
      <c r="A30" s="619" t="s">
        <v>43</v>
      </c>
      <c r="B30" s="361" t="s">
        <v>53</v>
      </c>
      <c r="C30" s="350" t="s">
        <v>53</v>
      </c>
      <c r="D30" s="625">
        <v>1</v>
      </c>
      <c r="E30" s="626">
        <v>0</v>
      </c>
      <c r="F30" s="626">
        <v>1</v>
      </c>
      <c r="G30" s="626">
        <v>0</v>
      </c>
      <c r="H30" s="626">
        <v>0</v>
      </c>
      <c r="I30" s="361" t="s">
        <v>648</v>
      </c>
      <c r="J30" s="622" t="str">
        <f t="array" ref="J30">INDEX(UtilityList!H$4:H$251,MATCH('Table 2.1b_percent'!$A30&amp;'Table 2.1b_percent'!$B30&amp;'Table 2.1b_percent'!$C30,UtilityList!$A$4:$A$251&amp;UtilityList!$B$4:$B$251&amp;UtilityList!$C$4:$C$251,0))</f>
        <v>PCE Eligible Active</v>
      </c>
      <c r="K30" s="709" t="str">
        <f t="array" ref="K30">INDEX(UtilityList!Q$4:Q$251,MATCH('Table 2.1b_percent'!$A30&amp;'Table 2.1b_percent'!$B30&amp;'Table 2.1b_percent'!$C30,UtilityList!$A$4:$A$251&amp;UtilityList!$B$4:$B$251&amp;UtilityList!$C$4:$C$251,0))</f>
        <v>Part of the Alaska Power Company's grid on Prince of Wales Island. Receives power from Craig. Refer to Craig for fuel use and cost.</v>
      </c>
      <c r="L30" s="627" t="str">
        <f t="array" ref="L30">INDEX(UtilityList!I$4:I$251,MATCH('Table 2.1b_percent'!$A30&amp;'Table 2.1b_percent'!$B30&amp;'Table 2.1b_percent'!$C30,UtilityList!$A$4:$A$251&amp;UtilityList!$B$4:$B$251&amp;UtilityList!$C$4:$C$251,0))</f>
        <v>ALASPCA</v>
      </c>
      <c r="M30" s="452" t="str">
        <f t="array" ref="M30">INDEX(UtilityList!J$4:J$251,MATCH('Table 2.1b_percent'!$A30&amp;'Table 2.1b_percent'!$B30&amp;'Table 2.1b_percent'!$C30,UtilityList!$A$4:$A$251&amp;UtilityList!$B$4:$B$251&amp;UtilityList!$C$4:$C$251,0))</f>
        <v>Southeast</v>
      </c>
      <c r="N30" s="452" t="str">
        <f t="array" ref="N30">INDEX(UtilityList!K$4:K$251,MATCH('Table 2.1b_percent'!$A30&amp;'Table 2.1b_percent'!$B30&amp;'Table 2.1b_percent'!$C30,UtilityList!$A$4:$A$251&amp;UtilityList!$B$4:$B$251&amp;UtilityList!$C$4:$C$251,0))</f>
        <v>Prince of Wales-Hyder (CA)</v>
      </c>
      <c r="O30" s="452" t="str">
        <f t="array" ref="O30">INDEX(UtilityList!L$4:L$251,MATCH('Table 2.1b_percent'!$A30&amp;'Table 2.1b_percent'!$B30&amp;'Table 2.1b_percent'!$C30,UtilityList!$A$4:$A$251&amp;UtilityList!$B$4:$B$251&amp;UtilityList!$C$4:$C$251,0))</f>
        <v>Sealaska</v>
      </c>
      <c r="P30" s="452" t="str">
        <f t="array" ref="P30">INDEX(UtilityList!M$4:M$251,MATCH('Table 2.1b_percent'!$A30&amp;'Table 2.1b_percent'!$B30&amp;'Table 2.1b_percent'!$C30,UtilityList!$A$4:$A$251&amp;UtilityList!$B$4:$B$251&amp;UtilityList!$C$4:$C$251,0))</f>
        <v>SE</v>
      </c>
    </row>
    <row r="31" spans="1:16" s="344" customFormat="1" ht="30" x14ac:dyDescent="0.25">
      <c r="A31" s="619" t="s">
        <v>43</v>
      </c>
      <c r="B31" s="361" t="s">
        <v>56</v>
      </c>
      <c r="C31" s="350" t="s">
        <v>56</v>
      </c>
      <c r="D31" s="625">
        <v>1</v>
      </c>
      <c r="E31" s="626">
        <v>0</v>
      </c>
      <c r="F31" s="626">
        <v>1</v>
      </c>
      <c r="G31" s="626">
        <v>0</v>
      </c>
      <c r="H31" s="626">
        <v>0</v>
      </c>
      <c r="I31" s="361" t="s">
        <v>718</v>
      </c>
      <c r="J31" s="622" t="str">
        <f t="array" ref="J31">INDEX(UtilityList!H$4:H$251,MATCH('Table 2.1b_percent'!$A31&amp;'Table 2.1b_percent'!$B31&amp;'Table 2.1b_percent'!$C31,UtilityList!$A$4:$A$251&amp;UtilityList!$B$4:$B$251&amp;UtilityList!$C$4:$C$251,0))</f>
        <v>PCE Eligible Active</v>
      </c>
      <c r="K31" s="709">
        <f t="array" ref="K31">INDEX(UtilityList!Q$4:Q$251,MATCH('Table 2.1b_percent'!$A31&amp;'Table 2.1b_percent'!$B31&amp;'Table 2.1b_percent'!$C31,UtilityList!$A$4:$A$251&amp;UtilityList!$B$4:$B$251&amp;UtilityList!$C$4:$C$251,0))</f>
        <v>0</v>
      </c>
      <c r="L31" s="627" t="str">
        <f t="array" ref="L31">INDEX(UtilityList!I$4:I$251,MATCH('Table 2.1b_percent'!$A31&amp;'Table 2.1b_percent'!$B31&amp;'Table 2.1b_percent'!$C31,UtilityList!$A$4:$A$251&amp;UtilityList!$B$4:$B$251&amp;UtilityList!$C$4:$C$251,0))</f>
        <v>ALASPCA</v>
      </c>
      <c r="M31" s="452" t="str">
        <f t="array" ref="M31">INDEX(UtilityList!J$4:J$251,MATCH('Table 2.1b_percent'!$A31&amp;'Table 2.1b_percent'!$B31&amp;'Table 2.1b_percent'!$C31,UtilityList!$A$4:$A$251&amp;UtilityList!$B$4:$B$251&amp;UtilityList!$C$4:$C$251,0))</f>
        <v>Southeast</v>
      </c>
      <c r="N31" s="452" t="str">
        <f t="array" ref="N31">INDEX(UtilityList!K$4:K$251,MATCH('Table 2.1b_percent'!$A31&amp;'Table 2.1b_percent'!$B31&amp;'Table 2.1b_percent'!$C31,UtilityList!$A$4:$A$251&amp;UtilityList!$B$4:$B$251&amp;UtilityList!$C$4:$C$251,0))</f>
        <v>Prince of Wales-Hyder (CA)</v>
      </c>
      <c r="O31" s="452" t="str">
        <f t="array" ref="O31">INDEX(UtilityList!L$4:L$251,MATCH('Table 2.1b_percent'!$A31&amp;'Table 2.1b_percent'!$B31&amp;'Table 2.1b_percent'!$C31,UtilityList!$A$4:$A$251&amp;UtilityList!$B$4:$B$251&amp;UtilityList!$C$4:$C$251,0))</f>
        <v>Sealaska</v>
      </c>
      <c r="P31" s="452" t="str">
        <f t="array" ref="P31">INDEX(UtilityList!M$4:M$251,MATCH('Table 2.1b_percent'!$A31&amp;'Table 2.1b_percent'!$B31&amp;'Table 2.1b_percent'!$C31,UtilityList!$A$4:$A$251&amp;UtilityList!$B$4:$B$251&amp;UtilityList!$C$4:$C$251,0))</f>
        <v>SE</v>
      </c>
    </row>
    <row r="32" spans="1:16" s="344" customFormat="1" ht="75" x14ac:dyDescent="0.25">
      <c r="A32" s="619" t="s">
        <v>43</v>
      </c>
      <c r="B32" s="361" t="s">
        <v>57</v>
      </c>
      <c r="C32" s="350" t="s">
        <v>683</v>
      </c>
      <c r="D32" s="625">
        <v>1</v>
      </c>
      <c r="E32" s="626">
        <v>0</v>
      </c>
      <c r="F32" s="626">
        <v>1</v>
      </c>
      <c r="G32" s="626">
        <v>0</v>
      </c>
      <c r="H32" s="626">
        <v>0</v>
      </c>
      <c r="I32" s="361" t="s">
        <v>648</v>
      </c>
      <c r="J32" s="622" t="str">
        <f t="array" ref="J32">INDEX(UtilityList!H$4:H$251,MATCH('Table 2.1b_percent'!$A32&amp;'Table 2.1b_percent'!$B32&amp;'Table 2.1b_percent'!$C32,UtilityList!$A$4:$A$251&amp;UtilityList!$B$4:$B$251&amp;UtilityList!$C$4:$C$251,0))</f>
        <v>PCE Eligible Active</v>
      </c>
      <c r="K32" s="709" t="str">
        <f t="array" ref="K32">INDEX(UtilityList!Q$4:Q$251,MATCH('Table 2.1b_percent'!$A32&amp;'Table 2.1b_percent'!$B32&amp;'Table 2.1b_percent'!$C32,UtilityList!$A$4:$A$251&amp;UtilityList!$B$4:$B$251&amp;UtilityList!$C$4:$C$251,0))</f>
        <v>Provides power to Northway Village via intertie. Data includes Northway Village's information.</v>
      </c>
      <c r="L32" s="627" t="str">
        <f t="array" ref="L32">INDEX(UtilityList!I$4:I$251,MATCH('Table 2.1b_percent'!$A32&amp;'Table 2.1b_percent'!$B32&amp;'Table 2.1b_percent'!$C32,UtilityList!$A$4:$A$251&amp;UtilityList!$B$4:$B$251&amp;UtilityList!$C$4:$C$251,0))</f>
        <v>ALASPCA</v>
      </c>
      <c r="M32" s="452" t="str">
        <f t="array" ref="M32">INDEX(UtilityList!J$4:J$251,MATCH('Table 2.1b_percent'!$A32&amp;'Table 2.1b_percent'!$B32&amp;'Table 2.1b_percent'!$C32,UtilityList!$A$4:$A$251&amp;UtilityList!$B$4:$B$251&amp;UtilityList!$C$4:$C$251,0))</f>
        <v>Yukon-Koyukuk/Upper Tanana</v>
      </c>
      <c r="N32" s="452" t="str">
        <f t="array" ref="N32">INDEX(UtilityList!K$4:K$251,MATCH('Table 2.1b_percent'!$A32&amp;'Table 2.1b_percent'!$B32&amp;'Table 2.1b_percent'!$C32,UtilityList!$A$4:$A$251&amp;UtilityList!$B$4:$B$251&amp;UtilityList!$C$4:$C$251,0))</f>
        <v>Southeast Fairbanks (CA)</v>
      </c>
      <c r="O32" s="452" t="str">
        <f t="array" ref="O32">INDEX(UtilityList!L$4:L$251,MATCH('Table 2.1b_percent'!$A32&amp;'Table 2.1b_percent'!$B32&amp;'Table 2.1b_percent'!$C32,UtilityList!$A$4:$A$251&amp;UtilityList!$B$4:$B$251&amp;UtilityList!$C$4:$C$251,0))</f>
        <v>Doyon</v>
      </c>
      <c r="P32" s="452" t="str">
        <f t="array" ref="P32">INDEX(UtilityList!M$4:M$251,MATCH('Table 2.1b_percent'!$A32&amp;'Table 2.1b_percent'!$B32&amp;'Table 2.1b_percent'!$C32,UtilityList!$A$4:$A$251&amp;UtilityList!$B$4:$B$251&amp;UtilityList!$C$4:$C$251,0))</f>
        <v>YU</v>
      </c>
    </row>
    <row r="33" spans="1:16" s="344" customFormat="1" ht="60" x14ac:dyDescent="0.25">
      <c r="A33" s="619" t="s">
        <v>43</v>
      </c>
      <c r="B33" s="361" t="s">
        <v>519</v>
      </c>
      <c r="C33" s="350" t="s">
        <v>60</v>
      </c>
      <c r="D33" s="625">
        <v>1</v>
      </c>
      <c r="E33" s="626">
        <v>0</v>
      </c>
      <c r="F33" s="626">
        <v>0</v>
      </c>
      <c r="G33" s="626">
        <v>1</v>
      </c>
      <c r="H33" s="626">
        <v>0</v>
      </c>
      <c r="I33" s="361" t="s">
        <v>648</v>
      </c>
      <c r="J33" s="622" t="str">
        <f t="array" ref="J33">INDEX(UtilityList!H$4:H$251,MATCH('Table 2.1b_percent'!$A33&amp;'Table 2.1b_percent'!$B33&amp;'Table 2.1b_percent'!$C33,UtilityList!$A$4:$A$251&amp;UtilityList!$B$4:$B$251&amp;UtilityList!$C$4:$C$251,0))</f>
        <v>PCE Eligible Active</v>
      </c>
      <c r="K33" s="709" t="str">
        <f t="array" ref="K33">INDEX(UtilityList!Q$4:Q$251,MATCH('Table 2.1b_percent'!$A33&amp;'Table 2.1b_percent'!$B33&amp;'Table 2.1b_percent'!$C33,UtilityList!$A$4:$A$251&amp;UtilityList!$B$4:$B$251&amp;UtilityList!$C$4:$C$251,0))</f>
        <v>Part of the Alaska Power Company's grid in the Upper Lynn Canal service area.</v>
      </c>
      <c r="L33" s="627" t="str">
        <f t="array" ref="L33">INDEX(UtilityList!I$4:I$251,MATCH('Table 2.1b_percent'!$A33&amp;'Table 2.1b_percent'!$B33&amp;'Table 2.1b_percent'!$C33,UtilityList!$A$4:$A$251&amp;UtilityList!$B$4:$B$251&amp;UtilityList!$C$4:$C$251,0))</f>
        <v>ALASPCA</v>
      </c>
      <c r="M33" s="452" t="str">
        <f t="array" ref="M33">INDEX(UtilityList!J$4:J$251,MATCH('Table 2.1b_percent'!$A33&amp;'Table 2.1b_percent'!$B33&amp;'Table 2.1b_percent'!$C33,UtilityList!$A$4:$A$251&amp;UtilityList!$B$4:$B$251&amp;UtilityList!$C$4:$C$251,0))</f>
        <v>Southeast</v>
      </c>
      <c r="N33" s="452" t="str">
        <f t="array" ref="N33">INDEX(UtilityList!K$4:K$251,MATCH('Table 2.1b_percent'!$A33&amp;'Table 2.1b_percent'!$B33&amp;'Table 2.1b_percent'!$C33,UtilityList!$A$4:$A$251&amp;UtilityList!$B$4:$B$251&amp;UtilityList!$C$4:$C$251,0))</f>
        <v>Skagway</v>
      </c>
      <c r="O33" s="452" t="str">
        <f t="array" ref="O33">INDEX(UtilityList!L$4:L$251,MATCH('Table 2.1b_percent'!$A33&amp;'Table 2.1b_percent'!$B33&amp;'Table 2.1b_percent'!$C33,UtilityList!$A$4:$A$251&amp;UtilityList!$B$4:$B$251&amp;UtilityList!$C$4:$C$251,0))</f>
        <v>Sealaska</v>
      </c>
      <c r="P33" s="452" t="str">
        <f t="array" ref="P33">INDEX(UtilityList!M$4:M$251,MATCH('Table 2.1b_percent'!$A33&amp;'Table 2.1b_percent'!$B33&amp;'Table 2.1b_percent'!$C33,UtilityList!$A$4:$A$251&amp;UtilityList!$B$4:$B$251&amp;UtilityList!$C$4:$C$251,0))</f>
        <v>SE</v>
      </c>
    </row>
    <row r="34" spans="1:16" s="344" customFormat="1" ht="60" x14ac:dyDescent="0.25">
      <c r="A34" s="619" t="s">
        <v>43</v>
      </c>
      <c r="B34" s="361" t="s">
        <v>61</v>
      </c>
      <c r="C34" s="350" t="s">
        <v>995</v>
      </c>
      <c r="D34" s="625">
        <v>1</v>
      </c>
      <c r="E34" s="626">
        <v>0</v>
      </c>
      <c r="F34" s="626">
        <v>1</v>
      </c>
      <c r="G34" s="626">
        <v>0</v>
      </c>
      <c r="H34" s="626">
        <v>0</v>
      </c>
      <c r="I34" s="361" t="s">
        <v>718</v>
      </c>
      <c r="J34" s="622" t="str">
        <f t="array" ref="J34">INDEX(UtilityList!H$4:H$251,MATCH('Table 2.1b_percent'!$A34&amp;'Table 2.1b_percent'!$B34&amp;'Table 2.1b_percent'!$C34,UtilityList!$A$4:$A$251&amp;UtilityList!$B$4:$B$251&amp;UtilityList!$C$4:$C$251,0))</f>
        <v>PCE Eligible Active</v>
      </c>
      <c r="K34" s="709" t="str">
        <f t="array" ref="K34">INDEX(UtilityList!Q$4:Q$251,MATCH('Table 2.1b_percent'!$A34&amp;'Table 2.1b_percent'!$B34&amp;'Table 2.1b_percent'!$C34,UtilityList!$A$4:$A$251&amp;UtilityList!$B$4:$B$251&amp;UtilityList!$C$4:$C$251,0))</f>
        <v>Provides power to Chistochina via intertie. Includes Chistochina's fuel use and fuel cost.</v>
      </c>
      <c r="L34" s="627" t="str">
        <f t="array" ref="L34">INDEX(UtilityList!I$4:I$251,MATCH('Table 2.1b_percent'!$A34&amp;'Table 2.1b_percent'!$B34&amp;'Table 2.1b_percent'!$C34,UtilityList!$A$4:$A$251&amp;UtilityList!$B$4:$B$251&amp;UtilityList!$C$4:$C$251,0))</f>
        <v>ALASPCA</v>
      </c>
      <c r="M34" s="452" t="str">
        <f t="array" ref="M34">INDEX(UtilityList!J$4:J$251,MATCH('Table 2.1b_percent'!$A34&amp;'Table 2.1b_percent'!$B34&amp;'Table 2.1b_percent'!$C34,UtilityList!$A$4:$A$251&amp;UtilityList!$B$4:$B$251&amp;UtilityList!$C$4:$C$251,0))</f>
        <v>Copper River/Chugach</v>
      </c>
      <c r="N34" s="452" t="str">
        <f t="array" ref="N34">INDEX(UtilityList!K$4:K$251,MATCH('Table 2.1b_percent'!$A34&amp;'Table 2.1b_percent'!$B34&amp;'Table 2.1b_percent'!$C34,UtilityList!$A$4:$A$251&amp;UtilityList!$B$4:$B$251&amp;UtilityList!$C$4:$C$251,0))</f>
        <v>Valdez-Cordova (CA)</v>
      </c>
      <c r="O34" s="452" t="str">
        <f t="array" ref="O34">INDEX(UtilityList!L$4:L$251,MATCH('Table 2.1b_percent'!$A34&amp;'Table 2.1b_percent'!$B34&amp;'Table 2.1b_percent'!$C34,UtilityList!$A$4:$A$251&amp;UtilityList!$B$4:$B$251&amp;UtilityList!$C$4:$C$251,0))</f>
        <v>Ahtna</v>
      </c>
      <c r="P34" s="452" t="str">
        <f t="array" ref="P34">INDEX(UtilityList!M$4:M$251,MATCH('Table 2.1b_percent'!$A34&amp;'Table 2.1b_percent'!$B34&amp;'Table 2.1b_percent'!$C34,UtilityList!$A$4:$A$251&amp;UtilityList!$B$4:$B$251&amp;UtilityList!$C$4:$C$251,0))</f>
        <v>YU</v>
      </c>
    </row>
    <row r="35" spans="1:16" s="344" customFormat="1" ht="120" x14ac:dyDescent="0.25">
      <c r="A35" s="619" t="s">
        <v>43</v>
      </c>
      <c r="B35" s="361" t="s">
        <v>63</v>
      </c>
      <c r="C35" s="350" t="s">
        <v>681</v>
      </c>
      <c r="D35" s="625">
        <v>1</v>
      </c>
      <c r="E35" s="626">
        <v>0</v>
      </c>
      <c r="F35" s="626">
        <v>1</v>
      </c>
      <c r="G35" s="626">
        <v>0</v>
      </c>
      <c r="H35" s="626">
        <v>0</v>
      </c>
      <c r="I35" s="361" t="s">
        <v>648</v>
      </c>
      <c r="J35" s="622" t="str">
        <f t="array" ref="J35">INDEX(UtilityList!H$4:H$251,MATCH('Table 2.1b_percent'!$A35&amp;'Table 2.1b_percent'!$B35&amp;'Table 2.1b_percent'!$C35,UtilityList!$A$4:$A$251&amp;UtilityList!$B$4:$B$251&amp;UtilityList!$C$4:$C$251,0))</f>
        <v>PCE Eligible Active</v>
      </c>
      <c r="K35" s="709" t="str">
        <f t="array" ref="K35">INDEX(UtilityList!Q$4:Q$251,MATCH('Table 2.1b_percent'!$A35&amp;'Table 2.1b_percent'!$B35&amp;'Table 2.1b_percent'!$C35,UtilityList!$A$4:$A$251&amp;UtilityList!$B$4:$B$251&amp;UtilityList!$C$4:$C$251,0))</f>
        <v>Part of the Alaska Power Company's grid on Prince of Wales Island. Receives power from Craig. Refer to Craig for fuel use and cost. Includes data for Kaasan.</v>
      </c>
      <c r="L35" s="627" t="str">
        <f t="array" ref="L35">INDEX(UtilityList!I$4:I$251,MATCH('Table 2.1b_percent'!$A35&amp;'Table 2.1b_percent'!$B35&amp;'Table 2.1b_percent'!$C35,UtilityList!$A$4:$A$251&amp;UtilityList!$B$4:$B$251&amp;UtilityList!$C$4:$C$251,0))</f>
        <v>ALASPCA</v>
      </c>
      <c r="M35" s="452" t="str">
        <f t="array" ref="M35">INDEX(UtilityList!J$4:J$251,MATCH('Table 2.1b_percent'!$A35&amp;'Table 2.1b_percent'!$B35&amp;'Table 2.1b_percent'!$C35,UtilityList!$A$4:$A$251&amp;UtilityList!$B$4:$B$251&amp;UtilityList!$C$4:$C$251,0))</f>
        <v>Southeast</v>
      </c>
      <c r="N35" s="452" t="str">
        <f t="array" ref="N35">INDEX(UtilityList!K$4:K$251,MATCH('Table 2.1b_percent'!$A35&amp;'Table 2.1b_percent'!$B35&amp;'Table 2.1b_percent'!$C35,UtilityList!$A$4:$A$251&amp;UtilityList!$B$4:$B$251&amp;UtilityList!$C$4:$C$251,0))</f>
        <v>Prince of Wales-Hyder (CA)</v>
      </c>
      <c r="O35" s="452" t="str">
        <f t="array" ref="O35">INDEX(UtilityList!L$4:L$251,MATCH('Table 2.1b_percent'!$A35&amp;'Table 2.1b_percent'!$B35&amp;'Table 2.1b_percent'!$C35,UtilityList!$A$4:$A$251&amp;UtilityList!$B$4:$B$251&amp;UtilityList!$C$4:$C$251,0))</f>
        <v>Sealaska</v>
      </c>
      <c r="P35" s="452" t="str">
        <f t="array" ref="P35">INDEX(UtilityList!M$4:M$251,MATCH('Table 2.1b_percent'!$A35&amp;'Table 2.1b_percent'!$B35&amp;'Table 2.1b_percent'!$C35,UtilityList!$A$4:$A$251&amp;UtilityList!$B$4:$B$251&amp;UtilityList!$C$4:$C$251,0))</f>
        <v>SE</v>
      </c>
    </row>
    <row r="36" spans="1:16" s="344" customFormat="1" ht="120" x14ac:dyDescent="0.25">
      <c r="A36" s="619" t="s">
        <v>43</v>
      </c>
      <c r="B36" s="361" t="s">
        <v>63</v>
      </c>
      <c r="C36" s="350" t="s">
        <v>681</v>
      </c>
      <c r="D36" s="625">
        <v>1</v>
      </c>
      <c r="E36" s="626">
        <v>0</v>
      </c>
      <c r="F36" s="626">
        <v>1</v>
      </c>
      <c r="G36" s="626">
        <v>0</v>
      </c>
      <c r="H36" s="626">
        <v>0</v>
      </c>
      <c r="I36" s="361" t="s">
        <v>648</v>
      </c>
      <c r="J36" s="622" t="str">
        <f t="array" ref="J36">INDEX(UtilityList!H$4:H$251,MATCH('Table 2.1b_percent'!$A36&amp;'Table 2.1b_percent'!$B36&amp;'Table 2.1b_percent'!$C36,UtilityList!$A$4:$A$251&amp;UtilityList!$B$4:$B$251&amp;UtilityList!$C$4:$C$251,0))</f>
        <v>PCE Eligible Active</v>
      </c>
      <c r="K36" s="709" t="str">
        <f t="array" ref="K36">INDEX(UtilityList!Q$4:Q$251,MATCH('Table 2.1b_percent'!$A36&amp;'Table 2.1b_percent'!$B36&amp;'Table 2.1b_percent'!$C36,UtilityList!$A$4:$A$251&amp;UtilityList!$B$4:$B$251&amp;UtilityList!$C$4:$C$251,0))</f>
        <v>Part of the Alaska Power Company's grid on Prince of Wales Island. Receives power from Craig. Refer to Craig for fuel use and cost. Includes data for Kaasan.</v>
      </c>
      <c r="L36" s="627" t="str">
        <f t="array" ref="L36">INDEX(UtilityList!I$4:I$251,MATCH('Table 2.1b_percent'!$A36&amp;'Table 2.1b_percent'!$B36&amp;'Table 2.1b_percent'!$C36,UtilityList!$A$4:$A$251&amp;UtilityList!$B$4:$B$251&amp;UtilityList!$C$4:$C$251,0))</f>
        <v>ALASPCA</v>
      </c>
      <c r="M36" s="452" t="str">
        <f t="array" ref="M36">INDEX(UtilityList!J$4:J$251,MATCH('Table 2.1b_percent'!$A36&amp;'Table 2.1b_percent'!$B36&amp;'Table 2.1b_percent'!$C36,UtilityList!$A$4:$A$251&amp;UtilityList!$B$4:$B$251&amp;UtilityList!$C$4:$C$251,0))</f>
        <v>Southeast</v>
      </c>
      <c r="N36" s="452" t="str">
        <f t="array" ref="N36">INDEX(UtilityList!K$4:K$251,MATCH('Table 2.1b_percent'!$A36&amp;'Table 2.1b_percent'!$B36&amp;'Table 2.1b_percent'!$C36,UtilityList!$A$4:$A$251&amp;UtilityList!$B$4:$B$251&amp;UtilityList!$C$4:$C$251,0))</f>
        <v>Prince of Wales-Hyder (CA)</v>
      </c>
      <c r="O36" s="452" t="str">
        <f t="array" ref="O36">INDEX(UtilityList!L$4:L$251,MATCH('Table 2.1b_percent'!$A36&amp;'Table 2.1b_percent'!$B36&amp;'Table 2.1b_percent'!$C36,UtilityList!$A$4:$A$251&amp;UtilityList!$B$4:$B$251&amp;UtilityList!$C$4:$C$251,0))</f>
        <v>Sealaska</v>
      </c>
      <c r="P36" s="452" t="str">
        <f t="array" ref="P36">INDEX(UtilityList!M$4:M$251,MATCH('Table 2.1b_percent'!$A36&amp;'Table 2.1b_percent'!$B36&amp;'Table 2.1b_percent'!$C36,UtilityList!$A$4:$A$251&amp;UtilityList!$B$4:$B$251&amp;UtilityList!$C$4:$C$251,0))</f>
        <v>SE</v>
      </c>
    </row>
    <row r="37" spans="1:16" s="344" customFormat="1" ht="120" x14ac:dyDescent="0.25">
      <c r="A37" s="619" t="s">
        <v>43</v>
      </c>
      <c r="B37" s="361" t="s">
        <v>559</v>
      </c>
      <c r="C37" s="350" t="s">
        <v>681</v>
      </c>
      <c r="D37" s="625">
        <v>1</v>
      </c>
      <c r="E37" s="626">
        <v>0</v>
      </c>
      <c r="F37" s="626">
        <v>1</v>
      </c>
      <c r="G37" s="626">
        <v>0</v>
      </c>
      <c r="H37" s="626">
        <v>0</v>
      </c>
      <c r="I37" s="361" t="s">
        <v>718</v>
      </c>
      <c r="J37" s="622" t="str">
        <f t="array" ref="J37">INDEX(UtilityList!H$4:H$251,MATCH('Table 2.1b_percent'!$A37&amp;'Table 2.1b_percent'!$B37&amp;'Table 2.1b_percent'!$C37,UtilityList!$A$4:$A$251&amp;UtilityList!$B$4:$B$251&amp;UtilityList!$C$4:$C$251,0))</f>
        <v>PCE Eligible Active</v>
      </c>
      <c r="K37" s="709" t="str">
        <f t="array" ref="K37">INDEX(UtilityList!Q$4:Q$251,MATCH('Table 2.1b_percent'!$A37&amp;'Table 2.1b_percent'!$B37&amp;'Table 2.1b_percent'!$C37,UtilityList!$A$4:$A$251&amp;UtilityList!$B$4:$B$251&amp;UtilityList!$C$4:$C$251,0))</f>
        <v>Part of the Alaska Power Company's grid on Prince of Wales Island. Receives power from Craig. Refer to Craig for fuel use and cost. Includes data for Kaasan.</v>
      </c>
      <c r="L37" s="627" t="str">
        <f t="array" ref="L37">INDEX(UtilityList!I$4:I$251,MATCH('Table 2.1b_percent'!$A37&amp;'Table 2.1b_percent'!$B37&amp;'Table 2.1b_percent'!$C37,UtilityList!$A$4:$A$251&amp;UtilityList!$B$4:$B$251&amp;UtilityList!$C$4:$C$251,0))</f>
        <v>ALASPCA</v>
      </c>
      <c r="M37" s="452" t="str">
        <f t="array" ref="M37">INDEX(UtilityList!J$4:J$251,MATCH('Table 2.1b_percent'!$A37&amp;'Table 2.1b_percent'!$B37&amp;'Table 2.1b_percent'!$C37,UtilityList!$A$4:$A$251&amp;UtilityList!$B$4:$B$251&amp;UtilityList!$C$4:$C$251,0))</f>
        <v>Southeast</v>
      </c>
      <c r="N37" s="452" t="str">
        <f t="array" ref="N37">INDEX(UtilityList!K$4:K$251,MATCH('Table 2.1b_percent'!$A37&amp;'Table 2.1b_percent'!$B37&amp;'Table 2.1b_percent'!$C37,UtilityList!$A$4:$A$251&amp;UtilityList!$B$4:$B$251&amp;UtilityList!$C$4:$C$251,0))</f>
        <v>Prince of Wales-Hyder (CA)</v>
      </c>
      <c r="O37" s="452" t="str">
        <f t="array" ref="O37">INDEX(UtilityList!L$4:L$251,MATCH('Table 2.1b_percent'!$A37&amp;'Table 2.1b_percent'!$B37&amp;'Table 2.1b_percent'!$C37,UtilityList!$A$4:$A$251&amp;UtilityList!$B$4:$B$251&amp;UtilityList!$C$4:$C$251,0))</f>
        <v>Sealaska</v>
      </c>
      <c r="P37" s="452" t="str">
        <f t="array" ref="P37">INDEX(UtilityList!M$4:M$251,MATCH('Table 2.1b_percent'!$A37&amp;'Table 2.1b_percent'!$B37&amp;'Table 2.1b_percent'!$C37,UtilityList!$A$4:$A$251&amp;UtilityList!$B$4:$B$251&amp;UtilityList!$C$4:$C$251,0))</f>
        <v>SE</v>
      </c>
    </row>
    <row r="38" spans="1:16" s="344" customFormat="1" ht="120" x14ac:dyDescent="0.25">
      <c r="A38" s="619" t="s">
        <v>43</v>
      </c>
      <c r="B38" s="361" t="s">
        <v>64</v>
      </c>
      <c r="C38" s="350" t="s">
        <v>685</v>
      </c>
      <c r="D38" s="625">
        <v>1</v>
      </c>
      <c r="E38" s="626">
        <v>0</v>
      </c>
      <c r="F38" s="626">
        <v>1</v>
      </c>
      <c r="G38" s="626">
        <v>0</v>
      </c>
      <c r="H38" s="626">
        <v>0</v>
      </c>
      <c r="I38" s="361" t="s">
        <v>648</v>
      </c>
      <c r="J38" s="622" t="str">
        <f t="array" ref="J38">INDEX(UtilityList!H$4:H$251,MATCH('Table 2.1b_percent'!$A38&amp;'Table 2.1b_percent'!$B38&amp;'Table 2.1b_percent'!$C38,UtilityList!$A$4:$A$251&amp;UtilityList!$B$4:$B$251&amp;UtilityList!$C$4:$C$251,0))</f>
        <v>PCE Eligible Active</v>
      </c>
      <c r="K38" s="709" t="str">
        <f t="array" ref="K38">INDEX(UtilityList!Q$4:Q$251,MATCH('Table 2.1b_percent'!$A38&amp;'Table 2.1b_percent'!$B38&amp;'Table 2.1b_percent'!$C38,UtilityList!$A$4:$A$251&amp;UtilityList!$B$4:$B$251&amp;UtilityList!$C$4:$C$251,0))</f>
        <v>Provides power to Tanacross, Tetlin and Dot Lake via intertie. Includes Tanacross' information. Fuel use and cost also includes Tetlin's and Dot Lake's information.</v>
      </c>
      <c r="L38" s="627" t="str">
        <f t="array" ref="L38">INDEX(UtilityList!I$4:I$251,MATCH('Table 2.1b_percent'!$A38&amp;'Table 2.1b_percent'!$B38&amp;'Table 2.1b_percent'!$C38,UtilityList!$A$4:$A$251&amp;UtilityList!$B$4:$B$251&amp;UtilityList!$C$4:$C$251,0))</f>
        <v>ALASPCA</v>
      </c>
      <c r="M38" s="452" t="str">
        <f t="array" ref="M38">INDEX(UtilityList!J$4:J$251,MATCH('Table 2.1b_percent'!$A38&amp;'Table 2.1b_percent'!$B38&amp;'Table 2.1b_percent'!$C38,UtilityList!$A$4:$A$251&amp;UtilityList!$B$4:$B$251&amp;UtilityList!$C$4:$C$251,0))</f>
        <v>Yukon-Koyukuk/Upper Tanana</v>
      </c>
      <c r="N38" s="452" t="str">
        <f t="array" ref="N38">INDEX(UtilityList!K$4:K$251,MATCH('Table 2.1b_percent'!$A38&amp;'Table 2.1b_percent'!$B38&amp;'Table 2.1b_percent'!$C38,UtilityList!$A$4:$A$251&amp;UtilityList!$B$4:$B$251&amp;UtilityList!$C$4:$C$251,0))</f>
        <v>Southeast Fairbanks (CA)</v>
      </c>
      <c r="O38" s="452" t="str">
        <f t="array" ref="O38">INDEX(UtilityList!L$4:L$251,MATCH('Table 2.1b_percent'!$A38&amp;'Table 2.1b_percent'!$B38&amp;'Table 2.1b_percent'!$C38,UtilityList!$A$4:$A$251&amp;UtilityList!$B$4:$B$251&amp;UtilityList!$C$4:$C$251,0))</f>
        <v>Doyon</v>
      </c>
      <c r="P38" s="452" t="str">
        <f t="array" ref="P38">INDEX(UtilityList!M$4:M$251,MATCH('Table 2.1b_percent'!$A38&amp;'Table 2.1b_percent'!$B38&amp;'Table 2.1b_percent'!$C38,UtilityList!$A$4:$A$251&amp;UtilityList!$B$4:$B$251&amp;UtilityList!$C$4:$C$251,0))</f>
        <v>YU</v>
      </c>
    </row>
    <row r="39" spans="1:16" s="344" customFormat="1" ht="30" x14ac:dyDescent="0.25">
      <c r="A39" s="619" t="s">
        <v>43</v>
      </c>
      <c r="B39" s="361" t="s">
        <v>65</v>
      </c>
      <c r="C39" s="350" t="s">
        <v>65</v>
      </c>
      <c r="D39" s="625">
        <v>1</v>
      </c>
      <c r="E39" s="626">
        <v>0</v>
      </c>
      <c r="F39" s="626">
        <v>1</v>
      </c>
      <c r="G39" s="626">
        <v>0</v>
      </c>
      <c r="H39" s="626">
        <v>0</v>
      </c>
      <c r="I39" s="361" t="s">
        <v>718</v>
      </c>
      <c r="J39" s="622" t="str">
        <f t="array" ref="J39">INDEX(UtilityList!H$4:H$251,MATCH('Table 2.1b_percent'!$A39&amp;'Table 2.1b_percent'!$B39&amp;'Table 2.1b_percent'!$C39,UtilityList!$A$4:$A$251&amp;UtilityList!$B$4:$B$251&amp;UtilityList!$C$4:$C$251,0))</f>
        <v>PCE Eligible Active</v>
      </c>
      <c r="K39" s="709">
        <f t="array" ref="K39">INDEX(UtilityList!Q$4:Q$251,MATCH('Table 2.1b_percent'!$A39&amp;'Table 2.1b_percent'!$B39&amp;'Table 2.1b_percent'!$C39,UtilityList!$A$4:$A$251&amp;UtilityList!$B$4:$B$251&amp;UtilityList!$C$4:$C$251,0))</f>
        <v>0</v>
      </c>
      <c r="L39" s="627" t="str">
        <f t="array" ref="L39">INDEX(UtilityList!I$4:I$251,MATCH('Table 2.1b_percent'!$A39&amp;'Table 2.1b_percent'!$B39&amp;'Table 2.1b_percent'!$C39,UtilityList!$A$4:$A$251&amp;UtilityList!$B$4:$B$251&amp;UtilityList!$C$4:$C$251,0))</f>
        <v>ALASPCA</v>
      </c>
      <c r="M39" s="452" t="str">
        <f t="array" ref="M39">INDEX(UtilityList!J$4:J$251,MATCH('Table 2.1b_percent'!$A39&amp;'Table 2.1b_percent'!$B39&amp;'Table 2.1b_percent'!$C39,UtilityList!$A$4:$A$251&amp;UtilityList!$B$4:$B$251&amp;UtilityList!$C$4:$C$251,0))</f>
        <v>Southeast</v>
      </c>
      <c r="N39" s="452" t="str">
        <f t="array" ref="N39">INDEX(UtilityList!K$4:K$251,MATCH('Table 2.1b_percent'!$A39&amp;'Table 2.1b_percent'!$B39&amp;'Table 2.1b_percent'!$C39,UtilityList!$A$4:$A$251&amp;UtilityList!$B$4:$B$251&amp;UtilityList!$C$4:$C$251,0))</f>
        <v>Prince of Wales-Hyder (CA)</v>
      </c>
      <c r="O39" s="452" t="str">
        <f t="array" ref="O39">INDEX(UtilityList!L$4:L$251,MATCH('Table 2.1b_percent'!$A39&amp;'Table 2.1b_percent'!$B39&amp;'Table 2.1b_percent'!$C39,UtilityList!$A$4:$A$251&amp;UtilityList!$B$4:$B$251&amp;UtilityList!$C$4:$C$251,0))</f>
        <v>Sealaska</v>
      </c>
      <c r="P39" s="452" t="str">
        <f t="array" ref="P39">INDEX(UtilityList!M$4:M$251,MATCH('Table 2.1b_percent'!$A39&amp;'Table 2.1b_percent'!$B39&amp;'Table 2.1b_percent'!$C39,UtilityList!$A$4:$A$251&amp;UtilityList!$B$4:$B$251&amp;UtilityList!$C$4:$C$251,0))</f>
        <v>SE</v>
      </c>
    </row>
    <row r="40" spans="1:16" s="344" customFormat="1" ht="30" x14ac:dyDescent="0.25">
      <c r="A40" s="619" t="s">
        <v>524</v>
      </c>
      <c r="B40" s="361" t="s">
        <v>66</v>
      </c>
      <c r="C40" s="350" t="s">
        <v>66</v>
      </c>
      <c r="D40" s="625">
        <v>1</v>
      </c>
      <c r="E40" s="626">
        <v>0</v>
      </c>
      <c r="F40" s="626">
        <v>1</v>
      </c>
      <c r="G40" s="626">
        <v>0</v>
      </c>
      <c r="H40" s="626">
        <v>0</v>
      </c>
      <c r="I40" s="361" t="s">
        <v>648</v>
      </c>
      <c r="J40" s="622" t="str">
        <f t="array" ref="J40">INDEX(UtilityList!H$4:H$251,MATCH('Table 2.1b_percent'!$A40&amp;'Table 2.1b_percent'!$B40&amp;'Table 2.1b_percent'!$C40,UtilityList!$A$4:$A$251&amp;UtilityList!$B$4:$B$251&amp;UtilityList!$C$4:$C$251,0))</f>
        <v>PCE Eligible Active</v>
      </c>
      <c r="K40" s="709">
        <f t="array" ref="K40">INDEX(UtilityList!Q$4:Q$251,MATCH('Table 2.1b_percent'!$A40&amp;'Table 2.1b_percent'!$B40&amp;'Table 2.1b_percent'!$C40,UtilityList!$A$4:$A$251&amp;UtilityList!$B$4:$B$251&amp;UtilityList!$C$4:$C$251,0))</f>
        <v>0</v>
      </c>
      <c r="L40" s="627" t="str">
        <f t="array" ref="L40">INDEX(UtilityList!I$4:I$251,MATCH('Table 2.1b_percent'!$A40&amp;'Table 2.1b_percent'!$B40&amp;'Table 2.1b_percent'!$C40,UtilityList!$A$4:$A$251&amp;UtilityList!$B$4:$B$251&amp;UtilityList!$C$4:$C$251,0))</f>
        <v>ALASVEC</v>
      </c>
      <c r="M40" s="452" t="str">
        <f t="array" ref="M40">INDEX(UtilityList!J$4:J$251,MATCH('Table 2.1b_percent'!$A40&amp;'Table 2.1b_percent'!$B40&amp;'Table 2.1b_percent'!$C40,UtilityList!$A$4:$A$251&amp;UtilityList!$B$4:$B$251&amp;UtilityList!$C$4:$C$251,0))</f>
        <v>Lower Yukon-Kuskokwim</v>
      </c>
      <c r="N40" s="452" t="str">
        <f t="array" ref="N40">INDEX(UtilityList!K$4:K$251,MATCH('Table 2.1b_percent'!$A40&amp;'Table 2.1b_percent'!$B40&amp;'Table 2.1b_percent'!$C40,UtilityList!$A$4:$A$251&amp;UtilityList!$B$4:$B$251&amp;UtilityList!$C$4:$C$251,0))</f>
        <v>Wade Hampton (CA)</v>
      </c>
      <c r="O40" s="452" t="str">
        <f t="array" ref="O40">INDEX(UtilityList!L$4:L$251,MATCH('Table 2.1b_percent'!$A40&amp;'Table 2.1b_percent'!$B40&amp;'Table 2.1b_percent'!$C40,UtilityList!$A$4:$A$251&amp;UtilityList!$B$4:$B$251&amp;UtilityList!$C$4:$C$251,0))</f>
        <v>Calista</v>
      </c>
      <c r="P40" s="452" t="str">
        <f t="array" ref="P40">INDEX(UtilityList!M$4:M$251,MATCH('Table 2.1b_percent'!$A40&amp;'Table 2.1b_percent'!$B40&amp;'Table 2.1b_percent'!$C40,UtilityList!$A$4:$A$251&amp;UtilityList!$B$4:$B$251&amp;UtilityList!$C$4:$C$251,0))</f>
        <v>YU</v>
      </c>
    </row>
    <row r="41" spans="1:16" s="344" customFormat="1" ht="30" x14ac:dyDescent="0.25">
      <c r="A41" s="619" t="s">
        <v>524</v>
      </c>
      <c r="B41" s="361" t="s">
        <v>67</v>
      </c>
      <c r="C41" s="350" t="s">
        <v>67</v>
      </c>
      <c r="D41" s="625">
        <v>1</v>
      </c>
      <c r="E41" s="626">
        <v>0</v>
      </c>
      <c r="F41" s="626">
        <v>1</v>
      </c>
      <c r="G41" s="626">
        <v>0</v>
      </c>
      <c r="H41" s="626">
        <v>0</v>
      </c>
      <c r="I41" s="361" t="s">
        <v>718</v>
      </c>
      <c r="J41" s="622" t="str">
        <f t="array" ref="J41">INDEX(UtilityList!H$4:H$251,MATCH('Table 2.1b_percent'!$A41&amp;'Table 2.1b_percent'!$B41&amp;'Table 2.1b_percent'!$C41,UtilityList!$A$4:$A$251&amp;UtilityList!$B$4:$B$251&amp;UtilityList!$C$4:$C$251,0))</f>
        <v>PCE Eligible Active</v>
      </c>
      <c r="K41" s="709">
        <f t="array" ref="K41">INDEX(UtilityList!Q$4:Q$251,MATCH('Table 2.1b_percent'!$A41&amp;'Table 2.1b_percent'!$B41&amp;'Table 2.1b_percent'!$C41,UtilityList!$A$4:$A$251&amp;UtilityList!$B$4:$B$251&amp;UtilityList!$C$4:$C$251,0))</f>
        <v>0</v>
      </c>
      <c r="L41" s="627" t="str">
        <f t="array" ref="L41">INDEX(UtilityList!I$4:I$251,MATCH('Table 2.1b_percent'!$A41&amp;'Table 2.1b_percent'!$B41&amp;'Table 2.1b_percent'!$C41,UtilityList!$A$4:$A$251&amp;UtilityList!$B$4:$B$251&amp;UtilityList!$C$4:$C$251,0))</f>
        <v>ALASVEC</v>
      </c>
      <c r="M41" s="452" t="str">
        <f t="array" ref="M41">INDEX(UtilityList!J$4:J$251,MATCH('Table 2.1b_percent'!$A41&amp;'Table 2.1b_percent'!$B41&amp;'Table 2.1b_percent'!$C41,UtilityList!$A$4:$A$251&amp;UtilityList!$B$4:$B$251&amp;UtilityList!$C$4:$C$251,0))</f>
        <v>Northwest Arctic</v>
      </c>
      <c r="N41" s="452" t="str">
        <f t="array" ref="N41">INDEX(UtilityList!K$4:K$251,MATCH('Table 2.1b_percent'!$A41&amp;'Table 2.1b_percent'!$B41&amp;'Table 2.1b_percent'!$C41,UtilityList!$A$4:$A$251&amp;UtilityList!$B$4:$B$251&amp;UtilityList!$C$4:$C$251,0))</f>
        <v>Northwest Arctic</v>
      </c>
      <c r="O41" s="452" t="str">
        <f t="array" ref="O41">INDEX(UtilityList!L$4:L$251,MATCH('Table 2.1b_percent'!$A41&amp;'Table 2.1b_percent'!$B41&amp;'Table 2.1b_percent'!$C41,UtilityList!$A$4:$A$251&amp;UtilityList!$B$4:$B$251&amp;UtilityList!$C$4:$C$251,0))</f>
        <v>NANA</v>
      </c>
      <c r="P41" s="452" t="str">
        <f t="array" ref="P41">INDEX(UtilityList!M$4:M$251,MATCH('Table 2.1b_percent'!$A41&amp;'Table 2.1b_percent'!$B41&amp;'Table 2.1b_percent'!$C41,UtilityList!$A$4:$A$251&amp;UtilityList!$B$4:$B$251&amp;UtilityList!$C$4:$C$251,0))</f>
        <v>AN</v>
      </c>
    </row>
    <row r="42" spans="1:16" s="344" customFormat="1" ht="30" x14ac:dyDescent="0.25">
      <c r="A42" s="619" t="s">
        <v>524</v>
      </c>
      <c r="B42" s="361" t="s">
        <v>68</v>
      </c>
      <c r="C42" s="350" t="s">
        <v>68</v>
      </c>
      <c r="D42" s="625">
        <v>1</v>
      </c>
      <c r="E42" s="626">
        <v>0</v>
      </c>
      <c r="F42" s="626">
        <v>1</v>
      </c>
      <c r="G42" s="626">
        <v>0</v>
      </c>
      <c r="H42" s="626">
        <v>0</v>
      </c>
      <c r="I42" s="361" t="s">
        <v>718</v>
      </c>
      <c r="J42" s="622" t="str">
        <f t="array" ref="J42">INDEX(UtilityList!H$4:H$251,MATCH('Table 2.1b_percent'!$A42&amp;'Table 2.1b_percent'!$B42&amp;'Table 2.1b_percent'!$C42,UtilityList!$A$4:$A$251&amp;UtilityList!$B$4:$B$251&amp;UtilityList!$C$4:$C$251,0))</f>
        <v>PCE Eligible Active</v>
      </c>
      <c r="K42" s="709">
        <f t="array" ref="K42">INDEX(UtilityList!Q$4:Q$251,MATCH('Table 2.1b_percent'!$A42&amp;'Table 2.1b_percent'!$B42&amp;'Table 2.1b_percent'!$C42,UtilityList!$A$4:$A$251&amp;UtilityList!$B$4:$B$251&amp;UtilityList!$C$4:$C$251,0))</f>
        <v>0</v>
      </c>
      <c r="L42" s="627" t="str">
        <f t="array" ref="L42">INDEX(UtilityList!I$4:I$251,MATCH('Table 2.1b_percent'!$A42&amp;'Table 2.1b_percent'!$B42&amp;'Table 2.1b_percent'!$C42,UtilityList!$A$4:$A$251&amp;UtilityList!$B$4:$B$251&amp;UtilityList!$C$4:$C$251,0))</f>
        <v>ALASVEC</v>
      </c>
      <c r="M42" s="452" t="str">
        <f t="array" ref="M42">INDEX(UtilityList!J$4:J$251,MATCH('Table 2.1b_percent'!$A42&amp;'Table 2.1b_percent'!$B42&amp;'Table 2.1b_percent'!$C42,UtilityList!$A$4:$A$251&amp;UtilityList!$B$4:$B$251&amp;UtilityList!$C$4:$C$251,0))</f>
        <v>Yukon-Koyukuk/Upper Tanana</v>
      </c>
      <c r="N42" s="452" t="str">
        <f t="array" ref="N42">INDEX(UtilityList!K$4:K$251,MATCH('Table 2.1b_percent'!$A42&amp;'Table 2.1b_percent'!$B42&amp;'Table 2.1b_percent'!$C42,UtilityList!$A$4:$A$251&amp;UtilityList!$B$4:$B$251&amp;UtilityList!$C$4:$C$251,0))</f>
        <v>Yukon-Koyukuk (CA)</v>
      </c>
      <c r="O42" s="452" t="str">
        <f t="array" ref="O42">INDEX(UtilityList!L$4:L$251,MATCH('Table 2.1b_percent'!$A42&amp;'Table 2.1b_percent'!$B42&amp;'Table 2.1b_percent'!$C42,UtilityList!$A$4:$A$251&amp;UtilityList!$B$4:$B$251&amp;UtilityList!$C$4:$C$251,0))</f>
        <v>Doyon</v>
      </c>
      <c r="P42" s="452" t="str">
        <f t="array" ref="P42">INDEX(UtilityList!M$4:M$251,MATCH('Table 2.1b_percent'!$A42&amp;'Table 2.1b_percent'!$B42&amp;'Table 2.1b_percent'!$C42,UtilityList!$A$4:$A$251&amp;UtilityList!$B$4:$B$251&amp;UtilityList!$C$4:$C$251,0))</f>
        <v>YU</v>
      </c>
    </row>
    <row r="43" spans="1:16" s="344" customFormat="1" ht="30" x14ac:dyDescent="0.25">
      <c r="A43" s="619" t="s">
        <v>524</v>
      </c>
      <c r="B43" s="361" t="s">
        <v>69</v>
      </c>
      <c r="C43" s="350" t="s">
        <v>69</v>
      </c>
      <c r="D43" s="625">
        <v>1</v>
      </c>
      <c r="E43" s="626">
        <v>0</v>
      </c>
      <c r="F43" s="626">
        <v>1</v>
      </c>
      <c r="G43" s="626">
        <v>0</v>
      </c>
      <c r="H43" s="626">
        <v>0</v>
      </c>
      <c r="I43" s="361" t="s">
        <v>718</v>
      </c>
      <c r="J43" s="622" t="str">
        <f t="array" ref="J43">INDEX(UtilityList!H$4:H$251,MATCH('Table 2.1b_percent'!$A43&amp;'Table 2.1b_percent'!$B43&amp;'Table 2.1b_percent'!$C43,UtilityList!$A$4:$A$251&amp;UtilityList!$B$4:$B$251&amp;UtilityList!$C$4:$C$251,0))</f>
        <v>PCE Eligible Active</v>
      </c>
      <c r="K43" s="709">
        <f t="array" ref="K43">INDEX(UtilityList!Q$4:Q$251,MATCH('Table 2.1b_percent'!$A43&amp;'Table 2.1b_percent'!$B43&amp;'Table 2.1b_percent'!$C43,UtilityList!$A$4:$A$251&amp;UtilityList!$B$4:$B$251&amp;UtilityList!$C$4:$C$251,0))</f>
        <v>0</v>
      </c>
      <c r="L43" s="627" t="str">
        <f t="array" ref="L43">INDEX(UtilityList!I$4:I$251,MATCH('Table 2.1b_percent'!$A43&amp;'Table 2.1b_percent'!$B43&amp;'Table 2.1b_percent'!$C43,UtilityList!$A$4:$A$251&amp;UtilityList!$B$4:$B$251&amp;UtilityList!$C$4:$C$251,0))</f>
        <v>ALASVEC</v>
      </c>
      <c r="M43" s="452" t="str">
        <f t="array" ref="M43">INDEX(UtilityList!J$4:J$251,MATCH('Table 2.1b_percent'!$A43&amp;'Table 2.1b_percent'!$B43&amp;'Table 2.1b_percent'!$C43,UtilityList!$A$4:$A$251&amp;UtilityList!$B$4:$B$251&amp;UtilityList!$C$4:$C$251,0))</f>
        <v>Bering Straits</v>
      </c>
      <c r="N43" s="452" t="str">
        <f t="array" ref="N43">INDEX(UtilityList!K$4:K$251,MATCH('Table 2.1b_percent'!$A43&amp;'Table 2.1b_percent'!$B43&amp;'Table 2.1b_percent'!$C43,UtilityList!$A$4:$A$251&amp;UtilityList!$B$4:$B$251&amp;UtilityList!$C$4:$C$251,0))</f>
        <v>Nome (CA)</v>
      </c>
      <c r="O43" s="452" t="str">
        <f t="array" ref="O43">INDEX(UtilityList!L$4:L$251,MATCH('Table 2.1b_percent'!$A43&amp;'Table 2.1b_percent'!$B43&amp;'Table 2.1b_percent'!$C43,UtilityList!$A$4:$A$251&amp;UtilityList!$B$4:$B$251&amp;UtilityList!$C$4:$C$251,0))</f>
        <v>Bering Straits</v>
      </c>
      <c r="P43" s="452" t="str">
        <f t="array" ref="P43">INDEX(UtilityList!M$4:M$251,MATCH('Table 2.1b_percent'!$A43&amp;'Table 2.1b_percent'!$B43&amp;'Table 2.1b_percent'!$C43,UtilityList!$A$4:$A$251&amp;UtilityList!$B$4:$B$251&amp;UtilityList!$C$4:$C$251,0))</f>
        <v>AN</v>
      </c>
    </row>
    <row r="44" spans="1:16" s="344" customFormat="1" ht="30" x14ac:dyDescent="0.25">
      <c r="A44" s="619" t="s">
        <v>524</v>
      </c>
      <c r="B44" s="361" t="s">
        <v>70</v>
      </c>
      <c r="C44" s="350" t="s">
        <v>70</v>
      </c>
      <c r="D44" s="625">
        <v>1</v>
      </c>
      <c r="E44" s="626">
        <v>0</v>
      </c>
      <c r="F44" s="626">
        <v>0</v>
      </c>
      <c r="G44" s="626">
        <v>0</v>
      </c>
      <c r="H44" s="626">
        <v>1</v>
      </c>
      <c r="I44" s="361" t="s">
        <v>647</v>
      </c>
      <c r="J44" s="622" t="str">
        <f t="array" ref="J44">INDEX(UtilityList!H$4:H$251,MATCH('Table 2.1b_percent'!$A44&amp;'Table 2.1b_percent'!$B44&amp;'Table 2.1b_percent'!$C44,UtilityList!$A$4:$A$251&amp;UtilityList!$B$4:$B$251&amp;UtilityList!$C$4:$C$251,0))</f>
        <v>PCE Eligible Active</v>
      </c>
      <c r="K44" s="709">
        <f t="array" ref="K44">INDEX(UtilityList!Q$4:Q$251,MATCH('Table 2.1b_percent'!$A44&amp;'Table 2.1b_percent'!$B44&amp;'Table 2.1b_percent'!$C44,UtilityList!$A$4:$A$251&amp;UtilityList!$B$4:$B$251&amp;UtilityList!$C$4:$C$251,0))</f>
        <v>0</v>
      </c>
      <c r="L44" s="627" t="str">
        <f t="array" ref="L44">INDEX(UtilityList!I$4:I$251,MATCH('Table 2.1b_percent'!$A44&amp;'Table 2.1b_percent'!$B44&amp;'Table 2.1b_percent'!$C44,UtilityList!$A$4:$A$251&amp;UtilityList!$B$4:$B$251&amp;UtilityList!$C$4:$C$251,0))</f>
        <v>ALASVEC</v>
      </c>
      <c r="M44" s="452" t="str">
        <f t="array" ref="M44">INDEX(UtilityList!J$4:J$251,MATCH('Table 2.1b_percent'!$A44&amp;'Table 2.1b_percent'!$B44&amp;'Table 2.1b_percent'!$C44,UtilityList!$A$4:$A$251&amp;UtilityList!$B$4:$B$251&amp;UtilityList!$C$4:$C$251,0))</f>
        <v>Lower Yukon-Kuskokwim</v>
      </c>
      <c r="N44" s="452" t="str">
        <f t="array" ref="N44">INDEX(UtilityList!K$4:K$251,MATCH('Table 2.1b_percent'!$A44&amp;'Table 2.1b_percent'!$B44&amp;'Table 2.1b_percent'!$C44,UtilityList!$A$4:$A$251&amp;UtilityList!$B$4:$B$251&amp;UtilityList!$C$4:$C$251,0))</f>
        <v>Wade Hampton (CA)</v>
      </c>
      <c r="O44" s="452" t="str">
        <f t="array" ref="O44">INDEX(UtilityList!L$4:L$251,MATCH('Table 2.1b_percent'!$A44&amp;'Table 2.1b_percent'!$B44&amp;'Table 2.1b_percent'!$C44,UtilityList!$A$4:$A$251&amp;UtilityList!$B$4:$B$251&amp;UtilityList!$C$4:$C$251,0))</f>
        <v>Calista</v>
      </c>
      <c r="P44" s="452" t="str">
        <f t="array" ref="P44">INDEX(UtilityList!M$4:M$251,MATCH('Table 2.1b_percent'!$A44&amp;'Table 2.1b_percent'!$B44&amp;'Table 2.1b_percent'!$C44,UtilityList!$A$4:$A$251&amp;UtilityList!$B$4:$B$251&amp;UtilityList!$C$4:$C$251,0))</f>
        <v>YU</v>
      </c>
    </row>
    <row r="45" spans="1:16" s="344" customFormat="1" ht="30" x14ac:dyDescent="0.25">
      <c r="A45" s="619" t="s">
        <v>524</v>
      </c>
      <c r="B45" s="361" t="s">
        <v>70</v>
      </c>
      <c r="C45" s="350" t="s">
        <v>70</v>
      </c>
      <c r="D45" s="625">
        <v>1</v>
      </c>
      <c r="E45" s="626">
        <v>0</v>
      </c>
      <c r="F45" s="626">
        <v>1</v>
      </c>
      <c r="G45" s="626">
        <v>0</v>
      </c>
      <c r="H45" s="626">
        <v>0</v>
      </c>
      <c r="I45" s="361" t="s">
        <v>718</v>
      </c>
      <c r="J45" s="622" t="str">
        <f t="array" ref="J45">INDEX(UtilityList!H$4:H$251,MATCH('Table 2.1b_percent'!$A45&amp;'Table 2.1b_percent'!$B45&amp;'Table 2.1b_percent'!$C45,UtilityList!$A$4:$A$251&amp;UtilityList!$B$4:$B$251&amp;UtilityList!$C$4:$C$251,0))</f>
        <v>PCE Eligible Active</v>
      </c>
      <c r="K45" s="709">
        <f t="array" ref="K45">INDEX(UtilityList!Q$4:Q$251,MATCH('Table 2.1b_percent'!$A45&amp;'Table 2.1b_percent'!$B45&amp;'Table 2.1b_percent'!$C45,UtilityList!$A$4:$A$251&amp;UtilityList!$B$4:$B$251&amp;UtilityList!$C$4:$C$251,0))</f>
        <v>0</v>
      </c>
      <c r="L45" s="627" t="str">
        <f t="array" ref="L45">INDEX(UtilityList!I$4:I$251,MATCH('Table 2.1b_percent'!$A45&amp;'Table 2.1b_percent'!$B45&amp;'Table 2.1b_percent'!$C45,UtilityList!$A$4:$A$251&amp;UtilityList!$B$4:$B$251&amp;UtilityList!$C$4:$C$251,0))</f>
        <v>ALASVEC</v>
      </c>
      <c r="M45" s="452" t="str">
        <f t="array" ref="M45">INDEX(UtilityList!J$4:J$251,MATCH('Table 2.1b_percent'!$A45&amp;'Table 2.1b_percent'!$B45&amp;'Table 2.1b_percent'!$C45,UtilityList!$A$4:$A$251&amp;UtilityList!$B$4:$B$251&amp;UtilityList!$C$4:$C$251,0))</f>
        <v>Lower Yukon-Kuskokwim</v>
      </c>
      <c r="N45" s="452" t="str">
        <f t="array" ref="N45">INDEX(UtilityList!K$4:K$251,MATCH('Table 2.1b_percent'!$A45&amp;'Table 2.1b_percent'!$B45&amp;'Table 2.1b_percent'!$C45,UtilityList!$A$4:$A$251&amp;UtilityList!$B$4:$B$251&amp;UtilityList!$C$4:$C$251,0))</f>
        <v>Wade Hampton (CA)</v>
      </c>
      <c r="O45" s="452" t="str">
        <f t="array" ref="O45">INDEX(UtilityList!L$4:L$251,MATCH('Table 2.1b_percent'!$A45&amp;'Table 2.1b_percent'!$B45&amp;'Table 2.1b_percent'!$C45,UtilityList!$A$4:$A$251&amp;UtilityList!$B$4:$B$251&amp;UtilityList!$C$4:$C$251,0))</f>
        <v>Calista</v>
      </c>
      <c r="P45" s="452" t="str">
        <f t="array" ref="P45">INDEX(UtilityList!M$4:M$251,MATCH('Table 2.1b_percent'!$A45&amp;'Table 2.1b_percent'!$B45&amp;'Table 2.1b_percent'!$C45,UtilityList!$A$4:$A$251&amp;UtilityList!$B$4:$B$251&amp;UtilityList!$C$4:$C$251,0))</f>
        <v>YU</v>
      </c>
    </row>
    <row r="46" spans="1:16" s="344" customFormat="1" ht="30" x14ac:dyDescent="0.25">
      <c r="A46" s="619" t="s">
        <v>524</v>
      </c>
      <c r="B46" s="361" t="s">
        <v>71</v>
      </c>
      <c r="C46" s="350" t="s">
        <v>71</v>
      </c>
      <c r="D46" s="625">
        <v>1</v>
      </c>
      <c r="E46" s="626">
        <v>0</v>
      </c>
      <c r="F46" s="626">
        <v>1</v>
      </c>
      <c r="G46" s="626">
        <v>0</v>
      </c>
      <c r="H46" s="626">
        <v>0</v>
      </c>
      <c r="I46" s="361" t="s">
        <v>718</v>
      </c>
      <c r="J46" s="622" t="str">
        <f t="array" ref="J46">INDEX(UtilityList!H$4:H$251,MATCH('Table 2.1b_percent'!$A46&amp;'Table 2.1b_percent'!$B46&amp;'Table 2.1b_percent'!$C46,UtilityList!$A$4:$A$251&amp;UtilityList!$B$4:$B$251&amp;UtilityList!$C$4:$C$251,0))</f>
        <v>PCE Eligible Active</v>
      </c>
      <c r="K46" s="709">
        <f t="array" ref="K46">INDEX(UtilityList!Q$4:Q$251,MATCH('Table 2.1b_percent'!$A46&amp;'Table 2.1b_percent'!$B46&amp;'Table 2.1b_percent'!$C46,UtilityList!$A$4:$A$251&amp;UtilityList!$B$4:$B$251&amp;UtilityList!$C$4:$C$251,0))</f>
        <v>0</v>
      </c>
      <c r="L46" s="627" t="str">
        <f t="array" ref="L46">INDEX(UtilityList!I$4:I$251,MATCH('Table 2.1b_percent'!$A46&amp;'Table 2.1b_percent'!$B46&amp;'Table 2.1b_percent'!$C46,UtilityList!$A$4:$A$251&amp;UtilityList!$B$4:$B$251&amp;UtilityList!$C$4:$C$251,0))</f>
        <v>ALASVEC</v>
      </c>
      <c r="M46" s="452" t="str">
        <f t="array" ref="M46">INDEX(UtilityList!J$4:J$251,MATCH('Table 2.1b_percent'!$A46&amp;'Table 2.1b_percent'!$B46&amp;'Table 2.1b_percent'!$C46,UtilityList!$A$4:$A$251&amp;UtilityList!$B$4:$B$251&amp;UtilityList!$C$4:$C$251,0))</f>
        <v>Lower Yukon-Kuskokwim</v>
      </c>
      <c r="N46" s="452" t="str">
        <f t="array" ref="N46">INDEX(UtilityList!K$4:K$251,MATCH('Table 2.1b_percent'!$A46&amp;'Table 2.1b_percent'!$B46&amp;'Table 2.1b_percent'!$C46,UtilityList!$A$4:$A$251&amp;UtilityList!$B$4:$B$251&amp;UtilityList!$C$4:$C$251,0))</f>
        <v>Bethel (CA)</v>
      </c>
      <c r="O46" s="452" t="str">
        <f t="array" ref="O46">INDEX(UtilityList!L$4:L$251,MATCH('Table 2.1b_percent'!$A46&amp;'Table 2.1b_percent'!$B46&amp;'Table 2.1b_percent'!$C46,UtilityList!$A$4:$A$251&amp;UtilityList!$B$4:$B$251&amp;UtilityList!$C$4:$C$251,0))</f>
        <v>Calista</v>
      </c>
      <c r="P46" s="452" t="str">
        <f t="array" ref="P46">INDEX(UtilityList!M$4:M$251,MATCH('Table 2.1b_percent'!$A46&amp;'Table 2.1b_percent'!$B46&amp;'Table 2.1b_percent'!$C46,UtilityList!$A$4:$A$251&amp;UtilityList!$B$4:$B$251&amp;UtilityList!$C$4:$C$251,0))</f>
        <v>SW</v>
      </c>
    </row>
    <row r="47" spans="1:16" s="344" customFormat="1" ht="30" x14ac:dyDescent="0.25">
      <c r="A47" s="619" t="s">
        <v>524</v>
      </c>
      <c r="B47" s="361" t="s">
        <v>173</v>
      </c>
      <c r="C47" s="350" t="s">
        <v>173</v>
      </c>
      <c r="D47" s="625">
        <v>1</v>
      </c>
      <c r="E47" s="626">
        <v>0</v>
      </c>
      <c r="F47" s="626">
        <v>1</v>
      </c>
      <c r="G47" s="626">
        <v>0</v>
      </c>
      <c r="H47" s="626">
        <v>0</v>
      </c>
      <c r="I47" s="361" t="s">
        <v>718</v>
      </c>
      <c r="J47" s="622" t="str">
        <f t="array" ref="J47">INDEX(UtilityList!H$4:H$251,MATCH('Table 2.1b_percent'!$A47&amp;'Table 2.1b_percent'!$B47&amp;'Table 2.1b_percent'!$C47,UtilityList!$A$4:$A$251&amp;UtilityList!$B$4:$B$251&amp;UtilityList!$C$4:$C$251,0))</f>
        <v>PCE Eligible Active</v>
      </c>
      <c r="K47" s="709">
        <f t="array" ref="K47">INDEX(UtilityList!Q$4:Q$251,MATCH('Table 2.1b_percent'!$A47&amp;'Table 2.1b_percent'!$B47&amp;'Table 2.1b_percent'!$C47,UtilityList!$A$4:$A$251&amp;UtilityList!$B$4:$B$251&amp;UtilityList!$C$4:$C$251,0))</f>
        <v>0</v>
      </c>
      <c r="L47" s="627" t="str">
        <f t="array" ref="L47">INDEX(UtilityList!I$4:I$251,MATCH('Table 2.1b_percent'!$A47&amp;'Table 2.1b_percent'!$B47&amp;'Table 2.1b_percent'!$C47,UtilityList!$A$4:$A$251&amp;UtilityList!$B$4:$B$251&amp;UtilityList!$C$4:$C$251,0))</f>
        <v>EKWO</v>
      </c>
      <c r="M47" s="452" t="str">
        <f t="array" ref="M47">INDEX(UtilityList!J$4:J$251,MATCH('Table 2.1b_percent'!$A47&amp;'Table 2.1b_percent'!$B47&amp;'Table 2.1b_percent'!$C47,UtilityList!$A$4:$A$251&amp;UtilityList!$B$4:$B$251&amp;UtilityList!$C$4:$C$251,0))</f>
        <v>Bristol Bay</v>
      </c>
      <c r="N47" s="452" t="str">
        <f t="array" ref="N47">INDEX(UtilityList!K$4:K$251,MATCH('Table 2.1b_percent'!$A47&amp;'Table 2.1b_percent'!$B47&amp;'Table 2.1b_percent'!$C47,UtilityList!$A$4:$A$251&amp;UtilityList!$B$4:$B$251&amp;UtilityList!$C$4:$C$251,0))</f>
        <v>Dillingham (CA)</v>
      </c>
      <c r="O47" s="452" t="str">
        <f t="array" ref="O47">INDEX(UtilityList!L$4:L$251,MATCH('Table 2.1b_percent'!$A47&amp;'Table 2.1b_percent'!$B47&amp;'Table 2.1b_percent'!$C47,UtilityList!$A$4:$A$251&amp;UtilityList!$B$4:$B$251&amp;UtilityList!$C$4:$C$251,0))</f>
        <v>Bristol Bay</v>
      </c>
      <c r="P47" s="452" t="str">
        <f t="array" ref="P47">INDEX(UtilityList!M$4:M$251,MATCH('Table 2.1b_percent'!$A47&amp;'Table 2.1b_percent'!$B47&amp;'Table 2.1b_percent'!$C47,UtilityList!$A$4:$A$251&amp;UtilityList!$B$4:$B$251&amp;UtilityList!$C$4:$C$251,0))</f>
        <v>SW</v>
      </c>
    </row>
    <row r="48" spans="1:16" s="344" customFormat="1" x14ac:dyDescent="0.25">
      <c r="A48" s="619" t="s">
        <v>524</v>
      </c>
      <c r="B48" s="361" t="s">
        <v>72</v>
      </c>
      <c r="C48" s="350" t="s">
        <v>72</v>
      </c>
      <c r="D48" s="625">
        <v>1</v>
      </c>
      <c r="E48" s="626">
        <v>0</v>
      </c>
      <c r="F48" s="626">
        <v>1</v>
      </c>
      <c r="G48" s="626">
        <v>0</v>
      </c>
      <c r="H48" s="626">
        <v>0</v>
      </c>
      <c r="I48" s="361" t="s">
        <v>648</v>
      </c>
      <c r="J48" s="622" t="str">
        <f t="array" ref="J48">INDEX(UtilityList!H$4:H$251,MATCH('Table 2.1b_percent'!$A48&amp;'Table 2.1b_percent'!$B48&amp;'Table 2.1b_percent'!$C48,UtilityList!$A$4:$A$251&amp;UtilityList!$B$4:$B$251&amp;UtilityList!$C$4:$C$251,0))</f>
        <v>PCE Eligible Active</v>
      </c>
      <c r="K48" s="709">
        <f t="array" ref="K48">INDEX(UtilityList!Q$4:Q$251,MATCH('Table 2.1b_percent'!$A48&amp;'Table 2.1b_percent'!$B48&amp;'Table 2.1b_percent'!$C48,UtilityList!$A$4:$A$251&amp;UtilityList!$B$4:$B$251&amp;UtilityList!$C$4:$C$251,0))</f>
        <v>0</v>
      </c>
      <c r="L48" s="627" t="str">
        <f t="array" ref="L48">INDEX(UtilityList!I$4:I$251,MATCH('Table 2.1b_percent'!$A48&amp;'Table 2.1b_percent'!$B48&amp;'Table 2.1b_percent'!$C48,UtilityList!$A$4:$A$251&amp;UtilityList!$B$4:$B$251&amp;UtilityList!$C$4:$C$251,0))</f>
        <v>ALASVEC</v>
      </c>
      <c r="M48" s="452" t="str">
        <f t="array" ref="M48">INDEX(UtilityList!J$4:J$251,MATCH('Table 2.1b_percent'!$A48&amp;'Table 2.1b_percent'!$B48&amp;'Table 2.1b_percent'!$C48,UtilityList!$A$4:$A$251&amp;UtilityList!$B$4:$B$251&amp;UtilityList!$C$4:$C$251,0))</f>
        <v>Bering Straits</v>
      </c>
      <c r="N48" s="452" t="str">
        <f t="array" ref="N48">INDEX(UtilityList!K$4:K$251,MATCH('Table 2.1b_percent'!$A48&amp;'Table 2.1b_percent'!$B48&amp;'Table 2.1b_percent'!$C48,UtilityList!$A$4:$A$251&amp;UtilityList!$B$4:$B$251&amp;UtilityList!$C$4:$C$251,0))</f>
        <v>Nome (CA)</v>
      </c>
      <c r="O48" s="452" t="str">
        <f t="array" ref="O48">INDEX(UtilityList!L$4:L$251,MATCH('Table 2.1b_percent'!$A48&amp;'Table 2.1b_percent'!$B48&amp;'Table 2.1b_percent'!$C48,UtilityList!$A$4:$A$251&amp;UtilityList!$B$4:$B$251&amp;UtilityList!$C$4:$C$251,0))</f>
        <v>Bering Straits</v>
      </c>
      <c r="P48" s="452" t="str">
        <f t="array" ref="P48">INDEX(UtilityList!M$4:M$251,MATCH('Table 2.1b_percent'!$A48&amp;'Table 2.1b_percent'!$B48&amp;'Table 2.1b_percent'!$C48,UtilityList!$A$4:$A$251&amp;UtilityList!$B$4:$B$251&amp;UtilityList!$C$4:$C$251,0))</f>
        <v>AN</v>
      </c>
    </row>
    <row r="49" spans="1:16" s="344" customFormat="1" ht="30" x14ac:dyDescent="0.25">
      <c r="A49" s="619" t="s">
        <v>524</v>
      </c>
      <c r="B49" s="361" t="s">
        <v>73</v>
      </c>
      <c r="C49" s="350" t="s">
        <v>73</v>
      </c>
      <c r="D49" s="625">
        <v>1</v>
      </c>
      <c r="E49" s="626">
        <v>0</v>
      </c>
      <c r="F49" s="626">
        <v>0.82608695652173914</v>
      </c>
      <c r="G49" s="626">
        <v>0</v>
      </c>
      <c r="H49" s="626">
        <v>0.17391304347826086</v>
      </c>
      <c r="I49" s="361" t="s">
        <v>648</v>
      </c>
      <c r="J49" s="622" t="str">
        <f t="array" ref="J49">INDEX(UtilityList!H$4:H$251,MATCH('Table 2.1b_percent'!$A49&amp;'Table 2.1b_percent'!$B49&amp;'Table 2.1b_percent'!$C49,UtilityList!$A$4:$A$251&amp;UtilityList!$B$4:$B$251&amp;UtilityList!$C$4:$C$251,0))</f>
        <v>PCE Eligible Active</v>
      </c>
      <c r="K49" s="709">
        <f t="array" ref="K49">INDEX(UtilityList!Q$4:Q$251,MATCH('Table 2.1b_percent'!$A49&amp;'Table 2.1b_percent'!$B49&amp;'Table 2.1b_percent'!$C49,UtilityList!$A$4:$A$251&amp;UtilityList!$B$4:$B$251&amp;UtilityList!$C$4:$C$251,0))</f>
        <v>0</v>
      </c>
      <c r="L49" s="627" t="str">
        <f t="array" ref="L49">INDEX(UtilityList!I$4:I$251,MATCH('Table 2.1b_percent'!$A49&amp;'Table 2.1b_percent'!$B49&amp;'Table 2.1b_percent'!$C49,UtilityList!$A$4:$A$251&amp;UtilityList!$B$4:$B$251&amp;UtilityList!$C$4:$C$251,0))</f>
        <v>ALASVEC</v>
      </c>
      <c r="M49" s="452" t="str">
        <f t="array" ref="M49">INDEX(UtilityList!J$4:J$251,MATCH('Table 2.1b_percent'!$A49&amp;'Table 2.1b_percent'!$B49&amp;'Table 2.1b_percent'!$C49,UtilityList!$A$4:$A$251&amp;UtilityList!$B$4:$B$251&amp;UtilityList!$C$4:$C$251,0))</f>
        <v>Lower Yukon-Kuskokwim</v>
      </c>
      <c r="N49" s="452" t="str">
        <f t="array" ref="N49">INDEX(UtilityList!K$4:K$251,MATCH('Table 2.1b_percent'!$A49&amp;'Table 2.1b_percent'!$B49&amp;'Table 2.1b_percent'!$C49,UtilityList!$A$4:$A$251&amp;UtilityList!$B$4:$B$251&amp;UtilityList!$C$4:$C$251,0))</f>
        <v>Wade Hampton (CA)</v>
      </c>
      <c r="O49" s="452" t="str">
        <f t="array" ref="O49">INDEX(UtilityList!L$4:L$251,MATCH('Table 2.1b_percent'!$A49&amp;'Table 2.1b_percent'!$B49&amp;'Table 2.1b_percent'!$C49,UtilityList!$A$4:$A$251&amp;UtilityList!$B$4:$B$251&amp;UtilityList!$C$4:$C$251,0))</f>
        <v>Calista</v>
      </c>
      <c r="P49" s="452" t="str">
        <f t="array" ref="P49">INDEX(UtilityList!M$4:M$251,MATCH('Table 2.1b_percent'!$A49&amp;'Table 2.1b_percent'!$B49&amp;'Table 2.1b_percent'!$C49,UtilityList!$A$4:$A$251&amp;UtilityList!$B$4:$B$251&amp;UtilityList!$C$4:$C$251,0))</f>
        <v>YU</v>
      </c>
    </row>
    <row r="50" spans="1:16" s="344" customFormat="1" ht="30" x14ac:dyDescent="0.25">
      <c r="A50" s="619" t="s">
        <v>524</v>
      </c>
      <c r="B50" s="361" t="s">
        <v>74</v>
      </c>
      <c r="C50" s="350" t="s">
        <v>74</v>
      </c>
      <c r="D50" s="625">
        <v>1</v>
      </c>
      <c r="E50" s="626">
        <v>0</v>
      </c>
      <c r="F50" s="626">
        <v>0.84210526315789469</v>
      </c>
      <c r="G50" s="626">
        <v>0</v>
      </c>
      <c r="H50" s="626">
        <v>0.15789473684210525</v>
      </c>
      <c r="I50" s="361" t="s">
        <v>653</v>
      </c>
      <c r="J50" s="622" t="str">
        <f t="array" ref="J50">INDEX(UtilityList!H$4:H$251,MATCH('Table 2.1b_percent'!$A50&amp;'Table 2.1b_percent'!$B50&amp;'Table 2.1b_percent'!$C50,UtilityList!$A$4:$A$251&amp;UtilityList!$B$4:$B$251&amp;UtilityList!$C$4:$C$251,0))</f>
        <v>PCE Eligible Active</v>
      </c>
      <c r="K50" s="709">
        <f t="array" ref="K50">INDEX(UtilityList!Q$4:Q$251,MATCH('Table 2.1b_percent'!$A50&amp;'Table 2.1b_percent'!$B50&amp;'Table 2.1b_percent'!$C50,UtilityList!$A$4:$A$251&amp;UtilityList!$B$4:$B$251&amp;UtilityList!$C$4:$C$251,0))</f>
        <v>0</v>
      </c>
      <c r="L50" s="627" t="str">
        <f t="array" ref="L50">INDEX(UtilityList!I$4:I$251,MATCH('Table 2.1b_percent'!$A50&amp;'Table 2.1b_percent'!$B50&amp;'Table 2.1b_percent'!$C50,UtilityList!$A$4:$A$251&amp;UtilityList!$B$4:$B$251&amp;UtilityList!$C$4:$C$251,0))</f>
        <v>ALASVEC</v>
      </c>
      <c r="M50" s="452" t="str">
        <f t="array" ref="M50">INDEX(UtilityList!J$4:J$251,MATCH('Table 2.1b_percent'!$A50&amp;'Table 2.1b_percent'!$B50&amp;'Table 2.1b_percent'!$C50,UtilityList!$A$4:$A$251&amp;UtilityList!$B$4:$B$251&amp;UtilityList!$C$4:$C$251,0))</f>
        <v>Bering Straits</v>
      </c>
      <c r="N50" s="452" t="str">
        <f t="array" ref="N50">INDEX(UtilityList!K$4:K$251,MATCH('Table 2.1b_percent'!$A50&amp;'Table 2.1b_percent'!$B50&amp;'Table 2.1b_percent'!$C50,UtilityList!$A$4:$A$251&amp;UtilityList!$B$4:$B$251&amp;UtilityList!$C$4:$C$251,0))</f>
        <v>Nome (CA)</v>
      </c>
      <c r="O50" s="452" t="str">
        <f t="array" ref="O50">INDEX(UtilityList!L$4:L$251,MATCH('Table 2.1b_percent'!$A50&amp;'Table 2.1b_percent'!$B50&amp;'Table 2.1b_percent'!$C50,UtilityList!$A$4:$A$251&amp;UtilityList!$B$4:$B$251&amp;UtilityList!$C$4:$C$251,0))</f>
        <v>Bering Straits</v>
      </c>
      <c r="P50" s="452" t="str">
        <f t="array" ref="P50">INDEX(UtilityList!M$4:M$251,MATCH('Table 2.1b_percent'!$A50&amp;'Table 2.1b_percent'!$B50&amp;'Table 2.1b_percent'!$C50,UtilityList!$A$4:$A$251&amp;UtilityList!$B$4:$B$251&amp;UtilityList!$C$4:$C$251,0))</f>
        <v>AN</v>
      </c>
    </row>
    <row r="51" spans="1:16" s="344" customFormat="1" ht="30" x14ac:dyDescent="0.25">
      <c r="A51" s="619" t="s">
        <v>524</v>
      </c>
      <c r="B51" s="361" t="s">
        <v>75</v>
      </c>
      <c r="C51" s="350" t="s">
        <v>75</v>
      </c>
      <c r="D51" s="625">
        <v>1</v>
      </c>
      <c r="E51" s="626">
        <v>0</v>
      </c>
      <c r="F51" s="626">
        <v>1</v>
      </c>
      <c r="G51" s="626">
        <v>0</v>
      </c>
      <c r="H51" s="626">
        <v>0</v>
      </c>
      <c r="I51" s="361" t="s">
        <v>718</v>
      </c>
      <c r="J51" s="622" t="str">
        <f t="array" ref="J51">INDEX(UtilityList!H$4:H$251,MATCH('Table 2.1b_percent'!$A51&amp;'Table 2.1b_percent'!$B51&amp;'Table 2.1b_percent'!$C51,UtilityList!$A$4:$A$251&amp;UtilityList!$B$4:$B$251&amp;UtilityList!$C$4:$C$251,0))</f>
        <v>PCE Eligible Active</v>
      </c>
      <c r="K51" s="709">
        <f t="array" ref="K51">INDEX(UtilityList!Q$4:Q$251,MATCH('Table 2.1b_percent'!$A51&amp;'Table 2.1b_percent'!$B51&amp;'Table 2.1b_percent'!$C51,UtilityList!$A$4:$A$251&amp;UtilityList!$B$4:$B$251&amp;UtilityList!$C$4:$C$251,0))</f>
        <v>0</v>
      </c>
      <c r="L51" s="627" t="str">
        <f t="array" ref="L51">INDEX(UtilityList!I$4:I$251,MATCH('Table 2.1b_percent'!$A51&amp;'Table 2.1b_percent'!$B51&amp;'Table 2.1b_percent'!$C51,UtilityList!$A$4:$A$251&amp;UtilityList!$B$4:$B$251&amp;UtilityList!$C$4:$C$251,0))</f>
        <v>ALASVEC</v>
      </c>
      <c r="M51" s="452" t="str">
        <f t="array" ref="M51">INDEX(UtilityList!J$4:J$251,MATCH('Table 2.1b_percent'!$A51&amp;'Table 2.1b_percent'!$B51&amp;'Table 2.1b_percent'!$C51,UtilityList!$A$4:$A$251&amp;UtilityList!$B$4:$B$251&amp;UtilityList!$C$4:$C$251,0))</f>
        <v>Lower Yukon-Kuskokwim</v>
      </c>
      <c r="N51" s="452" t="str">
        <f t="array" ref="N51">INDEX(UtilityList!K$4:K$251,MATCH('Table 2.1b_percent'!$A51&amp;'Table 2.1b_percent'!$B51&amp;'Table 2.1b_percent'!$C51,UtilityList!$A$4:$A$251&amp;UtilityList!$B$4:$B$251&amp;UtilityList!$C$4:$C$251,0))</f>
        <v>Bethel (CA)</v>
      </c>
      <c r="O51" s="452" t="str">
        <f t="array" ref="O51">INDEX(UtilityList!L$4:L$251,MATCH('Table 2.1b_percent'!$A51&amp;'Table 2.1b_percent'!$B51&amp;'Table 2.1b_percent'!$C51,UtilityList!$A$4:$A$251&amp;UtilityList!$B$4:$B$251&amp;UtilityList!$C$4:$C$251,0))</f>
        <v>Calista</v>
      </c>
      <c r="P51" s="452" t="str">
        <f t="array" ref="P51">INDEX(UtilityList!M$4:M$251,MATCH('Table 2.1b_percent'!$A51&amp;'Table 2.1b_percent'!$B51&amp;'Table 2.1b_percent'!$C51,UtilityList!$A$4:$A$251&amp;UtilityList!$B$4:$B$251&amp;UtilityList!$C$4:$C$251,0))</f>
        <v>SW</v>
      </c>
    </row>
    <row r="52" spans="1:16" s="344" customFormat="1" ht="30" x14ac:dyDescent="0.25">
      <c r="A52" s="619" t="s">
        <v>524</v>
      </c>
      <c r="B52" s="361" t="s">
        <v>76</v>
      </c>
      <c r="C52" s="350" t="s">
        <v>76</v>
      </c>
      <c r="D52" s="625">
        <v>1</v>
      </c>
      <c r="E52" s="626">
        <v>0</v>
      </c>
      <c r="F52" s="626">
        <v>1</v>
      </c>
      <c r="G52" s="626">
        <v>0</v>
      </c>
      <c r="H52" s="626">
        <v>0</v>
      </c>
      <c r="I52" s="361" t="s">
        <v>718</v>
      </c>
      <c r="J52" s="622" t="str">
        <f t="array" ref="J52">INDEX(UtilityList!H$4:H$251,MATCH('Table 2.1b_percent'!$A52&amp;'Table 2.1b_percent'!$B52&amp;'Table 2.1b_percent'!$C52,UtilityList!$A$4:$A$251&amp;UtilityList!$B$4:$B$251&amp;UtilityList!$C$4:$C$251,0))</f>
        <v>PCE Eligible Active</v>
      </c>
      <c r="K52" s="709">
        <f t="array" ref="K52">INDEX(UtilityList!Q$4:Q$251,MATCH('Table 2.1b_percent'!$A52&amp;'Table 2.1b_percent'!$B52&amp;'Table 2.1b_percent'!$C52,UtilityList!$A$4:$A$251&amp;UtilityList!$B$4:$B$251&amp;UtilityList!$C$4:$C$251,0))</f>
        <v>0</v>
      </c>
      <c r="L52" s="627" t="str">
        <f t="array" ref="L52">INDEX(UtilityList!I$4:I$251,MATCH('Table 2.1b_percent'!$A52&amp;'Table 2.1b_percent'!$B52&amp;'Table 2.1b_percent'!$C52,UtilityList!$A$4:$A$251&amp;UtilityList!$B$4:$B$251&amp;UtilityList!$C$4:$C$251,0))</f>
        <v>ALASVEC</v>
      </c>
      <c r="M52" s="452" t="str">
        <f t="array" ref="M52">INDEX(UtilityList!J$4:J$251,MATCH('Table 2.1b_percent'!$A52&amp;'Table 2.1b_percent'!$B52&amp;'Table 2.1b_percent'!$C52,UtilityList!$A$4:$A$251&amp;UtilityList!$B$4:$B$251&amp;UtilityList!$C$4:$C$251,0))</f>
        <v>Yukon-Koyukuk/Upper Tanana</v>
      </c>
      <c r="N52" s="452" t="str">
        <f t="array" ref="N52">INDEX(UtilityList!K$4:K$251,MATCH('Table 2.1b_percent'!$A52&amp;'Table 2.1b_percent'!$B52&amp;'Table 2.1b_percent'!$C52,UtilityList!$A$4:$A$251&amp;UtilityList!$B$4:$B$251&amp;UtilityList!$C$4:$C$251,0))</f>
        <v>Yukon-Koyukuk (CA)</v>
      </c>
      <c r="O52" s="452" t="str">
        <f t="array" ref="O52">INDEX(UtilityList!L$4:L$251,MATCH('Table 2.1b_percent'!$A52&amp;'Table 2.1b_percent'!$B52&amp;'Table 2.1b_percent'!$C52,UtilityList!$A$4:$A$251&amp;UtilityList!$B$4:$B$251&amp;UtilityList!$C$4:$C$251,0))</f>
        <v>Doyon</v>
      </c>
      <c r="P52" s="452" t="str">
        <f t="array" ref="P52">INDEX(UtilityList!M$4:M$251,MATCH('Table 2.1b_percent'!$A52&amp;'Table 2.1b_percent'!$B52&amp;'Table 2.1b_percent'!$C52,UtilityList!$A$4:$A$251&amp;UtilityList!$B$4:$B$251&amp;UtilityList!$C$4:$C$251,0))</f>
        <v>YU</v>
      </c>
    </row>
    <row r="53" spans="1:16" s="344" customFormat="1" ht="30" x14ac:dyDescent="0.25">
      <c r="A53" s="619" t="s">
        <v>524</v>
      </c>
      <c r="B53" s="361" t="s">
        <v>77</v>
      </c>
      <c r="C53" s="350" t="s">
        <v>77</v>
      </c>
      <c r="D53" s="625">
        <v>1</v>
      </c>
      <c r="E53" s="626">
        <v>0</v>
      </c>
      <c r="F53" s="626">
        <v>1</v>
      </c>
      <c r="G53" s="626">
        <v>0</v>
      </c>
      <c r="H53" s="626">
        <v>0</v>
      </c>
      <c r="I53" s="361" t="s">
        <v>718</v>
      </c>
      <c r="J53" s="622" t="str">
        <f t="array" ref="J53">INDEX(UtilityList!H$4:H$251,MATCH('Table 2.1b_percent'!$A53&amp;'Table 2.1b_percent'!$B53&amp;'Table 2.1b_percent'!$C53,UtilityList!$A$4:$A$251&amp;UtilityList!$B$4:$B$251&amp;UtilityList!$C$4:$C$251,0))</f>
        <v>PCE Eligible Active</v>
      </c>
      <c r="K53" s="709">
        <f t="array" ref="K53">INDEX(UtilityList!Q$4:Q$251,MATCH('Table 2.1b_percent'!$A53&amp;'Table 2.1b_percent'!$B53&amp;'Table 2.1b_percent'!$C53,UtilityList!$A$4:$A$251&amp;UtilityList!$B$4:$B$251&amp;UtilityList!$C$4:$C$251,0))</f>
        <v>0</v>
      </c>
      <c r="L53" s="627" t="str">
        <f t="array" ref="L53">INDEX(UtilityList!I$4:I$251,MATCH('Table 2.1b_percent'!$A53&amp;'Table 2.1b_percent'!$B53&amp;'Table 2.1b_percent'!$C53,UtilityList!$A$4:$A$251&amp;UtilityList!$B$4:$B$251&amp;UtilityList!$C$4:$C$251,0))</f>
        <v>ALASVEC</v>
      </c>
      <c r="M53" s="452" t="str">
        <f t="array" ref="M53">INDEX(UtilityList!J$4:J$251,MATCH('Table 2.1b_percent'!$A53&amp;'Table 2.1b_percent'!$B53&amp;'Table 2.1b_percent'!$C53,UtilityList!$A$4:$A$251&amp;UtilityList!$B$4:$B$251&amp;UtilityList!$C$4:$C$251,0))</f>
        <v>Yukon-Koyukuk/Upper Tanana</v>
      </c>
      <c r="N53" s="452" t="str">
        <f t="array" ref="N53">INDEX(UtilityList!K$4:K$251,MATCH('Table 2.1b_percent'!$A53&amp;'Table 2.1b_percent'!$B53&amp;'Table 2.1b_percent'!$C53,UtilityList!$A$4:$A$251&amp;UtilityList!$B$4:$B$251&amp;UtilityList!$C$4:$C$251,0))</f>
        <v>Yukon-Koyukuk (CA)</v>
      </c>
      <c r="O53" s="452" t="str">
        <f t="array" ref="O53">INDEX(UtilityList!L$4:L$251,MATCH('Table 2.1b_percent'!$A53&amp;'Table 2.1b_percent'!$B53&amp;'Table 2.1b_percent'!$C53,UtilityList!$A$4:$A$251&amp;UtilityList!$B$4:$B$251&amp;UtilityList!$C$4:$C$251,0))</f>
        <v>Doyon</v>
      </c>
      <c r="P53" s="452" t="str">
        <f t="array" ref="P53">INDEX(UtilityList!M$4:M$251,MATCH('Table 2.1b_percent'!$A53&amp;'Table 2.1b_percent'!$B53&amp;'Table 2.1b_percent'!$C53,UtilityList!$A$4:$A$251&amp;UtilityList!$B$4:$B$251&amp;UtilityList!$C$4:$C$251,0))</f>
        <v>YU</v>
      </c>
    </row>
    <row r="54" spans="1:16" s="344" customFormat="1" ht="30" x14ac:dyDescent="0.25">
      <c r="A54" s="619" t="s">
        <v>524</v>
      </c>
      <c r="B54" s="361" t="s">
        <v>78</v>
      </c>
      <c r="C54" s="350" t="s">
        <v>78</v>
      </c>
      <c r="D54" s="625">
        <v>1</v>
      </c>
      <c r="E54" s="626">
        <v>0</v>
      </c>
      <c r="F54" s="626">
        <v>0.84210526315789469</v>
      </c>
      <c r="G54" s="626">
        <v>0</v>
      </c>
      <c r="H54" s="626">
        <v>0.15789473684210525</v>
      </c>
      <c r="I54" s="361" t="s">
        <v>654</v>
      </c>
      <c r="J54" s="622" t="str">
        <f t="array" ref="J54">INDEX(UtilityList!H$4:H$251,MATCH('Table 2.1b_percent'!$A54&amp;'Table 2.1b_percent'!$B54&amp;'Table 2.1b_percent'!$C54,UtilityList!$A$4:$A$251&amp;UtilityList!$B$4:$B$251&amp;UtilityList!$C$4:$C$251,0))</f>
        <v>PCE Eligible Active</v>
      </c>
      <c r="K54" s="709">
        <f t="array" ref="K54">INDEX(UtilityList!Q$4:Q$251,MATCH('Table 2.1b_percent'!$A54&amp;'Table 2.1b_percent'!$B54&amp;'Table 2.1b_percent'!$C54,UtilityList!$A$4:$A$251&amp;UtilityList!$B$4:$B$251&amp;UtilityList!$C$4:$C$251,0))</f>
        <v>0</v>
      </c>
      <c r="L54" s="627" t="str">
        <f t="array" ref="L54">INDEX(UtilityList!I$4:I$251,MATCH('Table 2.1b_percent'!$A54&amp;'Table 2.1b_percent'!$B54&amp;'Table 2.1b_percent'!$C54,UtilityList!$A$4:$A$251&amp;UtilityList!$B$4:$B$251&amp;UtilityList!$C$4:$C$251,0))</f>
        <v>ALASVEC</v>
      </c>
      <c r="M54" s="452" t="str">
        <f t="array" ref="M54">INDEX(UtilityList!J$4:J$251,MATCH('Table 2.1b_percent'!$A54&amp;'Table 2.1b_percent'!$B54&amp;'Table 2.1b_percent'!$C54,UtilityList!$A$4:$A$251&amp;UtilityList!$B$4:$B$251&amp;UtilityList!$C$4:$C$251,0))</f>
        <v>Lower Yukon-Kuskokwim</v>
      </c>
      <c r="N54" s="452" t="str">
        <f t="array" ref="N54">INDEX(UtilityList!K$4:K$251,MATCH('Table 2.1b_percent'!$A54&amp;'Table 2.1b_percent'!$B54&amp;'Table 2.1b_percent'!$C54,UtilityList!$A$4:$A$251&amp;UtilityList!$B$4:$B$251&amp;UtilityList!$C$4:$C$251,0))</f>
        <v>Wade Hampton (CA)</v>
      </c>
      <c r="O54" s="452" t="str">
        <f t="array" ref="O54">INDEX(UtilityList!L$4:L$251,MATCH('Table 2.1b_percent'!$A54&amp;'Table 2.1b_percent'!$B54&amp;'Table 2.1b_percent'!$C54,UtilityList!$A$4:$A$251&amp;UtilityList!$B$4:$B$251&amp;UtilityList!$C$4:$C$251,0))</f>
        <v>Calista</v>
      </c>
      <c r="P54" s="452" t="str">
        <f t="array" ref="P54">INDEX(UtilityList!M$4:M$251,MATCH('Table 2.1b_percent'!$A54&amp;'Table 2.1b_percent'!$B54&amp;'Table 2.1b_percent'!$C54,UtilityList!$A$4:$A$251&amp;UtilityList!$B$4:$B$251&amp;UtilityList!$C$4:$C$251,0))</f>
        <v>YU</v>
      </c>
    </row>
    <row r="55" spans="1:16" s="344" customFormat="1" ht="30" x14ac:dyDescent="0.25">
      <c r="A55" s="619" t="s">
        <v>524</v>
      </c>
      <c r="B55" s="361" t="s">
        <v>79</v>
      </c>
      <c r="C55" s="350" t="s">
        <v>79</v>
      </c>
      <c r="D55" s="625">
        <v>1</v>
      </c>
      <c r="E55" s="626">
        <v>0</v>
      </c>
      <c r="F55" s="626">
        <v>1</v>
      </c>
      <c r="G55" s="626">
        <v>0</v>
      </c>
      <c r="H55" s="626">
        <v>0</v>
      </c>
      <c r="I55" s="361" t="s">
        <v>718</v>
      </c>
      <c r="J55" s="622" t="str">
        <f t="array" ref="J55">INDEX(UtilityList!H$4:H$251,MATCH('Table 2.1b_percent'!$A55&amp;'Table 2.1b_percent'!$B55&amp;'Table 2.1b_percent'!$C55,UtilityList!$A$4:$A$251&amp;UtilityList!$B$4:$B$251&amp;UtilityList!$C$4:$C$251,0))</f>
        <v>PCE Eligible Active</v>
      </c>
      <c r="K55" s="709">
        <f t="array" ref="K55">INDEX(UtilityList!Q$4:Q$251,MATCH('Table 2.1b_percent'!$A55&amp;'Table 2.1b_percent'!$B55&amp;'Table 2.1b_percent'!$C55,UtilityList!$A$4:$A$251&amp;UtilityList!$B$4:$B$251&amp;UtilityList!$C$4:$C$251,0))</f>
        <v>0</v>
      </c>
      <c r="L55" s="627" t="str">
        <f t="array" ref="L55">INDEX(UtilityList!I$4:I$251,MATCH('Table 2.1b_percent'!$A55&amp;'Table 2.1b_percent'!$B55&amp;'Table 2.1b_percent'!$C55,UtilityList!$A$4:$A$251&amp;UtilityList!$B$4:$B$251&amp;UtilityList!$C$4:$C$251,0))</f>
        <v>ALASVEC</v>
      </c>
      <c r="M55" s="452" t="str">
        <f t="array" ref="M55">INDEX(UtilityList!J$4:J$251,MATCH('Table 2.1b_percent'!$A55&amp;'Table 2.1b_percent'!$B55&amp;'Table 2.1b_percent'!$C55,UtilityList!$A$4:$A$251&amp;UtilityList!$B$4:$B$251&amp;UtilityList!$C$4:$C$251,0))</f>
        <v>Yukon-Koyukuk/Upper Tanana</v>
      </c>
      <c r="N55" s="452" t="str">
        <f t="array" ref="N55">INDEX(UtilityList!K$4:K$251,MATCH('Table 2.1b_percent'!$A55&amp;'Table 2.1b_percent'!$B55&amp;'Table 2.1b_percent'!$C55,UtilityList!$A$4:$A$251&amp;UtilityList!$B$4:$B$251&amp;UtilityList!$C$4:$C$251,0))</f>
        <v>Yukon-Koyukuk (CA)</v>
      </c>
      <c r="O55" s="452" t="str">
        <f t="array" ref="O55">INDEX(UtilityList!L$4:L$251,MATCH('Table 2.1b_percent'!$A55&amp;'Table 2.1b_percent'!$B55&amp;'Table 2.1b_percent'!$C55,UtilityList!$A$4:$A$251&amp;UtilityList!$B$4:$B$251&amp;UtilityList!$C$4:$C$251,0))</f>
        <v>Doyon</v>
      </c>
      <c r="P55" s="452" t="str">
        <f t="array" ref="P55">INDEX(UtilityList!M$4:M$251,MATCH('Table 2.1b_percent'!$A55&amp;'Table 2.1b_percent'!$B55&amp;'Table 2.1b_percent'!$C55,UtilityList!$A$4:$A$251&amp;UtilityList!$B$4:$B$251&amp;UtilityList!$C$4:$C$251,0))</f>
        <v>YU</v>
      </c>
    </row>
    <row r="56" spans="1:16" s="344" customFormat="1" ht="90" x14ac:dyDescent="0.25">
      <c r="A56" s="619" t="s">
        <v>524</v>
      </c>
      <c r="B56" s="361" t="s">
        <v>115</v>
      </c>
      <c r="C56" s="350" t="s">
        <v>997</v>
      </c>
      <c r="D56" s="625">
        <v>1</v>
      </c>
      <c r="E56" s="626">
        <v>0</v>
      </c>
      <c r="F56" s="626">
        <v>1</v>
      </c>
      <c r="G56" s="626">
        <v>0</v>
      </c>
      <c r="H56" s="626">
        <v>0</v>
      </c>
      <c r="I56" s="361" t="s">
        <v>648</v>
      </c>
      <c r="J56" s="622" t="str">
        <f t="array" ref="J56">INDEX(UtilityList!H$4:H$251,MATCH('Table 2.1b_percent'!$A56&amp;'Table 2.1b_percent'!$B56&amp;'Table 2.1b_percent'!$C56,UtilityList!$A$4:$A$251&amp;UtilityList!$B$4:$B$251&amp;UtilityList!$C$4:$C$251,0))</f>
        <v>PCE Eligible Active</v>
      </c>
      <c r="K56" s="709" t="str">
        <f t="array" ref="K56">INDEX(UtilityList!Q$4:Q$251,MATCH('Table 2.1b_percent'!$A56&amp;'Table 2.1b_percent'!$B56&amp;'Table 2.1b_percent'!$C56,UtilityList!$A$4:$A$251&amp;UtilityList!$B$4:$B$251&amp;UtilityList!$C$4:$C$251,0))</f>
        <v>Provides power to Lower Kalskag via intertie. Fuel use and cost data includes information for Lower Kalskag.</v>
      </c>
      <c r="L56" s="627" t="str">
        <f t="array" ref="L56">INDEX(UtilityList!I$4:I$251,MATCH('Table 2.1b_percent'!$A56&amp;'Table 2.1b_percent'!$B56&amp;'Table 2.1b_percent'!$C56,UtilityList!$A$4:$A$251&amp;UtilityList!$B$4:$B$251&amp;UtilityList!$C$4:$C$251,0))</f>
        <v>ALASVEC</v>
      </c>
      <c r="M56" s="452" t="str">
        <f t="array" ref="M56">INDEX(UtilityList!J$4:J$251,MATCH('Table 2.1b_percent'!$A56&amp;'Table 2.1b_percent'!$B56&amp;'Table 2.1b_percent'!$C56,UtilityList!$A$4:$A$251&amp;UtilityList!$B$4:$B$251&amp;UtilityList!$C$4:$C$251,0))</f>
        <v>Lower Yukon-Kuskokwim</v>
      </c>
      <c r="N56" s="452" t="str">
        <f t="array" ref="N56">INDEX(UtilityList!K$4:K$251,MATCH('Table 2.1b_percent'!$A56&amp;'Table 2.1b_percent'!$B56&amp;'Table 2.1b_percent'!$C56,UtilityList!$A$4:$A$251&amp;UtilityList!$B$4:$B$251&amp;UtilityList!$C$4:$C$251,0))</f>
        <v>Bethel (CA)</v>
      </c>
      <c r="O56" s="452" t="str">
        <f t="array" ref="O56">INDEX(UtilityList!L$4:L$251,MATCH('Table 2.1b_percent'!$A56&amp;'Table 2.1b_percent'!$B56&amp;'Table 2.1b_percent'!$C56,UtilityList!$A$4:$A$251&amp;UtilityList!$B$4:$B$251&amp;UtilityList!$C$4:$C$251,0))</f>
        <v>Calista</v>
      </c>
      <c r="P56" s="452" t="str">
        <f t="array" ref="P56">INDEX(UtilityList!M$4:M$251,MATCH('Table 2.1b_percent'!$A56&amp;'Table 2.1b_percent'!$B56&amp;'Table 2.1b_percent'!$C56,UtilityList!$A$4:$A$251&amp;UtilityList!$B$4:$B$251&amp;UtilityList!$C$4:$C$251,0))</f>
        <v>SW</v>
      </c>
    </row>
    <row r="57" spans="1:16" s="344" customFormat="1" ht="30" x14ac:dyDescent="0.25">
      <c r="A57" s="619" t="s">
        <v>524</v>
      </c>
      <c r="B57" s="361" t="s">
        <v>80</v>
      </c>
      <c r="C57" s="350" t="s">
        <v>80</v>
      </c>
      <c r="D57" s="625">
        <v>1</v>
      </c>
      <c r="E57" s="626">
        <v>0</v>
      </c>
      <c r="F57" s="626">
        <v>1</v>
      </c>
      <c r="G57" s="626">
        <v>0</v>
      </c>
      <c r="H57" s="626">
        <v>0</v>
      </c>
      <c r="I57" s="361" t="s">
        <v>718</v>
      </c>
      <c r="J57" s="622" t="str">
        <f t="array" ref="J57">INDEX(UtilityList!H$4:H$251,MATCH('Table 2.1b_percent'!$A57&amp;'Table 2.1b_percent'!$B57&amp;'Table 2.1b_percent'!$C57,UtilityList!$A$4:$A$251&amp;UtilityList!$B$4:$B$251&amp;UtilityList!$C$4:$C$251,0))</f>
        <v>PCE Eligible Active</v>
      </c>
      <c r="K57" s="709">
        <f t="array" ref="K57">INDEX(UtilityList!Q$4:Q$251,MATCH('Table 2.1b_percent'!$A57&amp;'Table 2.1b_percent'!$B57&amp;'Table 2.1b_percent'!$C57,UtilityList!$A$4:$A$251&amp;UtilityList!$B$4:$B$251&amp;UtilityList!$C$4:$C$251,0))</f>
        <v>0</v>
      </c>
      <c r="L57" s="627" t="str">
        <f t="array" ref="L57">INDEX(UtilityList!I$4:I$251,MATCH('Table 2.1b_percent'!$A57&amp;'Table 2.1b_percent'!$B57&amp;'Table 2.1b_percent'!$C57,UtilityList!$A$4:$A$251&amp;UtilityList!$B$4:$B$251&amp;UtilityList!$C$4:$C$251,0))</f>
        <v>ALASVEC</v>
      </c>
      <c r="M57" s="452" t="str">
        <f t="array" ref="M57">INDEX(UtilityList!J$4:J$251,MATCH('Table 2.1b_percent'!$A57&amp;'Table 2.1b_percent'!$B57&amp;'Table 2.1b_percent'!$C57,UtilityList!$A$4:$A$251&amp;UtilityList!$B$4:$B$251&amp;UtilityList!$C$4:$C$251,0))</f>
        <v>Yukon-Koyukuk/Upper Tanana</v>
      </c>
      <c r="N57" s="452" t="str">
        <f t="array" ref="N57">INDEX(UtilityList!K$4:K$251,MATCH('Table 2.1b_percent'!$A57&amp;'Table 2.1b_percent'!$B57&amp;'Table 2.1b_percent'!$C57,UtilityList!$A$4:$A$251&amp;UtilityList!$B$4:$B$251&amp;UtilityList!$C$4:$C$251,0))</f>
        <v>Yukon-Koyukuk (CA)</v>
      </c>
      <c r="O57" s="452" t="str">
        <f t="array" ref="O57">INDEX(UtilityList!L$4:L$251,MATCH('Table 2.1b_percent'!$A57&amp;'Table 2.1b_percent'!$B57&amp;'Table 2.1b_percent'!$C57,UtilityList!$A$4:$A$251&amp;UtilityList!$B$4:$B$251&amp;UtilityList!$C$4:$C$251,0))</f>
        <v>Doyon</v>
      </c>
      <c r="P57" s="452" t="str">
        <f t="array" ref="P57">INDEX(UtilityList!M$4:M$251,MATCH('Table 2.1b_percent'!$A57&amp;'Table 2.1b_percent'!$B57&amp;'Table 2.1b_percent'!$C57,UtilityList!$A$4:$A$251&amp;UtilityList!$B$4:$B$251&amp;UtilityList!$C$4:$C$251,0))</f>
        <v>YU</v>
      </c>
    </row>
    <row r="58" spans="1:16" s="344" customFormat="1" ht="90" x14ac:dyDescent="0.25">
      <c r="A58" s="619" t="s">
        <v>524</v>
      </c>
      <c r="B58" s="361" t="s">
        <v>81</v>
      </c>
      <c r="C58" s="350" t="s">
        <v>992</v>
      </c>
      <c r="D58" s="625">
        <v>1</v>
      </c>
      <c r="E58" s="626">
        <v>0</v>
      </c>
      <c r="F58" s="626">
        <v>0.84210526315789469</v>
      </c>
      <c r="G58" s="626">
        <v>0</v>
      </c>
      <c r="H58" s="626">
        <v>0.15789473684210525</v>
      </c>
      <c r="I58" s="361" t="s">
        <v>654</v>
      </c>
      <c r="J58" s="622" t="str">
        <f t="array" ref="J58">INDEX(UtilityList!H$4:H$251,MATCH('Table 2.1b_percent'!$A58&amp;'Table 2.1b_percent'!$B58&amp;'Table 2.1b_percent'!$C58,UtilityList!$A$4:$A$251&amp;UtilityList!$B$4:$B$251&amp;UtilityList!$C$4:$C$251,0))</f>
        <v>PCE Eligible Active</v>
      </c>
      <c r="K58" s="709" t="str">
        <f t="array" ref="K58">INDEX(UtilityList!Q$4:Q$251,MATCH('Table 2.1b_percent'!$A58&amp;'Table 2.1b_percent'!$B58&amp;'Table 2.1b_percent'!$C58,UtilityList!$A$4:$A$251&amp;UtilityList!$B$4:$B$251&amp;UtilityList!$C$4:$C$251,0))</f>
        <v>Provides power to Nunapitchuk via intertie.  Fuel use and cost includes Nunapitchuk's information.</v>
      </c>
      <c r="L58" s="627" t="str">
        <f t="array" ref="L58">INDEX(UtilityList!I$4:I$251,MATCH('Table 2.1b_percent'!$A58&amp;'Table 2.1b_percent'!$B58&amp;'Table 2.1b_percent'!$C58,UtilityList!$A$4:$A$251&amp;UtilityList!$B$4:$B$251&amp;UtilityList!$C$4:$C$251,0))</f>
        <v>ALASVEC</v>
      </c>
      <c r="M58" s="452" t="str">
        <f t="array" ref="M58">INDEX(UtilityList!J$4:J$251,MATCH('Table 2.1b_percent'!$A58&amp;'Table 2.1b_percent'!$B58&amp;'Table 2.1b_percent'!$C58,UtilityList!$A$4:$A$251&amp;UtilityList!$B$4:$B$251&amp;UtilityList!$C$4:$C$251,0))</f>
        <v>Lower Yukon-Kuskokwim</v>
      </c>
      <c r="N58" s="452" t="str">
        <f t="array" ref="N58">INDEX(UtilityList!K$4:K$251,MATCH('Table 2.1b_percent'!$A58&amp;'Table 2.1b_percent'!$B58&amp;'Table 2.1b_percent'!$C58,UtilityList!$A$4:$A$251&amp;UtilityList!$B$4:$B$251&amp;UtilityList!$C$4:$C$251,0))</f>
        <v>Bethel (CA)</v>
      </c>
      <c r="O58" s="452" t="str">
        <f t="array" ref="O58">INDEX(UtilityList!L$4:L$251,MATCH('Table 2.1b_percent'!$A58&amp;'Table 2.1b_percent'!$B58&amp;'Table 2.1b_percent'!$C58,UtilityList!$A$4:$A$251&amp;UtilityList!$B$4:$B$251&amp;UtilityList!$C$4:$C$251,0))</f>
        <v>Calista</v>
      </c>
      <c r="P58" s="452" t="str">
        <f t="array" ref="P58">INDEX(UtilityList!M$4:M$251,MATCH('Table 2.1b_percent'!$A58&amp;'Table 2.1b_percent'!$B58&amp;'Table 2.1b_percent'!$C58,UtilityList!$A$4:$A$251&amp;UtilityList!$B$4:$B$251&amp;UtilityList!$C$4:$C$251,0))</f>
        <v>SW</v>
      </c>
    </row>
    <row r="59" spans="1:16" s="344" customFormat="1" x14ac:dyDescent="0.25">
      <c r="A59" s="619" t="s">
        <v>524</v>
      </c>
      <c r="B59" s="361" t="s">
        <v>82</v>
      </c>
      <c r="C59" s="350" t="s">
        <v>82</v>
      </c>
      <c r="D59" s="625">
        <v>1</v>
      </c>
      <c r="E59" s="626">
        <v>0</v>
      </c>
      <c r="F59" s="626">
        <v>1</v>
      </c>
      <c r="G59" s="626">
        <v>0</v>
      </c>
      <c r="H59" s="626">
        <v>0</v>
      </c>
      <c r="I59" s="361" t="s">
        <v>648</v>
      </c>
      <c r="J59" s="622" t="str">
        <f t="array" ref="J59">INDEX(UtilityList!H$4:H$251,MATCH('Table 2.1b_percent'!$A59&amp;'Table 2.1b_percent'!$B59&amp;'Table 2.1b_percent'!$C59,UtilityList!$A$4:$A$251&amp;UtilityList!$B$4:$B$251&amp;UtilityList!$C$4:$C$251,0))</f>
        <v>PCE Eligible Active</v>
      </c>
      <c r="K59" s="709">
        <f t="array" ref="K59">INDEX(UtilityList!Q$4:Q$251,MATCH('Table 2.1b_percent'!$A59&amp;'Table 2.1b_percent'!$B59&amp;'Table 2.1b_percent'!$C59,UtilityList!$A$4:$A$251&amp;UtilityList!$B$4:$B$251&amp;UtilityList!$C$4:$C$251,0))</f>
        <v>0</v>
      </c>
      <c r="L59" s="627" t="str">
        <f t="array" ref="L59">INDEX(UtilityList!I$4:I$251,MATCH('Table 2.1b_percent'!$A59&amp;'Table 2.1b_percent'!$B59&amp;'Table 2.1b_percent'!$C59,UtilityList!$A$4:$A$251&amp;UtilityList!$B$4:$B$251&amp;UtilityList!$C$4:$C$251,0))</f>
        <v>ALASVEC</v>
      </c>
      <c r="M59" s="452" t="str">
        <f t="array" ref="M59">INDEX(UtilityList!J$4:J$251,MATCH('Table 2.1b_percent'!$A59&amp;'Table 2.1b_percent'!$B59&amp;'Table 2.1b_percent'!$C59,UtilityList!$A$4:$A$251&amp;UtilityList!$B$4:$B$251&amp;UtilityList!$C$4:$C$251,0))</f>
        <v>Northwest Arctic</v>
      </c>
      <c r="N59" s="452" t="str">
        <f t="array" ref="N59">INDEX(UtilityList!K$4:K$251,MATCH('Table 2.1b_percent'!$A59&amp;'Table 2.1b_percent'!$B59&amp;'Table 2.1b_percent'!$C59,UtilityList!$A$4:$A$251&amp;UtilityList!$B$4:$B$251&amp;UtilityList!$C$4:$C$251,0))</f>
        <v>Northwest Arctic</v>
      </c>
      <c r="O59" s="452" t="str">
        <f t="array" ref="O59">INDEX(UtilityList!L$4:L$251,MATCH('Table 2.1b_percent'!$A59&amp;'Table 2.1b_percent'!$B59&amp;'Table 2.1b_percent'!$C59,UtilityList!$A$4:$A$251&amp;UtilityList!$B$4:$B$251&amp;UtilityList!$C$4:$C$251,0))</f>
        <v>NANA</v>
      </c>
      <c r="P59" s="452" t="str">
        <f t="array" ref="P59">INDEX(UtilityList!M$4:M$251,MATCH('Table 2.1b_percent'!$A59&amp;'Table 2.1b_percent'!$B59&amp;'Table 2.1b_percent'!$C59,UtilityList!$A$4:$A$251&amp;UtilityList!$B$4:$B$251&amp;UtilityList!$C$4:$C$251,0))</f>
        <v>AN</v>
      </c>
    </row>
    <row r="60" spans="1:16" s="344" customFormat="1" x14ac:dyDescent="0.25">
      <c r="A60" s="619" t="s">
        <v>524</v>
      </c>
      <c r="B60" s="361" t="s">
        <v>83</v>
      </c>
      <c r="C60" s="350" t="s">
        <v>83</v>
      </c>
      <c r="D60" s="625">
        <v>1</v>
      </c>
      <c r="E60" s="626">
        <v>0</v>
      </c>
      <c r="F60" s="626">
        <v>1</v>
      </c>
      <c r="G60" s="626">
        <v>0</v>
      </c>
      <c r="H60" s="626">
        <v>0</v>
      </c>
      <c r="I60" s="361" t="s">
        <v>648</v>
      </c>
      <c r="J60" s="622" t="str">
        <f t="array" ref="J60">INDEX(UtilityList!H$4:H$251,MATCH('Table 2.1b_percent'!$A60&amp;'Table 2.1b_percent'!$B60&amp;'Table 2.1b_percent'!$C60,UtilityList!$A$4:$A$251&amp;UtilityList!$B$4:$B$251&amp;UtilityList!$C$4:$C$251,0))</f>
        <v>PCE Eligible Active</v>
      </c>
      <c r="K60" s="709">
        <f t="array" ref="K60">INDEX(UtilityList!Q$4:Q$251,MATCH('Table 2.1b_percent'!$A60&amp;'Table 2.1b_percent'!$B60&amp;'Table 2.1b_percent'!$C60,UtilityList!$A$4:$A$251&amp;UtilityList!$B$4:$B$251&amp;UtilityList!$C$4:$C$251,0))</f>
        <v>0</v>
      </c>
      <c r="L60" s="627" t="str">
        <f t="array" ref="L60">INDEX(UtilityList!I$4:I$251,MATCH('Table 2.1b_percent'!$A60&amp;'Table 2.1b_percent'!$B60&amp;'Table 2.1b_percent'!$C60,UtilityList!$A$4:$A$251&amp;UtilityList!$B$4:$B$251&amp;UtilityList!$C$4:$C$251,0))</f>
        <v>ALASVEC</v>
      </c>
      <c r="M60" s="452" t="str">
        <f t="array" ref="M60">INDEX(UtilityList!J$4:J$251,MATCH('Table 2.1b_percent'!$A60&amp;'Table 2.1b_percent'!$B60&amp;'Table 2.1b_percent'!$C60,UtilityList!$A$4:$A$251&amp;UtilityList!$B$4:$B$251&amp;UtilityList!$C$4:$C$251,0))</f>
        <v>Northwest Arctic</v>
      </c>
      <c r="N60" s="452" t="str">
        <f t="array" ref="N60">INDEX(UtilityList!K$4:K$251,MATCH('Table 2.1b_percent'!$A60&amp;'Table 2.1b_percent'!$B60&amp;'Table 2.1b_percent'!$C60,UtilityList!$A$4:$A$251&amp;UtilityList!$B$4:$B$251&amp;UtilityList!$C$4:$C$251,0))</f>
        <v>Northwest Arctic</v>
      </c>
      <c r="O60" s="452" t="str">
        <f t="array" ref="O60">INDEX(UtilityList!L$4:L$251,MATCH('Table 2.1b_percent'!$A60&amp;'Table 2.1b_percent'!$B60&amp;'Table 2.1b_percent'!$C60,UtilityList!$A$4:$A$251&amp;UtilityList!$B$4:$B$251&amp;UtilityList!$C$4:$C$251,0))</f>
        <v>NANA</v>
      </c>
      <c r="P60" s="452" t="str">
        <f t="array" ref="P60">INDEX(UtilityList!M$4:M$251,MATCH('Table 2.1b_percent'!$A60&amp;'Table 2.1b_percent'!$B60&amp;'Table 2.1b_percent'!$C60,UtilityList!$A$4:$A$251&amp;UtilityList!$B$4:$B$251&amp;UtilityList!$C$4:$C$251,0))</f>
        <v>AN</v>
      </c>
    </row>
    <row r="61" spans="1:16" s="344" customFormat="1" ht="30" x14ac:dyDescent="0.25">
      <c r="A61" s="619" t="s">
        <v>524</v>
      </c>
      <c r="B61" s="361" t="s">
        <v>84</v>
      </c>
      <c r="C61" s="350" t="s">
        <v>84</v>
      </c>
      <c r="D61" s="625">
        <v>1</v>
      </c>
      <c r="E61" s="626">
        <v>0</v>
      </c>
      <c r="F61" s="626">
        <v>1</v>
      </c>
      <c r="G61" s="626">
        <v>0</v>
      </c>
      <c r="H61" s="626">
        <v>0</v>
      </c>
      <c r="I61" s="361" t="s">
        <v>648</v>
      </c>
      <c r="J61" s="622" t="str">
        <f t="array" ref="J61">INDEX(UtilityList!H$4:H$251,MATCH('Table 2.1b_percent'!$A61&amp;'Table 2.1b_percent'!$B61&amp;'Table 2.1b_percent'!$C61,UtilityList!$A$4:$A$251&amp;UtilityList!$B$4:$B$251&amp;UtilityList!$C$4:$C$251,0))</f>
        <v>PCE Eligible Active</v>
      </c>
      <c r="K61" s="709">
        <f t="array" ref="K61">INDEX(UtilityList!Q$4:Q$251,MATCH('Table 2.1b_percent'!$A61&amp;'Table 2.1b_percent'!$B61&amp;'Table 2.1b_percent'!$C61,UtilityList!$A$4:$A$251&amp;UtilityList!$B$4:$B$251&amp;UtilityList!$C$4:$C$251,0))</f>
        <v>0</v>
      </c>
      <c r="L61" s="627" t="str">
        <f t="array" ref="L61">INDEX(UtilityList!I$4:I$251,MATCH('Table 2.1b_percent'!$A61&amp;'Table 2.1b_percent'!$B61&amp;'Table 2.1b_percent'!$C61,UtilityList!$A$4:$A$251&amp;UtilityList!$B$4:$B$251&amp;UtilityList!$C$4:$C$251,0))</f>
        <v>ALASVEC</v>
      </c>
      <c r="M61" s="452" t="str">
        <f t="array" ref="M61">INDEX(UtilityList!J$4:J$251,MATCH('Table 2.1b_percent'!$A61&amp;'Table 2.1b_percent'!$B61&amp;'Table 2.1b_percent'!$C61,UtilityList!$A$4:$A$251&amp;UtilityList!$B$4:$B$251&amp;UtilityList!$C$4:$C$251,0))</f>
        <v>Lower Yukon-Kuskokwim</v>
      </c>
      <c r="N61" s="452" t="str">
        <f t="array" ref="N61">INDEX(UtilityList!K$4:K$251,MATCH('Table 2.1b_percent'!$A61&amp;'Table 2.1b_percent'!$B61&amp;'Table 2.1b_percent'!$C61,UtilityList!$A$4:$A$251&amp;UtilityList!$B$4:$B$251&amp;UtilityList!$C$4:$C$251,0))</f>
        <v>Wade Hampton (CA)</v>
      </c>
      <c r="O61" s="452" t="str">
        <f t="array" ref="O61">INDEX(UtilityList!L$4:L$251,MATCH('Table 2.1b_percent'!$A61&amp;'Table 2.1b_percent'!$B61&amp;'Table 2.1b_percent'!$C61,UtilityList!$A$4:$A$251&amp;UtilityList!$B$4:$B$251&amp;UtilityList!$C$4:$C$251,0))</f>
        <v>Calista</v>
      </c>
      <c r="P61" s="452" t="str">
        <f t="array" ref="P61">INDEX(UtilityList!M$4:M$251,MATCH('Table 2.1b_percent'!$A61&amp;'Table 2.1b_percent'!$B61&amp;'Table 2.1b_percent'!$C61,UtilityList!$A$4:$A$251&amp;UtilityList!$B$4:$B$251&amp;UtilityList!$C$4:$C$251,0))</f>
        <v>YU</v>
      </c>
    </row>
    <row r="62" spans="1:16" s="344" customFormat="1" x14ac:dyDescent="0.25">
      <c r="A62" s="619" t="s">
        <v>524</v>
      </c>
      <c r="B62" s="361" t="s">
        <v>85</v>
      </c>
      <c r="C62" s="350" t="s">
        <v>85</v>
      </c>
      <c r="D62" s="625">
        <v>1</v>
      </c>
      <c r="E62" s="626">
        <v>0</v>
      </c>
      <c r="F62" s="626">
        <v>1</v>
      </c>
      <c r="G62" s="626">
        <v>0</v>
      </c>
      <c r="H62" s="626">
        <v>0</v>
      </c>
      <c r="I62" s="361" t="s">
        <v>648</v>
      </c>
      <c r="J62" s="622" t="str">
        <f t="array" ref="J62">INDEX(UtilityList!H$4:H$251,MATCH('Table 2.1b_percent'!$A62&amp;'Table 2.1b_percent'!$B62&amp;'Table 2.1b_percent'!$C62,UtilityList!$A$4:$A$251&amp;UtilityList!$B$4:$B$251&amp;UtilityList!$C$4:$C$251,0))</f>
        <v>PCE Eligible Active</v>
      </c>
      <c r="K62" s="709">
        <f t="array" ref="K62">INDEX(UtilityList!Q$4:Q$251,MATCH('Table 2.1b_percent'!$A62&amp;'Table 2.1b_percent'!$B62&amp;'Table 2.1b_percent'!$C62,UtilityList!$A$4:$A$251&amp;UtilityList!$B$4:$B$251&amp;UtilityList!$C$4:$C$251,0))</f>
        <v>0</v>
      </c>
      <c r="L62" s="627" t="str">
        <f t="array" ref="L62">INDEX(UtilityList!I$4:I$251,MATCH('Table 2.1b_percent'!$A62&amp;'Table 2.1b_percent'!$B62&amp;'Table 2.1b_percent'!$C62,UtilityList!$A$4:$A$251&amp;UtilityList!$B$4:$B$251&amp;UtilityList!$C$4:$C$251,0))</f>
        <v>ALASVEC</v>
      </c>
      <c r="M62" s="452" t="str">
        <f t="array" ref="M62">INDEX(UtilityList!J$4:J$251,MATCH('Table 2.1b_percent'!$A62&amp;'Table 2.1b_percent'!$B62&amp;'Table 2.1b_percent'!$C62,UtilityList!$A$4:$A$251&amp;UtilityList!$B$4:$B$251&amp;UtilityList!$C$4:$C$251,0))</f>
        <v>Bering Straits</v>
      </c>
      <c r="N62" s="452" t="str">
        <f t="array" ref="N62">INDEX(UtilityList!K$4:K$251,MATCH('Table 2.1b_percent'!$A62&amp;'Table 2.1b_percent'!$B62&amp;'Table 2.1b_percent'!$C62,UtilityList!$A$4:$A$251&amp;UtilityList!$B$4:$B$251&amp;UtilityList!$C$4:$C$251,0))</f>
        <v>Nome (CA)</v>
      </c>
      <c r="O62" s="452" t="str">
        <f t="array" ref="O62">INDEX(UtilityList!L$4:L$251,MATCH('Table 2.1b_percent'!$A62&amp;'Table 2.1b_percent'!$B62&amp;'Table 2.1b_percent'!$C62,UtilityList!$A$4:$A$251&amp;UtilityList!$B$4:$B$251&amp;UtilityList!$C$4:$C$251,0))</f>
        <v>Bering Straits</v>
      </c>
      <c r="P62" s="452" t="str">
        <f t="array" ref="P62">INDEX(UtilityList!M$4:M$251,MATCH('Table 2.1b_percent'!$A62&amp;'Table 2.1b_percent'!$B62&amp;'Table 2.1b_percent'!$C62,UtilityList!$A$4:$A$251&amp;UtilityList!$B$4:$B$251&amp;UtilityList!$C$4:$C$251,0))</f>
        <v>AN</v>
      </c>
    </row>
    <row r="63" spans="1:16" s="344" customFormat="1" ht="30" x14ac:dyDescent="0.25">
      <c r="A63" s="619" t="s">
        <v>524</v>
      </c>
      <c r="B63" s="361" t="s">
        <v>87</v>
      </c>
      <c r="C63" s="350" t="s">
        <v>87</v>
      </c>
      <c r="D63" s="625">
        <v>1</v>
      </c>
      <c r="E63" s="626">
        <v>0</v>
      </c>
      <c r="F63" s="626">
        <v>1</v>
      </c>
      <c r="G63" s="626">
        <v>0</v>
      </c>
      <c r="H63" s="626">
        <v>0</v>
      </c>
      <c r="I63" s="361" t="s">
        <v>718</v>
      </c>
      <c r="J63" s="622" t="str">
        <f t="array" ref="J63">INDEX(UtilityList!H$4:H$251,MATCH('Table 2.1b_percent'!$A63&amp;'Table 2.1b_percent'!$B63&amp;'Table 2.1b_percent'!$C63,UtilityList!$A$4:$A$251&amp;UtilityList!$B$4:$B$251&amp;UtilityList!$C$4:$C$251,0))</f>
        <v>PCE Eligible Active</v>
      </c>
      <c r="K63" s="709">
        <f t="array" ref="K63">INDEX(UtilityList!Q$4:Q$251,MATCH('Table 2.1b_percent'!$A63&amp;'Table 2.1b_percent'!$B63&amp;'Table 2.1b_percent'!$C63,UtilityList!$A$4:$A$251&amp;UtilityList!$B$4:$B$251&amp;UtilityList!$C$4:$C$251,0))</f>
        <v>0</v>
      </c>
      <c r="L63" s="627" t="str">
        <f t="array" ref="L63">INDEX(UtilityList!I$4:I$251,MATCH('Table 2.1b_percent'!$A63&amp;'Table 2.1b_percent'!$B63&amp;'Table 2.1b_percent'!$C63,UtilityList!$A$4:$A$251&amp;UtilityList!$B$4:$B$251&amp;UtilityList!$C$4:$C$251,0))</f>
        <v>ALASVEC</v>
      </c>
      <c r="M63" s="452" t="str">
        <f t="array" ref="M63">INDEX(UtilityList!J$4:J$251,MATCH('Table 2.1b_percent'!$A63&amp;'Table 2.1b_percent'!$B63&amp;'Table 2.1b_percent'!$C63,UtilityList!$A$4:$A$251&amp;UtilityList!$B$4:$B$251&amp;UtilityList!$C$4:$C$251,0))</f>
        <v>Lower Yukon-Kuskokwim</v>
      </c>
      <c r="N63" s="452" t="str">
        <f t="array" ref="N63">INDEX(UtilityList!K$4:K$251,MATCH('Table 2.1b_percent'!$A63&amp;'Table 2.1b_percent'!$B63&amp;'Table 2.1b_percent'!$C63,UtilityList!$A$4:$A$251&amp;UtilityList!$B$4:$B$251&amp;UtilityList!$C$4:$C$251,0))</f>
        <v>Wade Hampton (CA)</v>
      </c>
      <c r="O63" s="452" t="str">
        <f t="array" ref="O63">INDEX(UtilityList!L$4:L$251,MATCH('Table 2.1b_percent'!$A63&amp;'Table 2.1b_percent'!$B63&amp;'Table 2.1b_percent'!$C63,UtilityList!$A$4:$A$251&amp;UtilityList!$B$4:$B$251&amp;UtilityList!$C$4:$C$251,0))</f>
        <v>Calista</v>
      </c>
      <c r="P63" s="452" t="str">
        <f t="array" ref="P63">INDEX(UtilityList!M$4:M$251,MATCH('Table 2.1b_percent'!$A63&amp;'Table 2.1b_percent'!$B63&amp;'Table 2.1b_percent'!$C63,UtilityList!$A$4:$A$251&amp;UtilityList!$B$4:$B$251&amp;UtilityList!$C$4:$C$251,0))</f>
        <v>YU</v>
      </c>
    </row>
    <row r="64" spans="1:16" s="344" customFormat="1" ht="45" x14ac:dyDescent="0.25">
      <c r="A64" s="619" t="s">
        <v>524</v>
      </c>
      <c r="B64" s="361" t="s">
        <v>88</v>
      </c>
      <c r="C64" s="350" t="s">
        <v>88</v>
      </c>
      <c r="D64" s="625">
        <v>1</v>
      </c>
      <c r="E64" s="626">
        <v>0</v>
      </c>
      <c r="F64" s="626">
        <v>0.77876106194690264</v>
      </c>
      <c r="G64" s="626">
        <v>0</v>
      </c>
      <c r="H64" s="626">
        <v>0.22123893805309736</v>
      </c>
      <c r="I64" s="361" t="s">
        <v>719</v>
      </c>
      <c r="J64" s="622" t="str">
        <f t="array" ref="J64">INDEX(UtilityList!H$4:H$251,MATCH('Table 2.1b_percent'!$A64&amp;'Table 2.1b_percent'!$B64&amp;'Table 2.1b_percent'!$C64,UtilityList!$A$4:$A$251&amp;UtilityList!$B$4:$B$251&amp;UtilityList!$C$4:$C$251,0))</f>
        <v>PCE Eligible Active</v>
      </c>
      <c r="K64" s="709">
        <f t="array" ref="K64">INDEX(UtilityList!Q$4:Q$251,MATCH('Table 2.1b_percent'!$A64&amp;'Table 2.1b_percent'!$B64&amp;'Table 2.1b_percent'!$C64,UtilityList!$A$4:$A$251&amp;UtilityList!$B$4:$B$251&amp;UtilityList!$C$4:$C$251,0))</f>
        <v>0</v>
      </c>
      <c r="L64" s="627" t="str">
        <f t="array" ref="L64">INDEX(UtilityList!I$4:I$251,MATCH('Table 2.1b_percent'!$A64&amp;'Table 2.1b_percent'!$B64&amp;'Table 2.1b_percent'!$C64,UtilityList!$A$4:$A$251&amp;UtilityList!$B$4:$B$251&amp;UtilityList!$C$4:$C$251,0))</f>
        <v>ALASVEC</v>
      </c>
      <c r="M64" s="452" t="str">
        <f t="array" ref="M64">INDEX(UtilityList!J$4:J$251,MATCH('Table 2.1b_percent'!$A64&amp;'Table 2.1b_percent'!$B64&amp;'Table 2.1b_percent'!$C64,UtilityList!$A$4:$A$251&amp;UtilityList!$B$4:$B$251&amp;UtilityList!$C$4:$C$251,0))</f>
        <v>Lower Yukon-Kuskokwim</v>
      </c>
      <c r="N64" s="452" t="str">
        <f t="array" ref="N64">INDEX(UtilityList!K$4:K$251,MATCH('Table 2.1b_percent'!$A64&amp;'Table 2.1b_percent'!$B64&amp;'Table 2.1b_percent'!$C64,UtilityList!$A$4:$A$251&amp;UtilityList!$B$4:$B$251&amp;UtilityList!$C$4:$C$251,0))</f>
        <v>Bethel (CA)</v>
      </c>
      <c r="O64" s="452" t="str">
        <f t="array" ref="O64">INDEX(UtilityList!L$4:L$251,MATCH('Table 2.1b_percent'!$A64&amp;'Table 2.1b_percent'!$B64&amp;'Table 2.1b_percent'!$C64,UtilityList!$A$4:$A$251&amp;UtilityList!$B$4:$B$251&amp;UtilityList!$C$4:$C$251,0))</f>
        <v>Calista</v>
      </c>
      <c r="P64" s="452" t="str">
        <f t="array" ref="P64">INDEX(UtilityList!M$4:M$251,MATCH('Table 2.1b_percent'!$A64&amp;'Table 2.1b_percent'!$B64&amp;'Table 2.1b_percent'!$C64,UtilityList!$A$4:$A$251&amp;UtilityList!$B$4:$B$251&amp;UtilityList!$C$4:$C$251,0))</f>
        <v>SW</v>
      </c>
    </row>
    <row r="65" spans="1:16" s="344" customFormat="1" ht="30" x14ac:dyDescent="0.25">
      <c r="A65" s="619" t="s">
        <v>524</v>
      </c>
      <c r="B65" s="361" t="s">
        <v>89</v>
      </c>
      <c r="C65" s="350" t="s">
        <v>89</v>
      </c>
      <c r="D65" s="625">
        <v>1</v>
      </c>
      <c r="E65" s="626">
        <v>0</v>
      </c>
      <c r="F65" s="626">
        <v>1</v>
      </c>
      <c r="G65" s="626">
        <v>0</v>
      </c>
      <c r="H65" s="626">
        <v>0</v>
      </c>
      <c r="I65" s="361" t="s">
        <v>718</v>
      </c>
      <c r="J65" s="622" t="str">
        <f t="array" ref="J65">INDEX(UtilityList!H$4:H$251,MATCH('Table 2.1b_percent'!$A65&amp;'Table 2.1b_percent'!$B65&amp;'Table 2.1b_percent'!$C65,UtilityList!$A$4:$A$251&amp;UtilityList!$B$4:$B$251&amp;UtilityList!$C$4:$C$251,0))</f>
        <v>PCE Eligible Active</v>
      </c>
      <c r="K65" s="709">
        <f t="array" ref="K65">INDEX(UtilityList!Q$4:Q$251,MATCH('Table 2.1b_percent'!$A65&amp;'Table 2.1b_percent'!$B65&amp;'Table 2.1b_percent'!$C65,UtilityList!$A$4:$A$251&amp;UtilityList!$B$4:$B$251&amp;UtilityList!$C$4:$C$251,0))</f>
        <v>0</v>
      </c>
      <c r="L65" s="627" t="str">
        <f t="array" ref="L65">INDEX(UtilityList!I$4:I$251,MATCH('Table 2.1b_percent'!$A65&amp;'Table 2.1b_percent'!$B65&amp;'Table 2.1b_percent'!$C65,UtilityList!$A$4:$A$251&amp;UtilityList!$B$4:$B$251&amp;UtilityList!$C$4:$C$251,0))</f>
        <v>ALASVEC</v>
      </c>
      <c r="M65" s="452" t="str">
        <f t="array" ref="M65">INDEX(UtilityList!J$4:J$251,MATCH('Table 2.1b_percent'!$A65&amp;'Table 2.1b_percent'!$B65&amp;'Table 2.1b_percent'!$C65,UtilityList!$A$4:$A$251&amp;UtilityList!$B$4:$B$251&amp;UtilityList!$C$4:$C$251,0))</f>
        <v>Yukon-Koyukuk/Upper Tanana</v>
      </c>
      <c r="N65" s="452" t="str">
        <f t="array" ref="N65">INDEX(UtilityList!K$4:K$251,MATCH('Table 2.1b_percent'!$A65&amp;'Table 2.1b_percent'!$B65&amp;'Table 2.1b_percent'!$C65,UtilityList!$A$4:$A$251&amp;UtilityList!$B$4:$B$251&amp;UtilityList!$C$4:$C$251,0))</f>
        <v>Yukon-Koyukuk (CA)</v>
      </c>
      <c r="O65" s="452" t="str">
        <f t="array" ref="O65">INDEX(UtilityList!L$4:L$251,MATCH('Table 2.1b_percent'!$A65&amp;'Table 2.1b_percent'!$B65&amp;'Table 2.1b_percent'!$C65,UtilityList!$A$4:$A$251&amp;UtilityList!$B$4:$B$251&amp;UtilityList!$C$4:$C$251,0))</f>
        <v>Doyon</v>
      </c>
      <c r="P65" s="452" t="str">
        <f t="array" ref="P65">INDEX(UtilityList!M$4:M$251,MATCH('Table 2.1b_percent'!$A65&amp;'Table 2.1b_percent'!$B65&amp;'Table 2.1b_percent'!$C65,UtilityList!$A$4:$A$251&amp;UtilityList!$B$4:$B$251&amp;UtilityList!$C$4:$C$251,0))</f>
        <v>YU</v>
      </c>
    </row>
    <row r="66" spans="1:16" s="344" customFormat="1" ht="30" x14ac:dyDescent="0.25">
      <c r="A66" s="619" t="s">
        <v>524</v>
      </c>
      <c r="B66" s="361" t="s">
        <v>90</v>
      </c>
      <c r="C66" s="350" t="s">
        <v>90</v>
      </c>
      <c r="D66" s="625">
        <v>1</v>
      </c>
      <c r="E66" s="626">
        <v>0</v>
      </c>
      <c r="F66" s="626">
        <v>1</v>
      </c>
      <c r="G66" s="626">
        <v>0</v>
      </c>
      <c r="H66" s="626">
        <v>0</v>
      </c>
      <c r="I66" s="361" t="s">
        <v>648</v>
      </c>
      <c r="J66" s="622" t="str">
        <f t="array" ref="J66">INDEX(UtilityList!H$4:H$251,MATCH('Table 2.1b_percent'!$A66&amp;'Table 2.1b_percent'!$B66&amp;'Table 2.1b_percent'!$C66,UtilityList!$A$4:$A$251&amp;UtilityList!$B$4:$B$251&amp;UtilityList!$C$4:$C$251,0))</f>
        <v>PCE Eligible Active</v>
      </c>
      <c r="K66" s="709">
        <f t="array" ref="K66">INDEX(UtilityList!Q$4:Q$251,MATCH('Table 2.1b_percent'!$A66&amp;'Table 2.1b_percent'!$B66&amp;'Table 2.1b_percent'!$C66,UtilityList!$A$4:$A$251&amp;UtilityList!$B$4:$B$251&amp;UtilityList!$C$4:$C$251,0))</f>
        <v>0</v>
      </c>
      <c r="L66" s="627" t="str">
        <f t="array" ref="L66">INDEX(UtilityList!I$4:I$251,MATCH('Table 2.1b_percent'!$A66&amp;'Table 2.1b_percent'!$B66&amp;'Table 2.1b_percent'!$C66,UtilityList!$A$4:$A$251&amp;UtilityList!$B$4:$B$251&amp;UtilityList!$C$4:$C$251,0))</f>
        <v>ALASVEC</v>
      </c>
      <c r="M66" s="452" t="str">
        <f t="array" ref="M66">INDEX(UtilityList!J$4:J$251,MATCH('Table 2.1b_percent'!$A66&amp;'Table 2.1b_percent'!$B66&amp;'Table 2.1b_percent'!$C66,UtilityList!$A$4:$A$251&amp;UtilityList!$B$4:$B$251&amp;UtilityList!$C$4:$C$251,0))</f>
        <v>Lower Yukon-Kuskokwim</v>
      </c>
      <c r="N66" s="452" t="str">
        <f t="array" ref="N66">INDEX(UtilityList!K$4:K$251,MATCH('Table 2.1b_percent'!$A66&amp;'Table 2.1b_percent'!$B66&amp;'Table 2.1b_percent'!$C66,UtilityList!$A$4:$A$251&amp;UtilityList!$B$4:$B$251&amp;UtilityList!$C$4:$C$251,0))</f>
        <v>Wade Hampton (CA)</v>
      </c>
      <c r="O66" s="452" t="str">
        <f t="array" ref="O66">INDEX(UtilityList!L$4:L$251,MATCH('Table 2.1b_percent'!$A66&amp;'Table 2.1b_percent'!$B66&amp;'Table 2.1b_percent'!$C66,UtilityList!$A$4:$A$251&amp;UtilityList!$B$4:$B$251&amp;UtilityList!$C$4:$C$251,0))</f>
        <v>Calista</v>
      </c>
      <c r="P66" s="452" t="str">
        <f t="array" ref="P66">INDEX(UtilityList!M$4:M$251,MATCH('Table 2.1b_percent'!$A66&amp;'Table 2.1b_percent'!$B66&amp;'Table 2.1b_percent'!$C66,UtilityList!$A$4:$A$251&amp;UtilityList!$B$4:$B$251&amp;UtilityList!$C$4:$C$251,0))</f>
        <v>YU</v>
      </c>
    </row>
    <row r="67" spans="1:16" s="344" customFormat="1" ht="30" x14ac:dyDescent="0.25">
      <c r="A67" s="619" t="s">
        <v>524</v>
      </c>
      <c r="B67" s="361" t="s">
        <v>91</v>
      </c>
      <c r="C67" s="350" t="s">
        <v>91</v>
      </c>
      <c r="D67" s="625">
        <v>1</v>
      </c>
      <c r="E67" s="626">
        <v>0</v>
      </c>
      <c r="F67" s="626">
        <v>1</v>
      </c>
      <c r="G67" s="626">
        <v>0</v>
      </c>
      <c r="H67" s="626">
        <v>0</v>
      </c>
      <c r="I67" s="361" t="s">
        <v>718</v>
      </c>
      <c r="J67" s="622" t="str">
        <f t="array" ref="J67">INDEX(UtilityList!H$4:H$251,MATCH('Table 2.1b_percent'!$A67&amp;'Table 2.1b_percent'!$B67&amp;'Table 2.1b_percent'!$C67,UtilityList!$A$4:$A$251&amp;UtilityList!$B$4:$B$251&amp;UtilityList!$C$4:$C$251,0))</f>
        <v>PCE Eligible Active</v>
      </c>
      <c r="K67" s="709">
        <f t="array" ref="K67">INDEX(UtilityList!Q$4:Q$251,MATCH('Table 2.1b_percent'!$A67&amp;'Table 2.1b_percent'!$B67&amp;'Table 2.1b_percent'!$C67,UtilityList!$A$4:$A$251&amp;UtilityList!$B$4:$B$251&amp;UtilityList!$C$4:$C$251,0))</f>
        <v>0</v>
      </c>
      <c r="L67" s="627" t="str">
        <f t="array" ref="L67">INDEX(UtilityList!I$4:I$251,MATCH('Table 2.1b_percent'!$A67&amp;'Table 2.1b_percent'!$B67&amp;'Table 2.1b_percent'!$C67,UtilityList!$A$4:$A$251&amp;UtilityList!$B$4:$B$251&amp;UtilityList!$C$4:$C$251,0))</f>
        <v>ALASVEC</v>
      </c>
      <c r="M67" s="452" t="str">
        <f t="array" ref="M67">INDEX(UtilityList!J$4:J$251,MATCH('Table 2.1b_percent'!$A67&amp;'Table 2.1b_percent'!$B67&amp;'Table 2.1b_percent'!$C67,UtilityList!$A$4:$A$251&amp;UtilityList!$B$4:$B$251&amp;UtilityList!$C$4:$C$251,0))</f>
        <v>Bristol Bay</v>
      </c>
      <c r="N67" s="452" t="str">
        <f t="array" ref="N67">INDEX(UtilityList!K$4:K$251,MATCH('Table 2.1b_percent'!$A67&amp;'Table 2.1b_percent'!$B67&amp;'Table 2.1b_percent'!$C67,UtilityList!$A$4:$A$251&amp;UtilityList!$B$4:$B$251&amp;UtilityList!$C$4:$C$251,0))</f>
        <v>Dillingham (CA)</v>
      </c>
      <c r="O67" s="452" t="str">
        <f t="array" ref="O67">INDEX(UtilityList!L$4:L$251,MATCH('Table 2.1b_percent'!$A67&amp;'Table 2.1b_percent'!$B67&amp;'Table 2.1b_percent'!$C67,UtilityList!$A$4:$A$251&amp;UtilityList!$B$4:$B$251&amp;UtilityList!$C$4:$C$251,0))</f>
        <v>Bristol Bay</v>
      </c>
      <c r="P67" s="452" t="str">
        <f t="array" ref="P67">INDEX(UtilityList!M$4:M$251,MATCH('Table 2.1b_percent'!$A67&amp;'Table 2.1b_percent'!$B67&amp;'Table 2.1b_percent'!$C67,UtilityList!$A$4:$A$251&amp;UtilityList!$B$4:$B$251&amp;UtilityList!$C$4:$C$251,0))</f>
        <v>SW</v>
      </c>
    </row>
    <row r="68" spans="1:16" s="344" customFormat="1" ht="75" x14ac:dyDescent="0.25">
      <c r="A68" s="619" t="s">
        <v>524</v>
      </c>
      <c r="B68" s="361" t="s">
        <v>92</v>
      </c>
      <c r="C68" s="350" t="s">
        <v>92</v>
      </c>
      <c r="D68" s="625">
        <v>1</v>
      </c>
      <c r="E68" s="626">
        <v>0</v>
      </c>
      <c r="F68" s="626">
        <v>1</v>
      </c>
      <c r="G68" s="626">
        <v>0</v>
      </c>
      <c r="H68" s="626">
        <v>0</v>
      </c>
      <c r="I68" s="361" t="s">
        <v>718</v>
      </c>
      <c r="J68" s="622" t="str">
        <f t="array" ref="J68">INDEX(UtilityList!H$4:H$251,MATCH('Table 2.1b_percent'!$A68&amp;'Table 2.1b_percent'!$B68&amp;'Table 2.1b_percent'!$C68,UtilityList!$A$4:$A$251&amp;UtilityList!$B$4:$B$251&amp;UtilityList!$C$4:$C$251,0))</f>
        <v>PCE Eligible Active</v>
      </c>
      <c r="K68" s="709" t="str">
        <f t="array" ref="K68">INDEX(UtilityList!Q$4:Q$251,MATCH('Table 2.1b_percent'!$A68&amp;'Table 2.1b_percent'!$B68&amp;'Table 2.1b_percent'!$C68,UtilityList!$A$4:$A$251&amp;UtilityList!$B$4:$B$251&amp;UtilityList!$C$4:$C$251,0))</f>
        <v>Receives power from Toksook Bay via intertie. For fuel use and cost, please refer to Toksook Bay.</v>
      </c>
      <c r="L68" s="627" t="str">
        <f t="array" ref="L68">INDEX(UtilityList!I$4:I$251,MATCH('Table 2.1b_percent'!$A68&amp;'Table 2.1b_percent'!$B68&amp;'Table 2.1b_percent'!$C68,UtilityList!$A$4:$A$251&amp;UtilityList!$B$4:$B$251&amp;UtilityList!$C$4:$C$251,0))</f>
        <v>ALASVEC</v>
      </c>
      <c r="M68" s="452" t="str">
        <f t="array" ref="M68">INDEX(UtilityList!J$4:J$251,MATCH('Table 2.1b_percent'!$A68&amp;'Table 2.1b_percent'!$B68&amp;'Table 2.1b_percent'!$C68,UtilityList!$A$4:$A$251&amp;UtilityList!$B$4:$B$251&amp;UtilityList!$C$4:$C$251,0))</f>
        <v>Lower Yukon-Kuskokwim</v>
      </c>
      <c r="N68" s="452" t="str">
        <f t="array" ref="N68">INDEX(UtilityList!K$4:K$251,MATCH('Table 2.1b_percent'!$A68&amp;'Table 2.1b_percent'!$B68&amp;'Table 2.1b_percent'!$C68,UtilityList!$A$4:$A$251&amp;UtilityList!$B$4:$B$251&amp;UtilityList!$C$4:$C$251,0))</f>
        <v>Bethel (CA)</v>
      </c>
      <c r="O68" s="452" t="str">
        <f t="array" ref="O68">INDEX(UtilityList!L$4:L$251,MATCH('Table 2.1b_percent'!$A68&amp;'Table 2.1b_percent'!$B68&amp;'Table 2.1b_percent'!$C68,UtilityList!$A$4:$A$251&amp;UtilityList!$B$4:$B$251&amp;UtilityList!$C$4:$C$251,0))</f>
        <v>Calista</v>
      </c>
      <c r="P68" s="452" t="str">
        <f t="array" ref="P68">INDEX(UtilityList!M$4:M$251,MATCH('Table 2.1b_percent'!$A68&amp;'Table 2.1b_percent'!$B68&amp;'Table 2.1b_percent'!$C68,UtilityList!$A$4:$A$251&amp;UtilityList!$B$4:$B$251&amp;UtilityList!$C$4:$C$251,0))</f>
        <v>SW</v>
      </c>
    </row>
    <row r="69" spans="1:16" s="344" customFormat="1" x14ac:dyDescent="0.25">
      <c r="A69" s="619" t="s">
        <v>524</v>
      </c>
      <c r="B69" s="361" t="s">
        <v>93</v>
      </c>
      <c r="C69" s="350" t="s">
        <v>93</v>
      </c>
      <c r="D69" s="625">
        <v>1</v>
      </c>
      <c r="E69" s="626">
        <v>0</v>
      </c>
      <c r="F69" s="626">
        <v>1</v>
      </c>
      <c r="G69" s="626">
        <v>0</v>
      </c>
      <c r="H69" s="626">
        <v>0</v>
      </c>
      <c r="I69" s="361" t="s">
        <v>648</v>
      </c>
      <c r="J69" s="622" t="str">
        <f t="array" ref="J69">INDEX(UtilityList!H$4:H$251,MATCH('Table 2.1b_percent'!$A69&amp;'Table 2.1b_percent'!$B69&amp;'Table 2.1b_percent'!$C69,UtilityList!$A$4:$A$251&amp;UtilityList!$B$4:$B$251&amp;UtilityList!$C$4:$C$251,0))</f>
        <v>PCE Eligible Active</v>
      </c>
      <c r="K69" s="709">
        <f t="array" ref="K69">INDEX(UtilityList!Q$4:Q$251,MATCH('Table 2.1b_percent'!$A69&amp;'Table 2.1b_percent'!$B69&amp;'Table 2.1b_percent'!$C69,UtilityList!$A$4:$A$251&amp;UtilityList!$B$4:$B$251&amp;UtilityList!$C$4:$C$251,0))</f>
        <v>0</v>
      </c>
      <c r="L69" s="627" t="str">
        <f t="array" ref="L69">INDEX(UtilityList!I$4:I$251,MATCH('Table 2.1b_percent'!$A69&amp;'Table 2.1b_percent'!$B69&amp;'Table 2.1b_percent'!$C69,UtilityList!$A$4:$A$251&amp;UtilityList!$B$4:$B$251&amp;UtilityList!$C$4:$C$251,0))</f>
        <v>ALASVEC</v>
      </c>
      <c r="M69" s="452" t="str">
        <f t="array" ref="M69">INDEX(UtilityList!J$4:J$251,MATCH('Table 2.1b_percent'!$A69&amp;'Table 2.1b_percent'!$B69&amp;'Table 2.1b_percent'!$C69,UtilityList!$A$4:$A$251&amp;UtilityList!$B$4:$B$251&amp;UtilityList!$C$4:$C$251,0))</f>
        <v>Northwest Arctic</v>
      </c>
      <c r="N69" s="452" t="str">
        <f t="array" ref="N69">INDEX(UtilityList!K$4:K$251,MATCH('Table 2.1b_percent'!$A69&amp;'Table 2.1b_percent'!$B69&amp;'Table 2.1b_percent'!$C69,UtilityList!$A$4:$A$251&amp;UtilityList!$B$4:$B$251&amp;UtilityList!$C$4:$C$251,0))</f>
        <v>Northwest Arctic</v>
      </c>
      <c r="O69" s="452" t="str">
        <f t="array" ref="O69">INDEX(UtilityList!L$4:L$251,MATCH('Table 2.1b_percent'!$A69&amp;'Table 2.1b_percent'!$B69&amp;'Table 2.1b_percent'!$C69,UtilityList!$A$4:$A$251&amp;UtilityList!$B$4:$B$251&amp;UtilityList!$C$4:$C$251,0))</f>
        <v>NANA</v>
      </c>
      <c r="P69" s="452" t="str">
        <f t="array" ref="P69">INDEX(UtilityList!M$4:M$251,MATCH('Table 2.1b_percent'!$A69&amp;'Table 2.1b_percent'!$B69&amp;'Table 2.1b_percent'!$C69,UtilityList!$A$4:$A$251&amp;UtilityList!$B$4:$B$251&amp;UtilityList!$C$4:$C$251,0))</f>
        <v>AN</v>
      </c>
    </row>
    <row r="70" spans="1:16" s="344" customFormat="1" x14ac:dyDescent="0.25">
      <c r="A70" s="619" t="s">
        <v>524</v>
      </c>
      <c r="B70" s="361" t="s">
        <v>94</v>
      </c>
      <c r="C70" s="350" t="s">
        <v>94</v>
      </c>
      <c r="D70" s="625">
        <v>1</v>
      </c>
      <c r="E70" s="626">
        <v>0</v>
      </c>
      <c r="F70" s="626">
        <v>1</v>
      </c>
      <c r="G70" s="626">
        <v>0</v>
      </c>
      <c r="H70" s="626">
        <v>0</v>
      </c>
      <c r="I70" s="361" t="s">
        <v>648</v>
      </c>
      <c r="J70" s="622" t="str">
        <f t="array" ref="J70">INDEX(UtilityList!H$4:H$251,MATCH('Table 2.1b_percent'!$A70&amp;'Table 2.1b_percent'!$B70&amp;'Table 2.1b_percent'!$C70,UtilityList!$A$4:$A$251&amp;UtilityList!$B$4:$B$251&amp;UtilityList!$C$4:$C$251,0))</f>
        <v>PCE Eligible Active</v>
      </c>
      <c r="K70" s="709">
        <f t="array" ref="K70">INDEX(UtilityList!Q$4:Q$251,MATCH('Table 2.1b_percent'!$A70&amp;'Table 2.1b_percent'!$B70&amp;'Table 2.1b_percent'!$C70,UtilityList!$A$4:$A$251&amp;UtilityList!$B$4:$B$251&amp;UtilityList!$C$4:$C$251,0))</f>
        <v>0</v>
      </c>
      <c r="L70" s="627" t="str">
        <f t="array" ref="L70">INDEX(UtilityList!I$4:I$251,MATCH('Table 2.1b_percent'!$A70&amp;'Table 2.1b_percent'!$B70&amp;'Table 2.1b_percent'!$C70,UtilityList!$A$4:$A$251&amp;UtilityList!$B$4:$B$251&amp;UtilityList!$C$4:$C$251,0))</f>
        <v>ALASVEC</v>
      </c>
      <c r="M70" s="452" t="str">
        <f t="array" ref="M70">INDEX(UtilityList!J$4:J$251,MATCH('Table 2.1b_percent'!$A70&amp;'Table 2.1b_percent'!$B70&amp;'Table 2.1b_percent'!$C70,UtilityList!$A$4:$A$251&amp;UtilityList!$B$4:$B$251&amp;UtilityList!$C$4:$C$251,0))</f>
        <v>Northwest Arctic</v>
      </c>
      <c r="N70" s="452" t="str">
        <f t="array" ref="N70">INDEX(UtilityList!K$4:K$251,MATCH('Table 2.1b_percent'!$A70&amp;'Table 2.1b_percent'!$B70&amp;'Table 2.1b_percent'!$C70,UtilityList!$A$4:$A$251&amp;UtilityList!$B$4:$B$251&amp;UtilityList!$C$4:$C$251,0))</f>
        <v>Northwest Arctic</v>
      </c>
      <c r="O70" s="452" t="str">
        <f t="array" ref="O70">INDEX(UtilityList!L$4:L$251,MATCH('Table 2.1b_percent'!$A70&amp;'Table 2.1b_percent'!$B70&amp;'Table 2.1b_percent'!$C70,UtilityList!$A$4:$A$251&amp;UtilityList!$B$4:$B$251&amp;UtilityList!$C$4:$C$251,0))</f>
        <v>NANA</v>
      </c>
      <c r="P70" s="452" t="str">
        <f t="array" ref="P70">INDEX(UtilityList!M$4:M$251,MATCH('Table 2.1b_percent'!$A70&amp;'Table 2.1b_percent'!$B70&amp;'Table 2.1b_percent'!$C70,UtilityList!$A$4:$A$251&amp;UtilityList!$B$4:$B$251&amp;UtilityList!$C$4:$C$251,0))</f>
        <v>AN</v>
      </c>
    </row>
    <row r="71" spans="1:16" s="344" customFormat="1" ht="30" x14ac:dyDescent="0.25">
      <c r="A71" s="619" t="s">
        <v>524</v>
      </c>
      <c r="B71" s="361" t="s">
        <v>95</v>
      </c>
      <c r="C71" s="350" t="s">
        <v>95</v>
      </c>
      <c r="D71" s="625">
        <v>1</v>
      </c>
      <c r="E71" s="626">
        <v>0</v>
      </c>
      <c r="F71" s="626">
        <v>1</v>
      </c>
      <c r="G71" s="626">
        <v>0</v>
      </c>
      <c r="H71" s="626">
        <v>0</v>
      </c>
      <c r="I71" s="361" t="s">
        <v>718</v>
      </c>
      <c r="J71" s="622" t="str">
        <f t="array" ref="J71">INDEX(UtilityList!H$4:H$251,MATCH('Table 2.1b_percent'!$A71&amp;'Table 2.1b_percent'!$B71&amp;'Table 2.1b_percent'!$C71,UtilityList!$A$4:$A$251&amp;UtilityList!$B$4:$B$251&amp;UtilityList!$C$4:$C$251,0))</f>
        <v>PCE Eligible Active</v>
      </c>
      <c r="K71" s="709">
        <f t="array" ref="K71">INDEX(UtilityList!Q$4:Q$251,MATCH('Table 2.1b_percent'!$A71&amp;'Table 2.1b_percent'!$B71&amp;'Table 2.1b_percent'!$C71,UtilityList!$A$4:$A$251&amp;UtilityList!$B$4:$B$251&amp;UtilityList!$C$4:$C$251,0))</f>
        <v>0</v>
      </c>
      <c r="L71" s="627" t="str">
        <f t="array" ref="L71">INDEX(UtilityList!I$4:I$251,MATCH('Table 2.1b_percent'!$A71&amp;'Table 2.1b_percent'!$B71&amp;'Table 2.1b_percent'!$C71,UtilityList!$A$4:$A$251&amp;UtilityList!$B$4:$B$251&amp;UtilityList!$C$4:$C$251,0))</f>
        <v>ALASVEC</v>
      </c>
      <c r="M71" s="452" t="str">
        <f t="array" ref="M71">INDEX(UtilityList!J$4:J$251,MATCH('Table 2.1b_percent'!$A71&amp;'Table 2.1b_percent'!$B71&amp;'Table 2.1b_percent'!$C71,UtilityList!$A$4:$A$251&amp;UtilityList!$B$4:$B$251&amp;UtilityList!$C$4:$C$251,0))</f>
        <v>Yukon-Koyukuk/Upper Tanana</v>
      </c>
      <c r="N71" s="452" t="str">
        <f t="array" ref="N71">INDEX(UtilityList!K$4:K$251,MATCH('Table 2.1b_percent'!$A71&amp;'Table 2.1b_percent'!$B71&amp;'Table 2.1b_percent'!$C71,UtilityList!$A$4:$A$251&amp;UtilityList!$B$4:$B$251&amp;UtilityList!$C$4:$C$251,0))</f>
        <v>Yukon-Koyukuk (CA)</v>
      </c>
      <c r="O71" s="452" t="str">
        <f t="array" ref="O71">INDEX(UtilityList!L$4:L$251,MATCH('Table 2.1b_percent'!$A71&amp;'Table 2.1b_percent'!$B71&amp;'Table 2.1b_percent'!$C71,UtilityList!$A$4:$A$251&amp;UtilityList!$B$4:$B$251&amp;UtilityList!$C$4:$C$251,0))</f>
        <v>Doyon</v>
      </c>
      <c r="P71" s="452" t="str">
        <f t="array" ref="P71">INDEX(UtilityList!M$4:M$251,MATCH('Table 2.1b_percent'!$A71&amp;'Table 2.1b_percent'!$B71&amp;'Table 2.1b_percent'!$C71,UtilityList!$A$4:$A$251&amp;UtilityList!$B$4:$B$251&amp;UtilityList!$C$4:$C$251,0))</f>
        <v>YU</v>
      </c>
    </row>
    <row r="72" spans="1:16" s="344" customFormat="1" ht="60" x14ac:dyDescent="0.25">
      <c r="A72" s="619" t="s">
        <v>524</v>
      </c>
      <c r="B72" s="361" t="s">
        <v>96</v>
      </c>
      <c r="C72" s="350" t="s">
        <v>96</v>
      </c>
      <c r="D72" s="625">
        <v>1</v>
      </c>
      <c r="E72" s="626">
        <v>0</v>
      </c>
      <c r="F72" s="626">
        <v>1</v>
      </c>
      <c r="G72" s="626">
        <v>0</v>
      </c>
      <c r="H72" s="626">
        <v>0</v>
      </c>
      <c r="I72" s="361" t="s">
        <v>718</v>
      </c>
      <c r="J72" s="622" t="str">
        <f t="array" ref="J72">INDEX(UtilityList!H$4:H$251,MATCH('Table 2.1b_percent'!$A72&amp;'Table 2.1b_percent'!$B72&amp;'Table 2.1b_percent'!$C72,UtilityList!$A$4:$A$251&amp;UtilityList!$B$4:$B$251&amp;UtilityList!$C$4:$C$251,0))</f>
        <v>PCE Eligible Active</v>
      </c>
      <c r="K72" s="709" t="str">
        <f t="array" ref="K72">INDEX(UtilityList!Q$4:Q$251,MATCH('Table 2.1b_percent'!$A72&amp;'Table 2.1b_percent'!$B72&amp;'Table 2.1b_percent'!$C72,UtilityList!$A$4:$A$251&amp;UtilityList!$B$4:$B$251&amp;UtilityList!$C$4:$C$251,0))</f>
        <v>Receives power from Kasigluk. Please refer to Kasigluk for fuel use and cost.</v>
      </c>
      <c r="L72" s="627" t="str">
        <f t="array" ref="L72">INDEX(UtilityList!I$4:I$251,MATCH('Table 2.1b_percent'!$A72&amp;'Table 2.1b_percent'!$B72&amp;'Table 2.1b_percent'!$C72,UtilityList!$A$4:$A$251&amp;UtilityList!$B$4:$B$251&amp;UtilityList!$C$4:$C$251,0))</f>
        <v>ALASVEC</v>
      </c>
      <c r="M72" s="452" t="str">
        <f t="array" ref="M72">INDEX(UtilityList!J$4:J$251,MATCH('Table 2.1b_percent'!$A72&amp;'Table 2.1b_percent'!$B72&amp;'Table 2.1b_percent'!$C72,UtilityList!$A$4:$A$251&amp;UtilityList!$B$4:$B$251&amp;UtilityList!$C$4:$C$251,0))</f>
        <v>Lower Yukon-Kuskokwim</v>
      </c>
      <c r="N72" s="452" t="str">
        <f t="array" ref="N72">INDEX(UtilityList!K$4:K$251,MATCH('Table 2.1b_percent'!$A72&amp;'Table 2.1b_percent'!$B72&amp;'Table 2.1b_percent'!$C72,UtilityList!$A$4:$A$251&amp;UtilityList!$B$4:$B$251&amp;UtilityList!$C$4:$C$251,0))</f>
        <v>Bethel (CA)</v>
      </c>
      <c r="O72" s="452" t="str">
        <f t="array" ref="O72">INDEX(UtilityList!L$4:L$251,MATCH('Table 2.1b_percent'!$A72&amp;'Table 2.1b_percent'!$B72&amp;'Table 2.1b_percent'!$C72,UtilityList!$A$4:$A$251&amp;UtilityList!$B$4:$B$251&amp;UtilityList!$C$4:$C$251,0))</f>
        <v>Calista</v>
      </c>
      <c r="P72" s="452" t="str">
        <f t="array" ref="P72">INDEX(UtilityList!M$4:M$251,MATCH('Table 2.1b_percent'!$A72&amp;'Table 2.1b_percent'!$B72&amp;'Table 2.1b_percent'!$C72,UtilityList!$A$4:$A$251&amp;UtilityList!$B$4:$B$251&amp;UtilityList!$C$4:$C$251,0))</f>
        <v>SW</v>
      </c>
    </row>
    <row r="73" spans="1:16" s="344" customFormat="1" ht="30" x14ac:dyDescent="0.25">
      <c r="A73" s="619" t="s">
        <v>524</v>
      </c>
      <c r="B73" s="361" t="s">
        <v>97</v>
      </c>
      <c r="C73" s="350" t="s">
        <v>97</v>
      </c>
      <c r="D73" s="625">
        <v>1</v>
      </c>
      <c r="E73" s="626">
        <v>0</v>
      </c>
      <c r="F73" s="626">
        <v>1</v>
      </c>
      <c r="G73" s="626">
        <v>0</v>
      </c>
      <c r="H73" s="626">
        <v>0</v>
      </c>
      <c r="I73" s="361" t="s">
        <v>718</v>
      </c>
      <c r="J73" s="622" t="str">
        <f t="array" ref="J73">INDEX(UtilityList!H$4:H$251,MATCH('Table 2.1b_percent'!$A73&amp;'Table 2.1b_percent'!$B73&amp;'Table 2.1b_percent'!$C73,UtilityList!$A$4:$A$251&amp;UtilityList!$B$4:$B$251&amp;UtilityList!$C$4:$C$251,0))</f>
        <v>PCE Eligible Active</v>
      </c>
      <c r="K73" s="709">
        <f t="array" ref="K73">INDEX(UtilityList!Q$4:Q$251,MATCH('Table 2.1b_percent'!$A73&amp;'Table 2.1b_percent'!$B73&amp;'Table 2.1b_percent'!$C73,UtilityList!$A$4:$A$251&amp;UtilityList!$B$4:$B$251&amp;UtilityList!$C$4:$C$251,0))</f>
        <v>0</v>
      </c>
      <c r="L73" s="627" t="str">
        <f t="array" ref="L73">INDEX(UtilityList!I$4:I$251,MATCH('Table 2.1b_percent'!$A73&amp;'Table 2.1b_percent'!$B73&amp;'Table 2.1b_percent'!$C73,UtilityList!$A$4:$A$251&amp;UtilityList!$B$4:$B$251&amp;UtilityList!$C$4:$C$251,0))</f>
        <v>ALASVEC</v>
      </c>
      <c r="M73" s="452" t="str">
        <f t="array" ref="M73">INDEX(UtilityList!J$4:J$251,MATCH('Table 2.1b_percent'!$A73&amp;'Table 2.1b_percent'!$B73&amp;'Table 2.1b_percent'!$C73,UtilityList!$A$4:$A$251&amp;UtilityList!$B$4:$B$251&amp;UtilityList!$C$4:$C$251,0))</f>
        <v>Kodiak</v>
      </c>
      <c r="N73" s="452" t="str">
        <f t="array" ref="N73">INDEX(UtilityList!K$4:K$251,MATCH('Table 2.1b_percent'!$A73&amp;'Table 2.1b_percent'!$B73&amp;'Table 2.1b_percent'!$C73,UtilityList!$A$4:$A$251&amp;UtilityList!$B$4:$B$251&amp;UtilityList!$C$4:$C$251,0))</f>
        <v>Kodiak Island</v>
      </c>
      <c r="O73" s="452" t="str">
        <f t="array" ref="O73">INDEX(UtilityList!L$4:L$251,MATCH('Table 2.1b_percent'!$A73&amp;'Table 2.1b_percent'!$B73&amp;'Table 2.1b_percent'!$C73,UtilityList!$A$4:$A$251&amp;UtilityList!$B$4:$B$251&amp;UtilityList!$C$4:$C$251,0))</f>
        <v>Koniag</v>
      </c>
      <c r="P73" s="452" t="str">
        <f t="array" ref="P73">INDEX(UtilityList!M$4:M$251,MATCH('Table 2.1b_percent'!$A73&amp;'Table 2.1b_percent'!$B73&amp;'Table 2.1b_percent'!$C73,UtilityList!$A$4:$A$251&amp;UtilityList!$B$4:$B$251&amp;UtilityList!$C$4:$C$251,0))</f>
        <v>SC</v>
      </c>
    </row>
    <row r="74" spans="1:16" s="344" customFormat="1" ht="30" x14ac:dyDescent="0.25">
      <c r="A74" s="619" t="s">
        <v>524</v>
      </c>
      <c r="B74" s="361" t="s">
        <v>98</v>
      </c>
      <c r="C74" s="350" t="s">
        <v>98</v>
      </c>
      <c r="D74" s="625">
        <v>1</v>
      </c>
      <c r="E74" s="626">
        <v>0</v>
      </c>
      <c r="F74" s="626">
        <v>1</v>
      </c>
      <c r="G74" s="626">
        <v>0</v>
      </c>
      <c r="H74" s="626">
        <v>0</v>
      </c>
      <c r="I74" s="361" t="s">
        <v>648</v>
      </c>
      <c r="J74" s="622" t="str">
        <f t="array" ref="J74">INDEX(UtilityList!H$4:H$251,MATCH('Table 2.1b_percent'!$A74&amp;'Table 2.1b_percent'!$B74&amp;'Table 2.1b_percent'!$C74,UtilityList!$A$4:$A$251&amp;UtilityList!$B$4:$B$251&amp;UtilityList!$C$4:$C$251,0))</f>
        <v>PCE Eligible Active</v>
      </c>
      <c r="K74" s="709">
        <f t="array" ref="K74">INDEX(UtilityList!Q$4:Q$251,MATCH('Table 2.1b_percent'!$A74&amp;'Table 2.1b_percent'!$B74&amp;'Table 2.1b_percent'!$C74,UtilityList!$A$4:$A$251&amp;UtilityList!$B$4:$B$251&amp;UtilityList!$C$4:$C$251,0))</f>
        <v>0</v>
      </c>
      <c r="L74" s="627" t="str">
        <f t="array" ref="L74">INDEX(UtilityList!I$4:I$251,MATCH('Table 2.1b_percent'!$A74&amp;'Table 2.1b_percent'!$B74&amp;'Table 2.1b_percent'!$C74,UtilityList!$A$4:$A$251&amp;UtilityList!$B$4:$B$251&amp;UtilityList!$C$4:$C$251,0))</f>
        <v>ALASVEC</v>
      </c>
      <c r="M74" s="452" t="str">
        <f t="array" ref="M74">INDEX(UtilityList!J$4:J$251,MATCH('Table 2.1b_percent'!$A74&amp;'Table 2.1b_percent'!$B74&amp;'Table 2.1b_percent'!$C74,UtilityList!$A$4:$A$251&amp;UtilityList!$B$4:$B$251&amp;UtilityList!$C$4:$C$251,0))</f>
        <v>Lower Yukon-Kuskokwim</v>
      </c>
      <c r="N74" s="452" t="str">
        <f t="array" ref="N74">INDEX(UtilityList!K$4:K$251,MATCH('Table 2.1b_percent'!$A74&amp;'Table 2.1b_percent'!$B74&amp;'Table 2.1b_percent'!$C74,UtilityList!$A$4:$A$251&amp;UtilityList!$B$4:$B$251&amp;UtilityList!$C$4:$C$251,0))</f>
        <v>Wade Hampton (CA)</v>
      </c>
      <c r="O74" s="452" t="str">
        <f t="array" ref="O74">INDEX(UtilityList!L$4:L$251,MATCH('Table 2.1b_percent'!$A74&amp;'Table 2.1b_percent'!$B74&amp;'Table 2.1b_percent'!$C74,UtilityList!$A$4:$A$251&amp;UtilityList!$B$4:$B$251&amp;UtilityList!$C$4:$C$251,0))</f>
        <v>Calista</v>
      </c>
      <c r="P74" s="452" t="str">
        <f t="array" ref="P74">INDEX(UtilityList!M$4:M$251,MATCH('Table 2.1b_percent'!$A74&amp;'Table 2.1b_percent'!$B74&amp;'Table 2.1b_percent'!$C74,UtilityList!$A$4:$A$251&amp;UtilityList!$B$4:$B$251&amp;UtilityList!$C$4:$C$251,0))</f>
        <v>YU</v>
      </c>
    </row>
    <row r="75" spans="1:16" s="344" customFormat="1" ht="30" x14ac:dyDescent="0.25">
      <c r="A75" s="619" t="s">
        <v>524</v>
      </c>
      <c r="B75" s="361" t="s">
        <v>100</v>
      </c>
      <c r="C75" s="350" t="s">
        <v>100</v>
      </c>
      <c r="D75" s="625">
        <v>1</v>
      </c>
      <c r="E75" s="626">
        <v>0</v>
      </c>
      <c r="F75" s="626">
        <v>0.7857142857142857</v>
      </c>
      <c r="G75" s="626">
        <v>0</v>
      </c>
      <c r="H75" s="626">
        <v>0.21428571428571427</v>
      </c>
      <c r="I75" s="361" t="s">
        <v>654</v>
      </c>
      <c r="J75" s="622" t="str">
        <f t="array" ref="J75">INDEX(UtilityList!H$4:H$251,MATCH('Table 2.1b_percent'!$A75&amp;'Table 2.1b_percent'!$B75&amp;'Table 2.1b_percent'!$C75,UtilityList!$A$4:$A$251&amp;UtilityList!$B$4:$B$251&amp;UtilityList!$C$4:$C$251,0))</f>
        <v>PCE Eligible Active</v>
      </c>
      <c r="K75" s="709">
        <f t="array" ref="K75">INDEX(UtilityList!Q$4:Q$251,MATCH('Table 2.1b_percent'!$A75&amp;'Table 2.1b_percent'!$B75&amp;'Table 2.1b_percent'!$C75,UtilityList!$A$4:$A$251&amp;UtilityList!$B$4:$B$251&amp;UtilityList!$C$4:$C$251,0))</f>
        <v>0</v>
      </c>
      <c r="L75" s="627" t="str">
        <f t="array" ref="L75">INDEX(UtilityList!I$4:I$251,MATCH('Table 2.1b_percent'!$A75&amp;'Table 2.1b_percent'!$B75&amp;'Table 2.1b_percent'!$C75,UtilityList!$A$4:$A$251&amp;UtilityList!$B$4:$B$251&amp;UtilityList!$C$4:$C$251,0))</f>
        <v>ALASVEC</v>
      </c>
      <c r="M75" s="452" t="str">
        <f t="array" ref="M75">INDEX(UtilityList!J$4:J$251,MATCH('Table 2.1b_percent'!$A75&amp;'Table 2.1b_percent'!$B75&amp;'Table 2.1b_percent'!$C75,UtilityList!$A$4:$A$251&amp;UtilityList!$B$4:$B$251&amp;UtilityList!$C$4:$C$251,0))</f>
        <v>Lower Yukon-Kuskokwim</v>
      </c>
      <c r="N75" s="452" t="str">
        <f t="array" ref="N75">INDEX(UtilityList!K$4:K$251,MATCH('Table 2.1b_percent'!$A75&amp;'Table 2.1b_percent'!$B75&amp;'Table 2.1b_percent'!$C75,UtilityList!$A$4:$A$251&amp;UtilityList!$B$4:$B$251&amp;UtilityList!$C$4:$C$251,0))</f>
        <v>Bethel (CA)</v>
      </c>
      <c r="O75" s="452" t="str">
        <f t="array" ref="O75">INDEX(UtilityList!L$4:L$251,MATCH('Table 2.1b_percent'!$A75&amp;'Table 2.1b_percent'!$B75&amp;'Table 2.1b_percent'!$C75,UtilityList!$A$4:$A$251&amp;UtilityList!$B$4:$B$251&amp;UtilityList!$C$4:$C$251,0))</f>
        <v>Calista</v>
      </c>
      <c r="P75" s="452" t="str">
        <f t="array" ref="P75">INDEX(UtilityList!M$4:M$251,MATCH('Table 2.1b_percent'!$A75&amp;'Table 2.1b_percent'!$B75&amp;'Table 2.1b_percent'!$C75,UtilityList!$A$4:$A$251&amp;UtilityList!$B$4:$B$251&amp;UtilityList!$C$4:$C$251,0))</f>
        <v>SW</v>
      </c>
    </row>
    <row r="76" spans="1:16" s="344" customFormat="1" ht="30" x14ac:dyDescent="0.25">
      <c r="A76" s="619" t="s">
        <v>524</v>
      </c>
      <c r="B76" s="361" t="s">
        <v>101</v>
      </c>
      <c r="C76" s="350" t="s">
        <v>101</v>
      </c>
      <c r="D76" s="625">
        <v>1</v>
      </c>
      <c r="E76" s="626">
        <v>0</v>
      </c>
      <c r="F76" s="626">
        <v>1</v>
      </c>
      <c r="G76" s="626">
        <v>0</v>
      </c>
      <c r="H76" s="626">
        <v>0</v>
      </c>
      <c r="I76" s="361" t="s">
        <v>718</v>
      </c>
      <c r="J76" s="622" t="str">
        <f t="array" ref="J76">INDEX(UtilityList!H$4:H$251,MATCH('Table 2.1b_percent'!$A76&amp;'Table 2.1b_percent'!$B76&amp;'Table 2.1b_percent'!$C76,UtilityList!$A$4:$A$251&amp;UtilityList!$B$4:$B$251&amp;UtilityList!$C$4:$C$251,0))</f>
        <v>PCE Eligible Active</v>
      </c>
      <c r="K76" s="709">
        <f t="array" ref="K76">INDEX(UtilityList!Q$4:Q$251,MATCH('Table 2.1b_percent'!$A76&amp;'Table 2.1b_percent'!$B76&amp;'Table 2.1b_percent'!$C76,UtilityList!$A$4:$A$251&amp;UtilityList!$B$4:$B$251&amp;UtilityList!$C$4:$C$251,0))</f>
        <v>0</v>
      </c>
      <c r="L76" s="627" t="str">
        <f t="array" ref="L76">INDEX(UtilityList!I$4:I$251,MATCH('Table 2.1b_percent'!$A76&amp;'Table 2.1b_percent'!$B76&amp;'Table 2.1b_percent'!$C76,UtilityList!$A$4:$A$251&amp;UtilityList!$B$4:$B$251&amp;UtilityList!$C$4:$C$251,0))</f>
        <v>ALASVEC</v>
      </c>
      <c r="M76" s="452" t="str">
        <f t="array" ref="M76">INDEX(UtilityList!J$4:J$251,MATCH('Table 2.1b_percent'!$A76&amp;'Table 2.1b_percent'!$B76&amp;'Table 2.1b_percent'!$C76,UtilityList!$A$4:$A$251&amp;UtilityList!$B$4:$B$251&amp;UtilityList!$C$4:$C$251,0))</f>
        <v>Lower Yukon-Kuskokwim</v>
      </c>
      <c r="N76" s="452" t="str">
        <f t="array" ref="N76">INDEX(UtilityList!K$4:K$251,MATCH('Table 2.1b_percent'!$A76&amp;'Table 2.1b_percent'!$B76&amp;'Table 2.1b_percent'!$C76,UtilityList!$A$4:$A$251&amp;UtilityList!$B$4:$B$251&amp;UtilityList!$C$4:$C$251,0))</f>
        <v>Wade Hampton (CA)</v>
      </c>
      <c r="O76" s="452" t="str">
        <f t="array" ref="O76">INDEX(UtilityList!L$4:L$251,MATCH('Table 2.1b_percent'!$A76&amp;'Table 2.1b_percent'!$B76&amp;'Table 2.1b_percent'!$C76,UtilityList!$A$4:$A$251&amp;UtilityList!$B$4:$B$251&amp;UtilityList!$C$4:$C$251,0))</f>
        <v>Calista</v>
      </c>
      <c r="P76" s="452" t="str">
        <f t="array" ref="P76">INDEX(UtilityList!M$4:M$251,MATCH('Table 2.1b_percent'!$A76&amp;'Table 2.1b_percent'!$B76&amp;'Table 2.1b_percent'!$C76,UtilityList!$A$4:$A$251&amp;UtilityList!$B$4:$B$251&amp;UtilityList!$C$4:$C$251,0))</f>
        <v>YU</v>
      </c>
    </row>
    <row r="77" spans="1:16" s="344" customFormat="1" ht="105" x14ac:dyDescent="0.25">
      <c r="A77" s="619" t="s">
        <v>524</v>
      </c>
      <c r="B77" s="361" t="s">
        <v>538</v>
      </c>
      <c r="C77" s="350" t="s">
        <v>993</v>
      </c>
      <c r="D77" s="625">
        <v>1</v>
      </c>
      <c r="E77" s="626">
        <v>0</v>
      </c>
      <c r="F77" s="626">
        <v>1</v>
      </c>
      <c r="G77" s="626">
        <v>0</v>
      </c>
      <c r="H77" s="626">
        <v>0</v>
      </c>
      <c r="I77" s="361" t="s">
        <v>648</v>
      </c>
      <c r="J77" s="622" t="str">
        <f t="array" ref="J77">INDEX(UtilityList!H$4:H$251,MATCH('Table 2.1b_percent'!$A77&amp;'Table 2.1b_percent'!$B77&amp;'Table 2.1b_percent'!$C77,UtilityList!$A$4:$A$251&amp;UtilityList!$B$4:$B$251&amp;UtilityList!$C$4:$C$251,0))</f>
        <v>PCE Eligible Active</v>
      </c>
      <c r="K77" s="709" t="str">
        <f t="array" ref="K77">INDEX(UtilityList!Q$4:Q$251,MATCH('Table 2.1b_percent'!$A77&amp;'Table 2.1b_percent'!$B77&amp;'Table 2.1b_percent'!$C77,UtilityList!$A$4:$A$251&amp;UtilityList!$B$4:$B$251&amp;UtilityList!$C$4:$C$251,0))</f>
        <v>Provides power to Andreafsky and Pitkas Point via intertie. Includes Andreafsky's information. Fuel use and cost also includes Pitkas Point.</v>
      </c>
      <c r="L77" s="627" t="str">
        <f t="array" ref="L77">INDEX(UtilityList!I$4:I$251,MATCH('Table 2.1b_percent'!$A77&amp;'Table 2.1b_percent'!$B77&amp;'Table 2.1b_percent'!$C77,UtilityList!$A$4:$A$251&amp;UtilityList!$B$4:$B$251&amp;UtilityList!$C$4:$C$251,0))</f>
        <v>ALASVEC</v>
      </c>
      <c r="M77" s="452" t="str">
        <f t="array" ref="M77">INDEX(UtilityList!J$4:J$251,MATCH('Table 2.1b_percent'!$A77&amp;'Table 2.1b_percent'!$B77&amp;'Table 2.1b_percent'!$C77,UtilityList!$A$4:$A$251&amp;UtilityList!$B$4:$B$251&amp;UtilityList!$C$4:$C$251,0))</f>
        <v>Lower Yukon-Kuskokwim</v>
      </c>
      <c r="N77" s="452" t="str">
        <f t="array" ref="N77">INDEX(UtilityList!K$4:K$251,MATCH('Table 2.1b_percent'!$A77&amp;'Table 2.1b_percent'!$B77&amp;'Table 2.1b_percent'!$C77,UtilityList!$A$4:$A$251&amp;UtilityList!$B$4:$B$251&amp;UtilityList!$C$4:$C$251,0))</f>
        <v>Wade Hampton (CA)</v>
      </c>
      <c r="O77" s="452" t="str">
        <f t="array" ref="O77">INDEX(UtilityList!L$4:L$251,MATCH('Table 2.1b_percent'!$A77&amp;'Table 2.1b_percent'!$B77&amp;'Table 2.1b_percent'!$C77,UtilityList!$A$4:$A$251&amp;UtilityList!$B$4:$B$251&amp;UtilityList!$C$4:$C$251,0))</f>
        <v>Calista</v>
      </c>
      <c r="P77" s="452" t="str">
        <f t="array" ref="P77">INDEX(UtilityList!M$4:M$251,MATCH('Table 2.1b_percent'!$A77&amp;'Table 2.1b_percent'!$B77&amp;'Table 2.1b_percent'!$C77,UtilityList!$A$4:$A$251&amp;UtilityList!$B$4:$B$251&amp;UtilityList!$C$4:$C$251,0))</f>
        <v>YU</v>
      </c>
    </row>
    <row r="78" spans="1:16" s="344" customFormat="1" x14ac:dyDescent="0.25">
      <c r="A78" s="619" t="s">
        <v>524</v>
      </c>
      <c r="B78" s="361" t="s">
        <v>102</v>
      </c>
      <c r="C78" s="350" t="s">
        <v>102</v>
      </c>
      <c r="D78" s="625">
        <v>1</v>
      </c>
      <c r="E78" s="626">
        <v>0</v>
      </c>
      <c r="F78" s="626">
        <v>1</v>
      </c>
      <c r="G78" s="626">
        <v>0</v>
      </c>
      <c r="H78" s="626">
        <v>0</v>
      </c>
      <c r="I78" s="361" t="s">
        <v>648</v>
      </c>
      <c r="J78" s="622" t="str">
        <f t="array" ref="J78">INDEX(UtilityList!H$4:H$251,MATCH('Table 2.1b_percent'!$A78&amp;'Table 2.1b_percent'!$B78&amp;'Table 2.1b_percent'!$C78,UtilityList!$A$4:$A$251&amp;UtilityList!$B$4:$B$251&amp;UtilityList!$C$4:$C$251,0))</f>
        <v>PCE Eligible Active</v>
      </c>
      <c r="K78" s="709">
        <f t="array" ref="K78">INDEX(UtilityList!Q$4:Q$251,MATCH('Table 2.1b_percent'!$A78&amp;'Table 2.1b_percent'!$B78&amp;'Table 2.1b_percent'!$C78,UtilityList!$A$4:$A$251&amp;UtilityList!$B$4:$B$251&amp;UtilityList!$C$4:$C$251,0))</f>
        <v>0</v>
      </c>
      <c r="L78" s="627" t="str">
        <f t="array" ref="L78">INDEX(UtilityList!I$4:I$251,MATCH('Table 2.1b_percent'!$A78&amp;'Table 2.1b_percent'!$B78&amp;'Table 2.1b_percent'!$C78,UtilityList!$A$4:$A$251&amp;UtilityList!$B$4:$B$251&amp;UtilityList!$C$4:$C$251,0))</f>
        <v>ALASVEC</v>
      </c>
      <c r="M78" s="452" t="str">
        <f t="array" ref="M78">INDEX(UtilityList!J$4:J$251,MATCH('Table 2.1b_percent'!$A78&amp;'Table 2.1b_percent'!$B78&amp;'Table 2.1b_percent'!$C78,UtilityList!$A$4:$A$251&amp;UtilityList!$B$4:$B$251&amp;UtilityList!$C$4:$C$251,0))</f>
        <v>Bering Straits</v>
      </c>
      <c r="N78" s="452" t="str">
        <f t="array" ref="N78">INDEX(UtilityList!K$4:K$251,MATCH('Table 2.1b_percent'!$A78&amp;'Table 2.1b_percent'!$B78&amp;'Table 2.1b_percent'!$C78,UtilityList!$A$4:$A$251&amp;UtilityList!$B$4:$B$251&amp;UtilityList!$C$4:$C$251,0))</f>
        <v>Nome (CA)</v>
      </c>
      <c r="O78" s="452" t="str">
        <f t="array" ref="O78">INDEX(UtilityList!L$4:L$251,MATCH('Table 2.1b_percent'!$A78&amp;'Table 2.1b_percent'!$B78&amp;'Table 2.1b_percent'!$C78,UtilityList!$A$4:$A$251&amp;UtilityList!$B$4:$B$251&amp;UtilityList!$C$4:$C$251,0))</f>
        <v>Bering Straits</v>
      </c>
      <c r="P78" s="452" t="str">
        <f t="array" ref="P78">INDEX(UtilityList!M$4:M$251,MATCH('Table 2.1b_percent'!$A78&amp;'Table 2.1b_percent'!$B78&amp;'Table 2.1b_percent'!$C78,UtilityList!$A$4:$A$251&amp;UtilityList!$B$4:$B$251&amp;UtilityList!$C$4:$C$251,0))</f>
        <v>AN</v>
      </c>
    </row>
    <row r="79" spans="1:16" s="344" customFormat="1" ht="30" x14ac:dyDescent="0.25">
      <c r="A79" s="619" t="s">
        <v>524</v>
      </c>
      <c r="B79" s="361" t="s">
        <v>103</v>
      </c>
      <c r="C79" s="350" t="s">
        <v>103</v>
      </c>
      <c r="D79" s="625">
        <v>1</v>
      </c>
      <c r="E79" s="626">
        <v>0</v>
      </c>
      <c r="F79" s="626">
        <v>0.89473684210526316</v>
      </c>
      <c r="G79" s="626">
        <v>0</v>
      </c>
      <c r="H79" s="626">
        <v>0.10526315789473684</v>
      </c>
      <c r="I79" s="361" t="s">
        <v>654</v>
      </c>
      <c r="J79" s="622" t="str">
        <f t="array" ref="J79">INDEX(UtilityList!H$4:H$251,MATCH('Table 2.1b_percent'!$A79&amp;'Table 2.1b_percent'!$B79&amp;'Table 2.1b_percent'!$C79,UtilityList!$A$4:$A$251&amp;UtilityList!$B$4:$B$251&amp;UtilityList!$C$4:$C$251,0))</f>
        <v>PCE Eligible Active</v>
      </c>
      <c r="K79" s="709">
        <f t="array" ref="K79">INDEX(UtilityList!Q$4:Q$251,MATCH('Table 2.1b_percent'!$A79&amp;'Table 2.1b_percent'!$B79&amp;'Table 2.1b_percent'!$C79,UtilityList!$A$4:$A$251&amp;UtilityList!$B$4:$B$251&amp;UtilityList!$C$4:$C$251,0))</f>
        <v>0</v>
      </c>
      <c r="L79" s="627" t="str">
        <f t="array" ref="L79">INDEX(UtilityList!I$4:I$251,MATCH('Table 2.1b_percent'!$A79&amp;'Table 2.1b_percent'!$B79&amp;'Table 2.1b_percent'!$C79,UtilityList!$A$4:$A$251&amp;UtilityList!$B$4:$B$251&amp;UtilityList!$C$4:$C$251,0))</f>
        <v>ALASVEC</v>
      </c>
      <c r="M79" s="452" t="str">
        <f t="array" ref="M79">INDEX(UtilityList!J$4:J$251,MATCH('Table 2.1b_percent'!$A79&amp;'Table 2.1b_percent'!$B79&amp;'Table 2.1b_percent'!$C79,UtilityList!$A$4:$A$251&amp;UtilityList!$B$4:$B$251&amp;UtilityList!$C$4:$C$251,0))</f>
        <v>Bering Straits</v>
      </c>
      <c r="N79" s="452" t="str">
        <f t="array" ref="N79">INDEX(UtilityList!K$4:K$251,MATCH('Table 2.1b_percent'!$A79&amp;'Table 2.1b_percent'!$B79&amp;'Table 2.1b_percent'!$C79,UtilityList!$A$4:$A$251&amp;UtilityList!$B$4:$B$251&amp;UtilityList!$C$4:$C$251,0))</f>
        <v>Nome (CA)</v>
      </c>
      <c r="O79" s="452" t="str">
        <f t="array" ref="O79">INDEX(UtilityList!L$4:L$251,MATCH('Table 2.1b_percent'!$A79&amp;'Table 2.1b_percent'!$B79&amp;'Table 2.1b_percent'!$C79,UtilityList!$A$4:$A$251&amp;UtilityList!$B$4:$B$251&amp;UtilityList!$C$4:$C$251,0))</f>
        <v>Bering Straits</v>
      </c>
      <c r="P79" s="452" t="str">
        <f t="array" ref="P79">INDEX(UtilityList!M$4:M$251,MATCH('Table 2.1b_percent'!$A79&amp;'Table 2.1b_percent'!$B79&amp;'Table 2.1b_percent'!$C79,UtilityList!$A$4:$A$251&amp;UtilityList!$B$4:$B$251&amp;UtilityList!$C$4:$C$251,0))</f>
        <v>AN</v>
      </c>
    </row>
    <row r="80" spans="1:16" s="344" customFormat="1" ht="30" x14ac:dyDescent="0.25">
      <c r="A80" s="619" t="s">
        <v>524</v>
      </c>
      <c r="B80" s="361" t="s">
        <v>104</v>
      </c>
      <c r="C80" s="350" t="s">
        <v>104</v>
      </c>
      <c r="D80" s="625">
        <v>1</v>
      </c>
      <c r="E80" s="626">
        <v>0</v>
      </c>
      <c r="F80" s="626">
        <v>1</v>
      </c>
      <c r="G80" s="626">
        <v>0</v>
      </c>
      <c r="H80" s="626">
        <v>0</v>
      </c>
      <c r="I80" s="361" t="s">
        <v>648</v>
      </c>
      <c r="J80" s="622" t="str">
        <f t="array" ref="J80">INDEX(UtilityList!H$4:H$251,MATCH('Table 2.1b_percent'!$A80&amp;'Table 2.1b_percent'!$B80&amp;'Table 2.1b_percent'!$C80,UtilityList!$A$4:$A$251&amp;UtilityList!$B$4:$B$251&amp;UtilityList!$C$4:$C$251,0))</f>
        <v>PCE Eligible Active</v>
      </c>
      <c r="K80" s="709">
        <f t="array" ref="K80">INDEX(UtilityList!Q$4:Q$251,MATCH('Table 2.1b_percent'!$A80&amp;'Table 2.1b_percent'!$B80&amp;'Table 2.1b_percent'!$C80,UtilityList!$A$4:$A$251&amp;UtilityList!$B$4:$B$251&amp;UtilityList!$C$4:$C$251,0))</f>
        <v>0</v>
      </c>
      <c r="L80" s="627" t="str">
        <f t="array" ref="L80">INDEX(UtilityList!I$4:I$251,MATCH('Table 2.1b_percent'!$A80&amp;'Table 2.1b_percent'!$B80&amp;'Table 2.1b_percent'!$C80,UtilityList!$A$4:$A$251&amp;UtilityList!$B$4:$B$251&amp;UtilityList!$C$4:$C$251,0))</f>
        <v>ALASVEC</v>
      </c>
      <c r="M80" s="452" t="str">
        <f t="array" ref="M80">INDEX(UtilityList!J$4:J$251,MATCH('Table 2.1b_percent'!$A80&amp;'Table 2.1b_percent'!$B80&amp;'Table 2.1b_percent'!$C80,UtilityList!$A$4:$A$251&amp;UtilityList!$B$4:$B$251&amp;UtilityList!$C$4:$C$251,0))</f>
        <v>Lower Yukon-Kuskokwim</v>
      </c>
      <c r="N80" s="452" t="str">
        <f t="array" ref="N80">INDEX(UtilityList!K$4:K$251,MATCH('Table 2.1b_percent'!$A80&amp;'Table 2.1b_percent'!$B80&amp;'Table 2.1b_percent'!$C80,UtilityList!$A$4:$A$251&amp;UtilityList!$B$4:$B$251&amp;UtilityList!$C$4:$C$251,0))</f>
        <v>Wade Hampton (CA)</v>
      </c>
      <c r="O80" s="452" t="str">
        <f t="array" ref="O80">INDEX(UtilityList!L$4:L$251,MATCH('Table 2.1b_percent'!$A80&amp;'Table 2.1b_percent'!$B80&amp;'Table 2.1b_percent'!$C80,UtilityList!$A$4:$A$251&amp;UtilityList!$B$4:$B$251&amp;UtilityList!$C$4:$C$251,0))</f>
        <v>Calista</v>
      </c>
      <c r="P80" s="452" t="str">
        <f t="array" ref="P80">INDEX(UtilityList!M$4:M$251,MATCH('Table 2.1b_percent'!$A80&amp;'Table 2.1b_percent'!$B80&amp;'Table 2.1b_percent'!$C80,UtilityList!$A$4:$A$251&amp;UtilityList!$B$4:$B$251&amp;UtilityList!$C$4:$C$251,0))</f>
        <v>YU</v>
      </c>
    </row>
    <row r="81" spans="1:16" s="344" customFormat="1" ht="30" x14ac:dyDescent="0.25">
      <c r="A81" s="619" t="s">
        <v>524</v>
      </c>
      <c r="B81" s="361" t="s">
        <v>105</v>
      </c>
      <c r="C81" s="350" t="s">
        <v>105</v>
      </c>
      <c r="D81" s="625">
        <v>1</v>
      </c>
      <c r="E81" s="626">
        <v>0</v>
      </c>
      <c r="F81" s="626">
        <v>0.86021505376344087</v>
      </c>
      <c r="G81" s="626">
        <v>0</v>
      </c>
      <c r="H81" s="626">
        <v>0.13978494623655913</v>
      </c>
      <c r="I81" s="361" t="s">
        <v>654</v>
      </c>
      <c r="J81" s="622" t="str">
        <f t="array" ref="J81">INDEX(UtilityList!H$4:H$251,MATCH('Table 2.1b_percent'!$A81&amp;'Table 2.1b_percent'!$B81&amp;'Table 2.1b_percent'!$C81,UtilityList!$A$4:$A$251&amp;UtilityList!$B$4:$B$251&amp;UtilityList!$C$4:$C$251,0))</f>
        <v>PCE Eligible Active</v>
      </c>
      <c r="K81" s="709">
        <f t="array" ref="K81">INDEX(UtilityList!Q$4:Q$251,MATCH('Table 2.1b_percent'!$A81&amp;'Table 2.1b_percent'!$B81&amp;'Table 2.1b_percent'!$C81,UtilityList!$A$4:$A$251&amp;UtilityList!$B$4:$B$251&amp;UtilityList!$C$4:$C$251,0))</f>
        <v>0</v>
      </c>
      <c r="L81" s="627" t="str">
        <f t="array" ref="L81">INDEX(UtilityList!I$4:I$251,MATCH('Table 2.1b_percent'!$A81&amp;'Table 2.1b_percent'!$B81&amp;'Table 2.1b_percent'!$C81,UtilityList!$A$4:$A$251&amp;UtilityList!$B$4:$B$251&amp;UtilityList!$C$4:$C$251,0))</f>
        <v>ALASVEC</v>
      </c>
      <c r="M81" s="452" t="str">
        <f t="array" ref="M81">INDEX(UtilityList!J$4:J$251,MATCH('Table 2.1b_percent'!$A81&amp;'Table 2.1b_percent'!$B81&amp;'Table 2.1b_percent'!$C81,UtilityList!$A$4:$A$251&amp;UtilityList!$B$4:$B$251&amp;UtilityList!$C$4:$C$251,0))</f>
        <v>Northwest Arctic</v>
      </c>
      <c r="N81" s="452" t="str">
        <f t="array" ref="N81">INDEX(UtilityList!K$4:K$251,MATCH('Table 2.1b_percent'!$A81&amp;'Table 2.1b_percent'!$B81&amp;'Table 2.1b_percent'!$C81,UtilityList!$A$4:$A$251&amp;UtilityList!$B$4:$B$251&amp;UtilityList!$C$4:$C$251,0))</f>
        <v>Northwest Arctic</v>
      </c>
      <c r="O81" s="452" t="str">
        <f t="array" ref="O81">INDEX(UtilityList!L$4:L$251,MATCH('Table 2.1b_percent'!$A81&amp;'Table 2.1b_percent'!$B81&amp;'Table 2.1b_percent'!$C81,UtilityList!$A$4:$A$251&amp;UtilityList!$B$4:$B$251&amp;UtilityList!$C$4:$C$251,0))</f>
        <v>NANA</v>
      </c>
      <c r="P81" s="452" t="str">
        <f t="array" ref="P81">INDEX(UtilityList!M$4:M$251,MATCH('Table 2.1b_percent'!$A81&amp;'Table 2.1b_percent'!$B81&amp;'Table 2.1b_percent'!$C81,UtilityList!$A$4:$A$251&amp;UtilityList!$B$4:$B$251&amp;UtilityList!$C$4:$C$251,0))</f>
        <v>AN</v>
      </c>
    </row>
    <row r="82" spans="1:16" s="344" customFormat="1" ht="30" x14ac:dyDescent="0.25">
      <c r="A82" s="619" t="s">
        <v>524</v>
      </c>
      <c r="B82" s="361" t="s">
        <v>106</v>
      </c>
      <c r="C82" s="350" t="s">
        <v>106</v>
      </c>
      <c r="D82" s="625">
        <v>1</v>
      </c>
      <c r="E82" s="626">
        <v>0</v>
      </c>
      <c r="F82" s="626">
        <v>1</v>
      </c>
      <c r="G82" s="626">
        <v>0</v>
      </c>
      <c r="H82" s="626">
        <v>0</v>
      </c>
      <c r="I82" s="361" t="s">
        <v>718</v>
      </c>
      <c r="J82" s="622" t="str">
        <f t="array" ref="J82">INDEX(UtilityList!H$4:H$251,MATCH('Table 2.1b_percent'!$A82&amp;'Table 2.1b_percent'!$B82&amp;'Table 2.1b_percent'!$C82,UtilityList!$A$4:$A$251&amp;UtilityList!$B$4:$B$251&amp;UtilityList!$C$4:$C$251,0))</f>
        <v>PCE Eligible Active</v>
      </c>
      <c r="K82" s="709">
        <f t="array" ref="K82">INDEX(UtilityList!Q$4:Q$251,MATCH('Table 2.1b_percent'!$A82&amp;'Table 2.1b_percent'!$B82&amp;'Table 2.1b_percent'!$C82,UtilityList!$A$4:$A$251&amp;UtilityList!$B$4:$B$251&amp;UtilityList!$C$4:$C$251,0))</f>
        <v>0</v>
      </c>
      <c r="L82" s="627" t="str">
        <f t="array" ref="L82">INDEX(UtilityList!I$4:I$251,MATCH('Table 2.1b_percent'!$A82&amp;'Table 2.1b_percent'!$B82&amp;'Table 2.1b_percent'!$C82,UtilityList!$A$4:$A$251&amp;UtilityList!$B$4:$B$251&amp;UtilityList!$C$4:$C$251,0))</f>
        <v>ALASVEC</v>
      </c>
      <c r="M82" s="452" t="str">
        <f t="array" ref="M82">INDEX(UtilityList!J$4:J$251,MATCH('Table 2.1b_percent'!$A82&amp;'Table 2.1b_percent'!$B82&amp;'Table 2.1b_percent'!$C82,UtilityList!$A$4:$A$251&amp;UtilityList!$B$4:$B$251&amp;UtilityList!$C$4:$C$251,0))</f>
        <v>Yukon-Koyukuk/Upper Tanana</v>
      </c>
      <c r="N82" s="452" t="str">
        <f t="array" ref="N82">INDEX(UtilityList!K$4:K$251,MATCH('Table 2.1b_percent'!$A82&amp;'Table 2.1b_percent'!$B82&amp;'Table 2.1b_percent'!$C82,UtilityList!$A$4:$A$251&amp;UtilityList!$B$4:$B$251&amp;UtilityList!$C$4:$C$251,0))</f>
        <v>Yukon-Koyukuk (CA)</v>
      </c>
      <c r="O82" s="452" t="str">
        <f t="array" ref="O82">INDEX(UtilityList!L$4:L$251,MATCH('Table 2.1b_percent'!$A82&amp;'Table 2.1b_percent'!$B82&amp;'Table 2.1b_percent'!$C82,UtilityList!$A$4:$A$251&amp;UtilityList!$B$4:$B$251&amp;UtilityList!$C$4:$C$251,0))</f>
        <v>Doyon</v>
      </c>
      <c r="P82" s="452" t="str">
        <f t="array" ref="P82">INDEX(UtilityList!M$4:M$251,MATCH('Table 2.1b_percent'!$A82&amp;'Table 2.1b_percent'!$B82&amp;'Table 2.1b_percent'!$C82,UtilityList!$A$4:$A$251&amp;UtilityList!$B$4:$B$251&amp;UtilityList!$C$4:$C$251,0))</f>
        <v>YU</v>
      </c>
    </row>
    <row r="83" spans="1:16" s="344" customFormat="1" ht="30" x14ac:dyDescent="0.25">
      <c r="A83" s="619" t="s">
        <v>524</v>
      </c>
      <c r="B83" s="361" t="s">
        <v>107</v>
      </c>
      <c r="C83" s="350" t="s">
        <v>107</v>
      </c>
      <c r="D83" s="625">
        <v>1</v>
      </c>
      <c r="E83" s="626">
        <v>0</v>
      </c>
      <c r="F83" s="626">
        <v>1</v>
      </c>
      <c r="G83" s="626">
        <v>0</v>
      </c>
      <c r="H83" s="626">
        <v>0</v>
      </c>
      <c r="I83" s="361" t="s">
        <v>718</v>
      </c>
      <c r="J83" s="622" t="str">
        <f t="array" ref="J83">INDEX(UtilityList!H$4:H$251,MATCH('Table 2.1b_percent'!$A83&amp;'Table 2.1b_percent'!$B83&amp;'Table 2.1b_percent'!$C83,UtilityList!$A$4:$A$251&amp;UtilityList!$B$4:$B$251&amp;UtilityList!$C$4:$C$251,0))</f>
        <v>PCE Eligible Active</v>
      </c>
      <c r="K83" s="709">
        <f t="array" ref="K83">INDEX(UtilityList!Q$4:Q$251,MATCH('Table 2.1b_percent'!$A83&amp;'Table 2.1b_percent'!$B83&amp;'Table 2.1b_percent'!$C83,UtilityList!$A$4:$A$251&amp;UtilityList!$B$4:$B$251&amp;UtilityList!$C$4:$C$251,0))</f>
        <v>0</v>
      </c>
      <c r="L83" s="627" t="str">
        <f t="array" ref="L83">INDEX(UtilityList!I$4:I$251,MATCH('Table 2.1b_percent'!$A83&amp;'Table 2.1b_percent'!$B83&amp;'Table 2.1b_percent'!$C83,UtilityList!$A$4:$A$251&amp;UtilityList!$B$4:$B$251&amp;UtilityList!$C$4:$C$251,0))</f>
        <v>ALASVEC</v>
      </c>
      <c r="M83" s="452" t="str">
        <f t="array" ref="M83">INDEX(UtilityList!J$4:J$251,MATCH('Table 2.1b_percent'!$A83&amp;'Table 2.1b_percent'!$B83&amp;'Table 2.1b_percent'!$C83,UtilityList!$A$4:$A$251&amp;UtilityList!$B$4:$B$251&amp;UtilityList!$C$4:$C$251,0))</f>
        <v>Bering Straits</v>
      </c>
      <c r="N83" s="452" t="str">
        <f t="array" ref="N83">INDEX(UtilityList!K$4:K$251,MATCH('Table 2.1b_percent'!$A83&amp;'Table 2.1b_percent'!$B83&amp;'Table 2.1b_percent'!$C83,UtilityList!$A$4:$A$251&amp;UtilityList!$B$4:$B$251&amp;UtilityList!$C$4:$C$251,0))</f>
        <v>Nome (CA)</v>
      </c>
      <c r="O83" s="452" t="str">
        <f t="array" ref="O83">INDEX(UtilityList!L$4:L$251,MATCH('Table 2.1b_percent'!$A83&amp;'Table 2.1b_percent'!$B83&amp;'Table 2.1b_percent'!$C83,UtilityList!$A$4:$A$251&amp;UtilityList!$B$4:$B$251&amp;UtilityList!$C$4:$C$251,0))</f>
        <v>Bering Straits</v>
      </c>
      <c r="P83" s="452" t="str">
        <f t="array" ref="P83">INDEX(UtilityList!M$4:M$251,MATCH('Table 2.1b_percent'!$A83&amp;'Table 2.1b_percent'!$B83&amp;'Table 2.1b_percent'!$C83,UtilityList!$A$4:$A$251&amp;UtilityList!$B$4:$B$251&amp;UtilityList!$C$4:$C$251,0))</f>
        <v>AN</v>
      </c>
    </row>
    <row r="84" spans="1:16" s="344" customFormat="1" x14ac:dyDescent="0.25">
      <c r="A84" s="619" t="s">
        <v>524</v>
      </c>
      <c r="B84" s="361" t="s">
        <v>108</v>
      </c>
      <c r="C84" s="350" t="s">
        <v>108</v>
      </c>
      <c r="D84" s="625">
        <v>1</v>
      </c>
      <c r="E84" s="626">
        <v>0</v>
      </c>
      <c r="F84" s="626">
        <v>1</v>
      </c>
      <c r="G84" s="626">
        <v>0</v>
      </c>
      <c r="H84" s="626">
        <v>0</v>
      </c>
      <c r="I84" s="361" t="s">
        <v>648</v>
      </c>
      <c r="J84" s="622" t="str">
        <f t="array" ref="J84">INDEX(UtilityList!H$4:H$251,MATCH('Table 2.1b_percent'!$A84&amp;'Table 2.1b_percent'!$B84&amp;'Table 2.1b_percent'!$C84,UtilityList!$A$4:$A$251&amp;UtilityList!$B$4:$B$251&amp;UtilityList!$C$4:$C$251,0))</f>
        <v>PCE Eligible Active</v>
      </c>
      <c r="K84" s="709">
        <f t="array" ref="K84">INDEX(UtilityList!Q$4:Q$251,MATCH('Table 2.1b_percent'!$A84&amp;'Table 2.1b_percent'!$B84&amp;'Table 2.1b_percent'!$C84,UtilityList!$A$4:$A$251&amp;UtilityList!$B$4:$B$251&amp;UtilityList!$C$4:$C$251,0))</f>
        <v>0</v>
      </c>
      <c r="L84" s="627" t="str">
        <f t="array" ref="L84">INDEX(UtilityList!I$4:I$251,MATCH('Table 2.1b_percent'!$A84&amp;'Table 2.1b_percent'!$B84&amp;'Table 2.1b_percent'!$C84,UtilityList!$A$4:$A$251&amp;UtilityList!$B$4:$B$251&amp;UtilityList!$C$4:$C$251,0))</f>
        <v>ALASVEC</v>
      </c>
      <c r="M84" s="452" t="str">
        <f t="array" ref="M84">INDEX(UtilityList!J$4:J$251,MATCH('Table 2.1b_percent'!$A84&amp;'Table 2.1b_percent'!$B84&amp;'Table 2.1b_percent'!$C84,UtilityList!$A$4:$A$251&amp;UtilityList!$B$4:$B$251&amp;UtilityList!$C$4:$C$251,0))</f>
        <v>Bering Straits</v>
      </c>
      <c r="N84" s="452" t="str">
        <f t="array" ref="N84">INDEX(UtilityList!K$4:K$251,MATCH('Table 2.1b_percent'!$A84&amp;'Table 2.1b_percent'!$B84&amp;'Table 2.1b_percent'!$C84,UtilityList!$A$4:$A$251&amp;UtilityList!$B$4:$B$251&amp;UtilityList!$C$4:$C$251,0))</f>
        <v>Nome (CA)</v>
      </c>
      <c r="O84" s="452" t="str">
        <f t="array" ref="O84">INDEX(UtilityList!L$4:L$251,MATCH('Table 2.1b_percent'!$A84&amp;'Table 2.1b_percent'!$B84&amp;'Table 2.1b_percent'!$C84,UtilityList!$A$4:$A$251&amp;UtilityList!$B$4:$B$251&amp;UtilityList!$C$4:$C$251,0))</f>
        <v>Bering Straits</v>
      </c>
      <c r="P84" s="452" t="str">
        <f t="array" ref="P84">INDEX(UtilityList!M$4:M$251,MATCH('Table 2.1b_percent'!$A84&amp;'Table 2.1b_percent'!$B84&amp;'Table 2.1b_percent'!$C84,UtilityList!$A$4:$A$251&amp;UtilityList!$B$4:$B$251&amp;UtilityList!$C$4:$C$251,0))</f>
        <v>AN</v>
      </c>
    </row>
    <row r="85" spans="1:16" s="344" customFormat="1" ht="60" x14ac:dyDescent="0.25">
      <c r="A85" s="619" t="s">
        <v>524</v>
      </c>
      <c r="B85" s="361" t="s">
        <v>109</v>
      </c>
      <c r="C85" s="350" t="s">
        <v>994</v>
      </c>
      <c r="D85" s="625">
        <v>1</v>
      </c>
      <c r="E85" s="626">
        <v>0</v>
      </c>
      <c r="F85" s="626">
        <v>1</v>
      </c>
      <c r="G85" s="626">
        <v>0</v>
      </c>
      <c r="H85" s="626">
        <v>0</v>
      </c>
      <c r="I85" s="361" t="s">
        <v>648</v>
      </c>
      <c r="J85" s="622" t="str">
        <f t="array" ref="J85">INDEX(UtilityList!H$4:H$251,MATCH('Table 2.1b_percent'!$A85&amp;'Table 2.1b_percent'!$B85&amp;'Table 2.1b_percent'!$C85,UtilityList!$A$4:$A$251&amp;UtilityList!$B$4:$B$251&amp;UtilityList!$C$4:$C$251,0))</f>
        <v>PCE Eligible Active</v>
      </c>
      <c r="K85" s="709" t="str">
        <f t="array" ref="K85">INDEX(UtilityList!Q$4:Q$251,MATCH('Table 2.1b_percent'!$A85&amp;'Table 2.1b_percent'!$B85&amp;'Table 2.1b_percent'!$C85,UtilityList!$A$4:$A$251&amp;UtilityList!$B$4:$B$251&amp;UtilityList!$C$4:$C$251,0))</f>
        <v>Provides power to Kobuk via intertie. Fuel use and cost includes Kobuk's information.</v>
      </c>
      <c r="L85" s="627" t="str">
        <f t="array" ref="L85">INDEX(UtilityList!I$4:I$251,MATCH('Table 2.1b_percent'!$A85&amp;'Table 2.1b_percent'!$B85&amp;'Table 2.1b_percent'!$C85,UtilityList!$A$4:$A$251&amp;UtilityList!$B$4:$B$251&amp;UtilityList!$C$4:$C$251,0))</f>
        <v>ALASVEC</v>
      </c>
      <c r="M85" s="452" t="str">
        <f t="array" ref="M85">INDEX(UtilityList!J$4:J$251,MATCH('Table 2.1b_percent'!$A85&amp;'Table 2.1b_percent'!$B85&amp;'Table 2.1b_percent'!$C85,UtilityList!$A$4:$A$251&amp;UtilityList!$B$4:$B$251&amp;UtilityList!$C$4:$C$251,0))</f>
        <v>Northwest Arctic</v>
      </c>
      <c r="N85" s="452" t="str">
        <f t="array" ref="N85">INDEX(UtilityList!K$4:K$251,MATCH('Table 2.1b_percent'!$A85&amp;'Table 2.1b_percent'!$B85&amp;'Table 2.1b_percent'!$C85,UtilityList!$A$4:$A$251&amp;UtilityList!$B$4:$B$251&amp;UtilityList!$C$4:$C$251,0))</f>
        <v>Northwest Arctic</v>
      </c>
      <c r="O85" s="452" t="str">
        <f t="array" ref="O85">INDEX(UtilityList!L$4:L$251,MATCH('Table 2.1b_percent'!$A85&amp;'Table 2.1b_percent'!$B85&amp;'Table 2.1b_percent'!$C85,UtilityList!$A$4:$A$251&amp;UtilityList!$B$4:$B$251&amp;UtilityList!$C$4:$C$251,0))</f>
        <v>NANA</v>
      </c>
      <c r="P85" s="452" t="str">
        <f t="array" ref="P85">INDEX(UtilityList!M$4:M$251,MATCH('Table 2.1b_percent'!$A85&amp;'Table 2.1b_percent'!$B85&amp;'Table 2.1b_percent'!$C85,UtilityList!$A$4:$A$251&amp;UtilityList!$B$4:$B$251&amp;UtilityList!$C$4:$C$251,0))</f>
        <v>AN</v>
      </c>
    </row>
    <row r="86" spans="1:16" s="344" customFormat="1" x14ac:dyDescent="0.25">
      <c r="A86" s="619" t="s">
        <v>524</v>
      </c>
      <c r="B86" s="361" t="s">
        <v>110</v>
      </c>
      <c r="C86" s="350" t="s">
        <v>110</v>
      </c>
      <c r="D86" s="625">
        <v>1</v>
      </c>
      <c r="E86" s="626">
        <v>0</v>
      </c>
      <c r="F86" s="626">
        <v>1</v>
      </c>
      <c r="G86" s="626">
        <v>0</v>
      </c>
      <c r="H86" s="626">
        <v>0</v>
      </c>
      <c r="I86" s="361" t="s">
        <v>648</v>
      </c>
      <c r="J86" s="622" t="str">
        <f t="array" ref="J86">INDEX(UtilityList!H$4:H$251,MATCH('Table 2.1b_percent'!$A86&amp;'Table 2.1b_percent'!$B86&amp;'Table 2.1b_percent'!$C86,UtilityList!$A$4:$A$251&amp;UtilityList!$B$4:$B$251&amp;UtilityList!$C$4:$C$251,0))</f>
        <v>PCE Eligible Active</v>
      </c>
      <c r="K86" s="709">
        <f t="array" ref="K86">INDEX(UtilityList!Q$4:Q$251,MATCH('Table 2.1b_percent'!$A86&amp;'Table 2.1b_percent'!$B86&amp;'Table 2.1b_percent'!$C86,UtilityList!$A$4:$A$251&amp;UtilityList!$B$4:$B$251&amp;UtilityList!$C$4:$C$251,0))</f>
        <v>0</v>
      </c>
      <c r="L86" s="627" t="str">
        <f t="array" ref="L86">INDEX(UtilityList!I$4:I$251,MATCH('Table 2.1b_percent'!$A86&amp;'Table 2.1b_percent'!$B86&amp;'Table 2.1b_percent'!$C86,UtilityList!$A$4:$A$251&amp;UtilityList!$B$4:$B$251&amp;UtilityList!$C$4:$C$251,0))</f>
        <v>ALASVEC</v>
      </c>
      <c r="M86" s="452" t="str">
        <f t="array" ref="M86">INDEX(UtilityList!J$4:J$251,MATCH('Table 2.1b_percent'!$A86&amp;'Table 2.1b_percent'!$B86&amp;'Table 2.1b_percent'!$C86,UtilityList!$A$4:$A$251&amp;UtilityList!$B$4:$B$251&amp;UtilityList!$C$4:$C$251,0))</f>
        <v>Bering Straits</v>
      </c>
      <c r="N86" s="452" t="str">
        <f t="array" ref="N86">INDEX(UtilityList!K$4:K$251,MATCH('Table 2.1b_percent'!$A86&amp;'Table 2.1b_percent'!$B86&amp;'Table 2.1b_percent'!$C86,UtilityList!$A$4:$A$251&amp;UtilityList!$B$4:$B$251&amp;UtilityList!$C$4:$C$251,0))</f>
        <v>Nome (CA)</v>
      </c>
      <c r="O86" s="452" t="str">
        <f t="array" ref="O86">INDEX(UtilityList!L$4:L$251,MATCH('Table 2.1b_percent'!$A86&amp;'Table 2.1b_percent'!$B86&amp;'Table 2.1b_percent'!$C86,UtilityList!$A$4:$A$251&amp;UtilityList!$B$4:$B$251&amp;UtilityList!$C$4:$C$251,0))</f>
        <v>Bering Straits</v>
      </c>
      <c r="P86" s="452" t="str">
        <f t="array" ref="P86">INDEX(UtilityList!M$4:M$251,MATCH('Table 2.1b_percent'!$A86&amp;'Table 2.1b_percent'!$B86&amp;'Table 2.1b_percent'!$C86,UtilityList!$A$4:$A$251&amp;UtilityList!$B$4:$B$251&amp;UtilityList!$C$4:$C$251,0))</f>
        <v>AN</v>
      </c>
    </row>
    <row r="87" spans="1:16" s="344" customFormat="1" ht="30" x14ac:dyDescent="0.25">
      <c r="A87" s="619" t="s">
        <v>524</v>
      </c>
      <c r="B87" s="361" t="s">
        <v>111</v>
      </c>
      <c r="C87" s="350" t="s">
        <v>111</v>
      </c>
      <c r="D87" s="625">
        <v>1</v>
      </c>
      <c r="E87" s="626">
        <v>0</v>
      </c>
      <c r="F87" s="626">
        <v>1</v>
      </c>
      <c r="G87" s="626">
        <v>0</v>
      </c>
      <c r="H87" s="626">
        <v>0</v>
      </c>
      <c r="I87" s="361" t="s">
        <v>718</v>
      </c>
      <c r="J87" s="622" t="str">
        <f t="array" ref="J87">INDEX(UtilityList!H$4:H$251,MATCH('Table 2.1b_percent'!$A87&amp;'Table 2.1b_percent'!$B87&amp;'Table 2.1b_percent'!$C87,UtilityList!$A$4:$A$251&amp;UtilityList!$B$4:$B$251&amp;UtilityList!$C$4:$C$251,0))</f>
        <v>PCE Eligible Active</v>
      </c>
      <c r="K87" s="709">
        <f t="array" ref="K87">INDEX(UtilityList!Q$4:Q$251,MATCH('Table 2.1b_percent'!$A87&amp;'Table 2.1b_percent'!$B87&amp;'Table 2.1b_percent'!$C87,UtilityList!$A$4:$A$251&amp;UtilityList!$B$4:$B$251&amp;UtilityList!$C$4:$C$251,0))</f>
        <v>0</v>
      </c>
      <c r="L87" s="627" t="str">
        <f t="array" ref="L87">INDEX(UtilityList!I$4:I$251,MATCH('Table 2.1b_percent'!$A87&amp;'Table 2.1b_percent'!$B87&amp;'Table 2.1b_percent'!$C87,UtilityList!$A$4:$A$251&amp;UtilityList!$B$4:$B$251&amp;UtilityList!$C$4:$C$251,0))</f>
        <v>ALASVEC</v>
      </c>
      <c r="M87" s="452" t="str">
        <f t="array" ref="M87">INDEX(UtilityList!J$4:J$251,MATCH('Table 2.1b_percent'!$A87&amp;'Table 2.1b_percent'!$B87&amp;'Table 2.1b_percent'!$C87,UtilityList!$A$4:$A$251&amp;UtilityList!$B$4:$B$251&amp;UtilityList!$C$4:$C$251,0))</f>
        <v>Bering Straits</v>
      </c>
      <c r="N87" s="452" t="str">
        <f t="array" ref="N87">INDEX(UtilityList!K$4:K$251,MATCH('Table 2.1b_percent'!$A87&amp;'Table 2.1b_percent'!$B87&amp;'Table 2.1b_percent'!$C87,UtilityList!$A$4:$A$251&amp;UtilityList!$B$4:$B$251&amp;UtilityList!$C$4:$C$251,0))</f>
        <v>Nome (CA)</v>
      </c>
      <c r="O87" s="452" t="str">
        <f t="array" ref="O87">INDEX(UtilityList!L$4:L$251,MATCH('Table 2.1b_percent'!$A87&amp;'Table 2.1b_percent'!$B87&amp;'Table 2.1b_percent'!$C87,UtilityList!$A$4:$A$251&amp;UtilityList!$B$4:$B$251&amp;UtilityList!$C$4:$C$251,0))</f>
        <v>Bering Straits</v>
      </c>
      <c r="P87" s="452" t="str">
        <f t="array" ref="P87">INDEX(UtilityList!M$4:M$251,MATCH('Table 2.1b_percent'!$A87&amp;'Table 2.1b_percent'!$B87&amp;'Table 2.1b_percent'!$C87,UtilityList!$A$4:$A$251&amp;UtilityList!$B$4:$B$251&amp;UtilityList!$C$4:$C$251,0))</f>
        <v>AN</v>
      </c>
    </row>
    <row r="88" spans="1:16" s="344" customFormat="1" x14ac:dyDescent="0.25">
      <c r="A88" s="619" t="s">
        <v>524</v>
      </c>
      <c r="B88" s="361" t="s">
        <v>112</v>
      </c>
      <c r="C88" s="350" t="s">
        <v>112</v>
      </c>
      <c r="D88" s="625">
        <v>1</v>
      </c>
      <c r="E88" s="626">
        <v>0</v>
      </c>
      <c r="F88" s="626">
        <v>1</v>
      </c>
      <c r="G88" s="626">
        <v>0</v>
      </c>
      <c r="H88" s="626">
        <v>0</v>
      </c>
      <c r="I88" s="361" t="s">
        <v>648</v>
      </c>
      <c r="J88" s="622" t="str">
        <f t="array" ref="J88">INDEX(UtilityList!H$4:H$251,MATCH('Table 2.1b_percent'!$A88&amp;'Table 2.1b_percent'!$B88&amp;'Table 2.1b_percent'!$C88,UtilityList!$A$4:$A$251&amp;UtilityList!$B$4:$B$251&amp;UtilityList!$C$4:$C$251,0))</f>
        <v>PCE Eligible Active</v>
      </c>
      <c r="K88" s="709">
        <f t="array" ref="K88">INDEX(UtilityList!Q$4:Q$251,MATCH('Table 2.1b_percent'!$A88&amp;'Table 2.1b_percent'!$B88&amp;'Table 2.1b_percent'!$C88,UtilityList!$A$4:$A$251&amp;UtilityList!$B$4:$B$251&amp;UtilityList!$C$4:$C$251,0))</f>
        <v>0</v>
      </c>
      <c r="L88" s="627" t="str">
        <f t="array" ref="L88">INDEX(UtilityList!I$4:I$251,MATCH('Table 2.1b_percent'!$A88&amp;'Table 2.1b_percent'!$B88&amp;'Table 2.1b_percent'!$C88,UtilityList!$A$4:$A$251&amp;UtilityList!$B$4:$B$251&amp;UtilityList!$C$4:$C$251,0))</f>
        <v>ALASVEC</v>
      </c>
      <c r="M88" s="452" t="str">
        <f t="array" ref="M88">INDEX(UtilityList!J$4:J$251,MATCH('Table 2.1b_percent'!$A88&amp;'Table 2.1b_percent'!$B88&amp;'Table 2.1b_percent'!$C88,UtilityList!$A$4:$A$251&amp;UtilityList!$B$4:$B$251&amp;UtilityList!$C$4:$C$251,0))</f>
        <v>Bristol Bay</v>
      </c>
      <c r="N88" s="452" t="str">
        <f t="array" ref="N88">INDEX(UtilityList!K$4:K$251,MATCH('Table 2.1b_percent'!$A88&amp;'Table 2.1b_percent'!$B88&amp;'Table 2.1b_percent'!$C88,UtilityList!$A$4:$A$251&amp;UtilityList!$B$4:$B$251&amp;UtilityList!$C$4:$C$251,0))</f>
        <v>Dillingham (CA)</v>
      </c>
      <c r="O88" s="452" t="str">
        <f t="array" ref="O88">INDEX(UtilityList!L$4:L$251,MATCH('Table 2.1b_percent'!$A88&amp;'Table 2.1b_percent'!$B88&amp;'Table 2.1b_percent'!$C88,UtilityList!$A$4:$A$251&amp;UtilityList!$B$4:$B$251&amp;UtilityList!$C$4:$C$251,0))</f>
        <v>Bristol Bay</v>
      </c>
      <c r="P88" s="452" t="str">
        <f t="array" ref="P88">INDEX(UtilityList!M$4:M$251,MATCH('Table 2.1b_percent'!$A88&amp;'Table 2.1b_percent'!$B88&amp;'Table 2.1b_percent'!$C88,UtilityList!$A$4:$A$251&amp;UtilityList!$B$4:$B$251&amp;UtilityList!$C$4:$C$251,0))</f>
        <v>SW</v>
      </c>
    </row>
    <row r="89" spans="1:16" s="344" customFormat="1" ht="90" x14ac:dyDescent="0.25">
      <c r="A89" s="619" t="s">
        <v>524</v>
      </c>
      <c r="B89" s="361" t="s">
        <v>113</v>
      </c>
      <c r="C89" s="350" t="s">
        <v>996</v>
      </c>
      <c r="D89" s="625">
        <v>1</v>
      </c>
      <c r="E89" s="626">
        <v>0</v>
      </c>
      <c r="F89" s="626">
        <v>0.80952380952380953</v>
      </c>
      <c r="G89" s="626">
        <v>0</v>
      </c>
      <c r="H89" s="626">
        <v>0.19047619047619047</v>
      </c>
      <c r="I89" s="361" t="s">
        <v>654</v>
      </c>
      <c r="J89" s="622" t="str">
        <f t="array" ref="J89">INDEX(UtilityList!H$4:H$251,MATCH('Table 2.1b_percent'!$A89&amp;'Table 2.1b_percent'!$B89&amp;'Table 2.1b_percent'!$C89,UtilityList!$A$4:$A$251&amp;UtilityList!$B$4:$B$251&amp;UtilityList!$C$4:$C$251,0))</f>
        <v>PCE Eligible Active</v>
      </c>
      <c r="K89" s="709" t="str">
        <f t="array" ref="K89">INDEX(UtilityList!Q$4:Q$251,MATCH('Table 2.1b_percent'!$A89&amp;'Table 2.1b_percent'!$B89&amp;'Table 2.1b_percent'!$C89,UtilityList!$A$4:$A$251&amp;UtilityList!$B$4:$B$251&amp;UtilityList!$C$4:$C$251,0))</f>
        <v>Provides power to Nightmute and Tununak via intertie. Fuel use and cost includes Nightmute's and Tununak's information.</v>
      </c>
      <c r="L89" s="627" t="str">
        <f t="array" ref="L89">INDEX(UtilityList!I$4:I$251,MATCH('Table 2.1b_percent'!$A89&amp;'Table 2.1b_percent'!$B89&amp;'Table 2.1b_percent'!$C89,UtilityList!$A$4:$A$251&amp;UtilityList!$B$4:$B$251&amp;UtilityList!$C$4:$C$251,0))</f>
        <v>ALASVEC</v>
      </c>
      <c r="M89" s="452" t="str">
        <f t="array" ref="M89">INDEX(UtilityList!J$4:J$251,MATCH('Table 2.1b_percent'!$A89&amp;'Table 2.1b_percent'!$B89&amp;'Table 2.1b_percent'!$C89,UtilityList!$A$4:$A$251&amp;UtilityList!$B$4:$B$251&amp;UtilityList!$C$4:$C$251,0))</f>
        <v>Lower Yukon-Kuskokwim</v>
      </c>
      <c r="N89" s="452" t="str">
        <f t="array" ref="N89">INDEX(UtilityList!K$4:K$251,MATCH('Table 2.1b_percent'!$A89&amp;'Table 2.1b_percent'!$B89&amp;'Table 2.1b_percent'!$C89,UtilityList!$A$4:$A$251&amp;UtilityList!$B$4:$B$251&amp;UtilityList!$C$4:$C$251,0))</f>
        <v>Bethel (CA)</v>
      </c>
      <c r="O89" s="452" t="str">
        <f t="array" ref="O89">INDEX(UtilityList!L$4:L$251,MATCH('Table 2.1b_percent'!$A89&amp;'Table 2.1b_percent'!$B89&amp;'Table 2.1b_percent'!$C89,UtilityList!$A$4:$A$251&amp;UtilityList!$B$4:$B$251&amp;UtilityList!$C$4:$C$251,0))</f>
        <v>Calista</v>
      </c>
      <c r="P89" s="452" t="str">
        <f t="array" ref="P89">INDEX(UtilityList!M$4:M$251,MATCH('Table 2.1b_percent'!$A89&amp;'Table 2.1b_percent'!$B89&amp;'Table 2.1b_percent'!$C89,UtilityList!$A$4:$A$251&amp;UtilityList!$B$4:$B$251&amp;UtilityList!$C$4:$C$251,0))</f>
        <v>SW</v>
      </c>
    </row>
    <row r="90" spans="1:16" s="344" customFormat="1" ht="75" x14ac:dyDescent="0.25">
      <c r="A90" s="619" t="s">
        <v>524</v>
      </c>
      <c r="B90" s="361" t="s">
        <v>114</v>
      </c>
      <c r="C90" s="350" t="s">
        <v>114</v>
      </c>
      <c r="D90" s="625">
        <v>1</v>
      </c>
      <c r="E90" s="626">
        <v>0</v>
      </c>
      <c r="F90" s="626">
        <v>1</v>
      </c>
      <c r="G90" s="626">
        <v>0</v>
      </c>
      <c r="H90" s="626">
        <v>0</v>
      </c>
      <c r="I90" s="361" t="s">
        <v>718</v>
      </c>
      <c r="J90" s="622" t="str">
        <f t="array" ref="J90">INDEX(UtilityList!H$4:H$251,MATCH('Table 2.1b_percent'!$A90&amp;'Table 2.1b_percent'!$B90&amp;'Table 2.1b_percent'!$C90,UtilityList!$A$4:$A$251&amp;UtilityList!$B$4:$B$251&amp;UtilityList!$C$4:$C$251,0))</f>
        <v>PCE Eligible Active</v>
      </c>
      <c r="K90" s="709" t="str">
        <f t="array" ref="K90">INDEX(UtilityList!Q$4:Q$251,MATCH('Table 2.1b_percent'!$A90&amp;'Table 2.1b_percent'!$B90&amp;'Table 2.1b_percent'!$C90,UtilityList!$A$4:$A$251&amp;UtilityList!$B$4:$B$251&amp;UtilityList!$C$4:$C$251,0))</f>
        <v>Receives power from Toksook Bay via intertie. For fuel use and cost, please refer to Toksook Bay.</v>
      </c>
      <c r="L90" s="627" t="str">
        <f t="array" ref="L90">INDEX(UtilityList!I$4:I$251,MATCH('Table 2.1b_percent'!$A90&amp;'Table 2.1b_percent'!$B90&amp;'Table 2.1b_percent'!$C90,UtilityList!$A$4:$A$251&amp;UtilityList!$B$4:$B$251&amp;UtilityList!$C$4:$C$251,0))</f>
        <v>ALASVEC</v>
      </c>
      <c r="M90" s="452" t="str">
        <f t="array" ref="M90">INDEX(UtilityList!J$4:J$251,MATCH('Table 2.1b_percent'!$A90&amp;'Table 2.1b_percent'!$B90&amp;'Table 2.1b_percent'!$C90,UtilityList!$A$4:$A$251&amp;UtilityList!$B$4:$B$251&amp;UtilityList!$C$4:$C$251,0))</f>
        <v>Lower Yukon-Kuskokwim</v>
      </c>
      <c r="N90" s="452" t="str">
        <f t="array" ref="N90">INDEX(UtilityList!K$4:K$251,MATCH('Table 2.1b_percent'!$A90&amp;'Table 2.1b_percent'!$B90&amp;'Table 2.1b_percent'!$C90,UtilityList!$A$4:$A$251&amp;UtilityList!$B$4:$B$251&amp;UtilityList!$C$4:$C$251,0))</f>
        <v>Bethel (CA)</v>
      </c>
      <c r="O90" s="452" t="str">
        <f t="array" ref="O90">INDEX(UtilityList!L$4:L$251,MATCH('Table 2.1b_percent'!$A90&amp;'Table 2.1b_percent'!$B90&amp;'Table 2.1b_percent'!$C90,UtilityList!$A$4:$A$251&amp;UtilityList!$B$4:$B$251&amp;UtilityList!$C$4:$C$251,0))</f>
        <v>Calista</v>
      </c>
      <c r="P90" s="452" t="str">
        <f t="array" ref="P90">INDEX(UtilityList!M$4:M$251,MATCH('Table 2.1b_percent'!$A90&amp;'Table 2.1b_percent'!$B90&amp;'Table 2.1b_percent'!$C90,UtilityList!$A$4:$A$251&amp;UtilityList!$B$4:$B$251&amp;UtilityList!$C$4:$C$251,0))</f>
        <v>SW</v>
      </c>
    </row>
    <row r="91" spans="1:16" s="344" customFormat="1" ht="30" x14ac:dyDescent="0.25">
      <c r="A91" s="619" t="s">
        <v>524</v>
      </c>
      <c r="B91" s="361" t="s">
        <v>116</v>
      </c>
      <c r="C91" s="350" t="s">
        <v>116</v>
      </c>
      <c r="D91" s="625">
        <v>1</v>
      </c>
      <c r="E91" s="626">
        <v>0</v>
      </c>
      <c r="F91" s="626">
        <v>1</v>
      </c>
      <c r="G91" s="626">
        <v>0</v>
      </c>
      <c r="H91" s="626">
        <v>0</v>
      </c>
      <c r="I91" s="361" t="s">
        <v>718</v>
      </c>
      <c r="J91" s="622" t="str">
        <f t="array" ref="J91">INDEX(UtilityList!H$4:H$251,MATCH('Table 2.1b_percent'!$A91&amp;'Table 2.1b_percent'!$B91&amp;'Table 2.1b_percent'!$C91,UtilityList!$A$4:$A$251&amp;UtilityList!$B$4:$B$251&amp;UtilityList!$C$4:$C$251,0))</f>
        <v>PCE Eligible Active</v>
      </c>
      <c r="K91" s="709">
        <f t="array" ref="K91">INDEX(UtilityList!Q$4:Q$251,MATCH('Table 2.1b_percent'!$A91&amp;'Table 2.1b_percent'!$B91&amp;'Table 2.1b_percent'!$C91,UtilityList!$A$4:$A$251&amp;UtilityList!$B$4:$B$251&amp;UtilityList!$C$4:$C$251,0))</f>
        <v>0</v>
      </c>
      <c r="L91" s="627" t="str">
        <f t="array" ref="L91">INDEX(UtilityList!I$4:I$251,MATCH('Table 2.1b_percent'!$A91&amp;'Table 2.1b_percent'!$B91&amp;'Table 2.1b_percent'!$C91,UtilityList!$A$4:$A$251&amp;UtilityList!$B$4:$B$251&amp;UtilityList!$C$4:$C$251,0))</f>
        <v>ALASVEC</v>
      </c>
      <c r="M91" s="452" t="str">
        <f t="array" ref="M91">INDEX(UtilityList!J$4:J$251,MATCH('Table 2.1b_percent'!$A91&amp;'Table 2.1b_percent'!$B91&amp;'Table 2.1b_percent'!$C91,UtilityList!$A$4:$A$251&amp;UtilityList!$B$4:$B$251&amp;UtilityList!$C$4:$C$251,0))</f>
        <v>Bering Straits</v>
      </c>
      <c r="N91" s="452" t="str">
        <f t="array" ref="N91">INDEX(UtilityList!K$4:K$251,MATCH('Table 2.1b_percent'!$A91&amp;'Table 2.1b_percent'!$B91&amp;'Table 2.1b_percent'!$C91,UtilityList!$A$4:$A$251&amp;UtilityList!$B$4:$B$251&amp;UtilityList!$C$4:$C$251,0))</f>
        <v>Nome (CA)</v>
      </c>
      <c r="O91" s="452" t="str">
        <f t="array" ref="O91">INDEX(UtilityList!L$4:L$251,MATCH('Table 2.1b_percent'!$A91&amp;'Table 2.1b_percent'!$B91&amp;'Table 2.1b_percent'!$C91,UtilityList!$A$4:$A$251&amp;UtilityList!$B$4:$B$251&amp;UtilityList!$C$4:$C$251,0))</f>
        <v>Bering Straits</v>
      </c>
      <c r="P91" s="452" t="str">
        <f t="array" ref="P91">INDEX(UtilityList!M$4:M$251,MATCH('Table 2.1b_percent'!$A91&amp;'Table 2.1b_percent'!$B91&amp;'Table 2.1b_percent'!$C91,UtilityList!$A$4:$A$251&amp;UtilityList!$B$4:$B$251&amp;UtilityList!$C$4:$C$251,0))</f>
        <v>AN</v>
      </c>
    </row>
    <row r="92" spans="1:16" s="344" customFormat="1" x14ac:dyDescent="0.25">
      <c r="A92" s="619" t="s">
        <v>524</v>
      </c>
      <c r="B92" s="361" t="s">
        <v>116</v>
      </c>
      <c r="C92" s="350" t="s">
        <v>116</v>
      </c>
      <c r="D92" s="625">
        <v>1</v>
      </c>
      <c r="E92" s="626">
        <v>0</v>
      </c>
      <c r="F92" s="626">
        <v>0</v>
      </c>
      <c r="G92" s="626">
        <v>0</v>
      </c>
      <c r="H92" s="626">
        <v>1</v>
      </c>
      <c r="I92" s="361" t="s">
        <v>647</v>
      </c>
      <c r="J92" s="622" t="str">
        <f t="array" ref="J92">INDEX(UtilityList!H$4:H$251,MATCH('Table 2.1b_percent'!$A92&amp;'Table 2.1b_percent'!$B92&amp;'Table 2.1b_percent'!$C92,UtilityList!$A$4:$A$251&amp;UtilityList!$B$4:$B$251&amp;UtilityList!$C$4:$C$251,0))</f>
        <v>PCE Eligible Active</v>
      </c>
      <c r="K92" s="709">
        <f t="array" ref="K92">INDEX(UtilityList!Q$4:Q$251,MATCH('Table 2.1b_percent'!$A92&amp;'Table 2.1b_percent'!$B92&amp;'Table 2.1b_percent'!$C92,UtilityList!$A$4:$A$251&amp;UtilityList!$B$4:$B$251&amp;UtilityList!$C$4:$C$251,0))</f>
        <v>0</v>
      </c>
      <c r="L92" s="627" t="str">
        <f t="array" ref="L92">INDEX(UtilityList!I$4:I$251,MATCH('Table 2.1b_percent'!$A92&amp;'Table 2.1b_percent'!$B92&amp;'Table 2.1b_percent'!$C92,UtilityList!$A$4:$A$251&amp;UtilityList!$B$4:$B$251&amp;UtilityList!$C$4:$C$251,0))</f>
        <v>ALASVEC</v>
      </c>
      <c r="M92" s="452" t="str">
        <f t="array" ref="M92">INDEX(UtilityList!J$4:J$251,MATCH('Table 2.1b_percent'!$A92&amp;'Table 2.1b_percent'!$B92&amp;'Table 2.1b_percent'!$C92,UtilityList!$A$4:$A$251&amp;UtilityList!$B$4:$B$251&amp;UtilityList!$C$4:$C$251,0))</f>
        <v>Bering Straits</v>
      </c>
      <c r="N92" s="452" t="str">
        <f t="array" ref="N92">INDEX(UtilityList!K$4:K$251,MATCH('Table 2.1b_percent'!$A92&amp;'Table 2.1b_percent'!$B92&amp;'Table 2.1b_percent'!$C92,UtilityList!$A$4:$A$251&amp;UtilityList!$B$4:$B$251&amp;UtilityList!$C$4:$C$251,0))</f>
        <v>Nome (CA)</v>
      </c>
      <c r="O92" s="452" t="str">
        <f t="array" ref="O92">INDEX(UtilityList!L$4:L$251,MATCH('Table 2.1b_percent'!$A92&amp;'Table 2.1b_percent'!$B92&amp;'Table 2.1b_percent'!$C92,UtilityList!$A$4:$A$251&amp;UtilityList!$B$4:$B$251&amp;UtilityList!$C$4:$C$251,0))</f>
        <v>Bering Straits</v>
      </c>
      <c r="P92" s="452" t="str">
        <f t="array" ref="P92">INDEX(UtilityList!M$4:M$251,MATCH('Table 2.1b_percent'!$A92&amp;'Table 2.1b_percent'!$B92&amp;'Table 2.1b_percent'!$C92,UtilityList!$A$4:$A$251&amp;UtilityList!$B$4:$B$251&amp;UtilityList!$C$4:$C$251,0))</f>
        <v>AN</v>
      </c>
    </row>
    <row r="93" spans="1:16" s="344" customFormat="1" ht="30" x14ac:dyDescent="0.25">
      <c r="A93" s="619" t="s">
        <v>117</v>
      </c>
      <c r="B93" s="361" t="s">
        <v>118</v>
      </c>
      <c r="C93" s="350" t="s">
        <v>118</v>
      </c>
      <c r="D93" s="625">
        <v>1</v>
      </c>
      <c r="E93" s="626">
        <v>0</v>
      </c>
      <c r="F93" s="626">
        <v>1</v>
      </c>
      <c r="G93" s="626">
        <v>0</v>
      </c>
      <c r="H93" s="626">
        <v>0</v>
      </c>
      <c r="I93" s="361" t="s">
        <v>718</v>
      </c>
      <c r="J93" s="622" t="str">
        <f t="array" ref="J93">INDEX(UtilityList!H$4:H$251,MATCH('Table 2.1b_percent'!$A93&amp;'Table 2.1b_percent'!$B93&amp;'Table 2.1b_percent'!$C93,UtilityList!$A$4:$A$251&amp;UtilityList!$B$4:$B$251&amp;UtilityList!$C$4:$C$251,0))</f>
        <v>PCE Eligible Active</v>
      </c>
      <c r="K93" s="709">
        <f t="array" ref="K93">INDEX(UtilityList!Q$4:Q$251,MATCH('Table 2.1b_percent'!$A93&amp;'Table 2.1b_percent'!$B93&amp;'Table 2.1b_percent'!$C93,UtilityList!$A$4:$A$251&amp;UtilityList!$B$4:$B$251&amp;UtilityList!$C$4:$C$251,0))</f>
        <v>0</v>
      </c>
      <c r="L93" s="627" t="str">
        <f t="array" ref="L93">INDEX(UtilityList!I$4:I$251,MATCH('Table 2.1b_percent'!$A93&amp;'Table 2.1b_percent'!$B93&amp;'Table 2.1b_percent'!$C93,UtilityList!$A$4:$A$251&amp;UtilityList!$B$4:$B$251&amp;UtilityList!$C$4:$C$251,0))</f>
        <v>ALUTPC</v>
      </c>
      <c r="M93" s="452" t="str">
        <f t="array" ref="M93">INDEX(UtilityList!J$4:J$251,MATCH('Table 2.1b_percent'!$A93&amp;'Table 2.1b_percent'!$B93&amp;'Table 2.1b_percent'!$C93,UtilityList!$A$4:$A$251&amp;UtilityList!$B$4:$B$251&amp;UtilityList!$C$4:$C$251,0))</f>
        <v>Kodiak</v>
      </c>
      <c r="N93" s="452" t="str">
        <f t="array" ref="N93">INDEX(UtilityList!K$4:K$251,MATCH('Table 2.1b_percent'!$A93&amp;'Table 2.1b_percent'!$B93&amp;'Table 2.1b_percent'!$C93,UtilityList!$A$4:$A$251&amp;UtilityList!$B$4:$B$251&amp;UtilityList!$C$4:$C$251,0))</f>
        <v>Kodiak Island</v>
      </c>
      <c r="O93" s="452" t="str">
        <f t="array" ref="O93">INDEX(UtilityList!L$4:L$251,MATCH('Table 2.1b_percent'!$A93&amp;'Table 2.1b_percent'!$B93&amp;'Table 2.1b_percent'!$C93,UtilityList!$A$4:$A$251&amp;UtilityList!$B$4:$B$251&amp;UtilityList!$C$4:$C$251,0))</f>
        <v>Koniag</v>
      </c>
      <c r="P93" s="452" t="str">
        <f t="array" ref="P93">INDEX(UtilityList!M$4:M$251,MATCH('Table 2.1b_percent'!$A93&amp;'Table 2.1b_percent'!$B93&amp;'Table 2.1b_percent'!$C93,UtilityList!$A$4:$A$251&amp;UtilityList!$B$4:$B$251&amp;UtilityList!$C$4:$C$251,0))</f>
        <v>SC</v>
      </c>
    </row>
    <row r="94" spans="1:16" s="344" customFormat="1" x14ac:dyDescent="0.25">
      <c r="A94" s="619" t="s">
        <v>119</v>
      </c>
      <c r="B94" s="361" t="s">
        <v>120</v>
      </c>
      <c r="C94" s="350" t="s">
        <v>121</v>
      </c>
      <c r="D94" s="625">
        <v>1</v>
      </c>
      <c r="E94" s="626">
        <v>1</v>
      </c>
      <c r="F94" s="626">
        <v>0</v>
      </c>
      <c r="G94" s="626">
        <v>0</v>
      </c>
      <c r="H94" s="626">
        <v>0</v>
      </c>
      <c r="I94" s="361" t="s">
        <v>648</v>
      </c>
      <c r="J94" s="622" t="str">
        <f t="array" ref="J94">INDEX(UtilityList!H$4:H$251,MATCH('Table 2.1b_percent'!$A94&amp;'Table 2.1b_percent'!$B94&amp;'Table 2.1b_percent'!$C94,UtilityList!$A$4:$A$251&amp;UtilityList!$B$4:$B$251&amp;UtilityList!$C$4:$C$251,0))</f>
        <v>PCE Ineligible</v>
      </c>
      <c r="K94" s="709">
        <f t="array" ref="K94">INDEX(UtilityList!Q$4:Q$251,MATCH('Table 2.1b_percent'!$A94&amp;'Table 2.1b_percent'!$B94&amp;'Table 2.1b_percent'!$C94,UtilityList!$A$4:$A$251&amp;UtilityList!$B$4:$B$251&amp;UtilityList!$C$4:$C$251,0))</f>
        <v>0</v>
      </c>
      <c r="L94" s="627" t="str">
        <f t="array" ref="L94">INDEX(UtilityList!I$4:I$251,MATCH('Table 2.1b_percent'!$A94&amp;'Table 2.1b_percent'!$B94&amp;'Table 2.1b_percent'!$C94,UtilityList!$A$4:$A$251&amp;UtilityList!$B$4:$B$251&amp;UtilityList!$C$4:$C$251,0))</f>
        <v>ML&amp;P</v>
      </c>
      <c r="M94" s="452" t="str">
        <f t="array" ref="M94">INDEX(UtilityList!J$4:J$251,MATCH('Table 2.1b_percent'!$A94&amp;'Table 2.1b_percent'!$B94&amp;'Table 2.1b_percent'!$C94,UtilityList!$A$4:$A$251&amp;UtilityList!$B$4:$B$251&amp;UtilityList!$C$4:$C$251,0))</f>
        <v>Railbelt</v>
      </c>
      <c r="N94" s="452" t="str">
        <f t="array" ref="N94">INDEX(UtilityList!K$4:K$251,MATCH('Table 2.1b_percent'!$A94&amp;'Table 2.1b_percent'!$B94&amp;'Table 2.1b_percent'!$C94,UtilityList!$A$4:$A$251&amp;UtilityList!$B$4:$B$251&amp;UtilityList!$C$4:$C$251,0))</f>
        <v>Anchorage</v>
      </c>
      <c r="O94" s="452" t="str">
        <f t="array" ref="O94">INDEX(UtilityList!L$4:L$251,MATCH('Table 2.1b_percent'!$A94&amp;'Table 2.1b_percent'!$B94&amp;'Table 2.1b_percent'!$C94,UtilityList!$A$4:$A$251&amp;UtilityList!$B$4:$B$251&amp;UtilityList!$C$4:$C$251,0))</f>
        <v>Cook Inlet</v>
      </c>
      <c r="P94" s="452" t="str">
        <f t="array" ref="P94">INDEX(UtilityList!M$4:M$251,MATCH('Table 2.1b_percent'!$A94&amp;'Table 2.1b_percent'!$B94&amp;'Table 2.1b_percent'!$C94,UtilityList!$A$4:$A$251&amp;UtilityList!$B$4:$B$251&amp;UtilityList!$C$4:$C$251,0))</f>
        <v>SC</v>
      </c>
    </row>
    <row r="95" spans="1:16" s="344" customFormat="1" x14ac:dyDescent="0.25">
      <c r="A95" s="619" t="s">
        <v>119</v>
      </c>
      <c r="B95" s="339" t="s">
        <v>655</v>
      </c>
      <c r="C95" s="351" t="s">
        <v>121</v>
      </c>
      <c r="D95" s="625">
        <v>1</v>
      </c>
      <c r="E95" s="626">
        <v>0</v>
      </c>
      <c r="F95" s="626">
        <v>0</v>
      </c>
      <c r="G95" s="626">
        <v>1</v>
      </c>
      <c r="H95" s="626">
        <v>0</v>
      </c>
      <c r="I95" s="361" t="s">
        <v>652</v>
      </c>
      <c r="J95" s="622" t="str">
        <f t="array" ref="J95">INDEX(UtilityList!H$4:H$251,MATCH('Table 2.1b_percent'!$A95&amp;'Table 2.1b_percent'!$B95&amp;'Table 2.1b_percent'!$C95,UtilityList!$A$4:$A$251&amp;UtilityList!$B$4:$B$251&amp;UtilityList!$C$4:$C$251,0))</f>
        <v>PCE Ineligible</v>
      </c>
      <c r="K95" s="709">
        <f t="array" ref="K95">INDEX(UtilityList!Q$4:Q$251,MATCH('Table 2.1b_percent'!$A95&amp;'Table 2.1b_percent'!$B95&amp;'Table 2.1b_percent'!$C95,UtilityList!$A$4:$A$251&amp;UtilityList!$B$4:$B$251&amp;UtilityList!$C$4:$C$251,0))</f>
        <v>0</v>
      </c>
      <c r="L95" s="627" t="str">
        <f t="array" ref="L95">INDEX(UtilityList!I$4:I$251,MATCH('Table 2.1b_percent'!$A95&amp;'Table 2.1b_percent'!$B95&amp;'Table 2.1b_percent'!$C95,UtilityList!$A$4:$A$251&amp;UtilityList!$B$4:$B$251&amp;UtilityList!$C$4:$C$251,0))</f>
        <v>ML&amp;P</v>
      </c>
      <c r="M95" s="452" t="str">
        <f t="array" ref="M95">INDEX(UtilityList!J$4:J$251,MATCH('Table 2.1b_percent'!$A95&amp;'Table 2.1b_percent'!$B95&amp;'Table 2.1b_percent'!$C95,UtilityList!$A$4:$A$251&amp;UtilityList!$B$4:$B$251&amp;UtilityList!$C$4:$C$251,0))</f>
        <v>Railbelt</v>
      </c>
      <c r="N95" s="452" t="str">
        <f t="array" ref="N95">INDEX(UtilityList!K$4:K$251,MATCH('Table 2.1b_percent'!$A95&amp;'Table 2.1b_percent'!$B95&amp;'Table 2.1b_percent'!$C95,UtilityList!$A$4:$A$251&amp;UtilityList!$B$4:$B$251&amp;UtilityList!$C$4:$C$251,0))</f>
        <v>Anchorage</v>
      </c>
      <c r="O95" s="452" t="str">
        <f t="array" ref="O95">INDEX(UtilityList!L$4:L$251,MATCH('Table 2.1b_percent'!$A95&amp;'Table 2.1b_percent'!$B95&amp;'Table 2.1b_percent'!$C95,UtilityList!$A$4:$A$251&amp;UtilityList!$B$4:$B$251&amp;UtilityList!$C$4:$C$251,0))</f>
        <v>Cook Inlet</v>
      </c>
      <c r="P95" s="452" t="str">
        <f t="array" ref="P95">INDEX(UtilityList!M$4:M$251,MATCH('Table 2.1b_percent'!$A95&amp;'Table 2.1b_percent'!$B95&amp;'Table 2.1b_percent'!$C95,UtilityList!$A$4:$A$251&amp;UtilityList!$B$4:$B$251&amp;UtilityList!$C$4:$C$251,0))</f>
        <v>SC</v>
      </c>
    </row>
    <row r="96" spans="1:16" s="344" customFormat="1" x14ac:dyDescent="0.25">
      <c r="A96" s="619" t="s">
        <v>119</v>
      </c>
      <c r="B96" s="361" t="s">
        <v>534</v>
      </c>
      <c r="C96" s="350" t="s">
        <v>121</v>
      </c>
      <c r="D96" s="625">
        <v>1</v>
      </c>
      <c r="E96" s="626">
        <v>0</v>
      </c>
      <c r="F96" s="626">
        <v>0</v>
      </c>
      <c r="G96" s="626">
        <v>1</v>
      </c>
      <c r="H96" s="626">
        <v>0</v>
      </c>
      <c r="I96" s="361" t="s">
        <v>648</v>
      </c>
      <c r="J96" s="622" t="str">
        <f t="array" ref="J96">INDEX(UtilityList!H$4:H$251,MATCH('Table 2.1b_percent'!$A96&amp;'Table 2.1b_percent'!$B96&amp;'Table 2.1b_percent'!$C96,UtilityList!$A$4:$A$251&amp;UtilityList!$B$4:$B$251&amp;UtilityList!$C$4:$C$251,0))</f>
        <v>PCE Ineligible</v>
      </c>
      <c r="K96" s="709">
        <f t="array" ref="K96">INDEX(UtilityList!Q$4:Q$251,MATCH('Table 2.1b_percent'!$A96&amp;'Table 2.1b_percent'!$B96&amp;'Table 2.1b_percent'!$C96,UtilityList!$A$4:$A$251&amp;UtilityList!$B$4:$B$251&amp;UtilityList!$C$4:$C$251,0))</f>
        <v>0</v>
      </c>
      <c r="L96" s="627" t="str">
        <f t="array" ref="L96">INDEX(UtilityList!I$4:I$251,MATCH('Table 2.1b_percent'!$A96&amp;'Table 2.1b_percent'!$B96&amp;'Table 2.1b_percent'!$C96,UtilityList!$A$4:$A$251&amp;UtilityList!$B$4:$B$251&amp;UtilityList!$C$4:$C$251,0))</f>
        <v>ML&amp;P</v>
      </c>
      <c r="M96" s="452" t="str">
        <f t="array" ref="M96">INDEX(UtilityList!J$4:J$251,MATCH('Table 2.1b_percent'!$A96&amp;'Table 2.1b_percent'!$B96&amp;'Table 2.1b_percent'!$C96,UtilityList!$A$4:$A$251&amp;UtilityList!$B$4:$B$251&amp;UtilityList!$C$4:$C$251,0))</f>
        <v>Railbelt</v>
      </c>
      <c r="N96" s="452" t="str">
        <f t="array" ref="N96">INDEX(UtilityList!K$4:K$251,MATCH('Table 2.1b_percent'!$A96&amp;'Table 2.1b_percent'!$B96&amp;'Table 2.1b_percent'!$C96,UtilityList!$A$4:$A$251&amp;UtilityList!$B$4:$B$251&amp;UtilityList!$C$4:$C$251,0))</f>
        <v>Anchorage</v>
      </c>
      <c r="O96" s="452" t="str">
        <f t="array" ref="O96">INDEX(UtilityList!L$4:L$251,MATCH('Table 2.1b_percent'!$A96&amp;'Table 2.1b_percent'!$B96&amp;'Table 2.1b_percent'!$C96,UtilityList!$A$4:$A$251&amp;UtilityList!$B$4:$B$251&amp;UtilityList!$C$4:$C$251,0))</f>
        <v>Cook Inlet</v>
      </c>
      <c r="P96" s="452" t="str">
        <f t="array" ref="P96">INDEX(UtilityList!M$4:M$251,MATCH('Table 2.1b_percent'!$A96&amp;'Table 2.1b_percent'!$B96&amp;'Table 2.1b_percent'!$C96,UtilityList!$A$4:$A$251&amp;UtilityList!$B$4:$B$251&amp;UtilityList!$C$4:$C$251,0))</f>
        <v>SC</v>
      </c>
    </row>
    <row r="97" spans="1:16" s="344" customFormat="1" x14ac:dyDescent="0.25">
      <c r="A97" s="619" t="s">
        <v>119</v>
      </c>
      <c r="B97" s="361" t="s">
        <v>122</v>
      </c>
      <c r="C97" s="350" t="s">
        <v>121</v>
      </c>
      <c r="D97" s="625">
        <v>1</v>
      </c>
      <c r="E97" s="626">
        <v>1</v>
      </c>
      <c r="F97" s="626">
        <v>0</v>
      </c>
      <c r="G97" s="626">
        <v>0</v>
      </c>
      <c r="H97" s="626">
        <v>0</v>
      </c>
      <c r="I97" s="361" t="s">
        <v>648</v>
      </c>
      <c r="J97" s="622" t="str">
        <f t="array" ref="J97">INDEX(UtilityList!H$4:H$251,MATCH('Table 2.1b_percent'!$A97&amp;'Table 2.1b_percent'!$B97&amp;'Table 2.1b_percent'!$C97,UtilityList!$A$4:$A$251&amp;UtilityList!$B$4:$B$251&amp;UtilityList!$C$4:$C$251,0))</f>
        <v>PCE Ineligible</v>
      </c>
      <c r="K97" s="709">
        <f t="array" ref="K97">INDEX(UtilityList!Q$4:Q$251,MATCH('Table 2.1b_percent'!$A97&amp;'Table 2.1b_percent'!$B97&amp;'Table 2.1b_percent'!$C97,UtilityList!$A$4:$A$251&amp;UtilityList!$B$4:$B$251&amp;UtilityList!$C$4:$C$251,0))</f>
        <v>0</v>
      </c>
      <c r="L97" s="627" t="str">
        <f t="array" ref="L97">INDEX(UtilityList!I$4:I$251,MATCH('Table 2.1b_percent'!$A97&amp;'Table 2.1b_percent'!$B97&amp;'Table 2.1b_percent'!$C97,UtilityList!$A$4:$A$251&amp;UtilityList!$B$4:$B$251&amp;UtilityList!$C$4:$C$251,0))</f>
        <v>ML&amp;P</v>
      </c>
      <c r="M97" s="452" t="str">
        <f t="array" ref="M97">INDEX(UtilityList!J$4:J$251,MATCH('Table 2.1b_percent'!$A97&amp;'Table 2.1b_percent'!$B97&amp;'Table 2.1b_percent'!$C97,UtilityList!$A$4:$A$251&amp;UtilityList!$B$4:$B$251&amp;UtilityList!$C$4:$C$251,0))</f>
        <v>Railbelt</v>
      </c>
      <c r="N97" s="452" t="str">
        <f t="array" ref="N97">INDEX(UtilityList!K$4:K$251,MATCH('Table 2.1b_percent'!$A97&amp;'Table 2.1b_percent'!$B97&amp;'Table 2.1b_percent'!$C97,UtilityList!$A$4:$A$251&amp;UtilityList!$B$4:$B$251&amp;UtilityList!$C$4:$C$251,0))</f>
        <v>Anchorage</v>
      </c>
      <c r="O97" s="452" t="str">
        <f t="array" ref="O97">INDEX(UtilityList!L$4:L$251,MATCH('Table 2.1b_percent'!$A97&amp;'Table 2.1b_percent'!$B97&amp;'Table 2.1b_percent'!$C97,UtilityList!$A$4:$A$251&amp;UtilityList!$B$4:$B$251&amp;UtilityList!$C$4:$C$251,0))</f>
        <v>Cook Inlet</v>
      </c>
      <c r="P97" s="452" t="str">
        <f t="array" ref="P97">INDEX(UtilityList!M$4:M$251,MATCH('Table 2.1b_percent'!$A97&amp;'Table 2.1b_percent'!$B97&amp;'Table 2.1b_percent'!$C97,UtilityList!$A$4:$A$251&amp;UtilityList!$B$4:$B$251&amp;UtilityList!$C$4:$C$251,0))</f>
        <v>SC</v>
      </c>
    </row>
    <row r="98" spans="1:16" s="344" customFormat="1" ht="30" x14ac:dyDescent="0.25">
      <c r="A98" s="619" t="s">
        <v>123</v>
      </c>
      <c r="B98" s="361" t="s">
        <v>124</v>
      </c>
      <c r="C98" s="350" t="s">
        <v>124</v>
      </c>
      <c r="D98" s="625">
        <v>1</v>
      </c>
      <c r="E98" s="626">
        <v>0</v>
      </c>
      <c r="F98" s="626">
        <v>1</v>
      </c>
      <c r="G98" s="626">
        <v>0</v>
      </c>
      <c r="H98" s="626">
        <v>0</v>
      </c>
      <c r="I98" s="361" t="s">
        <v>648</v>
      </c>
      <c r="J98" s="622" t="str">
        <f t="array" ref="J98">INDEX(UtilityList!H$4:H$251,MATCH('Table 2.1b_percent'!$A98&amp;'Table 2.1b_percent'!$B98&amp;'Table 2.1b_percent'!$C98,UtilityList!$A$4:$A$251&amp;UtilityList!$B$4:$B$251&amp;UtilityList!$C$4:$C$251,0))</f>
        <v>PCE Eligible Active</v>
      </c>
      <c r="K98" s="709">
        <f t="array" ref="K98">INDEX(UtilityList!Q$4:Q$251,MATCH('Table 2.1b_percent'!$A98&amp;'Table 2.1b_percent'!$B98&amp;'Table 2.1b_percent'!$C98,UtilityList!$A$4:$A$251&amp;UtilityList!$B$4:$B$251&amp;UtilityList!$C$4:$C$251,0))</f>
        <v>0</v>
      </c>
      <c r="L98" s="627" t="str">
        <f t="array" ref="L98">INDEX(UtilityList!I$4:I$251,MATCH('Table 2.1b_percent'!$A98&amp;'Table 2.1b_percent'!$B98&amp;'Table 2.1b_percent'!$C98,UtilityList!$A$4:$A$251&amp;UtilityList!$B$4:$B$251&amp;UtilityList!$C$4:$C$251,0))</f>
        <v>ANIALPC</v>
      </c>
      <c r="M98" s="452" t="str">
        <f t="array" ref="M98">INDEX(UtilityList!J$4:J$251,MATCH('Table 2.1b_percent'!$A98&amp;'Table 2.1b_percent'!$B98&amp;'Table 2.1b_percent'!$C98,UtilityList!$A$4:$A$251&amp;UtilityList!$B$4:$B$251&amp;UtilityList!$C$4:$C$251,0))</f>
        <v>Lower Yukon-Kuskokwim</v>
      </c>
      <c r="N98" s="452" t="str">
        <f t="array" ref="N98">INDEX(UtilityList!K$4:K$251,MATCH('Table 2.1b_percent'!$A98&amp;'Table 2.1b_percent'!$B98&amp;'Table 2.1b_percent'!$C98,UtilityList!$A$4:$A$251&amp;UtilityList!$B$4:$B$251&amp;UtilityList!$C$4:$C$251,0))</f>
        <v>Bethel (CA)</v>
      </c>
      <c r="O98" s="452" t="str">
        <f t="array" ref="O98">INDEX(UtilityList!L$4:L$251,MATCH('Table 2.1b_percent'!$A98&amp;'Table 2.1b_percent'!$B98&amp;'Table 2.1b_percent'!$C98,UtilityList!$A$4:$A$251&amp;UtilityList!$B$4:$B$251&amp;UtilityList!$C$4:$C$251,0))</f>
        <v>Calista</v>
      </c>
      <c r="P98" s="452" t="str">
        <f t="array" ref="P98">INDEX(UtilityList!M$4:M$251,MATCH('Table 2.1b_percent'!$A98&amp;'Table 2.1b_percent'!$B98&amp;'Table 2.1b_percent'!$C98,UtilityList!$A$4:$A$251&amp;UtilityList!$B$4:$B$251&amp;UtilityList!$C$4:$C$251,0))</f>
        <v>SW</v>
      </c>
    </row>
    <row r="99" spans="1:16" s="344" customFormat="1" ht="30" x14ac:dyDescent="0.25">
      <c r="A99" s="619" t="s">
        <v>125</v>
      </c>
      <c r="B99" s="361" t="s">
        <v>126</v>
      </c>
      <c r="C99" s="350" t="s">
        <v>126</v>
      </c>
      <c r="D99" s="625">
        <v>1</v>
      </c>
      <c r="E99" s="626">
        <v>0</v>
      </c>
      <c r="F99" s="626">
        <v>1</v>
      </c>
      <c r="G99" s="626">
        <v>0</v>
      </c>
      <c r="H99" s="626">
        <v>0</v>
      </c>
      <c r="I99" s="361" t="s">
        <v>718</v>
      </c>
      <c r="J99" s="622" t="str">
        <f t="array" ref="J99">INDEX(UtilityList!H$4:H$251,MATCH('Table 2.1b_percent'!$A99&amp;'Table 2.1b_percent'!$B99&amp;'Table 2.1b_percent'!$C99,UtilityList!$A$4:$A$251&amp;UtilityList!$B$4:$B$251&amp;UtilityList!$C$4:$C$251,0))</f>
        <v>PCE Eligible Inactive</v>
      </c>
      <c r="K99" s="709">
        <f t="array" ref="K99">INDEX(UtilityList!Q$4:Q$251,MATCH('Table 2.1b_percent'!$A99&amp;'Table 2.1b_percent'!$B99&amp;'Table 2.1b_percent'!$C99,UtilityList!$A$4:$A$251&amp;UtilityList!$B$4:$B$251&amp;UtilityList!$C$4:$C$251,0))</f>
        <v>0</v>
      </c>
      <c r="L99" s="627">
        <f t="array" ref="L99">INDEX(UtilityList!I$4:I$251,MATCH('Table 2.1b_percent'!$A99&amp;'Table 2.1b_percent'!$B99&amp;'Table 2.1b_percent'!$C99,UtilityList!$A$4:$A$251&amp;UtilityList!$B$4:$B$251&amp;UtilityList!$C$4:$C$251,0))</f>
        <v>0</v>
      </c>
      <c r="M99" s="452" t="str">
        <f t="array" ref="M99">INDEX(UtilityList!J$4:J$251,MATCH('Table 2.1b_percent'!$A99&amp;'Table 2.1b_percent'!$B99&amp;'Table 2.1b_percent'!$C99,UtilityList!$A$4:$A$251&amp;UtilityList!$B$4:$B$251&amp;UtilityList!$C$4:$C$251,0))</f>
        <v>Yukon-Koyukuk/Upper Tanana</v>
      </c>
      <c r="N99" s="452" t="str">
        <f t="array" ref="N99">INDEX(UtilityList!K$4:K$251,MATCH('Table 2.1b_percent'!$A99&amp;'Table 2.1b_percent'!$B99&amp;'Table 2.1b_percent'!$C99,UtilityList!$A$4:$A$251&amp;UtilityList!$B$4:$B$251&amp;UtilityList!$C$4:$C$251,0))</f>
        <v>Yukon-Koyukuk (CA)</v>
      </c>
      <c r="O99" s="452" t="str">
        <f t="array" ref="O99">INDEX(UtilityList!L$4:L$251,MATCH('Table 2.1b_percent'!$A99&amp;'Table 2.1b_percent'!$B99&amp;'Table 2.1b_percent'!$C99,UtilityList!$A$4:$A$251&amp;UtilityList!$B$4:$B$251&amp;UtilityList!$C$4:$C$251,0))</f>
        <v>Doyon</v>
      </c>
      <c r="P99" s="452" t="str">
        <f t="array" ref="P99">INDEX(UtilityList!M$4:M$251,MATCH('Table 2.1b_percent'!$A99&amp;'Table 2.1b_percent'!$B99&amp;'Table 2.1b_percent'!$C99,UtilityList!$A$4:$A$251&amp;UtilityList!$B$4:$B$251&amp;UtilityList!$C$4:$C$251,0))</f>
        <v>YU</v>
      </c>
    </row>
    <row r="100" spans="1:16" s="344" customFormat="1" ht="30" x14ac:dyDescent="0.25">
      <c r="A100" s="619" t="s">
        <v>127</v>
      </c>
      <c r="B100" s="361" t="s">
        <v>128</v>
      </c>
      <c r="C100" s="350" t="s">
        <v>128</v>
      </c>
      <c r="D100" s="625">
        <v>1</v>
      </c>
      <c r="E100" s="626">
        <v>0</v>
      </c>
      <c r="F100" s="626">
        <v>1</v>
      </c>
      <c r="G100" s="626">
        <v>0</v>
      </c>
      <c r="H100" s="626">
        <v>0</v>
      </c>
      <c r="I100" s="361" t="s">
        <v>718</v>
      </c>
      <c r="J100" s="622" t="str">
        <f t="array" ref="J100">INDEX(UtilityList!H$4:H$251,MATCH('Table 2.1b_percent'!$A100&amp;'Table 2.1b_percent'!$B100&amp;'Table 2.1b_percent'!$C100,UtilityList!$A$4:$A$251&amp;UtilityList!$B$4:$B$251&amp;UtilityList!$C$4:$C$251,0))</f>
        <v>PCE Eligible Active</v>
      </c>
      <c r="K100" s="709">
        <f t="array" ref="K100">INDEX(UtilityList!Q$4:Q$251,MATCH('Table 2.1b_percent'!$A100&amp;'Table 2.1b_percent'!$B100&amp;'Table 2.1b_percent'!$C100,UtilityList!$A$4:$A$251&amp;UtilityList!$B$4:$B$251&amp;UtilityList!$C$4:$C$251,0))</f>
        <v>0</v>
      </c>
      <c r="L100" s="627" t="str">
        <f t="array" ref="L100">INDEX(UtilityList!I$4:I$251,MATCH('Table 2.1b_percent'!$A100&amp;'Table 2.1b_percent'!$B100&amp;'Table 2.1b_percent'!$C100,UtilityList!$A$4:$A$251&amp;UtilityList!$B$4:$B$251&amp;UtilityList!$C$4:$C$251,0))</f>
        <v>ATKA</v>
      </c>
      <c r="M100" s="452" t="str">
        <f t="array" ref="M100">INDEX(UtilityList!J$4:J$251,MATCH('Table 2.1b_percent'!$A100&amp;'Table 2.1b_percent'!$B100&amp;'Table 2.1b_percent'!$C100,UtilityList!$A$4:$A$251&amp;UtilityList!$B$4:$B$251&amp;UtilityList!$C$4:$C$251,0))</f>
        <v>Aleutians</v>
      </c>
      <c r="N100" s="452" t="str">
        <f t="array" ref="N100">INDEX(UtilityList!K$4:K$251,MATCH('Table 2.1b_percent'!$A100&amp;'Table 2.1b_percent'!$B100&amp;'Table 2.1b_percent'!$C100,UtilityList!$A$4:$A$251&amp;UtilityList!$B$4:$B$251&amp;UtilityList!$C$4:$C$251,0))</f>
        <v>Aleutians West (CA)</v>
      </c>
      <c r="O100" s="452" t="str">
        <f t="array" ref="O100">INDEX(UtilityList!L$4:L$251,MATCH('Table 2.1b_percent'!$A100&amp;'Table 2.1b_percent'!$B100&amp;'Table 2.1b_percent'!$C100,UtilityList!$A$4:$A$251&amp;UtilityList!$B$4:$B$251&amp;UtilityList!$C$4:$C$251,0))</f>
        <v>Aleut</v>
      </c>
      <c r="P100" s="452" t="str">
        <f t="array" ref="P100">INDEX(UtilityList!M$4:M$251,MATCH('Table 2.1b_percent'!$A100&amp;'Table 2.1b_percent'!$B100&amp;'Table 2.1b_percent'!$C100,UtilityList!$A$4:$A$251&amp;UtilityList!$B$4:$B$251&amp;UtilityList!$C$4:$C$251,0))</f>
        <v>SW</v>
      </c>
    </row>
    <row r="101" spans="1:16" s="344" customFormat="1" ht="30" x14ac:dyDescent="0.25">
      <c r="A101" s="619" t="s">
        <v>129</v>
      </c>
      <c r="B101" s="361" t="s">
        <v>130</v>
      </c>
      <c r="C101" s="350" t="s">
        <v>130</v>
      </c>
      <c r="D101" s="625">
        <v>1</v>
      </c>
      <c r="E101" s="626">
        <v>0</v>
      </c>
      <c r="F101" s="626">
        <v>1</v>
      </c>
      <c r="G101" s="626">
        <v>0</v>
      </c>
      <c r="H101" s="626">
        <v>0</v>
      </c>
      <c r="I101" s="361" t="s">
        <v>718</v>
      </c>
      <c r="J101" s="622" t="str">
        <f t="array" ref="J101">INDEX(UtilityList!H$4:H$251,MATCH('Table 2.1b_percent'!$A101&amp;'Table 2.1b_percent'!$B101&amp;'Table 2.1b_percent'!$C101,UtilityList!$A$4:$A$251&amp;UtilityList!$B$4:$B$251&amp;UtilityList!$C$4:$C$251,0))</f>
        <v>PCE Eligible Active</v>
      </c>
      <c r="K101" s="709">
        <f t="array" ref="K101">INDEX(UtilityList!Q$4:Q$251,MATCH('Table 2.1b_percent'!$A101&amp;'Table 2.1b_percent'!$B101&amp;'Table 2.1b_percent'!$C101,UtilityList!$A$4:$A$251&amp;UtilityList!$B$4:$B$251&amp;UtilityList!$C$4:$C$251,0))</f>
        <v>0</v>
      </c>
      <c r="L101" s="627" t="str">
        <f t="array" ref="L101">INDEX(UtilityList!I$4:I$251,MATCH('Table 2.1b_percent'!$A101&amp;'Table 2.1b_percent'!$B101&amp;'Table 2.1b_percent'!$C101,UtilityList!$A$4:$A$251&amp;UtilityList!$B$4:$B$251&amp;UtilityList!$C$4:$C$251,0))</f>
        <v>ATMATU</v>
      </c>
      <c r="M101" s="452" t="str">
        <f t="array" ref="M101">INDEX(UtilityList!J$4:J$251,MATCH('Table 2.1b_percent'!$A101&amp;'Table 2.1b_percent'!$B101&amp;'Table 2.1b_percent'!$C101,UtilityList!$A$4:$A$251&amp;UtilityList!$B$4:$B$251&amp;UtilityList!$C$4:$C$251,0))</f>
        <v>Lower Yukon-Kuskokwim</v>
      </c>
      <c r="N101" s="452" t="str">
        <f t="array" ref="N101">INDEX(UtilityList!K$4:K$251,MATCH('Table 2.1b_percent'!$A101&amp;'Table 2.1b_percent'!$B101&amp;'Table 2.1b_percent'!$C101,UtilityList!$A$4:$A$251&amp;UtilityList!$B$4:$B$251&amp;UtilityList!$C$4:$C$251,0))</f>
        <v>Bethel (CA)</v>
      </c>
      <c r="O101" s="452" t="str">
        <f t="array" ref="O101">INDEX(UtilityList!L$4:L$251,MATCH('Table 2.1b_percent'!$A101&amp;'Table 2.1b_percent'!$B101&amp;'Table 2.1b_percent'!$C101,UtilityList!$A$4:$A$251&amp;UtilityList!$B$4:$B$251&amp;UtilityList!$C$4:$C$251,0))</f>
        <v>Calista</v>
      </c>
      <c r="P101" s="452" t="str">
        <f t="array" ref="P101">INDEX(UtilityList!M$4:M$251,MATCH('Table 2.1b_percent'!$A101&amp;'Table 2.1b_percent'!$B101&amp;'Table 2.1b_percent'!$C101,UtilityList!$A$4:$A$251&amp;UtilityList!$B$4:$B$251&amp;UtilityList!$C$4:$C$251,0))</f>
        <v>SW</v>
      </c>
    </row>
    <row r="102" spans="1:16" s="344" customFormat="1" ht="60" x14ac:dyDescent="0.25">
      <c r="A102" s="619" t="s">
        <v>131</v>
      </c>
      <c r="B102" s="361" t="s">
        <v>668</v>
      </c>
      <c r="C102" s="350" t="s">
        <v>132</v>
      </c>
      <c r="D102" s="625">
        <v>1</v>
      </c>
      <c r="E102" s="626">
        <v>1</v>
      </c>
      <c r="F102" s="626">
        <v>0</v>
      </c>
      <c r="G102" s="626">
        <v>0</v>
      </c>
      <c r="H102" s="626">
        <v>0</v>
      </c>
      <c r="I102" s="361" t="s">
        <v>648</v>
      </c>
      <c r="J102" s="622" t="str">
        <f t="array" ref="J102">INDEX(UtilityList!H$4:H$251,MATCH('Table 2.1b_percent'!$A102&amp;'Table 2.1b_percent'!$B102&amp;'Table 2.1b_percent'!$C102,UtilityList!$A$4:$A$251&amp;UtilityList!$B$4:$B$251&amp;UtilityList!$C$4:$C$251,0))</f>
        <v>PCE Ineligible</v>
      </c>
      <c r="K102" s="709" t="str">
        <f t="array" ref="K102">INDEX(UtilityList!Q$4:Q$251,MATCH('Table 2.1b_percent'!$A102&amp;'Table 2.1b_percent'!$B102&amp;'Table 2.1b_percent'!$C102,UtilityList!$A$4:$A$251&amp;UtilityList!$B$4:$B$251&amp;UtilityList!$C$4:$C$251,0))</f>
        <v xml:space="preserve"> Aurora Energy LLC is an independent power producer that sells all its power to GVEA.</v>
      </c>
      <c r="L102" s="627" t="str">
        <f t="array" ref="L102">INDEX(UtilityList!I$4:I$251,MATCH('Table 2.1b_percent'!$A102&amp;'Table 2.1b_percent'!$B102&amp;'Table 2.1b_percent'!$C102,UtilityList!$A$4:$A$251&amp;UtilityList!$B$4:$B$251&amp;UtilityList!$C$4:$C$251,0))</f>
        <v>AURORA</v>
      </c>
      <c r="M102" s="452" t="str">
        <f t="array" ref="M102">INDEX(UtilityList!J$4:J$251,MATCH('Table 2.1b_percent'!$A102&amp;'Table 2.1b_percent'!$B102&amp;'Table 2.1b_percent'!$C102,UtilityList!$A$4:$A$251&amp;UtilityList!$B$4:$B$251&amp;UtilityList!$C$4:$C$251,0))</f>
        <v>Railbelt</v>
      </c>
      <c r="N102" s="452" t="str">
        <f t="array" ref="N102">INDEX(UtilityList!K$4:K$251,MATCH('Table 2.1b_percent'!$A102&amp;'Table 2.1b_percent'!$B102&amp;'Table 2.1b_percent'!$C102,UtilityList!$A$4:$A$251&amp;UtilityList!$B$4:$B$251&amp;UtilityList!$C$4:$C$251,0))</f>
        <v>Fairbanks North Star</v>
      </c>
      <c r="O102" s="452" t="str">
        <f t="array" ref="O102">INDEX(UtilityList!L$4:L$251,MATCH('Table 2.1b_percent'!$A102&amp;'Table 2.1b_percent'!$B102&amp;'Table 2.1b_percent'!$C102,UtilityList!$A$4:$A$251&amp;UtilityList!$B$4:$B$251&amp;UtilityList!$C$4:$C$251,0))</f>
        <v>Doyon</v>
      </c>
      <c r="P102" s="452" t="str">
        <f t="array" ref="P102">INDEX(UtilityList!M$4:M$251,MATCH('Table 2.1b_percent'!$A102&amp;'Table 2.1b_percent'!$B102&amp;'Table 2.1b_percent'!$C102,UtilityList!$A$4:$A$251&amp;UtilityList!$B$4:$B$251&amp;UtilityList!$C$4:$C$251,0))</f>
        <v>YU</v>
      </c>
    </row>
    <row r="103" spans="1:16" s="344" customFormat="1" ht="75" x14ac:dyDescent="0.25">
      <c r="A103" s="619" t="s">
        <v>671</v>
      </c>
      <c r="B103" s="361" t="s">
        <v>639</v>
      </c>
      <c r="C103" s="350" t="s">
        <v>276</v>
      </c>
      <c r="D103" s="625">
        <v>1</v>
      </c>
      <c r="E103" s="626">
        <v>0</v>
      </c>
      <c r="F103" s="626">
        <v>0</v>
      </c>
      <c r="G103" s="626">
        <v>0</v>
      </c>
      <c r="H103" s="626">
        <v>1</v>
      </c>
      <c r="I103" s="361" t="s">
        <v>647</v>
      </c>
      <c r="J103" s="622" t="str">
        <f t="array" ref="J103">INDEX(UtilityList!H$4:H$251,MATCH('Table 2.1b_percent'!$A103&amp;'Table 2.1b_percent'!$B103&amp;'Table 2.1b_percent'!$C103,UtilityList!$A$4:$A$251&amp;UtilityList!$B$4:$B$251&amp;UtilityList!$C$4:$C$251,0))</f>
        <v>PCE Eligible Active</v>
      </c>
      <c r="K103" s="709" t="str">
        <f t="array" ref="K103">INDEX(UtilityList!Q$4:Q$251,MATCH('Table 2.1b_percent'!$A103&amp;'Table 2.1b_percent'!$B103&amp;'Table 2.1b_percent'!$C103,UtilityList!$A$4:$A$251&amp;UtilityList!$B$4:$B$251&amp;UtilityList!$C$4:$C$251,0))</f>
        <v>Banner Wind, LLC. is an independent power proucer, who sells all its power to Nome Joint Utility Systems.</v>
      </c>
      <c r="L103" s="627">
        <f t="array" ref="L103">INDEX(UtilityList!I$4:I$251,MATCH('Table 2.1b_percent'!$A103&amp;'Table 2.1b_percent'!$B103&amp;'Table 2.1b_percent'!$C103,UtilityList!$A$4:$A$251&amp;UtilityList!$B$4:$B$251&amp;UtilityList!$C$4:$C$251,0))</f>
        <v>0</v>
      </c>
      <c r="M103" s="452" t="str">
        <f t="array" ref="M103">INDEX(UtilityList!J$4:J$251,MATCH('Table 2.1b_percent'!$A103&amp;'Table 2.1b_percent'!$B103&amp;'Table 2.1b_percent'!$C103,UtilityList!$A$4:$A$251&amp;UtilityList!$B$4:$B$251&amp;UtilityList!$C$4:$C$251,0))</f>
        <v>Bering Straits</v>
      </c>
      <c r="N103" s="452" t="str">
        <f t="array" ref="N103">INDEX(UtilityList!K$4:K$251,MATCH('Table 2.1b_percent'!$A103&amp;'Table 2.1b_percent'!$B103&amp;'Table 2.1b_percent'!$C103,UtilityList!$A$4:$A$251&amp;UtilityList!$B$4:$B$251&amp;UtilityList!$C$4:$C$251,0))</f>
        <v>Nome (CA)</v>
      </c>
      <c r="O103" s="452" t="str">
        <f t="array" ref="O103">INDEX(UtilityList!L$4:L$251,MATCH('Table 2.1b_percent'!$A103&amp;'Table 2.1b_percent'!$B103&amp;'Table 2.1b_percent'!$C103,UtilityList!$A$4:$A$251&amp;UtilityList!$B$4:$B$251&amp;UtilityList!$C$4:$C$251,0))</f>
        <v>Bering Straits</v>
      </c>
      <c r="P103" s="452" t="str">
        <f t="array" ref="P103">INDEX(UtilityList!M$4:M$251,MATCH('Table 2.1b_percent'!$A103&amp;'Table 2.1b_percent'!$B103&amp;'Table 2.1b_percent'!$C103,UtilityList!$A$4:$A$251&amp;UtilityList!$B$4:$B$251&amp;UtilityList!$C$4:$C$251,0))</f>
        <v>AN</v>
      </c>
    </row>
    <row r="104" spans="1:16" s="344" customFormat="1" x14ac:dyDescent="0.25">
      <c r="A104" s="619" t="s">
        <v>570</v>
      </c>
      <c r="B104" s="361" t="s">
        <v>133</v>
      </c>
      <c r="C104" s="350" t="s">
        <v>133</v>
      </c>
      <c r="D104" s="625">
        <v>1</v>
      </c>
      <c r="E104" s="626">
        <v>0.85221674876847286</v>
      </c>
      <c r="F104" s="626">
        <v>0.14778325123152711</v>
      </c>
      <c r="G104" s="626">
        <v>0</v>
      </c>
      <c r="H104" s="626">
        <v>0</v>
      </c>
      <c r="I104" s="361" t="s">
        <v>648</v>
      </c>
      <c r="J104" s="622" t="str">
        <f t="array" ref="J104">INDEX(UtilityList!H$4:H$251,MATCH('Table 2.1b_percent'!$A104&amp;'Table 2.1b_percent'!$B104&amp;'Table 2.1b_percent'!$C104,UtilityList!$A$4:$A$251&amp;UtilityList!$B$4:$B$251&amp;UtilityList!$C$4:$C$251,0))</f>
        <v>PCE Ineligible</v>
      </c>
      <c r="K104" s="709">
        <f t="array" ref="K104">INDEX(UtilityList!Q$4:Q$251,MATCH('Table 2.1b_percent'!$A104&amp;'Table 2.1b_percent'!$B104&amp;'Table 2.1b_percent'!$C104,UtilityList!$A$4:$A$251&amp;UtilityList!$B$4:$B$251&amp;UtilityList!$C$4:$C$251,0))</f>
        <v>0</v>
      </c>
      <c r="L104" s="627">
        <f t="array" ref="L104">INDEX(UtilityList!I$4:I$251,MATCH('Table 2.1b_percent'!$A104&amp;'Table 2.1b_percent'!$B104&amp;'Table 2.1b_percent'!$C104,UtilityList!$A$4:$A$251&amp;UtilityList!$B$4:$B$251&amp;UtilityList!$C$4:$C$251,0))</f>
        <v>0</v>
      </c>
      <c r="M104" s="452" t="str">
        <f t="array" ref="M104">INDEX(UtilityList!J$4:J$251,MATCH('Table 2.1b_percent'!$A104&amp;'Table 2.1b_percent'!$B104&amp;'Table 2.1b_percent'!$C104,UtilityList!$A$4:$A$251&amp;UtilityList!$B$4:$B$251&amp;UtilityList!$C$4:$C$251,0))</f>
        <v>North Slope</v>
      </c>
      <c r="N104" s="452" t="str">
        <f t="array" ref="N104">INDEX(UtilityList!K$4:K$251,MATCH('Table 2.1b_percent'!$A104&amp;'Table 2.1b_percent'!$B104&amp;'Table 2.1b_percent'!$C104,UtilityList!$A$4:$A$251&amp;UtilityList!$B$4:$B$251&amp;UtilityList!$C$4:$C$251,0))</f>
        <v>North Slope</v>
      </c>
      <c r="O104" s="452" t="str">
        <f t="array" ref="O104">INDEX(UtilityList!L$4:L$251,MATCH('Table 2.1b_percent'!$A104&amp;'Table 2.1b_percent'!$B104&amp;'Table 2.1b_percent'!$C104,UtilityList!$A$4:$A$251&amp;UtilityList!$B$4:$B$251&amp;UtilityList!$C$4:$C$251,0))</f>
        <v>Arctic Slope</v>
      </c>
      <c r="P104" s="452" t="str">
        <f t="array" ref="P104">INDEX(UtilityList!M$4:M$251,MATCH('Table 2.1b_percent'!$A104&amp;'Table 2.1b_percent'!$B104&amp;'Table 2.1b_percent'!$C104,UtilityList!$A$4:$A$251&amp;UtilityList!$B$4:$B$251&amp;UtilityList!$C$4:$C$251,0))</f>
        <v>AN</v>
      </c>
    </row>
    <row r="105" spans="1:16" s="344" customFormat="1" ht="30" x14ac:dyDescent="0.25">
      <c r="A105" s="619" t="s">
        <v>134</v>
      </c>
      <c r="B105" s="361" t="s">
        <v>135</v>
      </c>
      <c r="C105" s="350" t="s">
        <v>135</v>
      </c>
      <c r="D105" s="625">
        <v>1</v>
      </c>
      <c r="E105" s="626">
        <v>0</v>
      </c>
      <c r="F105" s="626">
        <v>1</v>
      </c>
      <c r="G105" s="626">
        <v>0</v>
      </c>
      <c r="H105" s="626">
        <v>0</v>
      </c>
      <c r="I105" s="361" t="s">
        <v>718</v>
      </c>
      <c r="J105" s="622" t="str">
        <f t="array" ref="J105">INDEX(UtilityList!H$4:H$251,MATCH('Table 2.1b_percent'!$A105&amp;'Table 2.1b_percent'!$B105&amp;'Table 2.1b_percent'!$C105,UtilityList!$A$4:$A$251&amp;UtilityList!$B$4:$B$251&amp;UtilityList!$C$4:$C$251,0))</f>
        <v>PCE Eligible Active</v>
      </c>
      <c r="K105" s="709">
        <f t="array" ref="K105">INDEX(UtilityList!Q$4:Q$251,MATCH('Table 2.1b_percent'!$A105&amp;'Table 2.1b_percent'!$B105&amp;'Table 2.1b_percent'!$C105,UtilityList!$A$4:$A$251&amp;UtilityList!$B$4:$B$251&amp;UtilityList!$C$4:$C$251,0))</f>
        <v>0</v>
      </c>
      <c r="L105" s="627" t="str">
        <f t="array" ref="L105">INDEX(UtilityList!I$4:I$251,MATCH('Table 2.1b_percent'!$A105&amp;'Table 2.1b_percent'!$B105&amp;'Table 2.1b_percent'!$C105,UtilityList!$A$4:$A$251&amp;UtilityList!$B$4:$B$251&amp;UtilityList!$C$4:$C$251,0))</f>
        <v>BEAVJU</v>
      </c>
      <c r="M105" s="452" t="str">
        <f t="array" ref="M105">INDEX(UtilityList!J$4:J$251,MATCH('Table 2.1b_percent'!$A105&amp;'Table 2.1b_percent'!$B105&amp;'Table 2.1b_percent'!$C105,UtilityList!$A$4:$A$251&amp;UtilityList!$B$4:$B$251&amp;UtilityList!$C$4:$C$251,0))</f>
        <v>Yukon-Koyukuk/Upper Tanana</v>
      </c>
      <c r="N105" s="452" t="str">
        <f t="array" ref="N105">INDEX(UtilityList!K$4:K$251,MATCH('Table 2.1b_percent'!$A105&amp;'Table 2.1b_percent'!$B105&amp;'Table 2.1b_percent'!$C105,UtilityList!$A$4:$A$251&amp;UtilityList!$B$4:$B$251&amp;UtilityList!$C$4:$C$251,0))</f>
        <v>Yukon-Koyukuk (CA)</v>
      </c>
      <c r="O105" s="452" t="str">
        <f t="array" ref="O105">INDEX(UtilityList!L$4:L$251,MATCH('Table 2.1b_percent'!$A105&amp;'Table 2.1b_percent'!$B105&amp;'Table 2.1b_percent'!$C105,UtilityList!$A$4:$A$251&amp;UtilityList!$B$4:$B$251&amp;UtilityList!$C$4:$C$251,0))</f>
        <v>Doyon</v>
      </c>
      <c r="P105" s="452" t="str">
        <f t="array" ref="P105">INDEX(UtilityList!M$4:M$251,MATCH('Table 2.1b_percent'!$A105&amp;'Table 2.1b_percent'!$B105&amp;'Table 2.1b_percent'!$C105,UtilityList!$A$4:$A$251&amp;UtilityList!$B$4:$B$251&amp;UtilityList!$C$4:$C$251,0))</f>
        <v>YU</v>
      </c>
    </row>
    <row r="106" spans="1:16" s="344" customFormat="1" ht="105" x14ac:dyDescent="0.25">
      <c r="A106" s="619" t="s">
        <v>502</v>
      </c>
      <c r="B106" s="361" t="s">
        <v>136</v>
      </c>
      <c r="C106" s="350" t="s">
        <v>679</v>
      </c>
      <c r="D106" s="625">
        <v>1</v>
      </c>
      <c r="E106" s="626">
        <v>0</v>
      </c>
      <c r="F106" s="626">
        <v>1</v>
      </c>
      <c r="G106" s="626">
        <v>0</v>
      </c>
      <c r="H106" s="626">
        <v>0</v>
      </c>
      <c r="I106" s="361" t="s">
        <v>648</v>
      </c>
      <c r="J106" s="622" t="str">
        <f t="array" ref="J106">INDEX(UtilityList!H$4:H$251,MATCH('Table 2.1b_percent'!$A106&amp;'Table 2.1b_percent'!$B106&amp;'Table 2.1b_percent'!$C106,UtilityList!$A$4:$A$251&amp;UtilityList!$B$4:$B$251&amp;UtilityList!$C$4:$C$251,0))</f>
        <v>PCE Eligible Active</v>
      </c>
      <c r="K106" s="709" t="str">
        <f t="array" ref="K106">INDEX(UtilityList!Q$4:Q$251,MATCH('Table 2.1b_percent'!$A106&amp;'Table 2.1b_percent'!$B106&amp;'Table 2.1b_percent'!$C106,UtilityList!$A$4:$A$251&amp;UtilityList!$B$4:$B$251&amp;UtilityList!$C$4:$C$251,0))</f>
        <v>Provides power to Oscarville and sells power to Napakiak Ircinraq via intertie. Data includes Oscarville's information.</v>
      </c>
      <c r="L106" s="627" t="str">
        <f t="array" ref="L106">INDEX(UtilityList!I$4:I$251,MATCH('Table 2.1b_percent'!$A106&amp;'Table 2.1b_percent'!$B106&amp;'Table 2.1b_percent'!$C106,UtilityList!$A$4:$A$251&amp;UtilityList!$B$4:$B$251&amp;UtilityList!$C$4:$C$251,0))</f>
        <v>BETHUC</v>
      </c>
      <c r="M106" s="452" t="str">
        <f t="array" ref="M106">INDEX(UtilityList!J$4:J$251,MATCH('Table 2.1b_percent'!$A106&amp;'Table 2.1b_percent'!$B106&amp;'Table 2.1b_percent'!$C106,UtilityList!$A$4:$A$251&amp;UtilityList!$B$4:$B$251&amp;UtilityList!$C$4:$C$251,0))</f>
        <v>Lower Yukon-Kuskokwim</v>
      </c>
      <c r="N106" s="452" t="str">
        <f t="array" ref="N106">INDEX(UtilityList!K$4:K$251,MATCH('Table 2.1b_percent'!$A106&amp;'Table 2.1b_percent'!$B106&amp;'Table 2.1b_percent'!$C106,UtilityList!$A$4:$A$251&amp;UtilityList!$B$4:$B$251&amp;UtilityList!$C$4:$C$251,0))</f>
        <v>Bethel (CA)</v>
      </c>
      <c r="O106" s="452" t="str">
        <f t="array" ref="O106">INDEX(UtilityList!L$4:L$251,MATCH('Table 2.1b_percent'!$A106&amp;'Table 2.1b_percent'!$B106&amp;'Table 2.1b_percent'!$C106,UtilityList!$A$4:$A$251&amp;UtilityList!$B$4:$B$251&amp;UtilityList!$C$4:$C$251,0))</f>
        <v>Calista</v>
      </c>
      <c r="P106" s="452" t="str">
        <f t="array" ref="P106">INDEX(UtilityList!M$4:M$251,MATCH('Table 2.1b_percent'!$A106&amp;'Table 2.1b_percent'!$B106&amp;'Table 2.1b_percent'!$C106,UtilityList!$A$4:$A$251&amp;UtilityList!$B$4:$B$251&amp;UtilityList!$C$4:$C$251,0))</f>
        <v>SW</v>
      </c>
    </row>
    <row r="107" spans="1:16" s="344" customFormat="1" ht="30" x14ac:dyDescent="0.25">
      <c r="A107" s="619" t="s">
        <v>137</v>
      </c>
      <c r="B107" s="361" t="s">
        <v>138</v>
      </c>
      <c r="C107" s="350" t="s">
        <v>138</v>
      </c>
      <c r="D107" s="625">
        <v>1</v>
      </c>
      <c r="E107" s="626">
        <v>0</v>
      </c>
      <c r="F107" s="626">
        <v>1</v>
      </c>
      <c r="G107" s="626">
        <v>0</v>
      </c>
      <c r="H107" s="626">
        <v>0</v>
      </c>
      <c r="I107" s="361" t="s">
        <v>718</v>
      </c>
      <c r="J107" s="622" t="str">
        <f t="array" ref="J107">INDEX(UtilityList!H$4:H$251,MATCH('Table 2.1b_percent'!$A107&amp;'Table 2.1b_percent'!$B107&amp;'Table 2.1b_percent'!$C107,UtilityList!$A$4:$A$251&amp;UtilityList!$B$4:$B$251&amp;UtilityList!$C$4:$C$251,0))</f>
        <v>PCE Eligible Inactive</v>
      </c>
      <c r="K107" s="709">
        <f t="array" ref="K107">INDEX(UtilityList!Q$4:Q$251,MATCH('Table 2.1b_percent'!$A107&amp;'Table 2.1b_percent'!$B107&amp;'Table 2.1b_percent'!$C107,UtilityList!$A$4:$A$251&amp;UtilityList!$B$4:$B$251&amp;UtilityList!$C$4:$C$251,0))</f>
        <v>0</v>
      </c>
      <c r="L107" s="627">
        <f t="array" ref="L107">INDEX(UtilityList!I$4:I$251,MATCH('Table 2.1b_percent'!$A107&amp;'Table 2.1b_percent'!$B107&amp;'Table 2.1b_percent'!$C107,UtilityList!$A$4:$A$251&amp;UtilityList!$B$4:$B$251&amp;UtilityList!$C$4:$C$251,0))</f>
        <v>0</v>
      </c>
      <c r="M107" s="452" t="str">
        <f t="array" ref="M107">INDEX(UtilityList!J$4:J$251,MATCH('Table 2.1b_percent'!$A107&amp;'Table 2.1b_percent'!$B107&amp;'Table 2.1b_percent'!$C107,UtilityList!$A$4:$A$251&amp;UtilityList!$B$4:$B$251&amp;UtilityList!$C$4:$C$251,0))</f>
        <v>Yukon-Koyukuk/Upper Tanana</v>
      </c>
      <c r="N107" s="452" t="str">
        <f t="array" ref="N107">INDEX(UtilityList!K$4:K$251,MATCH('Table 2.1b_percent'!$A107&amp;'Table 2.1b_percent'!$B107&amp;'Table 2.1b_percent'!$C107,UtilityList!$A$4:$A$251&amp;UtilityList!$B$4:$B$251&amp;UtilityList!$C$4:$C$251,0))</f>
        <v>Yukon-Koyukuk (CA)</v>
      </c>
      <c r="O107" s="452" t="str">
        <f t="array" ref="O107">INDEX(UtilityList!L$4:L$251,MATCH('Table 2.1b_percent'!$A107&amp;'Table 2.1b_percent'!$B107&amp;'Table 2.1b_percent'!$C107,UtilityList!$A$4:$A$251&amp;UtilityList!$B$4:$B$251&amp;UtilityList!$C$4:$C$251,0))</f>
        <v>Doyon</v>
      </c>
      <c r="P107" s="452" t="str">
        <f t="array" ref="P107">INDEX(UtilityList!M$4:M$251,MATCH('Table 2.1b_percent'!$A107&amp;'Table 2.1b_percent'!$B107&amp;'Table 2.1b_percent'!$C107,UtilityList!$A$4:$A$251&amp;UtilityList!$B$4:$B$251&amp;UtilityList!$C$4:$C$251,0))</f>
        <v>YU</v>
      </c>
    </row>
    <row r="108" spans="1:16" s="344" customFormat="1" ht="30" x14ac:dyDescent="0.25">
      <c r="A108" s="619" t="s">
        <v>139</v>
      </c>
      <c r="B108" s="361" t="s">
        <v>140</v>
      </c>
      <c r="C108" s="350" t="s">
        <v>140</v>
      </c>
      <c r="D108" s="625">
        <v>1</v>
      </c>
      <c r="E108" s="626">
        <v>0</v>
      </c>
      <c r="F108" s="626">
        <v>1</v>
      </c>
      <c r="G108" s="626">
        <v>0</v>
      </c>
      <c r="H108" s="626">
        <v>0</v>
      </c>
      <c r="I108" s="361" t="s">
        <v>718</v>
      </c>
      <c r="J108" s="622" t="str">
        <f t="array" ref="J108">INDEX(UtilityList!H$4:H$251,MATCH('Table 2.1b_percent'!$A108&amp;'Table 2.1b_percent'!$B108&amp;'Table 2.1b_percent'!$C108,UtilityList!$A$4:$A$251&amp;UtilityList!$B$4:$B$251&amp;UtilityList!$C$4:$C$251,0))</f>
        <v>PCE Eligible Active</v>
      </c>
      <c r="K108" s="709">
        <f t="array" ref="K108">INDEX(UtilityList!Q$4:Q$251,MATCH('Table 2.1b_percent'!$A108&amp;'Table 2.1b_percent'!$B108&amp;'Table 2.1b_percent'!$C108,UtilityList!$A$4:$A$251&amp;UtilityList!$B$4:$B$251&amp;UtilityList!$C$4:$C$251,0))</f>
        <v>0</v>
      </c>
      <c r="L108" s="627" t="str">
        <f t="array" ref="L108">INDEX(UtilityList!I$4:I$251,MATCH('Table 2.1b_percent'!$A108&amp;'Table 2.1b_percent'!$B108&amp;'Table 2.1b_percent'!$C108,UtilityList!$A$4:$A$251&amp;UtilityList!$B$4:$B$251&amp;UtilityList!$C$4:$C$251,0))</f>
        <v>BUCK</v>
      </c>
      <c r="M108" s="452" t="str">
        <f t="array" ref="M108">INDEX(UtilityList!J$4:J$251,MATCH('Table 2.1b_percent'!$A108&amp;'Table 2.1b_percent'!$B108&amp;'Table 2.1b_percent'!$C108,UtilityList!$A$4:$A$251&amp;UtilityList!$B$4:$B$251&amp;UtilityList!$C$4:$C$251,0))</f>
        <v>Northwest Arctic</v>
      </c>
      <c r="N108" s="452" t="str">
        <f t="array" ref="N108">INDEX(UtilityList!K$4:K$251,MATCH('Table 2.1b_percent'!$A108&amp;'Table 2.1b_percent'!$B108&amp;'Table 2.1b_percent'!$C108,UtilityList!$A$4:$A$251&amp;UtilityList!$B$4:$B$251&amp;UtilityList!$C$4:$C$251,0))</f>
        <v>Northwest Arctic</v>
      </c>
      <c r="O108" s="452" t="str">
        <f t="array" ref="O108">INDEX(UtilityList!L$4:L$251,MATCH('Table 2.1b_percent'!$A108&amp;'Table 2.1b_percent'!$B108&amp;'Table 2.1b_percent'!$C108,UtilityList!$A$4:$A$251&amp;UtilityList!$B$4:$B$251&amp;UtilityList!$C$4:$C$251,0))</f>
        <v>NANA</v>
      </c>
      <c r="P108" s="452" t="str">
        <f t="array" ref="P108">INDEX(UtilityList!M$4:M$251,MATCH('Table 2.1b_percent'!$A108&amp;'Table 2.1b_percent'!$B108&amp;'Table 2.1b_percent'!$C108,UtilityList!$A$4:$A$251&amp;UtilityList!$B$4:$B$251&amp;UtilityList!$C$4:$C$251,0))</f>
        <v>AN</v>
      </c>
    </row>
    <row r="109" spans="1:16" s="344" customFormat="1" ht="30" x14ac:dyDescent="0.25">
      <c r="A109" s="619" t="s">
        <v>141</v>
      </c>
      <c r="B109" s="361" t="s">
        <v>142</v>
      </c>
      <c r="C109" s="350" t="s">
        <v>142</v>
      </c>
      <c r="D109" s="625">
        <v>1</v>
      </c>
      <c r="E109" s="626">
        <v>0</v>
      </c>
      <c r="F109" s="626">
        <v>1</v>
      </c>
      <c r="G109" s="626">
        <v>0</v>
      </c>
      <c r="H109" s="626">
        <v>0</v>
      </c>
      <c r="I109" s="361" t="s">
        <v>718</v>
      </c>
      <c r="J109" s="622" t="str">
        <f t="array" ref="J109">INDEX(UtilityList!H$4:H$251,MATCH('Table 2.1b_percent'!$A109&amp;'Table 2.1b_percent'!$B109&amp;'Table 2.1b_percent'!$C109,UtilityList!$A$4:$A$251&amp;UtilityList!$B$4:$B$251&amp;UtilityList!$C$4:$C$251,0))</f>
        <v>PCE Eligible Active</v>
      </c>
      <c r="K109" s="709">
        <f t="array" ref="K109">INDEX(UtilityList!Q$4:Q$251,MATCH('Table 2.1b_percent'!$A109&amp;'Table 2.1b_percent'!$B109&amp;'Table 2.1b_percent'!$C109,UtilityList!$A$4:$A$251&amp;UtilityList!$B$4:$B$251&amp;UtilityList!$C$4:$C$251,0))</f>
        <v>0</v>
      </c>
      <c r="L109" s="627" t="str">
        <f t="array" ref="L109">INDEX(UtilityList!I$4:I$251,MATCH('Table 2.1b_percent'!$A109&amp;'Table 2.1b_percent'!$B109&amp;'Table 2.1b_percent'!$C109,UtilityList!$A$4:$A$251&amp;UtilityList!$B$4:$B$251&amp;UtilityList!$C$4:$C$251,0))</f>
        <v>CHALVC</v>
      </c>
      <c r="M109" s="452" t="str">
        <f t="array" ref="M109">INDEX(UtilityList!J$4:J$251,MATCH('Table 2.1b_percent'!$A109&amp;'Table 2.1b_percent'!$B109&amp;'Table 2.1b_percent'!$C109,UtilityList!$A$4:$A$251&amp;UtilityList!$B$4:$B$251&amp;UtilityList!$C$4:$C$251,0))</f>
        <v>Yukon-Koyukuk/Upper Tanana</v>
      </c>
      <c r="N109" s="452" t="str">
        <f t="array" ref="N109">INDEX(UtilityList!K$4:K$251,MATCH('Table 2.1b_percent'!$A109&amp;'Table 2.1b_percent'!$B109&amp;'Table 2.1b_percent'!$C109,UtilityList!$A$4:$A$251&amp;UtilityList!$B$4:$B$251&amp;UtilityList!$C$4:$C$251,0))</f>
        <v>Yukon-Koyukuk (CA)</v>
      </c>
      <c r="O109" s="452" t="str">
        <f t="array" ref="O109">INDEX(UtilityList!L$4:L$251,MATCH('Table 2.1b_percent'!$A109&amp;'Table 2.1b_percent'!$B109&amp;'Table 2.1b_percent'!$C109,UtilityList!$A$4:$A$251&amp;UtilityList!$B$4:$B$251&amp;UtilityList!$C$4:$C$251,0))</f>
        <v>Doyon</v>
      </c>
      <c r="P109" s="452" t="str">
        <f t="array" ref="P109">INDEX(UtilityList!M$4:M$251,MATCH('Table 2.1b_percent'!$A109&amp;'Table 2.1b_percent'!$B109&amp;'Table 2.1b_percent'!$C109,UtilityList!$A$4:$A$251&amp;UtilityList!$B$4:$B$251&amp;UtilityList!$C$4:$C$251,0))</f>
        <v>YU</v>
      </c>
    </row>
    <row r="110" spans="1:16" s="344" customFormat="1" ht="30" x14ac:dyDescent="0.25">
      <c r="A110" s="619" t="s">
        <v>143</v>
      </c>
      <c r="B110" s="361" t="s">
        <v>144</v>
      </c>
      <c r="C110" s="350" t="s">
        <v>144</v>
      </c>
      <c r="D110" s="625">
        <v>1</v>
      </c>
      <c r="E110" s="626">
        <v>0</v>
      </c>
      <c r="F110" s="626">
        <v>1</v>
      </c>
      <c r="G110" s="626">
        <v>0</v>
      </c>
      <c r="H110" s="626">
        <v>0</v>
      </c>
      <c r="I110" s="361" t="s">
        <v>718</v>
      </c>
      <c r="J110" s="622" t="str">
        <f t="array" ref="J110">INDEX(UtilityList!H$4:H$251,MATCH('Table 2.1b_percent'!$A110&amp;'Table 2.1b_percent'!$B110&amp;'Table 2.1b_percent'!$C110,UtilityList!$A$4:$A$251&amp;UtilityList!$B$4:$B$251&amp;UtilityList!$C$4:$C$251,0))</f>
        <v>PCE Eligible Active</v>
      </c>
      <c r="K110" s="709">
        <f t="array" ref="K110">INDEX(UtilityList!Q$4:Q$251,MATCH('Table 2.1b_percent'!$A110&amp;'Table 2.1b_percent'!$B110&amp;'Table 2.1b_percent'!$C110,UtilityList!$A$4:$A$251&amp;UtilityList!$B$4:$B$251&amp;UtilityList!$C$4:$C$251,0))</f>
        <v>0</v>
      </c>
      <c r="L110" s="627" t="str">
        <f t="array" ref="L110">INDEX(UtilityList!I$4:I$251,MATCH('Table 2.1b_percent'!$A110&amp;'Table 2.1b_percent'!$B110&amp;'Table 2.1b_percent'!$C110,UtilityList!$A$4:$A$251&amp;UtilityList!$B$4:$B$251&amp;UtilityList!$C$4:$C$251,0))</f>
        <v>CHENVC</v>
      </c>
      <c r="M110" s="452" t="str">
        <f t="array" ref="M110">INDEX(UtilityList!J$4:J$251,MATCH('Table 2.1b_percent'!$A110&amp;'Table 2.1b_percent'!$B110&amp;'Table 2.1b_percent'!$C110,UtilityList!$A$4:$A$251&amp;UtilityList!$B$4:$B$251&amp;UtilityList!$C$4:$C$251,0))</f>
        <v>Copper River/Chugach</v>
      </c>
      <c r="N110" s="452" t="str">
        <f t="array" ref="N110">INDEX(UtilityList!K$4:K$251,MATCH('Table 2.1b_percent'!$A110&amp;'Table 2.1b_percent'!$B110&amp;'Table 2.1b_percent'!$C110,UtilityList!$A$4:$A$251&amp;UtilityList!$B$4:$B$251&amp;UtilityList!$C$4:$C$251,0))</f>
        <v>Valdez-Cordova (CA)</v>
      </c>
      <c r="O110" s="452" t="str">
        <f t="array" ref="O110">INDEX(UtilityList!L$4:L$251,MATCH('Table 2.1b_percent'!$A110&amp;'Table 2.1b_percent'!$B110&amp;'Table 2.1b_percent'!$C110,UtilityList!$A$4:$A$251&amp;UtilityList!$B$4:$B$251&amp;UtilityList!$C$4:$C$251,0))</f>
        <v>Chugach</v>
      </c>
      <c r="P110" s="452" t="str">
        <f t="array" ref="P110">INDEX(UtilityList!M$4:M$251,MATCH('Table 2.1b_percent'!$A110&amp;'Table 2.1b_percent'!$B110&amp;'Table 2.1b_percent'!$C110,UtilityList!$A$4:$A$251&amp;UtilityList!$B$4:$B$251&amp;UtilityList!$C$4:$C$251,0))</f>
        <v>SC</v>
      </c>
    </row>
    <row r="111" spans="1:16" s="344" customFormat="1" ht="30" x14ac:dyDescent="0.25">
      <c r="A111" s="619" t="s">
        <v>145</v>
      </c>
      <c r="B111" s="361" t="s">
        <v>146</v>
      </c>
      <c r="C111" s="350" t="s">
        <v>146</v>
      </c>
      <c r="D111" s="625">
        <v>1</v>
      </c>
      <c r="E111" s="626">
        <v>0</v>
      </c>
      <c r="F111" s="626">
        <v>1</v>
      </c>
      <c r="G111" s="626">
        <v>0</v>
      </c>
      <c r="H111" s="626">
        <v>0</v>
      </c>
      <c r="I111" s="361" t="s">
        <v>718</v>
      </c>
      <c r="J111" s="622" t="str">
        <f t="array" ref="J111">INDEX(UtilityList!H$4:H$251,MATCH('Table 2.1b_percent'!$A111&amp;'Table 2.1b_percent'!$B111&amp;'Table 2.1b_percent'!$C111,UtilityList!$A$4:$A$251&amp;UtilityList!$B$4:$B$251&amp;UtilityList!$C$4:$C$251,0))</f>
        <v>PCE Eligible Active</v>
      </c>
      <c r="K111" s="709">
        <f t="array" ref="K111">INDEX(UtilityList!Q$4:Q$251,MATCH('Table 2.1b_percent'!$A111&amp;'Table 2.1b_percent'!$B111&amp;'Table 2.1b_percent'!$C111,UtilityList!$A$4:$A$251&amp;UtilityList!$B$4:$B$251&amp;UtilityList!$C$4:$C$251,0))</f>
        <v>0</v>
      </c>
      <c r="L111" s="627" t="str">
        <f t="array" ref="L111">INDEX(UtilityList!I$4:I$251,MATCH('Table 2.1b_percent'!$A111&amp;'Table 2.1b_percent'!$B111&amp;'Table 2.1b_percent'!$C111,UtilityList!$A$4:$A$251&amp;UtilityList!$B$4:$B$251&amp;UtilityList!$C$4:$C$251,0))</f>
        <v>CHIGLPU</v>
      </c>
      <c r="M111" s="452" t="str">
        <f t="array" ref="M111">INDEX(UtilityList!J$4:J$251,MATCH('Table 2.1b_percent'!$A111&amp;'Table 2.1b_percent'!$B111&amp;'Table 2.1b_percent'!$C111,UtilityList!$A$4:$A$251&amp;UtilityList!$B$4:$B$251&amp;UtilityList!$C$4:$C$251,0))</f>
        <v>Bristol Bay</v>
      </c>
      <c r="N111" s="452" t="str">
        <f t="array" ref="N111">INDEX(UtilityList!K$4:K$251,MATCH('Table 2.1b_percent'!$A111&amp;'Table 2.1b_percent'!$B111&amp;'Table 2.1b_percent'!$C111,UtilityList!$A$4:$A$251&amp;UtilityList!$B$4:$B$251&amp;UtilityList!$C$4:$C$251,0))</f>
        <v>Lake and Peninsula</v>
      </c>
      <c r="O111" s="452" t="str">
        <f t="array" ref="O111">INDEX(UtilityList!L$4:L$251,MATCH('Table 2.1b_percent'!$A111&amp;'Table 2.1b_percent'!$B111&amp;'Table 2.1b_percent'!$C111,UtilityList!$A$4:$A$251&amp;UtilityList!$B$4:$B$251&amp;UtilityList!$C$4:$C$251,0))</f>
        <v>Bristol Bay</v>
      </c>
      <c r="P111" s="452" t="str">
        <f t="array" ref="P111">INDEX(UtilityList!M$4:M$251,MATCH('Table 2.1b_percent'!$A111&amp;'Table 2.1b_percent'!$B111&amp;'Table 2.1b_percent'!$C111,UtilityList!$A$4:$A$251&amp;UtilityList!$B$4:$B$251&amp;UtilityList!$C$4:$C$251,0))</f>
        <v>SW</v>
      </c>
    </row>
    <row r="112" spans="1:16" s="344" customFormat="1" ht="30" x14ac:dyDescent="0.25">
      <c r="A112" s="619" t="s">
        <v>147</v>
      </c>
      <c r="B112" s="361" t="s">
        <v>148</v>
      </c>
      <c r="C112" s="350" t="s">
        <v>148</v>
      </c>
      <c r="D112" s="625">
        <v>1</v>
      </c>
      <c r="E112" s="626">
        <v>0</v>
      </c>
      <c r="F112" s="626">
        <v>1</v>
      </c>
      <c r="G112" s="626">
        <v>0</v>
      </c>
      <c r="H112" s="626">
        <v>0</v>
      </c>
      <c r="I112" s="361" t="s">
        <v>718</v>
      </c>
      <c r="J112" s="622" t="str">
        <f t="array" ref="J112">INDEX(UtilityList!H$4:H$251,MATCH('Table 2.1b_percent'!$A112&amp;'Table 2.1b_percent'!$B112&amp;'Table 2.1b_percent'!$C112,UtilityList!$A$4:$A$251&amp;UtilityList!$B$4:$B$251&amp;UtilityList!$C$4:$C$251,0))</f>
        <v>PCE Eligible Active</v>
      </c>
      <c r="K112" s="709">
        <f t="array" ref="K112">INDEX(UtilityList!Q$4:Q$251,MATCH('Table 2.1b_percent'!$A112&amp;'Table 2.1b_percent'!$B112&amp;'Table 2.1b_percent'!$C112,UtilityList!$A$4:$A$251&amp;UtilityList!$B$4:$B$251&amp;UtilityList!$C$4:$C$251,0))</f>
        <v>0</v>
      </c>
      <c r="L112" s="627" t="str">
        <f t="array" ref="L112">INDEX(UtilityList!I$4:I$251,MATCH('Table 2.1b_percent'!$A112&amp;'Table 2.1b_percent'!$B112&amp;'Table 2.1b_percent'!$C112,UtilityList!$A$4:$A$251&amp;UtilityList!$B$4:$B$251&amp;UtilityList!$C$4:$C$251,0))</f>
        <v>CHIGLEU</v>
      </c>
      <c r="M112" s="452" t="str">
        <f t="array" ref="M112">INDEX(UtilityList!J$4:J$251,MATCH('Table 2.1b_percent'!$A112&amp;'Table 2.1b_percent'!$B112&amp;'Table 2.1b_percent'!$C112,UtilityList!$A$4:$A$251&amp;UtilityList!$B$4:$B$251&amp;UtilityList!$C$4:$C$251,0))</f>
        <v>Bristol Bay</v>
      </c>
      <c r="N112" s="452" t="str">
        <f t="array" ref="N112">INDEX(UtilityList!K$4:K$251,MATCH('Table 2.1b_percent'!$A112&amp;'Table 2.1b_percent'!$B112&amp;'Table 2.1b_percent'!$C112,UtilityList!$A$4:$A$251&amp;UtilityList!$B$4:$B$251&amp;UtilityList!$C$4:$C$251,0))</f>
        <v>Lake and Peninsula</v>
      </c>
      <c r="O112" s="452" t="str">
        <f t="array" ref="O112">INDEX(UtilityList!L$4:L$251,MATCH('Table 2.1b_percent'!$A112&amp;'Table 2.1b_percent'!$B112&amp;'Table 2.1b_percent'!$C112,UtilityList!$A$4:$A$251&amp;UtilityList!$B$4:$B$251&amp;UtilityList!$C$4:$C$251,0))</f>
        <v>Bristol Bay</v>
      </c>
      <c r="P112" s="452" t="str">
        <f t="array" ref="P112">INDEX(UtilityList!M$4:M$251,MATCH('Table 2.1b_percent'!$A112&amp;'Table 2.1b_percent'!$B112&amp;'Table 2.1b_percent'!$C112,UtilityList!$A$4:$A$251&amp;UtilityList!$B$4:$B$251&amp;UtilityList!$C$4:$C$251,0))</f>
        <v>SW</v>
      </c>
    </row>
    <row r="113" spans="1:16" s="344" customFormat="1" ht="30" x14ac:dyDescent="0.25">
      <c r="A113" s="619" t="s">
        <v>149</v>
      </c>
      <c r="B113" s="361" t="s">
        <v>150</v>
      </c>
      <c r="C113" s="350" t="s">
        <v>150</v>
      </c>
      <c r="D113" s="625">
        <v>1</v>
      </c>
      <c r="E113" s="626">
        <v>0</v>
      </c>
      <c r="F113" s="626">
        <v>1</v>
      </c>
      <c r="G113" s="626">
        <v>0</v>
      </c>
      <c r="H113" s="626">
        <v>0</v>
      </c>
      <c r="I113" s="361" t="s">
        <v>718</v>
      </c>
      <c r="J113" s="622" t="str">
        <f t="array" ref="J113">INDEX(UtilityList!H$4:H$251,MATCH('Table 2.1b_percent'!$A113&amp;'Table 2.1b_percent'!$B113&amp;'Table 2.1b_percent'!$C113,UtilityList!$A$4:$A$251&amp;UtilityList!$B$4:$B$251&amp;UtilityList!$C$4:$C$251,0))</f>
        <v>PCE Eligible Active</v>
      </c>
      <c r="K113" s="709">
        <f t="array" ref="K113">INDEX(UtilityList!Q$4:Q$251,MATCH('Table 2.1b_percent'!$A113&amp;'Table 2.1b_percent'!$B113&amp;'Table 2.1b_percent'!$C113,UtilityList!$A$4:$A$251&amp;UtilityList!$B$4:$B$251&amp;UtilityList!$C$4:$C$251,0))</f>
        <v>0</v>
      </c>
      <c r="L113" s="627" t="str">
        <f t="array" ref="L113">INDEX(UtilityList!I$4:I$251,MATCH('Table 2.1b_percent'!$A113&amp;'Table 2.1b_percent'!$B113&amp;'Table 2.1b_percent'!$C113,UtilityList!$A$4:$A$251&amp;UtilityList!$B$4:$B$251&amp;UtilityList!$C$4:$C$251,0))</f>
        <v>CHIG</v>
      </c>
      <c r="M113" s="452" t="str">
        <f t="array" ref="M113">INDEX(UtilityList!J$4:J$251,MATCH('Table 2.1b_percent'!$A113&amp;'Table 2.1b_percent'!$B113&amp;'Table 2.1b_percent'!$C113,UtilityList!$A$4:$A$251&amp;UtilityList!$B$4:$B$251&amp;UtilityList!$C$4:$C$251,0))</f>
        <v>Bristol Bay</v>
      </c>
      <c r="N113" s="452" t="str">
        <f t="array" ref="N113">INDEX(UtilityList!K$4:K$251,MATCH('Table 2.1b_percent'!$A113&amp;'Table 2.1b_percent'!$B113&amp;'Table 2.1b_percent'!$C113,UtilityList!$A$4:$A$251&amp;UtilityList!$B$4:$B$251&amp;UtilityList!$C$4:$C$251,0))</f>
        <v>Lake and Peninsula</v>
      </c>
      <c r="O113" s="452" t="str">
        <f t="array" ref="O113">INDEX(UtilityList!L$4:L$251,MATCH('Table 2.1b_percent'!$A113&amp;'Table 2.1b_percent'!$B113&amp;'Table 2.1b_percent'!$C113,UtilityList!$A$4:$A$251&amp;UtilityList!$B$4:$B$251&amp;UtilityList!$C$4:$C$251,0))</f>
        <v>Bristol Bay</v>
      </c>
      <c r="P113" s="452" t="str">
        <f t="array" ref="P113">INDEX(UtilityList!M$4:M$251,MATCH('Table 2.1b_percent'!$A113&amp;'Table 2.1b_percent'!$B113&amp;'Table 2.1b_percent'!$C113,UtilityList!$A$4:$A$251&amp;UtilityList!$B$4:$B$251&amp;UtilityList!$C$4:$C$251,0))</f>
        <v>SW</v>
      </c>
    </row>
    <row r="114" spans="1:16" s="344" customFormat="1" ht="30" x14ac:dyDescent="0.25">
      <c r="A114" s="619" t="s">
        <v>151</v>
      </c>
      <c r="B114" s="361" t="s">
        <v>152</v>
      </c>
      <c r="C114" s="350" t="s">
        <v>152</v>
      </c>
      <c r="D114" s="625">
        <v>1</v>
      </c>
      <c r="E114" s="626">
        <v>0</v>
      </c>
      <c r="F114" s="626">
        <v>1</v>
      </c>
      <c r="G114" s="626">
        <v>0</v>
      </c>
      <c r="H114" s="626">
        <v>0</v>
      </c>
      <c r="I114" s="361" t="s">
        <v>718</v>
      </c>
      <c r="J114" s="622" t="str">
        <f t="array" ref="J114">INDEX(UtilityList!H$4:H$251,MATCH('Table 2.1b_percent'!$A114&amp;'Table 2.1b_percent'!$B114&amp;'Table 2.1b_percent'!$C114,UtilityList!$A$4:$A$251&amp;UtilityList!$B$4:$B$251&amp;UtilityList!$C$4:$C$251,0))</f>
        <v>PCE Eligible Active</v>
      </c>
      <c r="K114" s="709">
        <f t="array" ref="K114">INDEX(UtilityList!Q$4:Q$251,MATCH('Table 2.1b_percent'!$A114&amp;'Table 2.1b_percent'!$B114&amp;'Table 2.1b_percent'!$C114,UtilityList!$A$4:$A$251&amp;UtilityList!$B$4:$B$251&amp;UtilityList!$C$4:$C$251,0))</f>
        <v>0</v>
      </c>
      <c r="L114" s="627" t="str">
        <f t="array" ref="L114">INDEX(UtilityList!I$4:I$251,MATCH('Table 2.1b_percent'!$A114&amp;'Table 2.1b_percent'!$B114&amp;'Table 2.1b_percent'!$C114,UtilityList!$A$4:$A$251&amp;UtilityList!$B$4:$B$251&amp;UtilityList!$C$4:$C$251,0))</f>
        <v>CHITE</v>
      </c>
      <c r="M114" s="452" t="str">
        <f t="array" ref="M114">INDEX(UtilityList!J$4:J$251,MATCH('Table 2.1b_percent'!$A114&amp;'Table 2.1b_percent'!$B114&amp;'Table 2.1b_percent'!$C114,UtilityList!$A$4:$A$251&amp;UtilityList!$B$4:$B$251&amp;UtilityList!$C$4:$C$251,0))</f>
        <v>Copper River/Chugach</v>
      </c>
      <c r="N114" s="452" t="str">
        <f t="array" ref="N114">INDEX(UtilityList!K$4:K$251,MATCH('Table 2.1b_percent'!$A114&amp;'Table 2.1b_percent'!$B114&amp;'Table 2.1b_percent'!$C114,UtilityList!$A$4:$A$251&amp;UtilityList!$B$4:$B$251&amp;UtilityList!$C$4:$C$251,0))</f>
        <v>Valdez-Cordova (CA)</v>
      </c>
      <c r="O114" s="452" t="str">
        <f t="array" ref="O114">INDEX(UtilityList!L$4:L$251,MATCH('Table 2.1b_percent'!$A114&amp;'Table 2.1b_percent'!$B114&amp;'Table 2.1b_percent'!$C114,UtilityList!$A$4:$A$251&amp;UtilityList!$B$4:$B$251&amp;UtilityList!$C$4:$C$251,0))</f>
        <v>Ahtna</v>
      </c>
      <c r="P114" s="452" t="str">
        <f t="array" ref="P114">INDEX(UtilityList!M$4:M$251,MATCH('Table 2.1b_percent'!$A114&amp;'Table 2.1b_percent'!$B114&amp;'Table 2.1b_percent'!$C114,UtilityList!$A$4:$A$251&amp;UtilityList!$B$4:$B$251&amp;UtilityList!$C$4:$C$251,0))</f>
        <v>SC</v>
      </c>
    </row>
    <row r="115" spans="1:16" s="344" customFormat="1" x14ac:dyDescent="0.25">
      <c r="A115" s="619" t="s">
        <v>153</v>
      </c>
      <c r="B115" s="361" t="s">
        <v>157</v>
      </c>
      <c r="C115" s="350"/>
      <c r="D115" s="625">
        <v>1</v>
      </c>
      <c r="E115" s="626">
        <v>1</v>
      </c>
      <c r="F115" s="626">
        <v>0</v>
      </c>
      <c r="G115" s="626">
        <v>0</v>
      </c>
      <c r="H115" s="626">
        <v>0</v>
      </c>
      <c r="I115" s="361" t="s">
        <v>648</v>
      </c>
      <c r="J115" s="622" t="str">
        <f t="array" ref="J115">INDEX(UtilityList!H$4:H$251,MATCH('Table 2.1b_percent'!$A115&amp;'Table 2.1b_percent'!$B115&amp;'Table 2.1b_percent'!$C115,UtilityList!$A$4:$A$251&amp;UtilityList!$B$4:$B$251&amp;UtilityList!$C$4:$C$251,0))</f>
        <v>PCE Ineligible</v>
      </c>
      <c r="K115" s="709">
        <f t="array" ref="K115">INDEX(UtilityList!Q$4:Q$251,MATCH('Table 2.1b_percent'!$A115&amp;'Table 2.1b_percent'!$B115&amp;'Table 2.1b_percent'!$C115,UtilityList!$A$4:$A$251&amp;UtilityList!$B$4:$B$251&amp;UtilityList!$C$4:$C$251,0))</f>
        <v>0</v>
      </c>
      <c r="L115" s="627" t="str">
        <f t="array" ref="L115">INDEX(UtilityList!I$4:I$251,MATCH('Table 2.1b_percent'!$A115&amp;'Table 2.1b_percent'!$B115&amp;'Table 2.1b_percent'!$C115,UtilityList!$A$4:$A$251&amp;UtilityList!$B$4:$B$251&amp;UtilityList!$C$4:$C$251,0))</f>
        <v>CEA</v>
      </c>
      <c r="M115" s="452" t="str">
        <f t="array" ref="M115">INDEX(UtilityList!J$4:J$251,MATCH('Table 2.1b_percent'!$A115&amp;'Table 2.1b_percent'!$B115&amp;'Table 2.1b_percent'!$C115,UtilityList!$A$4:$A$251&amp;UtilityList!$B$4:$B$251&amp;UtilityList!$C$4:$C$251,0))</f>
        <v>Railbelt</v>
      </c>
      <c r="N115" s="452" t="str">
        <f t="array" ref="N115">INDEX(UtilityList!K$4:K$251,MATCH('Table 2.1b_percent'!$A115&amp;'Table 2.1b_percent'!$B115&amp;'Table 2.1b_percent'!$C115,UtilityList!$A$4:$A$251&amp;UtilityList!$B$4:$B$251&amp;UtilityList!$C$4:$C$251,0))</f>
        <v>Anchorage</v>
      </c>
      <c r="O115" s="452" t="str">
        <f t="array" ref="O115">INDEX(UtilityList!L$4:L$251,MATCH('Table 2.1b_percent'!$A115&amp;'Table 2.1b_percent'!$B115&amp;'Table 2.1b_percent'!$C115,UtilityList!$A$4:$A$251&amp;UtilityList!$B$4:$B$251&amp;UtilityList!$C$4:$C$251,0))</f>
        <v>Cook Inlet</v>
      </c>
      <c r="P115" s="452" t="str">
        <f t="array" ref="P115">INDEX(UtilityList!M$4:M$251,MATCH('Table 2.1b_percent'!$A115&amp;'Table 2.1b_percent'!$B115&amp;'Table 2.1b_percent'!$C115,UtilityList!$A$4:$A$251&amp;UtilityList!$B$4:$B$251&amp;UtilityList!$C$4:$C$251,0))</f>
        <v>SC</v>
      </c>
    </row>
    <row r="116" spans="1:16" s="344" customFormat="1" x14ac:dyDescent="0.25">
      <c r="A116" s="619" t="s">
        <v>153</v>
      </c>
      <c r="B116" s="361" t="s">
        <v>155</v>
      </c>
      <c r="C116" s="350"/>
      <c r="D116" s="625">
        <v>1</v>
      </c>
      <c r="E116" s="626">
        <v>1</v>
      </c>
      <c r="F116" s="626">
        <v>0</v>
      </c>
      <c r="G116" s="626">
        <v>0</v>
      </c>
      <c r="H116" s="626">
        <v>0</v>
      </c>
      <c r="I116" s="361" t="s">
        <v>648</v>
      </c>
      <c r="J116" s="622" t="str">
        <f t="array" ref="J116">INDEX(UtilityList!H$4:H$251,MATCH('Table 2.1b_percent'!$A116&amp;'Table 2.1b_percent'!$B116&amp;'Table 2.1b_percent'!$C116,UtilityList!$A$4:$A$251&amp;UtilityList!$B$4:$B$251&amp;UtilityList!$C$4:$C$251,0))</f>
        <v>PCE Ineligible</v>
      </c>
      <c r="K116" s="709">
        <f t="array" ref="K116">INDEX(UtilityList!Q$4:Q$251,MATCH('Table 2.1b_percent'!$A116&amp;'Table 2.1b_percent'!$B116&amp;'Table 2.1b_percent'!$C116,UtilityList!$A$4:$A$251&amp;UtilityList!$B$4:$B$251&amp;UtilityList!$C$4:$C$251,0))</f>
        <v>0</v>
      </c>
      <c r="L116" s="627" t="str">
        <f t="array" ref="L116">INDEX(UtilityList!I$4:I$251,MATCH('Table 2.1b_percent'!$A116&amp;'Table 2.1b_percent'!$B116&amp;'Table 2.1b_percent'!$C116,UtilityList!$A$4:$A$251&amp;UtilityList!$B$4:$B$251&amp;UtilityList!$C$4:$C$251,0))</f>
        <v>CEA</v>
      </c>
      <c r="M116" s="452" t="str">
        <f t="array" ref="M116">INDEX(UtilityList!J$4:J$251,MATCH('Table 2.1b_percent'!$A116&amp;'Table 2.1b_percent'!$B116&amp;'Table 2.1b_percent'!$C116,UtilityList!$A$4:$A$251&amp;UtilityList!$B$4:$B$251&amp;UtilityList!$C$4:$C$251,0))</f>
        <v>Railbelt</v>
      </c>
      <c r="N116" s="452" t="str">
        <f t="array" ref="N116">INDEX(UtilityList!K$4:K$251,MATCH('Table 2.1b_percent'!$A116&amp;'Table 2.1b_percent'!$B116&amp;'Table 2.1b_percent'!$C116,UtilityList!$A$4:$A$251&amp;UtilityList!$B$4:$B$251&amp;UtilityList!$C$4:$C$251,0))</f>
        <v>Kenai Peninsula</v>
      </c>
      <c r="O116" s="452" t="str">
        <f t="array" ref="O116">INDEX(UtilityList!L$4:L$251,MATCH('Table 2.1b_percent'!$A116&amp;'Table 2.1b_percent'!$B116&amp;'Table 2.1b_percent'!$C116,UtilityList!$A$4:$A$251&amp;UtilityList!$B$4:$B$251&amp;UtilityList!$C$4:$C$251,0))</f>
        <v>Cook Inlet</v>
      </c>
      <c r="P116" s="452" t="str">
        <f t="array" ref="P116">INDEX(UtilityList!M$4:M$251,MATCH('Table 2.1b_percent'!$A116&amp;'Table 2.1b_percent'!$B116&amp;'Table 2.1b_percent'!$C116,UtilityList!$A$4:$A$251&amp;UtilityList!$B$4:$B$251&amp;UtilityList!$C$4:$C$251,0))</f>
        <v>SC</v>
      </c>
    </row>
    <row r="117" spans="1:16" s="344" customFormat="1" x14ac:dyDescent="0.25">
      <c r="A117" s="619" t="s">
        <v>153</v>
      </c>
      <c r="B117" s="361" t="s">
        <v>159</v>
      </c>
      <c r="C117" s="350"/>
      <c r="D117" s="625">
        <v>1</v>
      </c>
      <c r="E117" s="626">
        <v>0</v>
      </c>
      <c r="F117" s="626">
        <v>0</v>
      </c>
      <c r="G117" s="626">
        <v>1</v>
      </c>
      <c r="H117" s="626">
        <v>0</v>
      </c>
      <c r="I117" s="361" t="s">
        <v>648</v>
      </c>
      <c r="J117" s="622" t="str">
        <f t="array" ref="J117">INDEX(UtilityList!H$4:H$251,MATCH('Table 2.1b_percent'!$A117&amp;'Table 2.1b_percent'!$B117&amp;'Table 2.1b_percent'!$C117,UtilityList!$A$4:$A$251&amp;UtilityList!$B$4:$B$251&amp;UtilityList!$C$4:$C$251,0))</f>
        <v>PCE Ineligible</v>
      </c>
      <c r="K117" s="709">
        <f t="array" ref="K117">INDEX(UtilityList!Q$4:Q$251,MATCH('Table 2.1b_percent'!$A117&amp;'Table 2.1b_percent'!$B117&amp;'Table 2.1b_percent'!$C117,UtilityList!$A$4:$A$251&amp;UtilityList!$B$4:$B$251&amp;UtilityList!$C$4:$C$251,0))</f>
        <v>0</v>
      </c>
      <c r="L117" s="627" t="str">
        <f t="array" ref="L117">INDEX(UtilityList!I$4:I$251,MATCH('Table 2.1b_percent'!$A117&amp;'Table 2.1b_percent'!$B117&amp;'Table 2.1b_percent'!$C117,UtilityList!$A$4:$A$251&amp;UtilityList!$B$4:$B$251&amp;UtilityList!$C$4:$C$251,0))</f>
        <v>CEA</v>
      </c>
      <c r="M117" s="452" t="str">
        <f t="array" ref="M117">INDEX(UtilityList!J$4:J$251,MATCH('Table 2.1b_percent'!$A117&amp;'Table 2.1b_percent'!$B117&amp;'Table 2.1b_percent'!$C117,UtilityList!$A$4:$A$251&amp;UtilityList!$B$4:$B$251&amp;UtilityList!$C$4:$C$251,0))</f>
        <v>Railbelt</v>
      </c>
      <c r="N117" s="452" t="str">
        <f t="array" ref="N117">INDEX(UtilityList!K$4:K$251,MATCH('Table 2.1b_percent'!$A117&amp;'Table 2.1b_percent'!$B117&amp;'Table 2.1b_percent'!$C117,UtilityList!$A$4:$A$251&amp;UtilityList!$B$4:$B$251&amp;UtilityList!$C$4:$C$251,0))</f>
        <v>Anchorage</v>
      </c>
      <c r="O117" s="452" t="str">
        <f t="array" ref="O117">INDEX(UtilityList!L$4:L$251,MATCH('Table 2.1b_percent'!$A117&amp;'Table 2.1b_percent'!$B117&amp;'Table 2.1b_percent'!$C117,UtilityList!$A$4:$A$251&amp;UtilityList!$B$4:$B$251&amp;UtilityList!$C$4:$C$251,0))</f>
        <v>Cook Inlet</v>
      </c>
      <c r="P117" s="452" t="str">
        <f t="array" ref="P117">INDEX(UtilityList!M$4:M$251,MATCH('Table 2.1b_percent'!$A117&amp;'Table 2.1b_percent'!$B117&amp;'Table 2.1b_percent'!$C117,UtilityList!$A$4:$A$251&amp;UtilityList!$B$4:$B$251&amp;UtilityList!$C$4:$C$251,0))</f>
        <v>SC</v>
      </c>
    </row>
    <row r="118" spans="1:16" s="344" customFormat="1" x14ac:dyDescent="0.25">
      <c r="A118" s="619" t="s">
        <v>153</v>
      </c>
      <c r="B118" s="361" t="s">
        <v>154</v>
      </c>
      <c r="C118" s="350"/>
      <c r="D118" s="625">
        <v>1</v>
      </c>
      <c r="E118" s="626">
        <v>1</v>
      </c>
      <c r="F118" s="626">
        <v>0</v>
      </c>
      <c r="G118" s="626">
        <v>0</v>
      </c>
      <c r="H118" s="626">
        <v>0</v>
      </c>
      <c r="I118" s="361" t="s">
        <v>648</v>
      </c>
      <c r="J118" s="622" t="str">
        <f t="array" ref="J118">INDEX(UtilityList!H$4:H$251,MATCH('Table 2.1b_percent'!$A118&amp;'Table 2.1b_percent'!$B118&amp;'Table 2.1b_percent'!$C118,UtilityList!$A$4:$A$251&amp;UtilityList!$B$4:$B$251&amp;UtilityList!$C$4:$C$251,0))</f>
        <v>PCE Ineligible</v>
      </c>
      <c r="K118" s="709">
        <f t="array" ref="K118">INDEX(UtilityList!Q$4:Q$251,MATCH('Table 2.1b_percent'!$A118&amp;'Table 2.1b_percent'!$B118&amp;'Table 2.1b_percent'!$C118,UtilityList!$A$4:$A$251&amp;UtilityList!$B$4:$B$251&amp;UtilityList!$C$4:$C$251,0))</f>
        <v>0</v>
      </c>
      <c r="L118" s="627" t="str">
        <f t="array" ref="L118">INDEX(UtilityList!I$4:I$251,MATCH('Table 2.1b_percent'!$A118&amp;'Table 2.1b_percent'!$B118&amp;'Table 2.1b_percent'!$C118,UtilityList!$A$4:$A$251&amp;UtilityList!$B$4:$B$251&amp;UtilityList!$C$4:$C$251,0))</f>
        <v>CEA</v>
      </c>
      <c r="M118" s="452" t="str">
        <f t="array" ref="M118">INDEX(UtilityList!J$4:J$251,MATCH('Table 2.1b_percent'!$A118&amp;'Table 2.1b_percent'!$B118&amp;'Table 2.1b_percent'!$C118,UtilityList!$A$4:$A$251&amp;UtilityList!$B$4:$B$251&amp;UtilityList!$C$4:$C$251,0))</f>
        <v>Railbelt</v>
      </c>
      <c r="N118" s="452" t="str">
        <f t="array" ref="N118">INDEX(UtilityList!K$4:K$251,MATCH('Table 2.1b_percent'!$A118&amp;'Table 2.1b_percent'!$B118&amp;'Table 2.1b_percent'!$C118,UtilityList!$A$4:$A$251&amp;UtilityList!$B$4:$B$251&amp;UtilityList!$C$4:$C$251,0))</f>
        <v>Anchorage</v>
      </c>
      <c r="O118" s="452" t="str">
        <f t="array" ref="O118">INDEX(UtilityList!L$4:L$251,MATCH('Table 2.1b_percent'!$A118&amp;'Table 2.1b_percent'!$B118&amp;'Table 2.1b_percent'!$C118,UtilityList!$A$4:$A$251&amp;UtilityList!$B$4:$B$251&amp;UtilityList!$C$4:$C$251,0))</f>
        <v>Cook Inlet</v>
      </c>
      <c r="P118" s="452" t="str">
        <f t="array" ref="P118">INDEX(UtilityList!M$4:M$251,MATCH('Table 2.1b_percent'!$A118&amp;'Table 2.1b_percent'!$B118&amp;'Table 2.1b_percent'!$C118,UtilityList!$A$4:$A$251&amp;UtilityList!$B$4:$B$251&amp;UtilityList!$C$4:$C$251,0))</f>
        <v>SC</v>
      </c>
    </row>
    <row r="119" spans="1:16" s="344" customFormat="1" ht="30" x14ac:dyDescent="0.25">
      <c r="A119" s="619" t="s">
        <v>160</v>
      </c>
      <c r="B119" s="361" t="s">
        <v>161</v>
      </c>
      <c r="C119" s="350" t="s">
        <v>161</v>
      </c>
      <c r="D119" s="625">
        <v>1</v>
      </c>
      <c r="E119" s="626">
        <v>0</v>
      </c>
      <c r="F119" s="626">
        <v>1</v>
      </c>
      <c r="G119" s="626">
        <v>0</v>
      </c>
      <c r="H119" s="626">
        <v>0</v>
      </c>
      <c r="I119" s="361" t="s">
        <v>718</v>
      </c>
      <c r="J119" s="622" t="str">
        <f t="array" ref="J119">INDEX(UtilityList!H$4:H$251,MATCH('Table 2.1b_percent'!$A119&amp;'Table 2.1b_percent'!$B119&amp;'Table 2.1b_percent'!$C119,UtilityList!$A$4:$A$251&amp;UtilityList!$B$4:$B$251&amp;UtilityList!$C$4:$C$251,0))</f>
        <v>PCE Eligible Active</v>
      </c>
      <c r="K119" s="709">
        <f t="array" ref="K119">INDEX(UtilityList!Q$4:Q$251,MATCH('Table 2.1b_percent'!$A119&amp;'Table 2.1b_percent'!$B119&amp;'Table 2.1b_percent'!$C119,UtilityList!$A$4:$A$251&amp;UtilityList!$B$4:$B$251&amp;UtilityList!$C$4:$C$251,0))</f>
        <v>0</v>
      </c>
      <c r="L119" s="627" t="str">
        <f t="array" ref="L119">INDEX(UtilityList!I$4:I$251,MATCH('Table 2.1b_percent'!$A119&amp;'Table 2.1b_percent'!$B119&amp;'Table 2.1b_percent'!$C119,UtilityList!$A$4:$A$251&amp;UtilityList!$B$4:$B$251&amp;UtilityList!$C$4:$C$251,0))</f>
        <v>CIRCU</v>
      </c>
      <c r="M119" s="452" t="str">
        <f t="array" ref="M119">INDEX(UtilityList!J$4:J$251,MATCH('Table 2.1b_percent'!$A119&amp;'Table 2.1b_percent'!$B119&amp;'Table 2.1b_percent'!$C119,UtilityList!$A$4:$A$251&amp;UtilityList!$B$4:$B$251&amp;UtilityList!$C$4:$C$251,0))</f>
        <v>Yukon-Koyukuk/Upper Tanana</v>
      </c>
      <c r="N119" s="452" t="str">
        <f t="array" ref="N119">INDEX(UtilityList!K$4:K$251,MATCH('Table 2.1b_percent'!$A119&amp;'Table 2.1b_percent'!$B119&amp;'Table 2.1b_percent'!$C119,UtilityList!$A$4:$A$251&amp;UtilityList!$B$4:$B$251&amp;UtilityList!$C$4:$C$251,0))</f>
        <v>Yukon-Koyukuk (CA)</v>
      </c>
      <c r="O119" s="452" t="str">
        <f t="array" ref="O119">INDEX(UtilityList!L$4:L$251,MATCH('Table 2.1b_percent'!$A119&amp;'Table 2.1b_percent'!$B119&amp;'Table 2.1b_percent'!$C119,UtilityList!$A$4:$A$251&amp;UtilityList!$B$4:$B$251&amp;UtilityList!$C$4:$C$251,0))</f>
        <v>Doyon</v>
      </c>
      <c r="P119" s="452" t="str">
        <f t="array" ref="P119">INDEX(UtilityList!M$4:M$251,MATCH('Table 2.1b_percent'!$A119&amp;'Table 2.1b_percent'!$B119&amp;'Table 2.1b_percent'!$C119,UtilityList!$A$4:$A$251&amp;UtilityList!$B$4:$B$251&amp;UtilityList!$C$4:$C$251,0))</f>
        <v>YU</v>
      </c>
    </row>
    <row r="120" spans="1:16" s="344" customFormat="1" ht="30" x14ac:dyDescent="0.25">
      <c r="A120" s="619" t="s">
        <v>162</v>
      </c>
      <c r="B120" s="361" t="s">
        <v>163</v>
      </c>
      <c r="C120" s="350" t="s">
        <v>163</v>
      </c>
      <c r="D120" s="625">
        <v>1</v>
      </c>
      <c r="E120" s="626">
        <v>0</v>
      </c>
      <c r="F120" s="626">
        <v>1</v>
      </c>
      <c r="G120" s="626">
        <v>0</v>
      </c>
      <c r="H120" s="626">
        <v>0</v>
      </c>
      <c r="I120" s="361" t="s">
        <v>718</v>
      </c>
      <c r="J120" s="622" t="str">
        <f t="array" ref="J120">INDEX(UtilityList!H$4:H$251,MATCH('Table 2.1b_percent'!$A120&amp;'Table 2.1b_percent'!$B120&amp;'Table 2.1b_percent'!$C120,UtilityList!$A$4:$A$251&amp;UtilityList!$B$4:$B$251&amp;UtilityList!$C$4:$C$251,0))</f>
        <v>PCE Eligible Inactive</v>
      </c>
      <c r="K120" s="709">
        <f t="array" ref="K120">INDEX(UtilityList!Q$4:Q$251,MATCH('Table 2.1b_percent'!$A120&amp;'Table 2.1b_percent'!$B120&amp;'Table 2.1b_percent'!$C120,UtilityList!$A$4:$A$251&amp;UtilityList!$B$4:$B$251&amp;UtilityList!$C$4:$C$251,0))</f>
        <v>0</v>
      </c>
      <c r="L120" s="627" t="str">
        <f t="array" ref="L120">INDEX(UtilityList!I$4:I$251,MATCH('Table 2.1b_percent'!$A120&amp;'Table 2.1b_percent'!$B120&amp;'Table 2.1b_percent'!$C120,UtilityList!$A$4:$A$251&amp;UtilityList!$B$4:$B$251&amp;UtilityList!$C$4:$C$251,0))</f>
        <v>CLARKS POI</v>
      </c>
      <c r="M120" s="452" t="str">
        <f t="array" ref="M120">INDEX(UtilityList!J$4:J$251,MATCH('Table 2.1b_percent'!$A120&amp;'Table 2.1b_percent'!$B120&amp;'Table 2.1b_percent'!$C120,UtilityList!$A$4:$A$251&amp;UtilityList!$B$4:$B$251&amp;UtilityList!$C$4:$C$251,0))</f>
        <v>Bristol Bay</v>
      </c>
      <c r="N120" s="452" t="str">
        <f t="array" ref="N120">INDEX(UtilityList!K$4:K$251,MATCH('Table 2.1b_percent'!$A120&amp;'Table 2.1b_percent'!$B120&amp;'Table 2.1b_percent'!$C120,UtilityList!$A$4:$A$251&amp;UtilityList!$B$4:$B$251&amp;UtilityList!$C$4:$C$251,0))</f>
        <v>Dillingham (CA)</v>
      </c>
      <c r="O120" s="452" t="str">
        <f t="array" ref="O120">INDEX(UtilityList!L$4:L$251,MATCH('Table 2.1b_percent'!$A120&amp;'Table 2.1b_percent'!$B120&amp;'Table 2.1b_percent'!$C120,UtilityList!$A$4:$A$251&amp;UtilityList!$B$4:$B$251&amp;UtilityList!$C$4:$C$251,0))</f>
        <v>Bristol Bay</v>
      </c>
      <c r="P120" s="452" t="str">
        <f t="array" ref="P120">INDEX(UtilityList!M$4:M$251,MATCH('Table 2.1b_percent'!$A120&amp;'Table 2.1b_percent'!$B120&amp;'Table 2.1b_percent'!$C120,UtilityList!$A$4:$A$251&amp;UtilityList!$B$4:$B$251&amp;UtilityList!$C$4:$C$251,0))</f>
        <v>YU</v>
      </c>
    </row>
    <row r="121" spans="1:16" s="344" customFormat="1" x14ac:dyDescent="0.25">
      <c r="A121" s="619" t="s">
        <v>164</v>
      </c>
      <c r="B121" s="361" t="s">
        <v>165</v>
      </c>
      <c r="C121" s="350" t="s">
        <v>165</v>
      </c>
      <c r="D121" s="625">
        <v>1</v>
      </c>
      <c r="E121" s="626">
        <v>0</v>
      </c>
      <c r="F121" s="626">
        <v>1</v>
      </c>
      <c r="G121" s="626">
        <v>0</v>
      </c>
      <c r="H121" s="626">
        <v>0</v>
      </c>
      <c r="I121" s="361" t="s">
        <v>648</v>
      </c>
      <c r="J121" s="622" t="str">
        <f t="array" ref="J121">INDEX(UtilityList!H$4:H$251,MATCH('Table 2.1b_percent'!$A121&amp;'Table 2.1b_percent'!$B121&amp;'Table 2.1b_percent'!$C121,UtilityList!$A$4:$A$251&amp;UtilityList!$B$4:$B$251&amp;UtilityList!$C$4:$C$251,0))</f>
        <v>PCE Ineligible</v>
      </c>
      <c r="K121" s="709">
        <f t="array" ref="K121">INDEX(UtilityList!Q$4:Q$251,MATCH('Table 2.1b_percent'!$A121&amp;'Table 2.1b_percent'!$B121&amp;'Table 2.1b_percent'!$C121,UtilityList!$A$4:$A$251&amp;UtilityList!$B$4:$B$251&amp;UtilityList!$C$4:$C$251,0))</f>
        <v>0</v>
      </c>
      <c r="L121" s="627" t="str">
        <f t="array" ref="L121">INDEX(UtilityList!I$4:I$251,MATCH('Table 2.1b_percent'!$A121&amp;'Table 2.1b_percent'!$B121&amp;'Table 2.1b_percent'!$C121,UtilityList!$A$4:$A$251&amp;UtilityList!$B$4:$B$251&amp;UtilityList!$C$4:$C$251,0))</f>
        <v>CVEA</v>
      </c>
      <c r="M121" s="452" t="str">
        <f t="array" ref="M121">INDEX(UtilityList!J$4:J$251,MATCH('Table 2.1b_percent'!$A121&amp;'Table 2.1b_percent'!$B121&amp;'Table 2.1b_percent'!$C121,UtilityList!$A$4:$A$251&amp;UtilityList!$B$4:$B$251&amp;UtilityList!$C$4:$C$251,0))</f>
        <v>Copper River/Chugach</v>
      </c>
      <c r="N121" s="452" t="str">
        <f t="array" ref="N121">INDEX(UtilityList!K$4:K$251,MATCH('Table 2.1b_percent'!$A121&amp;'Table 2.1b_percent'!$B121&amp;'Table 2.1b_percent'!$C121,UtilityList!$A$4:$A$251&amp;UtilityList!$B$4:$B$251&amp;UtilityList!$C$4:$C$251,0))</f>
        <v>Valdez-Cordova (CA)</v>
      </c>
      <c r="O121" s="452" t="str">
        <f t="array" ref="O121">INDEX(UtilityList!L$4:L$251,MATCH('Table 2.1b_percent'!$A121&amp;'Table 2.1b_percent'!$B121&amp;'Table 2.1b_percent'!$C121,UtilityList!$A$4:$A$251&amp;UtilityList!$B$4:$B$251&amp;UtilityList!$C$4:$C$251,0))</f>
        <v>Ahtna</v>
      </c>
      <c r="P121" s="452" t="str">
        <f t="array" ref="P121">INDEX(UtilityList!M$4:M$251,MATCH('Table 2.1b_percent'!$A121&amp;'Table 2.1b_percent'!$B121&amp;'Table 2.1b_percent'!$C121,UtilityList!$A$4:$A$251&amp;UtilityList!$B$4:$B$251&amp;UtilityList!$C$4:$C$251,0))</f>
        <v>SC</v>
      </c>
    </row>
    <row r="122" spans="1:16" s="344" customFormat="1" x14ac:dyDescent="0.25">
      <c r="A122" s="619" t="s">
        <v>164</v>
      </c>
      <c r="B122" s="361" t="s">
        <v>166</v>
      </c>
      <c r="C122" s="351" t="s">
        <v>656</v>
      </c>
      <c r="D122" s="625">
        <v>1</v>
      </c>
      <c r="E122" s="626">
        <v>0</v>
      </c>
      <c r="F122" s="626">
        <v>0</v>
      </c>
      <c r="G122" s="626">
        <v>1</v>
      </c>
      <c r="H122" s="626">
        <v>0</v>
      </c>
      <c r="I122" s="361" t="s">
        <v>648</v>
      </c>
      <c r="J122" s="622" t="str">
        <f t="array" ref="J122">INDEX(UtilityList!H$4:H$251,MATCH('Table 2.1b_percent'!$A122&amp;'Table 2.1b_percent'!$B122&amp;'Table 2.1b_percent'!$C122,UtilityList!$A$4:$A$251&amp;UtilityList!$B$4:$B$251&amp;UtilityList!$C$4:$C$251,0))</f>
        <v>PCE Ineligible</v>
      </c>
      <c r="K122" s="709">
        <f t="array" ref="K122">INDEX(UtilityList!Q$4:Q$251,MATCH('Table 2.1b_percent'!$A122&amp;'Table 2.1b_percent'!$B122&amp;'Table 2.1b_percent'!$C122,UtilityList!$A$4:$A$251&amp;UtilityList!$B$4:$B$251&amp;UtilityList!$C$4:$C$251,0))</f>
        <v>0</v>
      </c>
      <c r="L122" s="627" t="str">
        <f t="array" ref="L122">INDEX(UtilityList!I$4:I$251,MATCH('Table 2.1b_percent'!$A122&amp;'Table 2.1b_percent'!$B122&amp;'Table 2.1b_percent'!$C122,UtilityList!$A$4:$A$251&amp;UtilityList!$B$4:$B$251&amp;UtilityList!$C$4:$C$251,0))</f>
        <v>CVEA</v>
      </c>
      <c r="M122" s="452" t="str">
        <f t="array" ref="M122">INDEX(UtilityList!J$4:J$251,MATCH('Table 2.1b_percent'!$A122&amp;'Table 2.1b_percent'!$B122&amp;'Table 2.1b_percent'!$C122,UtilityList!$A$4:$A$251&amp;UtilityList!$B$4:$B$251&amp;UtilityList!$C$4:$C$251,0))</f>
        <v>Copper River/Chugach</v>
      </c>
      <c r="N122" s="452" t="str">
        <f t="array" ref="N122">INDEX(UtilityList!K$4:K$251,MATCH('Table 2.1b_percent'!$A122&amp;'Table 2.1b_percent'!$B122&amp;'Table 2.1b_percent'!$C122,UtilityList!$A$4:$A$251&amp;UtilityList!$B$4:$B$251&amp;UtilityList!$C$4:$C$251,0))</f>
        <v>Valdez-Cordova (CA)</v>
      </c>
      <c r="O122" s="452" t="str">
        <f t="array" ref="O122">INDEX(UtilityList!L$4:L$251,MATCH('Table 2.1b_percent'!$A122&amp;'Table 2.1b_percent'!$B122&amp;'Table 2.1b_percent'!$C122,UtilityList!$A$4:$A$251&amp;UtilityList!$B$4:$B$251&amp;UtilityList!$C$4:$C$251,0))</f>
        <v>Chugach</v>
      </c>
      <c r="P122" s="452" t="str">
        <f t="array" ref="P122">INDEX(UtilityList!M$4:M$251,MATCH('Table 2.1b_percent'!$A122&amp;'Table 2.1b_percent'!$B122&amp;'Table 2.1b_percent'!$C122,UtilityList!$A$4:$A$251&amp;UtilityList!$B$4:$B$251&amp;UtilityList!$C$4:$C$251,0))</f>
        <v>SC</v>
      </c>
    </row>
    <row r="123" spans="1:16" s="344" customFormat="1" x14ac:dyDescent="0.25">
      <c r="A123" s="619" t="s">
        <v>164</v>
      </c>
      <c r="B123" s="361" t="s">
        <v>167</v>
      </c>
      <c r="C123" s="350" t="s">
        <v>167</v>
      </c>
      <c r="D123" s="625">
        <v>1</v>
      </c>
      <c r="E123" s="626">
        <v>0.28865979381443296</v>
      </c>
      <c r="F123" s="626">
        <v>0.71134020618556704</v>
      </c>
      <c r="G123" s="626">
        <v>0</v>
      </c>
      <c r="H123" s="626">
        <v>0</v>
      </c>
      <c r="I123" s="361" t="s">
        <v>648</v>
      </c>
      <c r="J123" s="622" t="str">
        <f t="array" ref="J123">INDEX(UtilityList!H$4:H$251,MATCH('Table 2.1b_percent'!$A123&amp;'Table 2.1b_percent'!$B123&amp;'Table 2.1b_percent'!$C123,UtilityList!$A$4:$A$251&amp;UtilityList!$B$4:$B$251&amp;UtilityList!$C$4:$C$251,0))</f>
        <v>PCE Ineligible</v>
      </c>
      <c r="K123" s="709">
        <f t="array" ref="K123">INDEX(UtilityList!Q$4:Q$251,MATCH('Table 2.1b_percent'!$A123&amp;'Table 2.1b_percent'!$B123&amp;'Table 2.1b_percent'!$C123,UtilityList!$A$4:$A$251&amp;UtilityList!$B$4:$B$251&amp;UtilityList!$C$4:$C$251,0))</f>
        <v>0</v>
      </c>
      <c r="L123" s="627" t="str">
        <f t="array" ref="L123">INDEX(UtilityList!I$4:I$251,MATCH('Table 2.1b_percent'!$A123&amp;'Table 2.1b_percent'!$B123&amp;'Table 2.1b_percent'!$C123,UtilityList!$A$4:$A$251&amp;UtilityList!$B$4:$B$251&amp;UtilityList!$C$4:$C$251,0))</f>
        <v>CVEA</v>
      </c>
      <c r="M123" s="452" t="str">
        <f t="array" ref="M123">INDEX(UtilityList!J$4:J$251,MATCH('Table 2.1b_percent'!$A123&amp;'Table 2.1b_percent'!$B123&amp;'Table 2.1b_percent'!$C123,UtilityList!$A$4:$A$251&amp;UtilityList!$B$4:$B$251&amp;UtilityList!$C$4:$C$251,0))</f>
        <v>Copper River/Chugach</v>
      </c>
      <c r="N123" s="452" t="str">
        <f t="array" ref="N123">INDEX(UtilityList!K$4:K$251,MATCH('Table 2.1b_percent'!$A123&amp;'Table 2.1b_percent'!$B123&amp;'Table 2.1b_percent'!$C123,UtilityList!$A$4:$A$251&amp;UtilityList!$B$4:$B$251&amp;UtilityList!$C$4:$C$251,0))</f>
        <v>Valdez-Cordova (CA)</v>
      </c>
      <c r="O123" s="452" t="str">
        <f t="array" ref="O123">INDEX(UtilityList!L$4:L$251,MATCH('Table 2.1b_percent'!$A123&amp;'Table 2.1b_percent'!$B123&amp;'Table 2.1b_percent'!$C123,UtilityList!$A$4:$A$251&amp;UtilityList!$B$4:$B$251&amp;UtilityList!$C$4:$C$251,0))</f>
        <v>Chugach</v>
      </c>
      <c r="P123" s="452" t="str">
        <f t="array" ref="P123">INDEX(UtilityList!M$4:M$251,MATCH('Table 2.1b_percent'!$A123&amp;'Table 2.1b_percent'!$B123&amp;'Table 2.1b_percent'!$C123,UtilityList!$A$4:$A$251&amp;UtilityList!$B$4:$B$251&amp;UtilityList!$C$4:$C$251,0))</f>
        <v>SC</v>
      </c>
    </row>
    <row r="124" spans="1:16" s="344" customFormat="1" x14ac:dyDescent="0.25">
      <c r="A124" s="619" t="s">
        <v>164</v>
      </c>
      <c r="B124" s="361" t="s">
        <v>168</v>
      </c>
      <c r="C124" s="350" t="s">
        <v>167</v>
      </c>
      <c r="D124" s="625">
        <v>1</v>
      </c>
      <c r="E124" s="626">
        <v>1</v>
      </c>
      <c r="F124" s="626">
        <v>0</v>
      </c>
      <c r="G124" s="626">
        <v>0</v>
      </c>
      <c r="H124" s="626">
        <v>0</v>
      </c>
      <c r="I124" s="361" t="s">
        <v>648</v>
      </c>
      <c r="J124" s="622" t="str">
        <f t="array" ref="J124">INDEX(UtilityList!H$4:H$251,MATCH('Table 2.1b_percent'!$A124&amp;'Table 2.1b_percent'!$B124&amp;'Table 2.1b_percent'!$C124,UtilityList!$A$4:$A$251&amp;UtilityList!$B$4:$B$251&amp;UtilityList!$C$4:$C$251,0))</f>
        <v>PCE Ineligible</v>
      </c>
      <c r="K124" s="709">
        <f t="array" ref="K124">INDEX(UtilityList!Q$4:Q$251,MATCH('Table 2.1b_percent'!$A124&amp;'Table 2.1b_percent'!$B124&amp;'Table 2.1b_percent'!$C124,UtilityList!$A$4:$A$251&amp;UtilityList!$B$4:$B$251&amp;UtilityList!$C$4:$C$251,0))</f>
        <v>0</v>
      </c>
      <c r="L124" s="627" t="str">
        <f t="array" ref="L124">INDEX(UtilityList!I$4:I$251,MATCH('Table 2.1b_percent'!$A124&amp;'Table 2.1b_percent'!$B124&amp;'Table 2.1b_percent'!$C124,UtilityList!$A$4:$A$251&amp;UtilityList!$B$4:$B$251&amp;UtilityList!$C$4:$C$251,0))</f>
        <v>CVEA</v>
      </c>
      <c r="M124" s="452" t="str">
        <f t="array" ref="M124">INDEX(UtilityList!J$4:J$251,MATCH('Table 2.1b_percent'!$A124&amp;'Table 2.1b_percent'!$B124&amp;'Table 2.1b_percent'!$C124,UtilityList!$A$4:$A$251&amp;UtilityList!$B$4:$B$251&amp;UtilityList!$C$4:$C$251,0))</f>
        <v>Copper River/Chugach</v>
      </c>
      <c r="N124" s="452" t="str">
        <f t="array" ref="N124">INDEX(UtilityList!K$4:K$251,MATCH('Table 2.1b_percent'!$A124&amp;'Table 2.1b_percent'!$B124&amp;'Table 2.1b_percent'!$C124,UtilityList!$A$4:$A$251&amp;UtilityList!$B$4:$B$251&amp;UtilityList!$C$4:$C$251,0))</f>
        <v>Valdez-Cordova (CA)</v>
      </c>
      <c r="O124" s="452" t="str">
        <f t="array" ref="O124">INDEX(UtilityList!L$4:L$251,MATCH('Table 2.1b_percent'!$A124&amp;'Table 2.1b_percent'!$B124&amp;'Table 2.1b_percent'!$C124,UtilityList!$A$4:$A$251&amp;UtilityList!$B$4:$B$251&amp;UtilityList!$C$4:$C$251,0))</f>
        <v>Chugach</v>
      </c>
      <c r="P124" s="452" t="str">
        <f t="array" ref="P124">INDEX(UtilityList!M$4:M$251,MATCH('Table 2.1b_percent'!$A124&amp;'Table 2.1b_percent'!$B124&amp;'Table 2.1b_percent'!$C124,UtilityList!$A$4:$A$251&amp;UtilityList!$B$4:$B$251&amp;UtilityList!$C$4:$C$251,0))</f>
        <v>SC</v>
      </c>
    </row>
    <row r="125" spans="1:16" s="344" customFormat="1" x14ac:dyDescent="0.25">
      <c r="A125" s="619" t="s">
        <v>533</v>
      </c>
      <c r="B125" s="361" t="s">
        <v>657</v>
      </c>
      <c r="C125" s="350" t="s">
        <v>1092</v>
      </c>
      <c r="D125" s="625">
        <v>1</v>
      </c>
      <c r="E125" s="626">
        <v>0</v>
      </c>
      <c r="F125" s="626">
        <v>0</v>
      </c>
      <c r="G125" s="626">
        <v>1</v>
      </c>
      <c r="H125" s="626">
        <v>0</v>
      </c>
      <c r="I125" s="361" t="s">
        <v>648</v>
      </c>
      <c r="J125" s="622" t="str">
        <f t="array" ref="J125">INDEX(UtilityList!H$4:H$251,MATCH('Table 2.1b_percent'!$A125&amp;'Table 2.1b_percent'!$B125&amp;'Table 2.1b_percent'!$C125,UtilityList!$A$4:$A$251&amp;UtilityList!$B$4:$B$251&amp;UtilityList!$C$4:$C$251,0))</f>
        <v>PCE Eligible Active</v>
      </c>
      <c r="K125" s="709" t="str">
        <f t="array" ref="K125">INDEX(UtilityList!Q$4:Q$251,MATCH('Table 2.1b_percent'!$A125&amp;'Table 2.1b_percent'!$B125&amp;'Table 2.1b_percent'!$C125,UtilityList!$A$4:$A$251&amp;UtilityList!$B$4:$B$251&amp;UtilityList!$C$4:$C$251,0))</f>
        <v>New plant</v>
      </c>
      <c r="L125" s="627" t="str">
        <f t="array" ref="L125">INDEX(UtilityList!I$4:I$251,MATCH('Table 2.1b_percent'!$A125&amp;'Table 2.1b_percent'!$B125&amp;'Table 2.1b_percent'!$C125,UtilityList!$A$4:$A$251&amp;UtilityList!$B$4:$B$251&amp;UtilityList!$C$4:$C$251,0))</f>
        <v>CORDEC</v>
      </c>
      <c r="M125" s="452" t="str">
        <f t="array" ref="M125">INDEX(UtilityList!J$4:J$251,MATCH('Table 2.1b_percent'!$A125&amp;'Table 2.1b_percent'!$B125&amp;'Table 2.1b_percent'!$C125,UtilityList!$A$4:$A$251&amp;UtilityList!$B$4:$B$251&amp;UtilityList!$C$4:$C$251,0))</f>
        <v>Copper River/Chugach</v>
      </c>
      <c r="N125" s="452" t="str">
        <f t="array" ref="N125">INDEX(UtilityList!K$4:K$251,MATCH('Table 2.1b_percent'!$A125&amp;'Table 2.1b_percent'!$B125&amp;'Table 2.1b_percent'!$C125,UtilityList!$A$4:$A$251&amp;UtilityList!$B$4:$B$251&amp;UtilityList!$C$4:$C$251,0))</f>
        <v>Valdez-Cordova (CA)</v>
      </c>
      <c r="O125" s="452" t="str">
        <f t="array" ref="O125">INDEX(UtilityList!L$4:L$251,MATCH('Table 2.1b_percent'!$A125&amp;'Table 2.1b_percent'!$B125&amp;'Table 2.1b_percent'!$C125,UtilityList!$A$4:$A$251&amp;UtilityList!$B$4:$B$251&amp;UtilityList!$C$4:$C$251,0))</f>
        <v>Chugach</v>
      </c>
      <c r="P125" s="452" t="str">
        <f t="array" ref="P125">INDEX(UtilityList!M$4:M$251,MATCH('Table 2.1b_percent'!$A125&amp;'Table 2.1b_percent'!$B125&amp;'Table 2.1b_percent'!$C125,UtilityList!$A$4:$A$251&amp;UtilityList!$B$4:$B$251&amp;UtilityList!$C$4:$C$251,0))</f>
        <v>SC</v>
      </c>
    </row>
    <row r="126" spans="1:16" s="344" customFormat="1" x14ac:dyDescent="0.25">
      <c r="A126" s="619" t="s">
        <v>533</v>
      </c>
      <c r="B126" s="361" t="s">
        <v>505</v>
      </c>
      <c r="C126" s="350" t="s">
        <v>1092</v>
      </c>
      <c r="D126" s="625">
        <v>1</v>
      </c>
      <c r="E126" s="626">
        <v>0</v>
      </c>
      <c r="F126" s="626">
        <v>1</v>
      </c>
      <c r="G126" s="626">
        <v>0</v>
      </c>
      <c r="H126" s="626">
        <v>0</v>
      </c>
      <c r="I126" s="361" t="s">
        <v>648</v>
      </c>
      <c r="J126" s="622" t="str">
        <f t="array" ref="J126">INDEX(UtilityList!H$4:H$251,MATCH('Table 2.1b_percent'!$A126&amp;'Table 2.1b_percent'!$B126&amp;'Table 2.1b_percent'!$C126,UtilityList!$A$4:$A$251&amp;UtilityList!$B$4:$B$251&amp;UtilityList!$C$4:$C$251,0))</f>
        <v>PCE Eligible Active</v>
      </c>
      <c r="K126" s="709">
        <f t="array" ref="K126">INDEX(UtilityList!Q$4:Q$251,MATCH('Table 2.1b_percent'!$A126&amp;'Table 2.1b_percent'!$B126&amp;'Table 2.1b_percent'!$C126,UtilityList!$A$4:$A$251&amp;UtilityList!$B$4:$B$251&amp;UtilityList!$C$4:$C$251,0))</f>
        <v>0</v>
      </c>
      <c r="L126" s="627" t="str">
        <f t="array" ref="L126">INDEX(UtilityList!I$4:I$251,MATCH('Table 2.1b_percent'!$A126&amp;'Table 2.1b_percent'!$B126&amp;'Table 2.1b_percent'!$C126,UtilityList!$A$4:$A$251&amp;UtilityList!$B$4:$B$251&amp;UtilityList!$C$4:$C$251,0))</f>
        <v>CORDEC</v>
      </c>
      <c r="M126" s="452" t="str">
        <f t="array" ref="M126">INDEX(UtilityList!J$4:J$251,MATCH('Table 2.1b_percent'!$A126&amp;'Table 2.1b_percent'!$B126&amp;'Table 2.1b_percent'!$C126,UtilityList!$A$4:$A$251&amp;UtilityList!$B$4:$B$251&amp;UtilityList!$C$4:$C$251,0))</f>
        <v>Copper River/Chugach</v>
      </c>
      <c r="N126" s="452" t="str">
        <f t="array" ref="N126">INDEX(UtilityList!K$4:K$251,MATCH('Table 2.1b_percent'!$A126&amp;'Table 2.1b_percent'!$B126&amp;'Table 2.1b_percent'!$C126,UtilityList!$A$4:$A$251&amp;UtilityList!$B$4:$B$251&amp;UtilityList!$C$4:$C$251,0))</f>
        <v>Valdez-Cordova (CA)</v>
      </c>
      <c r="O126" s="452" t="str">
        <f t="array" ref="O126">INDEX(UtilityList!L$4:L$251,MATCH('Table 2.1b_percent'!$A126&amp;'Table 2.1b_percent'!$B126&amp;'Table 2.1b_percent'!$C126,UtilityList!$A$4:$A$251&amp;UtilityList!$B$4:$B$251&amp;UtilityList!$C$4:$C$251,0))</f>
        <v>Chugach</v>
      </c>
      <c r="P126" s="452" t="str">
        <f t="array" ref="P126">INDEX(UtilityList!M$4:M$251,MATCH('Table 2.1b_percent'!$A126&amp;'Table 2.1b_percent'!$B126&amp;'Table 2.1b_percent'!$C126,UtilityList!$A$4:$A$251&amp;UtilityList!$B$4:$B$251&amp;UtilityList!$C$4:$C$251,0))</f>
        <v>SC</v>
      </c>
    </row>
    <row r="127" spans="1:16" s="344" customFormat="1" x14ac:dyDescent="0.25">
      <c r="A127" s="619" t="s">
        <v>533</v>
      </c>
      <c r="B127" s="361" t="s">
        <v>506</v>
      </c>
      <c r="C127" s="350" t="s">
        <v>1092</v>
      </c>
      <c r="D127" s="625">
        <v>1</v>
      </c>
      <c r="E127" s="626">
        <v>0</v>
      </c>
      <c r="F127" s="626">
        <v>0</v>
      </c>
      <c r="G127" s="626">
        <v>1</v>
      </c>
      <c r="H127" s="626">
        <v>0</v>
      </c>
      <c r="I127" s="361" t="s">
        <v>652</v>
      </c>
      <c r="J127" s="622" t="str">
        <f t="array" ref="J127">INDEX(UtilityList!H$4:H$251,MATCH('Table 2.1b_percent'!$A127&amp;'Table 2.1b_percent'!$B127&amp;'Table 2.1b_percent'!$C127,UtilityList!$A$4:$A$251&amp;UtilityList!$B$4:$B$251&amp;UtilityList!$C$4:$C$251,0))</f>
        <v>PCE Eligible Active</v>
      </c>
      <c r="K127" s="709">
        <f t="array" ref="K127">INDEX(UtilityList!Q$4:Q$251,MATCH('Table 2.1b_percent'!$A127&amp;'Table 2.1b_percent'!$B127&amp;'Table 2.1b_percent'!$C127,UtilityList!$A$4:$A$251&amp;UtilityList!$B$4:$B$251&amp;UtilityList!$C$4:$C$251,0))</f>
        <v>0</v>
      </c>
      <c r="L127" s="627" t="str">
        <f t="array" ref="L127">INDEX(UtilityList!I$4:I$251,MATCH('Table 2.1b_percent'!$A127&amp;'Table 2.1b_percent'!$B127&amp;'Table 2.1b_percent'!$C127,UtilityList!$A$4:$A$251&amp;UtilityList!$B$4:$B$251&amp;UtilityList!$C$4:$C$251,0))</f>
        <v>CORDEC</v>
      </c>
      <c r="M127" s="452" t="str">
        <f t="array" ref="M127">INDEX(UtilityList!J$4:J$251,MATCH('Table 2.1b_percent'!$A127&amp;'Table 2.1b_percent'!$B127&amp;'Table 2.1b_percent'!$C127,UtilityList!$A$4:$A$251&amp;UtilityList!$B$4:$B$251&amp;UtilityList!$C$4:$C$251,0))</f>
        <v>Copper River/Chugach</v>
      </c>
      <c r="N127" s="452" t="str">
        <f t="array" ref="N127">INDEX(UtilityList!K$4:K$251,MATCH('Table 2.1b_percent'!$A127&amp;'Table 2.1b_percent'!$B127&amp;'Table 2.1b_percent'!$C127,UtilityList!$A$4:$A$251&amp;UtilityList!$B$4:$B$251&amp;UtilityList!$C$4:$C$251,0))</f>
        <v>Valdez-Cordova (CA)</v>
      </c>
      <c r="O127" s="452" t="str">
        <f t="array" ref="O127">INDEX(UtilityList!L$4:L$251,MATCH('Table 2.1b_percent'!$A127&amp;'Table 2.1b_percent'!$B127&amp;'Table 2.1b_percent'!$C127,UtilityList!$A$4:$A$251&amp;UtilityList!$B$4:$B$251&amp;UtilityList!$C$4:$C$251,0))</f>
        <v>Chugach</v>
      </c>
      <c r="P127" s="452" t="str">
        <f t="array" ref="P127">INDEX(UtilityList!M$4:M$251,MATCH('Table 2.1b_percent'!$A127&amp;'Table 2.1b_percent'!$B127&amp;'Table 2.1b_percent'!$C127,UtilityList!$A$4:$A$251&amp;UtilityList!$B$4:$B$251&amp;UtilityList!$C$4:$C$251,0))</f>
        <v>SC</v>
      </c>
    </row>
    <row r="128" spans="1:16" s="344" customFormat="1" ht="30" x14ac:dyDescent="0.25">
      <c r="A128" s="619" t="s">
        <v>171</v>
      </c>
      <c r="B128" s="361" t="s">
        <v>172</v>
      </c>
      <c r="C128" s="350" t="s">
        <v>172</v>
      </c>
      <c r="D128" s="625">
        <v>1</v>
      </c>
      <c r="E128" s="626">
        <v>0</v>
      </c>
      <c r="F128" s="626">
        <v>1</v>
      </c>
      <c r="G128" s="626">
        <v>0</v>
      </c>
      <c r="H128" s="626">
        <v>0</v>
      </c>
      <c r="I128" s="361" t="s">
        <v>718</v>
      </c>
      <c r="J128" s="622" t="str">
        <f t="array" ref="J128">INDEX(UtilityList!H$4:H$251,MATCH('Table 2.1b_percent'!$A128&amp;'Table 2.1b_percent'!$B128&amp;'Table 2.1b_percent'!$C128,UtilityList!$A$4:$A$251&amp;UtilityList!$B$4:$B$251&amp;UtilityList!$C$4:$C$251,0))</f>
        <v>PCE Eligible Active</v>
      </c>
      <c r="K128" s="709">
        <f t="array" ref="K128">INDEX(UtilityList!Q$4:Q$251,MATCH('Table 2.1b_percent'!$A128&amp;'Table 2.1b_percent'!$B128&amp;'Table 2.1b_percent'!$C128,UtilityList!$A$4:$A$251&amp;UtilityList!$B$4:$B$251&amp;UtilityList!$C$4:$C$251,0))</f>
        <v>0</v>
      </c>
      <c r="L128" s="627" t="str">
        <f t="array" ref="L128">INDEX(UtilityList!I$4:I$251,MATCH('Table 2.1b_percent'!$A128&amp;'Table 2.1b_percent'!$B128&amp;'Table 2.1b_percent'!$C128,UtilityList!$A$4:$A$251&amp;UtilityList!$B$4:$B$251&amp;UtilityList!$C$4:$C$251,0))</f>
        <v>EGEGLP</v>
      </c>
      <c r="M128" s="452" t="str">
        <f t="array" ref="M128">INDEX(UtilityList!J$4:J$251,MATCH('Table 2.1b_percent'!$A128&amp;'Table 2.1b_percent'!$B128&amp;'Table 2.1b_percent'!$C128,UtilityList!$A$4:$A$251&amp;UtilityList!$B$4:$B$251&amp;UtilityList!$C$4:$C$251,0))</f>
        <v>Bristol Bay</v>
      </c>
      <c r="N128" s="452" t="str">
        <f t="array" ref="N128">INDEX(UtilityList!K$4:K$251,MATCH('Table 2.1b_percent'!$A128&amp;'Table 2.1b_percent'!$B128&amp;'Table 2.1b_percent'!$C128,UtilityList!$A$4:$A$251&amp;UtilityList!$B$4:$B$251&amp;UtilityList!$C$4:$C$251,0))</f>
        <v>Lake and Peninsula</v>
      </c>
      <c r="O128" s="452" t="str">
        <f t="array" ref="O128">INDEX(UtilityList!L$4:L$251,MATCH('Table 2.1b_percent'!$A128&amp;'Table 2.1b_percent'!$B128&amp;'Table 2.1b_percent'!$C128,UtilityList!$A$4:$A$251&amp;UtilityList!$B$4:$B$251&amp;UtilityList!$C$4:$C$251,0))</f>
        <v>Bristol Bay</v>
      </c>
      <c r="P128" s="452" t="str">
        <f t="array" ref="P128">INDEX(UtilityList!M$4:M$251,MATCH('Table 2.1b_percent'!$A128&amp;'Table 2.1b_percent'!$B128&amp;'Table 2.1b_percent'!$C128,UtilityList!$A$4:$A$251&amp;UtilityList!$B$4:$B$251&amp;UtilityList!$C$4:$C$251,0))</f>
        <v>SW</v>
      </c>
    </row>
    <row r="129" spans="1:16" s="344" customFormat="1" ht="30" x14ac:dyDescent="0.25">
      <c r="A129" s="619" t="s">
        <v>174</v>
      </c>
      <c r="B129" s="361" t="s">
        <v>175</v>
      </c>
      <c r="C129" s="350" t="s">
        <v>175</v>
      </c>
      <c r="D129" s="625">
        <v>1</v>
      </c>
      <c r="E129" s="626">
        <v>0</v>
      </c>
      <c r="F129" s="626">
        <v>1</v>
      </c>
      <c r="G129" s="626">
        <v>0</v>
      </c>
      <c r="H129" s="626">
        <v>0</v>
      </c>
      <c r="I129" s="361" t="s">
        <v>718</v>
      </c>
      <c r="J129" s="622" t="str">
        <f t="array" ref="J129">INDEX(UtilityList!H$4:H$251,MATCH('Table 2.1b_percent'!$A129&amp;'Table 2.1b_percent'!$B129&amp;'Table 2.1b_percent'!$C129,UtilityList!$A$4:$A$251&amp;UtilityList!$B$4:$B$251&amp;UtilityList!$C$4:$C$251,0))</f>
        <v>PCE Eligible Active</v>
      </c>
      <c r="K129" s="709">
        <f t="array" ref="K129">INDEX(UtilityList!Q$4:Q$251,MATCH('Table 2.1b_percent'!$A129&amp;'Table 2.1b_percent'!$B129&amp;'Table 2.1b_percent'!$C129,UtilityList!$A$4:$A$251&amp;UtilityList!$B$4:$B$251&amp;UtilityList!$C$4:$C$251,0))</f>
        <v>0</v>
      </c>
      <c r="L129" s="627" t="str">
        <f t="array" ref="L129">INDEX(UtilityList!I$4:I$251,MATCH('Table 2.1b_percent'!$A129&amp;'Table 2.1b_percent'!$B129&amp;'Table 2.1b_percent'!$C129,UtilityList!$A$4:$A$251&amp;UtilityList!$B$4:$B$251&amp;UtilityList!$C$4:$C$251,0))</f>
        <v>ELFICEU</v>
      </c>
      <c r="M129" s="452" t="str">
        <f t="array" ref="M129">INDEX(UtilityList!J$4:J$251,MATCH('Table 2.1b_percent'!$A129&amp;'Table 2.1b_percent'!$B129&amp;'Table 2.1b_percent'!$C129,UtilityList!$A$4:$A$251&amp;UtilityList!$B$4:$B$251&amp;UtilityList!$C$4:$C$251,0))</f>
        <v>Southeast</v>
      </c>
      <c r="N129" s="452" t="str">
        <f t="array" ref="N129">INDEX(UtilityList!K$4:K$251,MATCH('Table 2.1b_percent'!$A129&amp;'Table 2.1b_percent'!$B129&amp;'Table 2.1b_percent'!$C129,UtilityList!$A$4:$A$251&amp;UtilityList!$B$4:$B$251&amp;UtilityList!$C$4:$C$251,0))</f>
        <v>Hoonah-Angoon (CA)</v>
      </c>
      <c r="O129" s="452" t="str">
        <f t="array" ref="O129">INDEX(UtilityList!L$4:L$251,MATCH('Table 2.1b_percent'!$A129&amp;'Table 2.1b_percent'!$B129&amp;'Table 2.1b_percent'!$C129,UtilityList!$A$4:$A$251&amp;UtilityList!$B$4:$B$251&amp;UtilityList!$C$4:$C$251,0))</f>
        <v>Sealaska</v>
      </c>
      <c r="P129" s="452" t="str">
        <f t="array" ref="P129">INDEX(UtilityList!M$4:M$251,MATCH('Table 2.1b_percent'!$A129&amp;'Table 2.1b_percent'!$B129&amp;'Table 2.1b_percent'!$C129,UtilityList!$A$4:$A$251&amp;UtilityList!$B$4:$B$251&amp;UtilityList!$C$4:$C$251,0))</f>
        <v>SE</v>
      </c>
    </row>
    <row r="130" spans="1:16" s="344" customFormat="1" ht="30" x14ac:dyDescent="0.25">
      <c r="A130" s="619" t="s">
        <v>176</v>
      </c>
      <c r="B130" s="361" t="s">
        <v>177</v>
      </c>
      <c r="C130" s="350" t="s">
        <v>177</v>
      </c>
      <c r="D130" s="625">
        <v>1</v>
      </c>
      <c r="E130" s="626">
        <v>0</v>
      </c>
      <c r="F130" s="626">
        <v>1</v>
      </c>
      <c r="G130" s="626">
        <v>0</v>
      </c>
      <c r="H130" s="626">
        <v>0</v>
      </c>
      <c r="I130" s="361" t="s">
        <v>718</v>
      </c>
      <c r="J130" s="622" t="str">
        <f t="array" ref="J130">INDEX(UtilityList!H$4:H$251,MATCH('Table 2.1b_percent'!$A130&amp;'Table 2.1b_percent'!$B130&amp;'Table 2.1b_percent'!$C130,UtilityList!$A$4:$A$251&amp;UtilityList!$B$4:$B$251&amp;UtilityList!$C$4:$C$251,0))</f>
        <v>PCE Eligible Active</v>
      </c>
      <c r="K130" s="709">
        <f t="array" ref="K130">INDEX(UtilityList!Q$4:Q$251,MATCH('Table 2.1b_percent'!$A130&amp;'Table 2.1b_percent'!$B130&amp;'Table 2.1b_percent'!$C130,UtilityList!$A$4:$A$251&amp;UtilityList!$B$4:$B$251&amp;UtilityList!$C$4:$C$251,0))</f>
        <v>0</v>
      </c>
      <c r="L130" s="627" t="str">
        <f t="array" ref="L130">INDEX(UtilityList!I$4:I$251,MATCH('Table 2.1b_percent'!$A130&amp;'Table 2.1b_percent'!$B130&amp;'Table 2.1b_percent'!$C130,UtilityList!$A$4:$A$251&amp;UtilityList!$B$4:$B$251&amp;UtilityList!$C$4:$C$251,0))</f>
        <v>FALSPE</v>
      </c>
      <c r="M130" s="452" t="str">
        <f t="array" ref="M130">INDEX(UtilityList!J$4:J$251,MATCH('Table 2.1b_percent'!$A130&amp;'Table 2.1b_percent'!$B130&amp;'Table 2.1b_percent'!$C130,UtilityList!$A$4:$A$251&amp;UtilityList!$B$4:$B$251&amp;UtilityList!$C$4:$C$251,0))</f>
        <v>Aleutians</v>
      </c>
      <c r="N130" s="452" t="str">
        <f t="array" ref="N130">INDEX(UtilityList!K$4:K$251,MATCH('Table 2.1b_percent'!$A130&amp;'Table 2.1b_percent'!$B130&amp;'Table 2.1b_percent'!$C130,UtilityList!$A$4:$A$251&amp;UtilityList!$B$4:$B$251&amp;UtilityList!$C$4:$C$251,0))</f>
        <v>Aleutians East</v>
      </c>
      <c r="O130" s="452" t="str">
        <f t="array" ref="O130">INDEX(UtilityList!L$4:L$251,MATCH('Table 2.1b_percent'!$A130&amp;'Table 2.1b_percent'!$B130&amp;'Table 2.1b_percent'!$C130,UtilityList!$A$4:$A$251&amp;UtilityList!$B$4:$B$251&amp;UtilityList!$C$4:$C$251,0))</f>
        <v>Aleut</v>
      </c>
      <c r="P130" s="452" t="str">
        <f t="array" ref="P130">INDEX(UtilityList!M$4:M$251,MATCH('Table 2.1b_percent'!$A130&amp;'Table 2.1b_percent'!$B130&amp;'Table 2.1b_percent'!$C130,UtilityList!$A$4:$A$251&amp;UtilityList!$B$4:$B$251&amp;UtilityList!$C$4:$C$251,0))</f>
        <v>SW</v>
      </c>
    </row>
    <row r="131" spans="1:16" s="344" customFormat="1" ht="30" x14ac:dyDescent="0.25">
      <c r="A131" s="619" t="s">
        <v>178</v>
      </c>
      <c r="B131" s="361" t="s">
        <v>179</v>
      </c>
      <c r="C131" s="350" t="s">
        <v>179</v>
      </c>
      <c r="D131" s="625">
        <v>1</v>
      </c>
      <c r="E131" s="626">
        <v>0</v>
      </c>
      <c r="F131" s="626">
        <v>1</v>
      </c>
      <c r="G131" s="626">
        <v>0</v>
      </c>
      <c r="H131" s="626">
        <v>0</v>
      </c>
      <c r="I131" s="361" t="s">
        <v>718</v>
      </c>
      <c r="J131" s="622" t="str">
        <f t="array" ref="J131">INDEX(UtilityList!H$4:H$251,MATCH('Table 2.1b_percent'!$A131&amp;'Table 2.1b_percent'!$B131&amp;'Table 2.1b_percent'!$C131,UtilityList!$A$4:$A$251&amp;UtilityList!$B$4:$B$251&amp;UtilityList!$C$4:$C$251,0))</f>
        <v>PCE Eligible Active</v>
      </c>
      <c r="K131" s="709">
        <f t="array" ref="K131">INDEX(UtilityList!Q$4:Q$251,MATCH('Table 2.1b_percent'!$A131&amp;'Table 2.1b_percent'!$B131&amp;'Table 2.1b_percent'!$C131,UtilityList!$A$4:$A$251&amp;UtilityList!$B$4:$B$251&amp;UtilityList!$C$4:$C$251,0))</f>
        <v>0</v>
      </c>
      <c r="L131" s="627" t="str">
        <f t="array" ref="L131">INDEX(UtilityList!I$4:I$251,MATCH('Table 2.1b_percent'!$A131&amp;'Table 2.1b_percent'!$B131&amp;'Table 2.1b_percent'!$C131,UtilityList!$A$4:$A$251&amp;UtilityList!$B$4:$B$251&amp;UtilityList!$C$4:$C$251,0))</f>
        <v>G&amp;K</v>
      </c>
      <c r="M131" s="452" t="str">
        <f t="array" ref="M131">INDEX(UtilityList!J$4:J$251,MATCH('Table 2.1b_percent'!$A131&amp;'Table 2.1b_percent'!$B131&amp;'Table 2.1b_percent'!$C131,UtilityList!$A$4:$A$251&amp;UtilityList!$B$4:$B$251&amp;UtilityList!$C$4:$C$251,0))</f>
        <v>Aleutians</v>
      </c>
      <c r="N131" s="452" t="str">
        <f t="array" ref="N131">INDEX(UtilityList!K$4:K$251,MATCH('Table 2.1b_percent'!$A131&amp;'Table 2.1b_percent'!$B131&amp;'Table 2.1b_percent'!$C131,UtilityList!$A$4:$A$251&amp;UtilityList!$B$4:$B$251&amp;UtilityList!$C$4:$C$251,0))</f>
        <v>Aleutians East</v>
      </c>
      <c r="O131" s="452" t="str">
        <f t="array" ref="O131">INDEX(UtilityList!L$4:L$251,MATCH('Table 2.1b_percent'!$A131&amp;'Table 2.1b_percent'!$B131&amp;'Table 2.1b_percent'!$C131,UtilityList!$A$4:$A$251&amp;UtilityList!$B$4:$B$251&amp;UtilityList!$C$4:$C$251,0))</f>
        <v>Aleut</v>
      </c>
      <c r="P131" s="452" t="str">
        <f t="array" ref="P131">INDEX(UtilityList!M$4:M$251,MATCH('Table 2.1b_percent'!$A131&amp;'Table 2.1b_percent'!$B131&amp;'Table 2.1b_percent'!$C131,UtilityList!$A$4:$A$251&amp;UtilityList!$B$4:$B$251&amp;UtilityList!$C$4:$C$251,0))</f>
        <v>SW</v>
      </c>
    </row>
    <row r="132" spans="1:16" s="344" customFormat="1" ht="30" x14ac:dyDescent="0.25">
      <c r="A132" s="619" t="s">
        <v>180</v>
      </c>
      <c r="B132" s="361" t="s">
        <v>181</v>
      </c>
      <c r="C132" s="350" t="s">
        <v>181</v>
      </c>
      <c r="D132" s="625">
        <v>1</v>
      </c>
      <c r="E132" s="626">
        <v>0</v>
      </c>
      <c r="F132" s="626">
        <v>1</v>
      </c>
      <c r="G132" s="626">
        <v>0</v>
      </c>
      <c r="H132" s="626">
        <v>0</v>
      </c>
      <c r="I132" s="361" t="s">
        <v>648</v>
      </c>
      <c r="J132" s="622" t="str">
        <f t="array" ref="J132">INDEX(UtilityList!H$4:H$251,MATCH('Table 2.1b_percent'!$A132&amp;'Table 2.1b_percent'!$B132&amp;'Table 2.1b_percent'!$C132,UtilityList!$A$4:$A$251&amp;UtilityList!$B$4:$B$251&amp;UtilityList!$C$4:$C$251,0))</f>
        <v>PCE Eligible Active</v>
      </c>
      <c r="K132" s="709">
        <f t="array" ref="K132">INDEX(UtilityList!Q$4:Q$251,MATCH('Table 2.1b_percent'!$A132&amp;'Table 2.1b_percent'!$B132&amp;'Table 2.1b_percent'!$C132,UtilityList!$A$4:$A$251&amp;UtilityList!$B$4:$B$251&amp;UtilityList!$C$4:$C$251,0))</f>
        <v>0</v>
      </c>
      <c r="L132" s="627" t="str">
        <f t="array" ref="L132">INDEX(UtilityList!I$4:I$251,MATCH('Table 2.1b_percent'!$A132&amp;'Table 2.1b_percent'!$B132&amp;'Table 2.1b_percent'!$C132,UtilityList!$A$4:$A$251&amp;UtilityList!$B$4:$B$251&amp;UtilityList!$C$4:$C$251,0))</f>
        <v>GALE</v>
      </c>
      <c r="M132" s="452" t="str">
        <f t="array" ref="M132">INDEX(UtilityList!J$4:J$251,MATCH('Table 2.1b_percent'!$A132&amp;'Table 2.1b_percent'!$B132&amp;'Table 2.1b_percent'!$C132,UtilityList!$A$4:$A$251&amp;UtilityList!$B$4:$B$251&amp;UtilityList!$C$4:$C$251,0))</f>
        <v>Yukon-Koyukuk/Upper Tanana</v>
      </c>
      <c r="N132" s="452" t="str">
        <f t="array" ref="N132">INDEX(UtilityList!K$4:K$251,MATCH('Table 2.1b_percent'!$A132&amp;'Table 2.1b_percent'!$B132&amp;'Table 2.1b_percent'!$C132,UtilityList!$A$4:$A$251&amp;UtilityList!$B$4:$B$251&amp;UtilityList!$C$4:$C$251,0))</f>
        <v>Yukon-Koyukuk (CA)</v>
      </c>
      <c r="O132" s="452" t="str">
        <f t="array" ref="O132">INDEX(UtilityList!L$4:L$251,MATCH('Table 2.1b_percent'!$A132&amp;'Table 2.1b_percent'!$B132&amp;'Table 2.1b_percent'!$C132,UtilityList!$A$4:$A$251&amp;UtilityList!$B$4:$B$251&amp;UtilityList!$C$4:$C$251,0))</f>
        <v>Doyon</v>
      </c>
      <c r="P132" s="452" t="str">
        <f t="array" ref="P132">INDEX(UtilityList!M$4:M$251,MATCH('Table 2.1b_percent'!$A132&amp;'Table 2.1b_percent'!$B132&amp;'Table 2.1b_percent'!$C132,UtilityList!$A$4:$A$251&amp;UtilityList!$B$4:$B$251&amp;UtilityList!$C$4:$C$251,0))</f>
        <v>YU</v>
      </c>
    </row>
    <row r="133" spans="1:16" s="344" customFormat="1" ht="30" x14ac:dyDescent="0.25">
      <c r="A133" s="619" t="s">
        <v>182</v>
      </c>
      <c r="B133" s="361" t="s">
        <v>183</v>
      </c>
      <c r="C133" s="350" t="s">
        <v>183</v>
      </c>
      <c r="D133" s="625">
        <v>1</v>
      </c>
      <c r="E133" s="626">
        <v>0</v>
      </c>
      <c r="F133" s="626">
        <v>1</v>
      </c>
      <c r="G133" s="626">
        <v>0</v>
      </c>
      <c r="H133" s="626">
        <v>0</v>
      </c>
      <c r="I133" s="361" t="s">
        <v>718</v>
      </c>
      <c r="J133" s="622" t="str">
        <f t="array" ref="J133">INDEX(UtilityList!H$4:H$251,MATCH('Table 2.1b_percent'!$A133&amp;'Table 2.1b_percent'!$B133&amp;'Table 2.1b_percent'!$C133,UtilityList!$A$4:$A$251&amp;UtilityList!$B$4:$B$251&amp;UtilityList!$C$4:$C$251,0))</f>
        <v>PCE Eligible Active</v>
      </c>
      <c r="K133" s="709">
        <f t="array" ref="K133">INDEX(UtilityList!Q$4:Q$251,MATCH('Table 2.1b_percent'!$A133&amp;'Table 2.1b_percent'!$B133&amp;'Table 2.1b_percent'!$C133,UtilityList!$A$4:$A$251&amp;UtilityList!$B$4:$B$251&amp;UtilityList!$C$4:$C$251,0))</f>
        <v>0</v>
      </c>
      <c r="L133" s="627" t="str">
        <f t="array" ref="L133">INDEX(UtilityList!I$4:I$251,MATCH('Table 2.1b_percent'!$A133&amp;'Table 2.1b_percent'!$B133&amp;'Table 2.1b_percent'!$C133,UtilityList!$A$4:$A$251&amp;UtilityList!$B$4:$B$251&amp;UtilityList!$C$4:$C$251,0))</f>
        <v>CENTEI</v>
      </c>
      <c r="M133" s="452" t="str">
        <f t="array" ref="M133">INDEX(UtilityList!J$4:J$251,MATCH('Table 2.1b_percent'!$A133&amp;'Table 2.1b_percent'!$B133&amp;'Table 2.1b_percent'!$C133,UtilityList!$A$4:$A$251&amp;UtilityList!$B$4:$B$251&amp;UtilityList!$C$4:$C$251,0))</f>
        <v>Yukon-Koyukuk/Upper Tanana</v>
      </c>
      <c r="N133" s="452" t="str">
        <f t="array" ref="N133">INDEX(UtilityList!K$4:K$251,MATCH('Table 2.1b_percent'!$A133&amp;'Table 2.1b_percent'!$B133&amp;'Table 2.1b_percent'!$C133,UtilityList!$A$4:$A$251&amp;UtilityList!$B$4:$B$251&amp;UtilityList!$C$4:$C$251,0))</f>
        <v>Yukon-Koyukuk (CA)</v>
      </c>
      <c r="O133" s="452" t="str">
        <f t="array" ref="O133">INDEX(UtilityList!L$4:L$251,MATCH('Table 2.1b_percent'!$A133&amp;'Table 2.1b_percent'!$B133&amp;'Table 2.1b_percent'!$C133,UtilityList!$A$4:$A$251&amp;UtilityList!$B$4:$B$251&amp;UtilityList!$C$4:$C$251,0))</f>
        <v>Doyon</v>
      </c>
      <c r="P133" s="452" t="str">
        <f t="array" ref="P133">INDEX(UtilityList!M$4:M$251,MATCH('Table 2.1b_percent'!$A133&amp;'Table 2.1b_percent'!$B133&amp;'Table 2.1b_percent'!$C133,UtilityList!$A$4:$A$251&amp;UtilityList!$B$4:$B$251&amp;UtilityList!$C$4:$C$251,0))</f>
        <v>YU</v>
      </c>
    </row>
    <row r="134" spans="1:16" s="344" customFormat="1" x14ac:dyDescent="0.25">
      <c r="A134" s="619" t="s">
        <v>184</v>
      </c>
      <c r="B134" s="361" t="s">
        <v>185</v>
      </c>
      <c r="C134" s="350"/>
      <c r="D134" s="625">
        <v>1</v>
      </c>
      <c r="E134" s="626">
        <v>1</v>
      </c>
      <c r="F134" s="626">
        <v>0</v>
      </c>
      <c r="G134" s="626">
        <v>0</v>
      </c>
      <c r="H134" s="626">
        <v>0</v>
      </c>
      <c r="I134" s="361" t="s">
        <v>648</v>
      </c>
      <c r="J134" s="622" t="str">
        <f t="array" ref="J134">INDEX(UtilityList!H$4:H$251,MATCH('Table 2.1b_percent'!$A134&amp;'Table 2.1b_percent'!$B134&amp;'Table 2.1b_percent'!$C134,UtilityList!$A$4:$A$251&amp;UtilityList!$B$4:$B$251&amp;UtilityList!$C$4:$C$251,0))</f>
        <v>PCE Ineligible</v>
      </c>
      <c r="K134" s="709">
        <f t="array" ref="K134">INDEX(UtilityList!Q$4:Q$251,MATCH('Table 2.1b_percent'!$A134&amp;'Table 2.1b_percent'!$B134&amp;'Table 2.1b_percent'!$C134,UtilityList!$A$4:$A$251&amp;UtilityList!$B$4:$B$251&amp;UtilityList!$C$4:$C$251,0))</f>
        <v>0</v>
      </c>
      <c r="L134" s="627" t="str">
        <f t="array" ref="L134">INDEX(UtilityList!I$4:I$251,MATCH('Table 2.1b_percent'!$A134&amp;'Table 2.1b_percent'!$B134&amp;'Table 2.1b_percent'!$C134,UtilityList!$A$4:$A$251&amp;UtilityList!$B$4:$B$251&amp;UtilityList!$C$4:$C$251,0))</f>
        <v>GVEA</v>
      </c>
      <c r="M134" s="452" t="str">
        <f t="array" ref="M134">INDEX(UtilityList!J$4:J$251,MATCH('Table 2.1b_percent'!$A134&amp;'Table 2.1b_percent'!$B134&amp;'Table 2.1b_percent'!$C134,UtilityList!$A$4:$A$251&amp;UtilityList!$B$4:$B$251&amp;UtilityList!$C$4:$C$251,0))</f>
        <v>Railbelt</v>
      </c>
      <c r="N134" s="452" t="str">
        <f t="array" ref="N134">INDEX(UtilityList!K$4:K$251,MATCH('Table 2.1b_percent'!$A134&amp;'Table 2.1b_percent'!$B134&amp;'Table 2.1b_percent'!$C134,UtilityList!$A$4:$A$251&amp;UtilityList!$B$4:$B$251&amp;UtilityList!$C$4:$C$251,0))</f>
        <v>Fairbanks North Star</v>
      </c>
      <c r="O134" s="452" t="str">
        <f t="array" ref="O134">INDEX(UtilityList!L$4:L$251,MATCH('Table 2.1b_percent'!$A134&amp;'Table 2.1b_percent'!$B134&amp;'Table 2.1b_percent'!$C134,UtilityList!$A$4:$A$251&amp;UtilityList!$B$4:$B$251&amp;UtilityList!$C$4:$C$251,0))</f>
        <v>Doyon</v>
      </c>
      <c r="P134" s="452" t="str">
        <f t="array" ref="P134">INDEX(UtilityList!M$4:M$251,MATCH('Table 2.1b_percent'!$A134&amp;'Table 2.1b_percent'!$B134&amp;'Table 2.1b_percent'!$C134,UtilityList!$A$4:$A$251&amp;UtilityList!$B$4:$B$251&amp;UtilityList!$C$4:$C$251,0))</f>
        <v>YU</v>
      </c>
    </row>
    <row r="135" spans="1:16" s="344" customFormat="1" x14ac:dyDescent="0.25">
      <c r="A135" s="619" t="s">
        <v>184</v>
      </c>
      <c r="B135" s="361" t="s">
        <v>132</v>
      </c>
      <c r="C135" s="350"/>
      <c r="D135" s="625">
        <v>1</v>
      </c>
      <c r="E135" s="626">
        <v>0.87203791469194314</v>
      </c>
      <c r="F135" s="626">
        <v>0.12796208530805686</v>
      </c>
      <c r="G135" s="626">
        <v>0</v>
      </c>
      <c r="H135" s="626">
        <v>0</v>
      </c>
      <c r="I135" s="361" t="s">
        <v>648</v>
      </c>
      <c r="J135" s="622" t="str">
        <f t="array" ref="J135">INDEX(UtilityList!H$4:H$251,MATCH('Table 2.1b_percent'!$A135&amp;'Table 2.1b_percent'!$B135&amp;'Table 2.1b_percent'!$C135,UtilityList!$A$4:$A$251&amp;UtilityList!$B$4:$B$251&amp;UtilityList!$C$4:$C$251,0))</f>
        <v>PCE Ineligible</v>
      </c>
      <c r="K135" s="709">
        <f t="array" ref="K135">INDEX(UtilityList!Q$4:Q$251,MATCH('Table 2.1b_percent'!$A135&amp;'Table 2.1b_percent'!$B135&amp;'Table 2.1b_percent'!$C135,UtilityList!$A$4:$A$251&amp;UtilityList!$B$4:$B$251&amp;UtilityList!$C$4:$C$251,0))</f>
        <v>0</v>
      </c>
      <c r="L135" s="627" t="str">
        <f t="array" ref="L135">INDEX(UtilityList!I$4:I$251,MATCH('Table 2.1b_percent'!$A135&amp;'Table 2.1b_percent'!$B135&amp;'Table 2.1b_percent'!$C135,UtilityList!$A$4:$A$251&amp;UtilityList!$B$4:$B$251&amp;UtilityList!$C$4:$C$251,0))</f>
        <v>GVEA</v>
      </c>
      <c r="M135" s="452" t="str">
        <f t="array" ref="M135">INDEX(UtilityList!J$4:J$251,MATCH('Table 2.1b_percent'!$A135&amp;'Table 2.1b_percent'!$B135&amp;'Table 2.1b_percent'!$C135,UtilityList!$A$4:$A$251&amp;UtilityList!$B$4:$B$251&amp;UtilityList!$C$4:$C$251,0))</f>
        <v>Railbelt</v>
      </c>
      <c r="N135" s="452" t="str">
        <f t="array" ref="N135">INDEX(UtilityList!K$4:K$251,MATCH('Table 2.1b_percent'!$A135&amp;'Table 2.1b_percent'!$B135&amp;'Table 2.1b_percent'!$C135,UtilityList!$A$4:$A$251&amp;UtilityList!$B$4:$B$251&amp;UtilityList!$C$4:$C$251,0))</f>
        <v>Fairbanks North Star</v>
      </c>
      <c r="O135" s="452" t="str">
        <f t="array" ref="O135">INDEX(UtilityList!L$4:L$251,MATCH('Table 2.1b_percent'!$A135&amp;'Table 2.1b_percent'!$B135&amp;'Table 2.1b_percent'!$C135,UtilityList!$A$4:$A$251&amp;UtilityList!$B$4:$B$251&amp;UtilityList!$C$4:$C$251,0))</f>
        <v>Doyon</v>
      </c>
      <c r="P135" s="452" t="str">
        <f t="array" ref="P135">INDEX(UtilityList!M$4:M$251,MATCH('Table 2.1b_percent'!$A135&amp;'Table 2.1b_percent'!$B135&amp;'Table 2.1b_percent'!$C135,UtilityList!$A$4:$A$251&amp;UtilityList!$B$4:$B$251&amp;UtilityList!$C$4:$C$251,0))</f>
        <v>YU</v>
      </c>
    </row>
    <row r="136" spans="1:16" s="344" customFormat="1" x14ac:dyDescent="0.25">
      <c r="A136" s="619" t="s">
        <v>184</v>
      </c>
      <c r="B136" s="361" t="s">
        <v>186</v>
      </c>
      <c r="C136" s="350"/>
      <c r="D136" s="625">
        <v>1</v>
      </c>
      <c r="E136" s="626">
        <v>0.90909090909090906</v>
      </c>
      <c r="F136" s="626">
        <v>9.0909090909090912E-2</v>
      </c>
      <c r="G136" s="626">
        <v>0</v>
      </c>
      <c r="H136" s="626">
        <v>0</v>
      </c>
      <c r="I136" s="361" t="s">
        <v>648</v>
      </c>
      <c r="J136" s="622" t="str">
        <f t="array" ref="J136">INDEX(UtilityList!H$4:H$251,MATCH('Table 2.1b_percent'!$A136&amp;'Table 2.1b_percent'!$B136&amp;'Table 2.1b_percent'!$C136,UtilityList!$A$4:$A$251&amp;UtilityList!$B$4:$B$251&amp;UtilityList!$C$4:$C$251,0))</f>
        <v>PCE Ineligible</v>
      </c>
      <c r="K136" s="709">
        <f t="array" ref="K136">INDEX(UtilityList!Q$4:Q$251,MATCH('Table 2.1b_percent'!$A136&amp;'Table 2.1b_percent'!$B136&amp;'Table 2.1b_percent'!$C136,UtilityList!$A$4:$A$251&amp;UtilityList!$B$4:$B$251&amp;UtilityList!$C$4:$C$251,0))</f>
        <v>0</v>
      </c>
      <c r="L136" s="627" t="str">
        <f t="array" ref="L136">INDEX(UtilityList!I$4:I$251,MATCH('Table 2.1b_percent'!$A136&amp;'Table 2.1b_percent'!$B136&amp;'Table 2.1b_percent'!$C136,UtilityList!$A$4:$A$251&amp;UtilityList!$B$4:$B$251&amp;UtilityList!$C$4:$C$251,0))</f>
        <v>GVEA</v>
      </c>
      <c r="M136" s="452" t="str">
        <f t="array" ref="M136">INDEX(UtilityList!J$4:J$251,MATCH('Table 2.1b_percent'!$A136&amp;'Table 2.1b_percent'!$B136&amp;'Table 2.1b_percent'!$C136,UtilityList!$A$4:$A$251&amp;UtilityList!$B$4:$B$251&amp;UtilityList!$C$4:$C$251,0))</f>
        <v>Railbelt</v>
      </c>
      <c r="N136" s="452" t="str">
        <f t="array" ref="N136">INDEX(UtilityList!K$4:K$251,MATCH('Table 2.1b_percent'!$A136&amp;'Table 2.1b_percent'!$B136&amp;'Table 2.1b_percent'!$C136,UtilityList!$A$4:$A$251&amp;UtilityList!$B$4:$B$251&amp;UtilityList!$C$4:$C$251,0))</f>
        <v>Denali</v>
      </c>
      <c r="O136" s="452" t="str">
        <f t="array" ref="O136">INDEX(UtilityList!L$4:L$251,MATCH('Table 2.1b_percent'!$A136&amp;'Table 2.1b_percent'!$B136&amp;'Table 2.1b_percent'!$C136,UtilityList!$A$4:$A$251&amp;UtilityList!$B$4:$B$251&amp;UtilityList!$C$4:$C$251,0))</f>
        <v>Doyon</v>
      </c>
      <c r="P136" s="452" t="str">
        <f t="array" ref="P136">INDEX(UtilityList!M$4:M$251,MATCH('Table 2.1b_percent'!$A136&amp;'Table 2.1b_percent'!$B136&amp;'Table 2.1b_percent'!$C136,UtilityList!$A$4:$A$251&amp;UtilityList!$B$4:$B$251&amp;UtilityList!$C$4:$C$251,0))</f>
        <v>YU</v>
      </c>
    </row>
    <row r="137" spans="1:16" s="344" customFormat="1" x14ac:dyDescent="0.25">
      <c r="A137" s="619" t="s">
        <v>184</v>
      </c>
      <c r="B137" s="361" t="s">
        <v>187</v>
      </c>
      <c r="C137" s="350"/>
      <c r="D137" s="625">
        <v>1</v>
      </c>
      <c r="E137" s="626">
        <v>1</v>
      </c>
      <c r="F137" s="626">
        <v>0</v>
      </c>
      <c r="G137" s="626">
        <v>0</v>
      </c>
      <c r="H137" s="626">
        <v>0</v>
      </c>
      <c r="I137" s="361" t="s">
        <v>648</v>
      </c>
      <c r="J137" s="622" t="str">
        <f t="array" ref="J137">INDEX(UtilityList!H$4:H$251,MATCH('Table 2.1b_percent'!$A137&amp;'Table 2.1b_percent'!$B137&amp;'Table 2.1b_percent'!$C137,UtilityList!$A$4:$A$251&amp;UtilityList!$B$4:$B$251&amp;UtilityList!$C$4:$C$251,0))</f>
        <v>PCE Ineligible</v>
      </c>
      <c r="K137" s="709">
        <f t="array" ref="K137">INDEX(UtilityList!Q$4:Q$251,MATCH('Table 2.1b_percent'!$A137&amp;'Table 2.1b_percent'!$B137&amp;'Table 2.1b_percent'!$C137,UtilityList!$A$4:$A$251&amp;UtilityList!$B$4:$B$251&amp;UtilityList!$C$4:$C$251,0))</f>
        <v>0</v>
      </c>
      <c r="L137" s="627" t="str">
        <f t="array" ref="L137">INDEX(UtilityList!I$4:I$251,MATCH('Table 2.1b_percent'!$A137&amp;'Table 2.1b_percent'!$B137&amp;'Table 2.1b_percent'!$C137,UtilityList!$A$4:$A$251&amp;UtilityList!$B$4:$B$251&amp;UtilityList!$C$4:$C$251,0))</f>
        <v>GVEA</v>
      </c>
      <c r="M137" s="452" t="str">
        <f t="array" ref="M137">INDEX(UtilityList!J$4:J$251,MATCH('Table 2.1b_percent'!$A137&amp;'Table 2.1b_percent'!$B137&amp;'Table 2.1b_percent'!$C137,UtilityList!$A$4:$A$251&amp;UtilityList!$B$4:$B$251&amp;UtilityList!$C$4:$C$251,0))</f>
        <v>Railbelt</v>
      </c>
      <c r="N137" s="452" t="str">
        <f t="array" ref="N137">INDEX(UtilityList!K$4:K$251,MATCH('Table 2.1b_percent'!$A137&amp;'Table 2.1b_percent'!$B137&amp;'Table 2.1b_percent'!$C137,UtilityList!$A$4:$A$251&amp;UtilityList!$B$4:$B$251&amp;UtilityList!$C$4:$C$251,0))</f>
        <v>Fairbanks North Star</v>
      </c>
      <c r="O137" s="452" t="str">
        <f t="array" ref="O137">INDEX(UtilityList!L$4:L$251,MATCH('Table 2.1b_percent'!$A137&amp;'Table 2.1b_percent'!$B137&amp;'Table 2.1b_percent'!$C137,UtilityList!$A$4:$A$251&amp;UtilityList!$B$4:$B$251&amp;UtilityList!$C$4:$C$251,0))</f>
        <v>Doyon</v>
      </c>
      <c r="P137" s="452" t="str">
        <f t="array" ref="P137">INDEX(UtilityList!M$4:M$251,MATCH('Table 2.1b_percent'!$A137&amp;'Table 2.1b_percent'!$B137&amp;'Table 2.1b_percent'!$C137,UtilityList!$A$4:$A$251&amp;UtilityList!$B$4:$B$251&amp;UtilityList!$C$4:$C$251,0))</f>
        <v>YU</v>
      </c>
    </row>
    <row r="138" spans="1:16" s="344" customFormat="1" ht="30" x14ac:dyDescent="0.25">
      <c r="A138" s="619" t="s">
        <v>188</v>
      </c>
      <c r="B138" s="361" t="s">
        <v>189</v>
      </c>
      <c r="C138" s="350" t="s">
        <v>189</v>
      </c>
      <c r="D138" s="625">
        <v>1</v>
      </c>
      <c r="E138" s="626">
        <v>0</v>
      </c>
      <c r="F138" s="626">
        <v>1</v>
      </c>
      <c r="G138" s="626">
        <v>0</v>
      </c>
      <c r="H138" s="626">
        <v>0</v>
      </c>
      <c r="I138" s="361" t="s">
        <v>718</v>
      </c>
      <c r="J138" s="622" t="str">
        <f t="array" ref="J138">INDEX(UtilityList!H$4:H$251,MATCH('Table 2.1b_percent'!$A138&amp;'Table 2.1b_percent'!$B138&amp;'Table 2.1b_percent'!$C138,UtilityList!$A$4:$A$251&amp;UtilityList!$B$4:$B$251&amp;UtilityList!$C$4:$C$251,0))</f>
        <v>PCE Eligible Active</v>
      </c>
      <c r="K138" s="709">
        <f t="array" ref="K138">INDEX(UtilityList!Q$4:Q$251,MATCH('Table 2.1b_percent'!$A138&amp;'Table 2.1b_percent'!$B138&amp;'Table 2.1b_percent'!$C138,UtilityList!$A$4:$A$251&amp;UtilityList!$B$4:$B$251&amp;UtilityList!$C$4:$C$251,0))</f>
        <v>0</v>
      </c>
      <c r="L138" s="627" t="str">
        <f t="array" ref="L138">INDEX(UtilityList!I$4:I$251,MATCH('Table 2.1b_percent'!$A138&amp;'Table 2.1b_percent'!$B138&amp;'Table 2.1b_percent'!$C138,UtilityList!$A$4:$A$251&amp;UtilityList!$B$4:$B$251&amp;UtilityList!$C$4:$C$251,0))</f>
        <v>GOLOPU</v>
      </c>
      <c r="M138" s="452" t="str">
        <f t="array" ref="M138">INDEX(UtilityList!J$4:J$251,MATCH('Table 2.1b_percent'!$A138&amp;'Table 2.1b_percent'!$B138&amp;'Table 2.1b_percent'!$C138,UtilityList!$A$4:$A$251&amp;UtilityList!$B$4:$B$251&amp;UtilityList!$C$4:$C$251,0))</f>
        <v>Bering Straits</v>
      </c>
      <c r="N138" s="452" t="str">
        <f t="array" ref="N138">INDEX(UtilityList!K$4:K$251,MATCH('Table 2.1b_percent'!$A138&amp;'Table 2.1b_percent'!$B138&amp;'Table 2.1b_percent'!$C138,UtilityList!$A$4:$A$251&amp;UtilityList!$B$4:$B$251&amp;UtilityList!$C$4:$C$251,0))</f>
        <v>Nome (CA)</v>
      </c>
      <c r="O138" s="452" t="str">
        <f t="array" ref="O138">INDEX(UtilityList!L$4:L$251,MATCH('Table 2.1b_percent'!$A138&amp;'Table 2.1b_percent'!$B138&amp;'Table 2.1b_percent'!$C138,UtilityList!$A$4:$A$251&amp;UtilityList!$B$4:$B$251&amp;UtilityList!$C$4:$C$251,0))</f>
        <v>Bering Straits</v>
      </c>
      <c r="P138" s="452" t="str">
        <f t="array" ref="P138">INDEX(UtilityList!M$4:M$251,MATCH('Table 2.1b_percent'!$A138&amp;'Table 2.1b_percent'!$B138&amp;'Table 2.1b_percent'!$C138,UtilityList!$A$4:$A$251&amp;UtilityList!$B$4:$B$251&amp;UtilityList!$C$4:$C$251,0))</f>
        <v>AN</v>
      </c>
    </row>
    <row r="139" spans="1:16" s="344" customFormat="1" x14ac:dyDescent="0.25">
      <c r="A139" s="619" t="s">
        <v>190</v>
      </c>
      <c r="B139" s="339" t="s">
        <v>520</v>
      </c>
      <c r="C139" s="619" t="s">
        <v>191</v>
      </c>
      <c r="D139" s="625">
        <v>1</v>
      </c>
      <c r="E139" s="626">
        <v>0</v>
      </c>
      <c r="F139" s="626">
        <v>0</v>
      </c>
      <c r="G139" s="626">
        <v>1</v>
      </c>
      <c r="H139" s="626">
        <v>0</v>
      </c>
      <c r="I139" s="361" t="s">
        <v>652</v>
      </c>
      <c r="J139" s="622" t="str">
        <f t="array" ref="J139">INDEX(UtilityList!H$4:H$251,MATCH('Table 2.1b_percent'!$A139&amp;'Table 2.1b_percent'!$B139&amp;'Table 2.1b_percent'!$C139,UtilityList!$A$4:$A$251&amp;UtilityList!$B$4:$B$251&amp;UtilityList!$C$4:$C$251,0))</f>
        <v>PCE Eligible Active</v>
      </c>
      <c r="K139" s="709">
        <f t="array" ref="K139">INDEX(UtilityList!Q$4:Q$251,MATCH('Table 2.1b_percent'!$A139&amp;'Table 2.1b_percent'!$B139&amp;'Table 2.1b_percent'!$C139,UtilityList!$A$4:$A$251&amp;UtilityList!$B$4:$B$251&amp;UtilityList!$C$4:$C$251,0))</f>
        <v>0</v>
      </c>
      <c r="L139" s="627" t="str">
        <f t="array" ref="L139">INDEX(UtilityList!I$4:I$251,MATCH('Table 2.1b_percent'!$A139&amp;'Table 2.1b_percent'!$B139&amp;'Table 2.1b_percent'!$C139,UtilityList!$A$4:$A$251&amp;UtilityList!$B$4:$B$251&amp;UtilityList!$C$4:$C$251,0))</f>
        <v>GUSTE</v>
      </c>
      <c r="M139" s="452" t="str">
        <f t="array" ref="M139">INDEX(UtilityList!J$4:J$251,MATCH('Table 2.1b_percent'!$A139&amp;'Table 2.1b_percent'!$B139&amp;'Table 2.1b_percent'!$C139,UtilityList!$A$4:$A$251&amp;UtilityList!$B$4:$B$251&amp;UtilityList!$C$4:$C$251,0))</f>
        <v>Southeast</v>
      </c>
      <c r="N139" s="452" t="str">
        <f t="array" ref="N139">INDEX(UtilityList!K$4:K$251,MATCH('Table 2.1b_percent'!$A139&amp;'Table 2.1b_percent'!$B139&amp;'Table 2.1b_percent'!$C139,UtilityList!$A$4:$A$251&amp;UtilityList!$B$4:$B$251&amp;UtilityList!$C$4:$C$251,0))</f>
        <v>Hoonah-Angoon (CA)</v>
      </c>
      <c r="O139" s="452" t="str">
        <f t="array" ref="O139">INDEX(UtilityList!L$4:L$251,MATCH('Table 2.1b_percent'!$A139&amp;'Table 2.1b_percent'!$B139&amp;'Table 2.1b_percent'!$C139,UtilityList!$A$4:$A$251&amp;UtilityList!$B$4:$B$251&amp;UtilityList!$C$4:$C$251,0))</f>
        <v>Sealaska</v>
      </c>
      <c r="P139" s="452" t="str">
        <f t="array" ref="P139">INDEX(UtilityList!M$4:M$251,MATCH('Table 2.1b_percent'!$A139&amp;'Table 2.1b_percent'!$B139&amp;'Table 2.1b_percent'!$C139,UtilityList!$A$4:$A$251&amp;UtilityList!$B$4:$B$251&amp;UtilityList!$C$4:$C$251,0))</f>
        <v>SE</v>
      </c>
    </row>
    <row r="140" spans="1:16" s="344" customFormat="1" ht="30" x14ac:dyDescent="0.25">
      <c r="A140" s="619" t="s">
        <v>190</v>
      </c>
      <c r="B140" s="361" t="s">
        <v>191</v>
      </c>
      <c r="C140" s="350" t="s">
        <v>191</v>
      </c>
      <c r="D140" s="625">
        <v>1</v>
      </c>
      <c r="E140" s="626">
        <v>0</v>
      </c>
      <c r="F140" s="626">
        <v>1</v>
      </c>
      <c r="G140" s="626">
        <v>0</v>
      </c>
      <c r="H140" s="626">
        <v>0</v>
      </c>
      <c r="I140" s="361" t="s">
        <v>718</v>
      </c>
      <c r="J140" s="622" t="str">
        <f t="array" ref="J140">INDEX(UtilityList!H$4:H$251,MATCH('Table 2.1b_percent'!$A140&amp;'Table 2.1b_percent'!$B140&amp;'Table 2.1b_percent'!$C140,UtilityList!$A$4:$A$251&amp;UtilityList!$B$4:$B$251&amp;UtilityList!$C$4:$C$251,0))</f>
        <v>PCE Eligible Active</v>
      </c>
      <c r="K140" s="709">
        <f t="array" ref="K140">INDEX(UtilityList!Q$4:Q$251,MATCH('Table 2.1b_percent'!$A140&amp;'Table 2.1b_percent'!$B140&amp;'Table 2.1b_percent'!$C140,UtilityList!$A$4:$A$251&amp;UtilityList!$B$4:$B$251&amp;UtilityList!$C$4:$C$251,0))</f>
        <v>0</v>
      </c>
      <c r="L140" s="627" t="str">
        <f t="array" ref="L140">INDEX(UtilityList!I$4:I$251,MATCH('Table 2.1b_percent'!$A140&amp;'Table 2.1b_percent'!$B140&amp;'Table 2.1b_percent'!$C140,UtilityList!$A$4:$A$251&amp;UtilityList!$B$4:$B$251&amp;UtilityList!$C$4:$C$251,0))</f>
        <v>GUSTE</v>
      </c>
      <c r="M140" s="452" t="str">
        <f t="array" ref="M140">INDEX(UtilityList!J$4:J$251,MATCH('Table 2.1b_percent'!$A140&amp;'Table 2.1b_percent'!$B140&amp;'Table 2.1b_percent'!$C140,UtilityList!$A$4:$A$251&amp;UtilityList!$B$4:$B$251&amp;UtilityList!$C$4:$C$251,0))</f>
        <v>Southeast</v>
      </c>
      <c r="N140" s="452" t="str">
        <f t="array" ref="N140">INDEX(UtilityList!K$4:K$251,MATCH('Table 2.1b_percent'!$A140&amp;'Table 2.1b_percent'!$B140&amp;'Table 2.1b_percent'!$C140,UtilityList!$A$4:$A$251&amp;UtilityList!$B$4:$B$251&amp;UtilityList!$C$4:$C$251,0))</f>
        <v>Hoonah-Angoon (CA)</v>
      </c>
      <c r="O140" s="452" t="str">
        <f t="array" ref="O140">INDEX(UtilityList!L$4:L$251,MATCH('Table 2.1b_percent'!$A140&amp;'Table 2.1b_percent'!$B140&amp;'Table 2.1b_percent'!$C140,UtilityList!$A$4:$A$251&amp;UtilityList!$B$4:$B$251&amp;UtilityList!$C$4:$C$251,0))</f>
        <v>Sealaska</v>
      </c>
      <c r="P140" s="452" t="str">
        <f t="array" ref="P140">INDEX(UtilityList!M$4:M$251,MATCH('Table 2.1b_percent'!$A140&amp;'Table 2.1b_percent'!$B140&amp;'Table 2.1b_percent'!$C140,UtilityList!$A$4:$A$251&amp;UtilityList!$B$4:$B$251&amp;UtilityList!$C$4:$C$251,0))</f>
        <v>SE</v>
      </c>
    </row>
    <row r="141" spans="1:16" s="344" customFormat="1" ht="30" x14ac:dyDescent="0.25">
      <c r="A141" s="619" t="s">
        <v>535</v>
      </c>
      <c r="B141" s="361" t="s">
        <v>192</v>
      </c>
      <c r="C141" s="350" t="s">
        <v>192</v>
      </c>
      <c r="D141" s="625">
        <v>1</v>
      </c>
      <c r="E141" s="626">
        <v>0</v>
      </c>
      <c r="F141" s="626">
        <v>1</v>
      </c>
      <c r="G141" s="626">
        <v>0</v>
      </c>
      <c r="H141" s="626">
        <v>0</v>
      </c>
      <c r="I141" s="361" t="s">
        <v>648</v>
      </c>
      <c r="J141" s="622" t="str">
        <f t="array" ref="J141">INDEX(UtilityList!H$4:H$251,MATCH('Table 2.1b_percent'!$A141&amp;'Table 2.1b_percent'!$B141&amp;'Table 2.1b_percent'!$C141,UtilityList!$A$4:$A$251&amp;UtilityList!$B$4:$B$251&amp;UtilityList!$C$4:$C$251,0))</f>
        <v>PCE Eligible Active</v>
      </c>
      <c r="K141" s="709">
        <f t="array" ref="K141">INDEX(UtilityList!Q$4:Q$251,MATCH('Table 2.1b_percent'!$A141&amp;'Table 2.1b_percent'!$B141&amp;'Table 2.1b_percent'!$C141,UtilityList!$A$4:$A$251&amp;UtilityList!$B$4:$B$251&amp;UtilityList!$C$4:$C$251,0))</f>
        <v>0</v>
      </c>
      <c r="L141" s="627" t="str">
        <f t="array" ref="L141">INDEX(UtilityList!I$4:I$251,MATCH('Table 2.1b_percent'!$A141&amp;'Table 2.1b_percent'!$B141&amp;'Table 2.1b_percent'!$C141,UtilityList!$A$4:$A$251&amp;UtilityList!$B$4:$B$251&amp;UtilityList!$C$4:$C$251,0))</f>
        <v>GWITZU</v>
      </c>
      <c r="M141" s="452" t="str">
        <f t="array" ref="M141">INDEX(UtilityList!J$4:J$251,MATCH('Table 2.1b_percent'!$A141&amp;'Table 2.1b_percent'!$B141&amp;'Table 2.1b_percent'!$C141,UtilityList!$A$4:$A$251&amp;UtilityList!$B$4:$B$251&amp;UtilityList!$C$4:$C$251,0))</f>
        <v>Yukon-Koyukuk/Upper Tanana</v>
      </c>
      <c r="N141" s="452" t="str">
        <f t="array" ref="N141">INDEX(UtilityList!K$4:K$251,MATCH('Table 2.1b_percent'!$A141&amp;'Table 2.1b_percent'!$B141&amp;'Table 2.1b_percent'!$C141,UtilityList!$A$4:$A$251&amp;UtilityList!$B$4:$B$251&amp;UtilityList!$C$4:$C$251,0))</f>
        <v>Yukon-Koyukuk (CA)</v>
      </c>
      <c r="O141" s="452" t="str">
        <f t="array" ref="O141">INDEX(UtilityList!L$4:L$251,MATCH('Table 2.1b_percent'!$A141&amp;'Table 2.1b_percent'!$B141&amp;'Table 2.1b_percent'!$C141,UtilityList!$A$4:$A$251&amp;UtilityList!$B$4:$B$251&amp;UtilityList!$C$4:$C$251,0))</f>
        <v>Doyon</v>
      </c>
      <c r="P141" s="452" t="str">
        <f t="array" ref="P141">INDEX(UtilityList!M$4:M$251,MATCH('Table 2.1b_percent'!$A141&amp;'Table 2.1b_percent'!$B141&amp;'Table 2.1b_percent'!$C141,UtilityList!$A$4:$A$251&amp;UtilityList!$B$4:$B$251&amp;UtilityList!$C$4:$C$251,0))</f>
        <v>YU</v>
      </c>
    </row>
    <row r="142" spans="1:16" s="344" customFormat="1" x14ac:dyDescent="0.25">
      <c r="A142" s="619" t="s">
        <v>193</v>
      </c>
      <c r="B142" s="361" t="s">
        <v>194</v>
      </c>
      <c r="C142" s="350"/>
      <c r="D142" s="625">
        <v>1</v>
      </c>
      <c r="E142" s="626">
        <v>1</v>
      </c>
      <c r="F142" s="626">
        <v>0</v>
      </c>
      <c r="G142" s="626">
        <v>0</v>
      </c>
      <c r="H142" s="626">
        <v>0</v>
      </c>
      <c r="I142" s="361" t="s">
        <v>648</v>
      </c>
      <c r="J142" s="622" t="str">
        <f t="array" ref="J142">INDEX(UtilityList!H$4:H$251,MATCH('Table 2.1b_percent'!$A142&amp;'Table 2.1b_percent'!$B142&amp;'Table 2.1b_percent'!$C142,UtilityList!$A$4:$A$251&amp;UtilityList!$B$4:$B$251&amp;UtilityList!$C$4:$C$251,0))</f>
        <v>PCE Ineligible</v>
      </c>
      <c r="K142" s="709">
        <f t="array" ref="K142">INDEX(UtilityList!Q$4:Q$251,MATCH('Table 2.1b_percent'!$A142&amp;'Table 2.1b_percent'!$B142&amp;'Table 2.1b_percent'!$C142,UtilityList!$A$4:$A$251&amp;UtilityList!$B$4:$B$251&amp;UtilityList!$C$4:$C$251,0))</f>
        <v>0</v>
      </c>
      <c r="L142" s="627" t="str">
        <f t="array" ref="L142">INDEX(UtilityList!I$4:I$251,MATCH('Table 2.1b_percent'!$A142&amp;'Table 2.1b_percent'!$B142&amp;'Table 2.1b_percent'!$C142,UtilityList!$A$4:$A$251&amp;UtilityList!$B$4:$B$251&amp;UtilityList!$C$4:$C$251,0))</f>
        <v>HEA</v>
      </c>
      <c r="M142" s="452" t="str">
        <f t="array" ref="M142">INDEX(UtilityList!J$4:J$251,MATCH('Table 2.1b_percent'!$A142&amp;'Table 2.1b_percent'!$B142&amp;'Table 2.1b_percent'!$C142,UtilityList!$A$4:$A$251&amp;UtilityList!$B$4:$B$251&amp;UtilityList!$C$4:$C$251,0))</f>
        <v>Railbelt</v>
      </c>
      <c r="N142" s="452" t="str">
        <f t="array" ref="N142">INDEX(UtilityList!K$4:K$251,MATCH('Table 2.1b_percent'!$A142&amp;'Table 2.1b_percent'!$B142&amp;'Table 2.1b_percent'!$C142,UtilityList!$A$4:$A$251&amp;UtilityList!$B$4:$B$251&amp;UtilityList!$C$4:$C$251,0))</f>
        <v>Kenai Peninsula</v>
      </c>
      <c r="O142" s="452" t="str">
        <f t="array" ref="O142">INDEX(UtilityList!L$4:L$251,MATCH('Table 2.1b_percent'!$A142&amp;'Table 2.1b_percent'!$B142&amp;'Table 2.1b_percent'!$C142,UtilityList!$A$4:$A$251&amp;UtilityList!$B$4:$B$251&amp;UtilityList!$C$4:$C$251,0))</f>
        <v>Cook Inlet</v>
      </c>
      <c r="P142" s="452" t="str">
        <f t="array" ref="P142">INDEX(UtilityList!M$4:M$251,MATCH('Table 2.1b_percent'!$A142&amp;'Table 2.1b_percent'!$B142&amp;'Table 2.1b_percent'!$C142,UtilityList!$A$4:$A$251&amp;UtilityList!$B$4:$B$251&amp;UtilityList!$C$4:$C$251,0))</f>
        <v>SC</v>
      </c>
    </row>
    <row r="143" spans="1:16" s="344" customFormat="1" x14ac:dyDescent="0.25">
      <c r="A143" s="619" t="s">
        <v>193</v>
      </c>
      <c r="B143" s="361" t="s">
        <v>195</v>
      </c>
      <c r="C143" s="350"/>
      <c r="D143" s="625">
        <v>1</v>
      </c>
      <c r="E143" s="626">
        <v>0</v>
      </c>
      <c r="F143" s="626">
        <v>1</v>
      </c>
      <c r="G143" s="626">
        <v>0</v>
      </c>
      <c r="H143" s="626">
        <v>0</v>
      </c>
      <c r="I143" s="361" t="s">
        <v>648</v>
      </c>
      <c r="J143" s="622" t="str">
        <f t="array" ref="J143">INDEX(UtilityList!H$4:H$251,MATCH('Table 2.1b_percent'!$A143&amp;'Table 2.1b_percent'!$B143&amp;'Table 2.1b_percent'!$C143,UtilityList!$A$4:$A$251&amp;UtilityList!$B$4:$B$251&amp;UtilityList!$C$4:$C$251,0))</f>
        <v>PCE Ineligible</v>
      </c>
      <c r="K143" s="709">
        <f t="array" ref="K143">INDEX(UtilityList!Q$4:Q$251,MATCH('Table 2.1b_percent'!$A143&amp;'Table 2.1b_percent'!$B143&amp;'Table 2.1b_percent'!$C143,UtilityList!$A$4:$A$251&amp;UtilityList!$B$4:$B$251&amp;UtilityList!$C$4:$C$251,0))</f>
        <v>0</v>
      </c>
      <c r="L143" s="627" t="str">
        <f t="array" ref="L143">INDEX(UtilityList!I$4:I$251,MATCH('Table 2.1b_percent'!$A143&amp;'Table 2.1b_percent'!$B143&amp;'Table 2.1b_percent'!$C143,UtilityList!$A$4:$A$251&amp;UtilityList!$B$4:$B$251&amp;UtilityList!$C$4:$C$251,0))</f>
        <v>HEA</v>
      </c>
      <c r="M143" s="452" t="str">
        <f t="array" ref="M143">INDEX(UtilityList!J$4:J$251,MATCH('Table 2.1b_percent'!$A143&amp;'Table 2.1b_percent'!$B143&amp;'Table 2.1b_percent'!$C143,UtilityList!$A$4:$A$251&amp;UtilityList!$B$4:$B$251&amp;UtilityList!$C$4:$C$251,0))</f>
        <v>Railbelt</v>
      </c>
      <c r="N143" s="452" t="str">
        <f t="array" ref="N143">INDEX(UtilityList!K$4:K$251,MATCH('Table 2.1b_percent'!$A143&amp;'Table 2.1b_percent'!$B143&amp;'Table 2.1b_percent'!$C143,UtilityList!$A$4:$A$251&amp;UtilityList!$B$4:$B$251&amp;UtilityList!$C$4:$C$251,0))</f>
        <v>Kenai Peninsula</v>
      </c>
      <c r="O143" s="452" t="str">
        <f t="array" ref="O143">INDEX(UtilityList!L$4:L$251,MATCH('Table 2.1b_percent'!$A143&amp;'Table 2.1b_percent'!$B143&amp;'Table 2.1b_percent'!$C143,UtilityList!$A$4:$A$251&amp;UtilityList!$B$4:$B$251&amp;UtilityList!$C$4:$C$251,0))</f>
        <v>Cook Inlet</v>
      </c>
      <c r="P143" s="452" t="str">
        <f t="array" ref="P143">INDEX(UtilityList!M$4:M$251,MATCH('Table 2.1b_percent'!$A143&amp;'Table 2.1b_percent'!$B143&amp;'Table 2.1b_percent'!$C143,UtilityList!$A$4:$A$251&amp;UtilityList!$B$4:$B$251&amp;UtilityList!$C$4:$C$251,0))</f>
        <v>SC</v>
      </c>
    </row>
    <row r="144" spans="1:16" s="344" customFormat="1" ht="90" x14ac:dyDescent="0.25">
      <c r="A144" s="619" t="s">
        <v>193</v>
      </c>
      <c r="B144" s="361" t="s">
        <v>312</v>
      </c>
      <c r="C144" s="350"/>
      <c r="D144" s="625">
        <v>1</v>
      </c>
      <c r="E144" s="626">
        <v>0</v>
      </c>
      <c r="F144" s="626">
        <v>0</v>
      </c>
      <c r="G144" s="626">
        <v>1</v>
      </c>
      <c r="H144" s="626">
        <v>0</v>
      </c>
      <c r="I144" s="361" t="s">
        <v>648</v>
      </c>
      <c r="J144" s="622" t="str">
        <f t="array" ref="J144">INDEX(UtilityList!H$4:H$251,MATCH('Table 2.1b_percent'!$A144&amp;'Table 2.1b_percent'!$B144&amp;'Table 2.1b_percent'!$C144,UtilityList!$A$4:$A$251&amp;UtilityList!$B$4:$B$251&amp;UtilityList!$C$4:$C$251,0))</f>
        <v>PCE Ineligible</v>
      </c>
      <c r="K144" s="709" t="str">
        <f t="array" ref="K144">INDEX(UtilityList!Q$4:Q$251,MATCH('Table 2.1b_percent'!$A144&amp;'Table 2.1b_percent'!$B144&amp;'Table 2.1b_percent'!$C144,UtilityList!$A$4:$A$251&amp;UtilityList!$B$4:$B$251&amp;UtilityList!$C$4:$C$251,0))</f>
        <v>Generation from Bradley Lake is shared among Chugach, AML&amp;P, HEA, MEA, Seward Electric and GVEA</v>
      </c>
      <c r="L144" s="627" t="str">
        <f t="array" ref="L144">INDEX(UtilityList!I$4:I$251,MATCH('Table 2.1b_percent'!$A144&amp;'Table 2.1b_percent'!$B144&amp;'Table 2.1b_percent'!$C144,UtilityList!$A$4:$A$251&amp;UtilityList!$B$4:$B$251&amp;UtilityList!$C$4:$C$251,0))</f>
        <v>HEA</v>
      </c>
      <c r="M144" s="452" t="str">
        <f t="array" ref="M144">INDEX(UtilityList!J$4:J$251,MATCH('Table 2.1b_percent'!$A144&amp;'Table 2.1b_percent'!$B144&amp;'Table 2.1b_percent'!$C144,UtilityList!$A$4:$A$251&amp;UtilityList!$B$4:$B$251&amp;UtilityList!$C$4:$C$251,0))</f>
        <v>Railbelt</v>
      </c>
      <c r="N144" s="452" t="str">
        <f t="array" ref="N144">INDEX(UtilityList!K$4:K$251,MATCH('Table 2.1b_percent'!$A144&amp;'Table 2.1b_percent'!$B144&amp;'Table 2.1b_percent'!$C144,UtilityList!$A$4:$A$251&amp;UtilityList!$B$4:$B$251&amp;UtilityList!$C$4:$C$251,0))</f>
        <v>Anchorage</v>
      </c>
      <c r="O144" s="452" t="str">
        <f t="array" ref="O144">INDEX(UtilityList!L$4:L$251,MATCH('Table 2.1b_percent'!$A144&amp;'Table 2.1b_percent'!$B144&amp;'Table 2.1b_percent'!$C144,UtilityList!$A$4:$A$251&amp;UtilityList!$B$4:$B$251&amp;UtilityList!$C$4:$C$251,0))</f>
        <v>Cook Inlet</v>
      </c>
      <c r="P144" s="452" t="str">
        <f t="array" ref="P144">INDEX(UtilityList!M$4:M$251,MATCH('Table 2.1b_percent'!$A144&amp;'Table 2.1b_percent'!$B144&amp;'Table 2.1b_percent'!$C144,UtilityList!$A$4:$A$251&amp;UtilityList!$B$4:$B$251&amp;UtilityList!$C$4:$C$251,0))</f>
        <v>SC</v>
      </c>
    </row>
    <row r="145" spans="1:16" s="344" customFormat="1" ht="30" x14ac:dyDescent="0.25">
      <c r="A145" s="619" t="s">
        <v>196</v>
      </c>
      <c r="B145" s="361" t="s">
        <v>197</v>
      </c>
      <c r="C145" s="350" t="s">
        <v>197</v>
      </c>
      <c r="D145" s="625">
        <v>1</v>
      </c>
      <c r="E145" s="626">
        <v>0</v>
      </c>
      <c r="F145" s="626">
        <v>1</v>
      </c>
      <c r="G145" s="626">
        <v>0</v>
      </c>
      <c r="H145" s="626">
        <v>0</v>
      </c>
      <c r="I145" s="361" t="s">
        <v>718</v>
      </c>
      <c r="J145" s="622" t="str">
        <f t="array" ref="J145">INDEX(UtilityList!H$4:H$251,MATCH('Table 2.1b_percent'!$A145&amp;'Table 2.1b_percent'!$B145&amp;'Table 2.1b_percent'!$C145,UtilityList!$A$4:$A$251&amp;UtilityList!$B$4:$B$251&amp;UtilityList!$C$4:$C$251,0))</f>
        <v>PCE Eligible Active</v>
      </c>
      <c r="K145" s="709">
        <f t="array" ref="K145">INDEX(UtilityList!Q$4:Q$251,MATCH('Table 2.1b_percent'!$A145&amp;'Table 2.1b_percent'!$B145&amp;'Table 2.1b_percent'!$C145,UtilityList!$A$4:$A$251&amp;UtilityList!$B$4:$B$251&amp;UtilityList!$C$4:$C$251,0))</f>
        <v>0</v>
      </c>
      <c r="L145" s="627" t="str">
        <f t="array" ref="L145">INDEX(UtilityList!I$4:I$251,MATCH('Table 2.1b_percent'!$A145&amp;'Table 2.1b_percent'!$B145&amp;'Table 2.1b_percent'!$C145,UtilityList!$A$4:$A$251&amp;UtilityList!$B$4:$B$251&amp;UtilityList!$C$4:$C$251,0))</f>
        <v>HUGHPL</v>
      </c>
      <c r="M145" s="452" t="str">
        <f t="array" ref="M145">INDEX(UtilityList!J$4:J$251,MATCH('Table 2.1b_percent'!$A145&amp;'Table 2.1b_percent'!$B145&amp;'Table 2.1b_percent'!$C145,UtilityList!$A$4:$A$251&amp;UtilityList!$B$4:$B$251&amp;UtilityList!$C$4:$C$251,0))</f>
        <v>Yukon-Koyukuk/Upper Tanana</v>
      </c>
      <c r="N145" s="452" t="str">
        <f t="array" ref="N145">INDEX(UtilityList!K$4:K$251,MATCH('Table 2.1b_percent'!$A145&amp;'Table 2.1b_percent'!$B145&amp;'Table 2.1b_percent'!$C145,UtilityList!$A$4:$A$251&amp;UtilityList!$B$4:$B$251&amp;UtilityList!$C$4:$C$251,0))</f>
        <v>Yukon-Koyukuk (CA)</v>
      </c>
      <c r="O145" s="452" t="str">
        <f t="array" ref="O145">INDEX(UtilityList!L$4:L$251,MATCH('Table 2.1b_percent'!$A145&amp;'Table 2.1b_percent'!$B145&amp;'Table 2.1b_percent'!$C145,UtilityList!$A$4:$A$251&amp;UtilityList!$B$4:$B$251&amp;UtilityList!$C$4:$C$251,0))</f>
        <v>Doyon</v>
      </c>
      <c r="P145" s="452" t="str">
        <f t="array" ref="P145">INDEX(UtilityList!M$4:M$251,MATCH('Table 2.1b_percent'!$A145&amp;'Table 2.1b_percent'!$B145&amp;'Table 2.1b_percent'!$C145,UtilityList!$A$4:$A$251&amp;UtilityList!$B$4:$B$251&amp;UtilityList!$C$4:$C$251,0))</f>
        <v>YU</v>
      </c>
    </row>
    <row r="146" spans="1:16" s="344" customFormat="1" ht="30" x14ac:dyDescent="0.25">
      <c r="A146" s="619" t="s">
        <v>198</v>
      </c>
      <c r="B146" s="361" t="s">
        <v>199</v>
      </c>
      <c r="C146" s="350" t="s">
        <v>199</v>
      </c>
      <c r="D146" s="625">
        <v>1</v>
      </c>
      <c r="E146" s="626">
        <v>0</v>
      </c>
      <c r="F146" s="626">
        <v>1</v>
      </c>
      <c r="G146" s="626">
        <v>0</v>
      </c>
      <c r="H146" s="626">
        <v>0</v>
      </c>
      <c r="I146" s="361" t="s">
        <v>718</v>
      </c>
      <c r="J146" s="622" t="str">
        <f t="array" ref="J146">INDEX(UtilityList!H$4:H$251,MATCH('Table 2.1b_percent'!$A146&amp;'Table 2.1b_percent'!$B146&amp;'Table 2.1b_percent'!$C146,UtilityList!$A$4:$A$251&amp;UtilityList!$B$4:$B$251&amp;UtilityList!$C$4:$C$251,0))</f>
        <v>PCE Eligible Active</v>
      </c>
      <c r="K146" s="709">
        <f t="array" ref="K146">INDEX(UtilityList!Q$4:Q$251,MATCH('Table 2.1b_percent'!$A146&amp;'Table 2.1b_percent'!$B146&amp;'Table 2.1b_percent'!$C146,UtilityList!$A$4:$A$251&amp;UtilityList!$B$4:$B$251&amp;UtilityList!$C$4:$C$251,0))</f>
        <v>0</v>
      </c>
      <c r="L146" s="627" t="str">
        <f t="array" ref="L146">INDEX(UtilityList!I$4:I$251,MATCH('Table 2.1b_percent'!$A146&amp;'Table 2.1b_percent'!$B146&amp;'Table 2.1b_percent'!$C146,UtilityList!$A$4:$A$251&amp;UtilityList!$B$4:$B$251&amp;UtilityList!$C$4:$C$251,0))</f>
        <v>IGIUEC</v>
      </c>
      <c r="M146" s="452" t="str">
        <f t="array" ref="M146">INDEX(UtilityList!J$4:J$251,MATCH('Table 2.1b_percent'!$A146&amp;'Table 2.1b_percent'!$B146&amp;'Table 2.1b_percent'!$C146,UtilityList!$A$4:$A$251&amp;UtilityList!$B$4:$B$251&amp;UtilityList!$C$4:$C$251,0))</f>
        <v>Bristol Bay</v>
      </c>
      <c r="N146" s="452" t="str">
        <f t="array" ref="N146">INDEX(UtilityList!K$4:K$251,MATCH('Table 2.1b_percent'!$A146&amp;'Table 2.1b_percent'!$B146&amp;'Table 2.1b_percent'!$C146,UtilityList!$A$4:$A$251&amp;UtilityList!$B$4:$B$251&amp;UtilityList!$C$4:$C$251,0))</f>
        <v>Lake and Peninsula</v>
      </c>
      <c r="O146" s="452" t="str">
        <f t="array" ref="O146">INDEX(UtilityList!L$4:L$251,MATCH('Table 2.1b_percent'!$A146&amp;'Table 2.1b_percent'!$B146&amp;'Table 2.1b_percent'!$C146,UtilityList!$A$4:$A$251&amp;UtilityList!$B$4:$B$251&amp;UtilityList!$C$4:$C$251,0))</f>
        <v>Bristol Bay</v>
      </c>
      <c r="P146" s="452" t="str">
        <f t="array" ref="P146">INDEX(UtilityList!M$4:M$251,MATCH('Table 2.1b_percent'!$A146&amp;'Table 2.1b_percent'!$B146&amp;'Table 2.1b_percent'!$C146,UtilityList!$A$4:$A$251&amp;UtilityList!$B$4:$B$251&amp;UtilityList!$C$4:$C$251,0))</f>
        <v>SW</v>
      </c>
    </row>
    <row r="147" spans="1:16" s="344" customFormat="1" ht="135" x14ac:dyDescent="0.25">
      <c r="A147" s="619" t="s">
        <v>200</v>
      </c>
      <c r="B147" s="361" t="s">
        <v>494</v>
      </c>
      <c r="C147" s="619" t="s">
        <v>658</v>
      </c>
      <c r="D147" s="625">
        <v>1</v>
      </c>
      <c r="E147" s="626">
        <v>0</v>
      </c>
      <c r="F147" s="626">
        <v>1</v>
      </c>
      <c r="G147" s="626">
        <v>0</v>
      </c>
      <c r="H147" s="626">
        <v>0</v>
      </c>
      <c r="I147" s="361" t="s">
        <v>648</v>
      </c>
      <c r="J147" s="622" t="str">
        <f t="array" ref="J147">INDEX(UtilityList!H$4:H$251,MATCH('Table 2.1b_percent'!$A147&amp;'Table 2.1b_percent'!$B147&amp;'Table 2.1b_percent'!$C147,UtilityList!$A$4:$A$251&amp;UtilityList!$B$4:$B$251&amp;UtilityList!$C$4:$C$251,0))</f>
        <v>PCE Eligible Active</v>
      </c>
      <c r="K147" s="709" t="str">
        <f t="array" ref="K147">INDEX(UtilityList!Q$4:Q$251,MATCH('Table 2.1b_percent'!$A147&amp;'Table 2.1b_percent'!$B147&amp;'Table 2.1b_percent'!$C147,UtilityList!$A$4:$A$251&amp;UtilityList!$B$4:$B$251&amp;UtilityList!$C$4:$C$251,0))</f>
        <v>Power produced at the Tazimina hydroelectric project and the Newhalen plant is shared by Iliamna, Newhalen and Nondalton. Newhalen's information is included in Nondalton's data.</v>
      </c>
      <c r="L147" s="627" t="str">
        <f t="array" ref="L147">INDEX(UtilityList!I$4:I$251,MATCH('Table 2.1b_percent'!$A147&amp;'Table 2.1b_percent'!$B147&amp;'Table 2.1b_percent'!$C147,UtilityList!$A$4:$A$251&amp;UtilityList!$B$4:$B$251&amp;UtilityList!$C$4:$C$251,0))</f>
        <v>INN</v>
      </c>
      <c r="M147" s="452" t="str">
        <f t="array" ref="M147">INDEX(UtilityList!J$4:J$251,MATCH('Table 2.1b_percent'!$A147&amp;'Table 2.1b_percent'!$B147&amp;'Table 2.1b_percent'!$C147,UtilityList!$A$4:$A$251&amp;UtilityList!$B$4:$B$251&amp;UtilityList!$C$4:$C$251,0))</f>
        <v>Bristol Bay</v>
      </c>
      <c r="N147" s="452" t="str">
        <f t="array" ref="N147">INDEX(UtilityList!K$4:K$251,MATCH('Table 2.1b_percent'!$A147&amp;'Table 2.1b_percent'!$B147&amp;'Table 2.1b_percent'!$C147,UtilityList!$A$4:$A$251&amp;UtilityList!$B$4:$B$251&amp;UtilityList!$C$4:$C$251,0))</f>
        <v>Lake and Peninsula</v>
      </c>
      <c r="O147" s="452" t="str">
        <f t="array" ref="O147">INDEX(UtilityList!L$4:L$251,MATCH('Table 2.1b_percent'!$A147&amp;'Table 2.1b_percent'!$B147&amp;'Table 2.1b_percent'!$C147,UtilityList!$A$4:$A$251&amp;UtilityList!$B$4:$B$251&amp;UtilityList!$C$4:$C$251,0))</f>
        <v>Bristol Bay</v>
      </c>
      <c r="P147" s="452" t="str">
        <f t="array" ref="P147">INDEX(UtilityList!M$4:M$251,MATCH('Table 2.1b_percent'!$A147&amp;'Table 2.1b_percent'!$B147&amp;'Table 2.1b_percent'!$C147,UtilityList!$A$4:$A$251&amp;UtilityList!$B$4:$B$251&amp;UtilityList!$C$4:$C$251,0))</f>
        <v>SW</v>
      </c>
    </row>
    <row r="148" spans="1:16" s="344" customFormat="1" ht="135" x14ac:dyDescent="0.25">
      <c r="A148" s="619" t="s">
        <v>200</v>
      </c>
      <c r="B148" s="339" t="s">
        <v>495</v>
      </c>
      <c r="C148" s="619" t="s">
        <v>658</v>
      </c>
      <c r="D148" s="625">
        <v>1</v>
      </c>
      <c r="E148" s="626">
        <v>0</v>
      </c>
      <c r="F148" s="626">
        <v>0</v>
      </c>
      <c r="G148" s="626">
        <v>1</v>
      </c>
      <c r="H148" s="626">
        <v>0</v>
      </c>
      <c r="I148" s="361" t="s">
        <v>648</v>
      </c>
      <c r="J148" s="622" t="str">
        <f t="array" ref="J148">INDEX(UtilityList!H$4:H$251,MATCH('Table 2.1b_percent'!$A148&amp;'Table 2.1b_percent'!$B148&amp;'Table 2.1b_percent'!$C148,UtilityList!$A$4:$A$251&amp;UtilityList!$B$4:$B$251&amp;UtilityList!$C$4:$C$251,0))</f>
        <v>PCE Eligible Active</v>
      </c>
      <c r="K148" s="709" t="str">
        <f t="array" ref="K148">INDEX(UtilityList!Q$4:Q$251,MATCH('Table 2.1b_percent'!$A148&amp;'Table 2.1b_percent'!$B148&amp;'Table 2.1b_percent'!$C148,UtilityList!$A$4:$A$251&amp;UtilityList!$B$4:$B$251&amp;UtilityList!$C$4:$C$251,0))</f>
        <v>Power produced at the Tazimina hydroelectric project and the Newhalen plant is shared by Iliamna, Newhalen and Nondalton. Iliamna's information is included in Nondalton's data.</v>
      </c>
      <c r="L148" s="627" t="str">
        <f t="array" ref="L148">INDEX(UtilityList!I$4:I$251,MATCH('Table 2.1b_percent'!$A148&amp;'Table 2.1b_percent'!$B148&amp;'Table 2.1b_percent'!$C148,UtilityList!$A$4:$A$251&amp;UtilityList!$B$4:$B$251&amp;UtilityList!$C$4:$C$251,0))</f>
        <v>INN</v>
      </c>
      <c r="M148" s="452" t="str">
        <f t="array" ref="M148">INDEX(UtilityList!J$4:J$251,MATCH('Table 2.1b_percent'!$A148&amp;'Table 2.1b_percent'!$B148&amp;'Table 2.1b_percent'!$C148,UtilityList!$A$4:$A$251&amp;UtilityList!$B$4:$B$251&amp;UtilityList!$C$4:$C$251,0))</f>
        <v>Bristol Bay</v>
      </c>
      <c r="N148" s="452" t="str">
        <f t="array" ref="N148">INDEX(UtilityList!K$4:K$251,MATCH('Table 2.1b_percent'!$A148&amp;'Table 2.1b_percent'!$B148&amp;'Table 2.1b_percent'!$C148,UtilityList!$A$4:$A$251&amp;UtilityList!$B$4:$B$251&amp;UtilityList!$C$4:$C$251,0))</f>
        <v>Lake and Peninsula</v>
      </c>
      <c r="O148" s="452" t="str">
        <f t="array" ref="O148">INDEX(UtilityList!L$4:L$251,MATCH('Table 2.1b_percent'!$A148&amp;'Table 2.1b_percent'!$B148&amp;'Table 2.1b_percent'!$C148,UtilityList!$A$4:$A$251&amp;UtilityList!$B$4:$B$251&amp;UtilityList!$C$4:$C$251,0))</f>
        <v>Bristol Bay</v>
      </c>
      <c r="P148" s="452" t="str">
        <f t="array" ref="P148">INDEX(UtilityList!M$4:M$251,MATCH('Table 2.1b_percent'!$A148&amp;'Table 2.1b_percent'!$B148&amp;'Table 2.1b_percent'!$C148,UtilityList!$A$4:$A$251&amp;UtilityList!$B$4:$B$251&amp;UtilityList!$C$4:$C$251,0))</f>
        <v>SW</v>
      </c>
    </row>
    <row r="149" spans="1:16" s="344" customFormat="1" x14ac:dyDescent="0.25">
      <c r="A149" s="619" t="s">
        <v>201</v>
      </c>
      <c r="B149" s="361" t="s">
        <v>202</v>
      </c>
      <c r="C149" s="350" t="s">
        <v>202</v>
      </c>
      <c r="D149" s="625">
        <v>1</v>
      </c>
      <c r="E149" s="626">
        <v>0</v>
      </c>
      <c r="F149" s="626">
        <v>1</v>
      </c>
      <c r="G149" s="626">
        <v>0</v>
      </c>
      <c r="H149" s="626">
        <v>0</v>
      </c>
      <c r="I149" s="361" t="s">
        <v>648</v>
      </c>
      <c r="J149" s="622" t="str">
        <f t="array" ref="J149">INDEX(UtilityList!H$4:H$251,MATCH('Table 2.1b_percent'!$A149&amp;'Table 2.1b_percent'!$B149&amp;'Table 2.1b_percent'!$C149,UtilityList!$A$4:$A$251&amp;UtilityList!$B$4:$B$251&amp;UtilityList!$C$4:$C$251,0))</f>
        <v>PCE Eligible Active</v>
      </c>
      <c r="K149" s="709">
        <f t="array" ref="K149">INDEX(UtilityList!Q$4:Q$251,MATCH('Table 2.1b_percent'!$A149&amp;'Table 2.1b_percent'!$B149&amp;'Table 2.1b_percent'!$C149,UtilityList!$A$4:$A$251&amp;UtilityList!$B$4:$B$251&amp;UtilityList!$C$4:$C$251,0))</f>
        <v>0</v>
      </c>
      <c r="L149" s="627" t="str">
        <f t="array" ref="L149">INDEX(UtilityList!I$4:I$251,MATCH('Table 2.1b_percent'!$A149&amp;'Table 2.1b_percent'!$B149&amp;'Table 2.1b_percent'!$C149,UtilityList!$A$4:$A$251&amp;UtilityList!$B$4:$B$251&amp;UtilityList!$C$4:$C$251,0))</f>
        <v>INSIPEC</v>
      </c>
      <c r="M149" s="452" t="str">
        <f t="array" ref="M149">INDEX(UtilityList!J$4:J$251,MATCH('Table 2.1b_percent'!$A149&amp;'Table 2.1b_percent'!$B149&amp;'Table 2.1b_percent'!$C149,UtilityList!$A$4:$A$251&amp;UtilityList!$B$4:$B$251&amp;UtilityList!$C$4:$C$251,0))</f>
        <v>Southeast</v>
      </c>
      <c r="N149" s="452" t="str">
        <f t="array" ref="N149">INDEX(UtilityList!K$4:K$251,MATCH('Table 2.1b_percent'!$A149&amp;'Table 2.1b_percent'!$B149&amp;'Table 2.1b_percent'!$C149,UtilityList!$A$4:$A$251&amp;UtilityList!$B$4:$B$251&amp;UtilityList!$C$4:$C$251,0))</f>
        <v>Hoonah-Angoon (CA)</v>
      </c>
      <c r="O149" s="452" t="str">
        <f t="array" ref="O149">INDEX(UtilityList!L$4:L$251,MATCH('Table 2.1b_percent'!$A149&amp;'Table 2.1b_percent'!$B149&amp;'Table 2.1b_percent'!$C149,UtilityList!$A$4:$A$251&amp;UtilityList!$B$4:$B$251&amp;UtilityList!$C$4:$C$251,0))</f>
        <v>Sealaska</v>
      </c>
      <c r="P149" s="452" t="str">
        <f t="array" ref="P149">INDEX(UtilityList!M$4:M$251,MATCH('Table 2.1b_percent'!$A149&amp;'Table 2.1b_percent'!$B149&amp;'Table 2.1b_percent'!$C149,UtilityList!$A$4:$A$251&amp;UtilityList!$B$4:$B$251&amp;UtilityList!$C$4:$C$251,0))</f>
        <v>SE</v>
      </c>
    </row>
    <row r="150" spans="1:16" s="344" customFormat="1" ht="60" x14ac:dyDescent="0.25">
      <c r="A150" s="619" t="s">
        <v>201</v>
      </c>
      <c r="B150" s="361" t="s">
        <v>203</v>
      </c>
      <c r="C150" s="350" t="s">
        <v>203</v>
      </c>
      <c r="D150" s="625">
        <v>1</v>
      </c>
      <c r="E150" s="626">
        <v>0</v>
      </c>
      <c r="F150" s="626">
        <v>1</v>
      </c>
      <c r="G150" s="626">
        <v>0</v>
      </c>
      <c r="H150" s="626">
        <v>0</v>
      </c>
      <c r="I150" s="361" t="s">
        <v>648</v>
      </c>
      <c r="J150" s="622" t="str">
        <f t="array" ref="J150">INDEX(UtilityList!H$4:H$251,MATCH('Table 2.1b_percent'!$A150&amp;'Table 2.1b_percent'!$B150&amp;'Table 2.1b_percent'!$C150,UtilityList!$A$4:$A$251&amp;UtilityList!$B$4:$B$251&amp;UtilityList!$C$4:$C$251,0))</f>
        <v>PCE Eligible Active</v>
      </c>
      <c r="K150" s="709" t="str">
        <f t="array" ref="K150">INDEX(UtilityList!Q$4:Q$251,MATCH('Table 2.1b_percent'!$A150&amp;'Table 2.1b_percent'!$B150&amp;'Table 2.1b_percent'!$C150,UtilityList!$A$4:$A$251&amp;UtilityList!$B$4:$B$251&amp;UtilityList!$C$4:$C$251,0))</f>
        <v>Provides power to Klukwan via intertie. Power is purchased from AP&amp;T.</v>
      </c>
      <c r="L150" s="627" t="str">
        <f t="array" ref="L150">INDEX(UtilityList!I$4:I$251,MATCH('Table 2.1b_percent'!$A150&amp;'Table 2.1b_percent'!$B150&amp;'Table 2.1b_percent'!$C150,UtilityList!$A$4:$A$251&amp;UtilityList!$B$4:$B$251&amp;UtilityList!$C$4:$C$251,0))</f>
        <v>INSIPEC</v>
      </c>
      <c r="M150" s="452" t="str">
        <f t="array" ref="M150">INDEX(UtilityList!J$4:J$251,MATCH('Table 2.1b_percent'!$A150&amp;'Table 2.1b_percent'!$B150&amp;'Table 2.1b_percent'!$C150,UtilityList!$A$4:$A$251&amp;UtilityList!$B$4:$B$251&amp;UtilityList!$C$4:$C$251,0))</f>
        <v>Southeast</v>
      </c>
      <c r="N150" s="452" t="str">
        <f t="array" ref="N150">INDEX(UtilityList!K$4:K$251,MATCH('Table 2.1b_percent'!$A150&amp;'Table 2.1b_percent'!$B150&amp;'Table 2.1b_percent'!$C150,UtilityList!$A$4:$A$251&amp;UtilityList!$B$4:$B$251&amp;UtilityList!$C$4:$C$251,0))</f>
        <v>Haines</v>
      </c>
      <c r="O150" s="452" t="str">
        <f t="array" ref="O150">INDEX(UtilityList!L$4:L$251,MATCH('Table 2.1b_percent'!$A150&amp;'Table 2.1b_percent'!$B150&amp;'Table 2.1b_percent'!$C150,UtilityList!$A$4:$A$251&amp;UtilityList!$B$4:$B$251&amp;UtilityList!$C$4:$C$251,0))</f>
        <v>Sealaska</v>
      </c>
      <c r="P150" s="452" t="str">
        <f t="array" ref="P150">INDEX(UtilityList!M$4:M$251,MATCH('Table 2.1b_percent'!$A150&amp;'Table 2.1b_percent'!$B150&amp;'Table 2.1b_percent'!$C150,UtilityList!$A$4:$A$251&amp;UtilityList!$B$4:$B$251&amp;UtilityList!$C$4:$C$251,0))</f>
        <v>SE</v>
      </c>
    </row>
    <row r="151" spans="1:16" s="344" customFormat="1" ht="210" x14ac:dyDescent="0.25">
      <c r="A151" s="619" t="s">
        <v>201</v>
      </c>
      <c r="B151" s="339" t="s">
        <v>319</v>
      </c>
      <c r="C151" s="619" t="s">
        <v>651</v>
      </c>
      <c r="D151" s="625">
        <v>1</v>
      </c>
      <c r="E151" s="626">
        <v>0</v>
      </c>
      <c r="F151" s="626">
        <v>0</v>
      </c>
      <c r="G151" s="626">
        <v>1</v>
      </c>
      <c r="H151" s="626">
        <v>0</v>
      </c>
      <c r="I151" s="361" t="s">
        <v>652</v>
      </c>
      <c r="J151" s="622" t="str">
        <f t="array" ref="J151">INDEX(UtilityList!H$4:H$251,MATCH('Table 2.1b_percent'!$A151&amp;'Table 2.1b_percent'!$B151&amp;'Table 2.1b_percent'!$C151,UtilityList!$A$4:$A$251&amp;UtilityList!$B$4:$B$251&amp;UtilityList!$C$4:$C$251,0))</f>
        <v>PCE Ineligible</v>
      </c>
      <c r="K151" s="709" t="str">
        <f t="array" ref="K151">INDEX(UtilityList!Q$4:Q$251,MATCH('Table 2.1b_percent'!$A151&amp;'Table 2.1b_percent'!$B151&amp;'Table 2.1b_percent'!$C151,UtilityList!$A$4:$A$251&amp;UtilityList!$B$4:$B$251&amp;UtilityList!$C$4:$C$251,0))</f>
        <v>Southern Energy Inc (SEI) owned this facility for most of 2011. IPEC bought the 10 Mile plant in October, 2011. Prior to t he purchase SEI wholesale all power to IPEC. All IPEC comminities have a postage stamp rate. Part of the Alaska Power Company's grid in the Upper Lynn Canal service area.</v>
      </c>
      <c r="L151" s="627">
        <f t="array" ref="L151">INDEX(UtilityList!I$4:I$251,MATCH('Table 2.1b_percent'!$A151&amp;'Table 2.1b_percent'!$B151&amp;'Table 2.1b_percent'!$C151,UtilityList!$A$4:$A$251&amp;UtilityList!$B$4:$B$251&amp;UtilityList!$C$4:$C$251,0))</f>
        <v>0</v>
      </c>
      <c r="M151" s="452" t="str">
        <f t="array" ref="M151">INDEX(UtilityList!J$4:J$251,MATCH('Table 2.1b_percent'!$A151&amp;'Table 2.1b_percent'!$B151&amp;'Table 2.1b_percent'!$C151,UtilityList!$A$4:$A$251&amp;UtilityList!$B$4:$B$251&amp;UtilityList!$C$4:$C$251,0))</f>
        <v>Southeast</v>
      </c>
      <c r="N151" s="452" t="str">
        <f t="array" ref="N151">INDEX(UtilityList!K$4:K$251,MATCH('Table 2.1b_percent'!$A151&amp;'Table 2.1b_percent'!$B151&amp;'Table 2.1b_percent'!$C151,UtilityList!$A$4:$A$251&amp;UtilityList!$B$4:$B$251&amp;UtilityList!$C$4:$C$251,0))</f>
        <v>Haines</v>
      </c>
      <c r="O151" s="452" t="str">
        <f t="array" ref="O151">INDEX(UtilityList!L$4:L$251,MATCH('Table 2.1b_percent'!$A151&amp;'Table 2.1b_percent'!$B151&amp;'Table 2.1b_percent'!$C151,UtilityList!$A$4:$A$251&amp;UtilityList!$B$4:$B$251&amp;UtilityList!$C$4:$C$251,0))</f>
        <v>Sealaska</v>
      </c>
      <c r="P151" s="452" t="str">
        <f t="array" ref="P151">INDEX(UtilityList!M$4:M$251,MATCH('Table 2.1b_percent'!$A151&amp;'Table 2.1b_percent'!$B151&amp;'Table 2.1b_percent'!$C151,UtilityList!$A$4:$A$251&amp;UtilityList!$B$4:$B$251&amp;UtilityList!$C$4:$C$251,0))</f>
        <v>SE</v>
      </c>
    </row>
    <row r="152" spans="1:16" s="344" customFormat="1" x14ac:dyDescent="0.25">
      <c r="A152" s="619" t="s">
        <v>201</v>
      </c>
      <c r="B152" s="361" t="s">
        <v>204</v>
      </c>
      <c r="C152" s="350" t="s">
        <v>204</v>
      </c>
      <c r="D152" s="625">
        <v>1</v>
      </c>
      <c r="E152" s="626">
        <v>0</v>
      </c>
      <c r="F152" s="626">
        <v>1</v>
      </c>
      <c r="G152" s="626">
        <v>0</v>
      </c>
      <c r="H152" s="626">
        <v>0</v>
      </c>
      <c r="I152" s="361" t="s">
        <v>648</v>
      </c>
      <c r="J152" s="622" t="str">
        <f t="array" ref="J152">INDEX(UtilityList!H$4:H$251,MATCH('Table 2.1b_percent'!$A152&amp;'Table 2.1b_percent'!$B152&amp;'Table 2.1b_percent'!$C152,UtilityList!$A$4:$A$251&amp;UtilityList!$B$4:$B$251&amp;UtilityList!$C$4:$C$251,0))</f>
        <v>PCE Eligible Active</v>
      </c>
      <c r="K152" s="709">
        <f t="array" ref="K152">INDEX(UtilityList!Q$4:Q$251,MATCH('Table 2.1b_percent'!$A152&amp;'Table 2.1b_percent'!$B152&amp;'Table 2.1b_percent'!$C152,UtilityList!$A$4:$A$251&amp;UtilityList!$B$4:$B$251&amp;UtilityList!$C$4:$C$251,0))</f>
        <v>0</v>
      </c>
      <c r="L152" s="627" t="str">
        <f t="array" ref="L152">INDEX(UtilityList!I$4:I$251,MATCH('Table 2.1b_percent'!$A152&amp;'Table 2.1b_percent'!$B152&amp;'Table 2.1b_percent'!$C152,UtilityList!$A$4:$A$251&amp;UtilityList!$B$4:$B$251&amp;UtilityList!$C$4:$C$251,0))</f>
        <v>INSIPEC</v>
      </c>
      <c r="M152" s="452" t="str">
        <f t="array" ref="M152">INDEX(UtilityList!J$4:J$251,MATCH('Table 2.1b_percent'!$A152&amp;'Table 2.1b_percent'!$B152&amp;'Table 2.1b_percent'!$C152,UtilityList!$A$4:$A$251&amp;UtilityList!$B$4:$B$251&amp;UtilityList!$C$4:$C$251,0))</f>
        <v>Southeast</v>
      </c>
      <c r="N152" s="452" t="str">
        <f t="array" ref="N152">INDEX(UtilityList!K$4:K$251,MATCH('Table 2.1b_percent'!$A152&amp;'Table 2.1b_percent'!$B152&amp;'Table 2.1b_percent'!$C152,UtilityList!$A$4:$A$251&amp;UtilityList!$B$4:$B$251&amp;UtilityList!$C$4:$C$251,0))</f>
        <v>Hoonah-Angoon (CA)</v>
      </c>
      <c r="O152" s="452" t="str">
        <f t="array" ref="O152">INDEX(UtilityList!L$4:L$251,MATCH('Table 2.1b_percent'!$A152&amp;'Table 2.1b_percent'!$B152&amp;'Table 2.1b_percent'!$C152,UtilityList!$A$4:$A$251&amp;UtilityList!$B$4:$B$251&amp;UtilityList!$C$4:$C$251,0))</f>
        <v>Sealaska</v>
      </c>
      <c r="P152" s="452" t="str">
        <f t="array" ref="P152">INDEX(UtilityList!M$4:M$251,MATCH('Table 2.1b_percent'!$A152&amp;'Table 2.1b_percent'!$B152&amp;'Table 2.1b_percent'!$C152,UtilityList!$A$4:$A$251&amp;UtilityList!$B$4:$B$251&amp;UtilityList!$C$4:$C$251,0))</f>
        <v>SE</v>
      </c>
    </row>
    <row r="153" spans="1:16" s="344" customFormat="1" x14ac:dyDescent="0.25">
      <c r="A153" s="619" t="s">
        <v>201</v>
      </c>
      <c r="B153" s="361" t="s">
        <v>205</v>
      </c>
      <c r="C153" s="350" t="s">
        <v>205</v>
      </c>
      <c r="D153" s="625">
        <v>1</v>
      </c>
      <c r="E153" s="626">
        <v>0</v>
      </c>
      <c r="F153" s="626">
        <v>1</v>
      </c>
      <c r="G153" s="626">
        <v>0</v>
      </c>
      <c r="H153" s="626">
        <v>0</v>
      </c>
      <c r="I153" s="361" t="s">
        <v>648</v>
      </c>
      <c r="J153" s="622" t="str">
        <f t="array" ref="J153">INDEX(UtilityList!H$4:H$251,MATCH('Table 2.1b_percent'!$A153&amp;'Table 2.1b_percent'!$B153&amp;'Table 2.1b_percent'!$C153,UtilityList!$A$4:$A$251&amp;UtilityList!$B$4:$B$251&amp;UtilityList!$C$4:$C$251,0))</f>
        <v>PCE Eligible Active</v>
      </c>
      <c r="K153" s="709">
        <f t="array" ref="K153">INDEX(UtilityList!Q$4:Q$251,MATCH('Table 2.1b_percent'!$A153&amp;'Table 2.1b_percent'!$B153&amp;'Table 2.1b_percent'!$C153,UtilityList!$A$4:$A$251&amp;UtilityList!$B$4:$B$251&amp;UtilityList!$C$4:$C$251,0))</f>
        <v>0</v>
      </c>
      <c r="L153" s="627" t="str">
        <f t="array" ref="L153">INDEX(UtilityList!I$4:I$251,MATCH('Table 2.1b_percent'!$A153&amp;'Table 2.1b_percent'!$B153&amp;'Table 2.1b_percent'!$C153,UtilityList!$A$4:$A$251&amp;UtilityList!$B$4:$B$251&amp;UtilityList!$C$4:$C$251,0))</f>
        <v>INSIPEC</v>
      </c>
      <c r="M153" s="452" t="str">
        <f t="array" ref="M153">INDEX(UtilityList!J$4:J$251,MATCH('Table 2.1b_percent'!$A153&amp;'Table 2.1b_percent'!$B153&amp;'Table 2.1b_percent'!$C153,UtilityList!$A$4:$A$251&amp;UtilityList!$B$4:$B$251&amp;UtilityList!$C$4:$C$251,0))</f>
        <v>Southeast</v>
      </c>
      <c r="N153" s="452" t="str">
        <f t="array" ref="N153">INDEX(UtilityList!K$4:K$251,MATCH('Table 2.1b_percent'!$A153&amp;'Table 2.1b_percent'!$B153&amp;'Table 2.1b_percent'!$C153,UtilityList!$A$4:$A$251&amp;UtilityList!$B$4:$B$251&amp;UtilityList!$C$4:$C$251,0))</f>
        <v>Petersburg (CA)</v>
      </c>
      <c r="O153" s="452" t="str">
        <f t="array" ref="O153">INDEX(UtilityList!L$4:L$251,MATCH('Table 2.1b_percent'!$A153&amp;'Table 2.1b_percent'!$B153&amp;'Table 2.1b_percent'!$C153,UtilityList!$A$4:$A$251&amp;UtilityList!$B$4:$B$251&amp;UtilityList!$C$4:$C$251,0))</f>
        <v>Sealaska</v>
      </c>
      <c r="P153" s="452" t="str">
        <f t="array" ref="P153">INDEX(UtilityList!M$4:M$251,MATCH('Table 2.1b_percent'!$A153&amp;'Table 2.1b_percent'!$B153&amp;'Table 2.1b_percent'!$C153,UtilityList!$A$4:$A$251&amp;UtilityList!$B$4:$B$251&amp;UtilityList!$C$4:$C$251,0))</f>
        <v>SE</v>
      </c>
    </row>
    <row r="154" spans="1:16" s="344" customFormat="1" ht="30" x14ac:dyDescent="0.25">
      <c r="A154" s="619" t="s">
        <v>207</v>
      </c>
      <c r="B154" s="361" t="s">
        <v>208</v>
      </c>
      <c r="C154" s="350" t="s">
        <v>208</v>
      </c>
      <c r="D154" s="625">
        <v>1</v>
      </c>
      <c r="E154" s="626">
        <v>0</v>
      </c>
      <c r="F154" s="626">
        <v>1</v>
      </c>
      <c r="G154" s="626">
        <v>0</v>
      </c>
      <c r="H154" s="626">
        <v>0</v>
      </c>
      <c r="I154" s="361" t="s">
        <v>718</v>
      </c>
      <c r="J154" s="622" t="str">
        <f t="array" ref="J154">INDEX(UtilityList!H$4:H$251,MATCH('Table 2.1b_percent'!$A154&amp;'Table 2.1b_percent'!$B154&amp;'Table 2.1b_percent'!$C154,UtilityList!$A$4:$A$251&amp;UtilityList!$B$4:$B$251&amp;UtilityList!$C$4:$C$251,0))</f>
        <v>PCE Eligible Active</v>
      </c>
      <c r="K154" s="709">
        <f t="array" ref="K154">INDEX(UtilityList!Q$4:Q$251,MATCH('Table 2.1b_percent'!$A154&amp;'Table 2.1b_percent'!$B154&amp;'Table 2.1b_percent'!$C154,UtilityList!$A$4:$A$251&amp;UtilityList!$B$4:$B$251&amp;UtilityList!$C$4:$C$251,0))</f>
        <v>0</v>
      </c>
      <c r="L154" s="627" t="str">
        <f t="array" ref="L154">INDEX(UtilityList!I$4:I$251,MATCH('Table 2.1b_percent'!$A154&amp;'Table 2.1b_percent'!$B154&amp;'Table 2.1b_percent'!$C154,UtilityList!$A$4:$A$251&amp;UtilityList!$B$4:$B$251&amp;UtilityList!$C$4:$C$251,0))</f>
        <v>IPNAEC</v>
      </c>
      <c r="M154" s="452" t="str">
        <f t="array" ref="M154">INDEX(UtilityList!J$4:J$251,MATCH('Table 2.1b_percent'!$A154&amp;'Table 2.1b_percent'!$B154&amp;'Table 2.1b_percent'!$C154,UtilityList!$A$4:$A$251&amp;UtilityList!$B$4:$B$251&amp;UtilityList!$C$4:$C$251,0))</f>
        <v>Northwest Arctic</v>
      </c>
      <c r="N154" s="452" t="str">
        <f t="array" ref="N154">INDEX(UtilityList!K$4:K$251,MATCH('Table 2.1b_percent'!$A154&amp;'Table 2.1b_percent'!$B154&amp;'Table 2.1b_percent'!$C154,UtilityList!$A$4:$A$251&amp;UtilityList!$B$4:$B$251&amp;UtilityList!$C$4:$C$251,0))</f>
        <v>Northwest Arctic</v>
      </c>
      <c r="O154" s="452" t="str">
        <f t="array" ref="O154">INDEX(UtilityList!L$4:L$251,MATCH('Table 2.1b_percent'!$A154&amp;'Table 2.1b_percent'!$B154&amp;'Table 2.1b_percent'!$C154,UtilityList!$A$4:$A$251&amp;UtilityList!$B$4:$B$251&amp;UtilityList!$C$4:$C$251,0))</f>
        <v>NANA</v>
      </c>
      <c r="P154" s="452" t="str">
        <f t="array" ref="P154">INDEX(UtilityList!M$4:M$251,MATCH('Table 2.1b_percent'!$A154&amp;'Table 2.1b_percent'!$B154&amp;'Table 2.1b_percent'!$C154,UtilityList!$A$4:$A$251&amp;UtilityList!$B$4:$B$251&amp;UtilityList!$C$4:$C$251,0))</f>
        <v>AN</v>
      </c>
    </row>
    <row r="155" spans="1:16" s="344" customFormat="1" x14ac:dyDescent="0.25">
      <c r="A155" s="619" t="s">
        <v>209</v>
      </c>
      <c r="B155" s="361" t="s">
        <v>210</v>
      </c>
      <c r="C155" s="350" t="s">
        <v>211</v>
      </c>
      <c r="D155" s="625">
        <v>1</v>
      </c>
      <c r="E155" s="626">
        <v>0</v>
      </c>
      <c r="F155" s="626">
        <v>0</v>
      </c>
      <c r="G155" s="626">
        <v>1</v>
      </c>
      <c r="H155" s="626">
        <v>0</v>
      </c>
      <c r="I155" s="361" t="s">
        <v>648</v>
      </c>
      <c r="J155" s="622" t="str">
        <f t="array" ref="J155">INDEX(UtilityList!H$4:H$251,MATCH('Table 2.1b_percent'!$A155&amp;'Table 2.1b_percent'!$B155&amp;'Table 2.1b_percent'!$C155,UtilityList!$A$4:$A$251&amp;UtilityList!$B$4:$B$251&amp;UtilityList!$C$4:$C$251,0))</f>
        <v>PCE Ineligible</v>
      </c>
      <c r="K155" s="709">
        <f t="array" ref="K155">INDEX(UtilityList!Q$4:Q$251,MATCH('Table 2.1b_percent'!$A155&amp;'Table 2.1b_percent'!$B155&amp;'Table 2.1b_percent'!$C155,UtilityList!$A$4:$A$251&amp;UtilityList!$B$4:$B$251&amp;UtilityList!$C$4:$C$251,0))</f>
        <v>0</v>
      </c>
      <c r="L155" s="627" t="str">
        <f t="array" ref="L155">INDEX(UtilityList!I$4:I$251,MATCH('Table 2.1b_percent'!$A155&amp;'Table 2.1b_percent'!$B155&amp;'Table 2.1b_percent'!$C155,UtilityList!$A$4:$A$251&amp;UtilityList!$B$4:$B$251&amp;UtilityList!$C$4:$C$251,0))</f>
        <v>KPU</v>
      </c>
      <c r="M155" s="452" t="str">
        <f t="array" ref="M155">INDEX(UtilityList!J$4:J$251,MATCH('Table 2.1b_percent'!$A155&amp;'Table 2.1b_percent'!$B155&amp;'Table 2.1b_percent'!$C155,UtilityList!$A$4:$A$251&amp;UtilityList!$B$4:$B$251&amp;UtilityList!$C$4:$C$251,0))</f>
        <v>Southeast</v>
      </c>
      <c r="N155" s="452" t="str">
        <f t="array" ref="N155">INDEX(UtilityList!K$4:K$251,MATCH('Table 2.1b_percent'!$A155&amp;'Table 2.1b_percent'!$B155&amp;'Table 2.1b_percent'!$C155,UtilityList!$A$4:$A$251&amp;UtilityList!$B$4:$B$251&amp;UtilityList!$C$4:$C$251,0))</f>
        <v>Ketchikan Gateway</v>
      </c>
      <c r="O155" s="452" t="str">
        <f t="array" ref="O155">INDEX(UtilityList!L$4:L$251,MATCH('Table 2.1b_percent'!$A155&amp;'Table 2.1b_percent'!$B155&amp;'Table 2.1b_percent'!$C155,UtilityList!$A$4:$A$251&amp;UtilityList!$B$4:$B$251&amp;UtilityList!$C$4:$C$251,0))</f>
        <v>Sealaska</v>
      </c>
      <c r="P155" s="452" t="str">
        <f t="array" ref="P155">INDEX(UtilityList!M$4:M$251,MATCH('Table 2.1b_percent'!$A155&amp;'Table 2.1b_percent'!$B155&amp;'Table 2.1b_percent'!$C155,UtilityList!$A$4:$A$251&amp;UtilityList!$B$4:$B$251&amp;UtilityList!$C$4:$C$251,0))</f>
        <v>SE</v>
      </c>
    </row>
    <row r="156" spans="1:16" s="344" customFormat="1" x14ac:dyDescent="0.25">
      <c r="A156" s="619" t="s">
        <v>209</v>
      </c>
      <c r="B156" s="361" t="s">
        <v>211</v>
      </c>
      <c r="C156" s="350" t="s">
        <v>211</v>
      </c>
      <c r="D156" s="625">
        <v>1</v>
      </c>
      <c r="E156" s="626">
        <v>0</v>
      </c>
      <c r="F156" s="626">
        <v>0</v>
      </c>
      <c r="G156" s="626">
        <v>1</v>
      </c>
      <c r="H156" s="626">
        <v>0</v>
      </c>
      <c r="I156" s="361" t="s">
        <v>648</v>
      </c>
      <c r="J156" s="622" t="str">
        <f t="array" ref="J156">INDEX(UtilityList!H$4:H$251,MATCH('Table 2.1b_percent'!$A156&amp;'Table 2.1b_percent'!$B156&amp;'Table 2.1b_percent'!$C156,UtilityList!$A$4:$A$251&amp;UtilityList!$B$4:$B$251&amp;UtilityList!$C$4:$C$251,0))</f>
        <v>PCE Ineligible</v>
      </c>
      <c r="K156" s="709">
        <f t="array" ref="K156">INDEX(UtilityList!Q$4:Q$251,MATCH('Table 2.1b_percent'!$A156&amp;'Table 2.1b_percent'!$B156&amp;'Table 2.1b_percent'!$C156,UtilityList!$A$4:$A$251&amp;UtilityList!$B$4:$B$251&amp;UtilityList!$C$4:$C$251,0))</f>
        <v>0</v>
      </c>
      <c r="L156" s="627" t="str">
        <f t="array" ref="L156">INDEX(UtilityList!I$4:I$251,MATCH('Table 2.1b_percent'!$A156&amp;'Table 2.1b_percent'!$B156&amp;'Table 2.1b_percent'!$C156,UtilityList!$A$4:$A$251&amp;UtilityList!$B$4:$B$251&amp;UtilityList!$C$4:$C$251,0))</f>
        <v>KPU</v>
      </c>
      <c r="M156" s="452" t="str">
        <f t="array" ref="M156">INDEX(UtilityList!J$4:J$251,MATCH('Table 2.1b_percent'!$A156&amp;'Table 2.1b_percent'!$B156&amp;'Table 2.1b_percent'!$C156,UtilityList!$A$4:$A$251&amp;UtilityList!$B$4:$B$251&amp;UtilityList!$C$4:$C$251,0))</f>
        <v>Southeast</v>
      </c>
      <c r="N156" s="452" t="str">
        <f t="array" ref="N156">INDEX(UtilityList!K$4:K$251,MATCH('Table 2.1b_percent'!$A156&amp;'Table 2.1b_percent'!$B156&amp;'Table 2.1b_percent'!$C156,UtilityList!$A$4:$A$251&amp;UtilityList!$B$4:$B$251&amp;UtilityList!$C$4:$C$251,0))</f>
        <v>Ketchikan Gateway</v>
      </c>
      <c r="O156" s="452" t="str">
        <f t="array" ref="O156">INDEX(UtilityList!L$4:L$251,MATCH('Table 2.1b_percent'!$A156&amp;'Table 2.1b_percent'!$B156&amp;'Table 2.1b_percent'!$C156,UtilityList!$A$4:$A$251&amp;UtilityList!$B$4:$B$251&amp;UtilityList!$C$4:$C$251,0))</f>
        <v>Sealaska</v>
      </c>
      <c r="P156" s="452" t="str">
        <f t="array" ref="P156">INDEX(UtilityList!M$4:M$251,MATCH('Table 2.1b_percent'!$A156&amp;'Table 2.1b_percent'!$B156&amp;'Table 2.1b_percent'!$C156,UtilityList!$A$4:$A$251&amp;UtilityList!$B$4:$B$251&amp;UtilityList!$C$4:$C$251,0))</f>
        <v>SE</v>
      </c>
    </row>
    <row r="157" spans="1:16" s="344" customFormat="1" x14ac:dyDescent="0.25">
      <c r="A157" s="619" t="s">
        <v>209</v>
      </c>
      <c r="B157" s="361" t="s">
        <v>212</v>
      </c>
      <c r="C157" s="350" t="s">
        <v>211</v>
      </c>
      <c r="D157" s="625">
        <v>1</v>
      </c>
      <c r="E157" s="626">
        <v>0</v>
      </c>
      <c r="F157" s="626">
        <v>1</v>
      </c>
      <c r="G157" s="626">
        <v>0</v>
      </c>
      <c r="H157" s="626">
        <v>0</v>
      </c>
      <c r="I157" s="361" t="s">
        <v>648</v>
      </c>
      <c r="J157" s="622" t="str">
        <f t="array" ref="J157">INDEX(UtilityList!H$4:H$251,MATCH('Table 2.1b_percent'!$A157&amp;'Table 2.1b_percent'!$B157&amp;'Table 2.1b_percent'!$C157,UtilityList!$A$4:$A$251&amp;UtilityList!$B$4:$B$251&amp;UtilityList!$C$4:$C$251,0))</f>
        <v>PCE Ineligible</v>
      </c>
      <c r="K157" s="709">
        <f t="array" ref="K157">INDEX(UtilityList!Q$4:Q$251,MATCH('Table 2.1b_percent'!$A157&amp;'Table 2.1b_percent'!$B157&amp;'Table 2.1b_percent'!$C157,UtilityList!$A$4:$A$251&amp;UtilityList!$B$4:$B$251&amp;UtilityList!$C$4:$C$251,0))</f>
        <v>0</v>
      </c>
      <c r="L157" s="627" t="str">
        <f t="array" ref="L157">INDEX(UtilityList!I$4:I$251,MATCH('Table 2.1b_percent'!$A157&amp;'Table 2.1b_percent'!$B157&amp;'Table 2.1b_percent'!$C157,UtilityList!$A$4:$A$251&amp;UtilityList!$B$4:$B$251&amp;UtilityList!$C$4:$C$251,0))</f>
        <v>KPU</v>
      </c>
      <c r="M157" s="452" t="str">
        <f t="array" ref="M157">INDEX(UtilityList!J$4:J$251,MATCH('Table 2.1b_percent'!$A157&amp;'Table 2.1b_percent'!$B157&amp;'Table 2.1b_percent'!$C157,UtilityList!$A$4:$A$251&amp;UtilityList!$B$4:$B$251&amp;UtilityList!$C$4:$C$251,0))</f>
        <v>Southeast</v>
      </c>
      <c r="N157" s="452" t="str">
        <f t="array" ref="N157">INDEX(UtilityList!K$4:K$251,MATCH('Table 2.1b_percent'!$A157&amp;'Table 2.1b_percent'!$B157&amp;'Table 2.1b_percent'!$C157,UtilityList!$A$4:$A$251&amp;UtilityList!$B$4:$B$251&amp;UtilityList!$C$4:$C$251,0))</f>
        <v>Ketchikan Gateway</v>
      </c>
      <c r="O157" s="452" t="str">
        <f t="array" ref="O157">INDEX(UtilityList!L$4:L$251,MATCH('Table 2.1b_percent'!$A157&amp;'Table 2.1b_percent'!$B157&amp;'Table 2.1b_percent'!$C157,UtilityList!$A$4:$A$251&amp;UtilityList!$B$4:$B$251&amp;UtilityList!$C$4:$C$251,0))</f>
        <v>Sealaska</v>
      </c>
      <c r="P157" s="452" t="str">
        <f t="array" ref="P157">INDEX(UtilityList!M$4:M$251,MATCH('Table 2.1b_percent'!$A157&amp;'Table 2.1b_percent'!$B157&amp;'Table 2.1b_percent'!$C157,UtilityList!$A$4:$A$251&amp;UtilityList!$B$4:$B$251&amp;UtilityList!$C$4:$C$251,0))</f>
        <v>SE</v>
      </c>
    </row>
    <row r="158" spans="1:16" s="344" customFormat="1" x14ac:dyDescent="0.25">
      <c r="A158" s="619" t="s">
        <v>209</v>
      </c>
      <c r="B158" s="361" t="s">
        <v>213</v>
      </c>
      <c r="C158" s="350" t="s">
        <v>211</v>
      </c>
      <c r="D158" s="625">
        <v>1</v>
      </c>
      <c r="E158" s="626">
        <v>0</v>
      </c>
      <c r="F158" s="626">
        <v>0</v>
      </c>
      <c r="G158" s="626">
        <v>1</v>
      </c>
      <c r="H158" s="626">
        <v>0</v>
      </c>
      <c r="I158" s="361" t="s">
        <v>648</v>
      </c>
      <c r="J158" s="622" t="str">
        <f t="array" ref="J158">INDEX(UtilityList!H$4:H$251,MATCH('Table 2.1b_percent'!$A158&amp;'Table 2.1b_percent'!$B158&amp;'Table 2.1b_percent'!$C158,UtilityList!$A$4:$A$251&amp;UtilityList!$B$4:$B$251&amp;UtilityList!$C$4:$C$251,0))</f>
        <v>PCE Ineligible</v>
      </c>
      <c r="K158" s="709">
        <f t="array" ref="K158">INDEX(UtilityList!Q$4:Q$251,MATCH('Table 2.1b_percent'!$A158&amp;'Table 2.1b_percent'!$B158&amp;'Table 2.1b_percent'!$C158,UtilityList!$A$4:$A$251&amp;UtilityList!$B$4:$B$251&amp;UtilityList!$C$4:$C$251,0))</f>
        <v>0</v>
      </c>
      <c r="L158" s="627" t="str">
        <f t="array" ref="L158">INDEX(UtilityList!I$4:I$251,MATCH('Table 2.1b_percent'!$A158&amp;'Table 2.1b_percent'!$B158&amp;'Table 2.1b_percent'!$C158,UtilityList!$A$4:$A$251&amp;UtilityList!$B$4:$B$251&amp;UtilityList!$C$4:$C$251,0))</f>
        <v>KPU</v>
      </c>
      <c r="M158" s="452" t="str">
        <f t="array" ref="M158">INDEX(UtilityList!J$4:J$251,MATCH('Table 2.1b_percent'!$A158&amp;'Table 2.1b_percent'!$B158&amp;'Table 2.1b_percent'!$C158,UtilityList!$A$4:$A$251&amp;UtilityList!$B$4:$B$251&amp;UtilityList!$C$4:$C$251,0))</f>
        <v>Southeast</v>
      </c>
      <c r="N158" s="452" t="str">
        <f t="array" ref="N158">INDEX(UtilityList!K$4:K$251,MATCH('Table 2.1b_percent'!$A158&amp;'Table 2.1b_percent'!$B158&amp;'Table 2.1b_percent'!$C158,UtilityList!$A$4:$A$251&amp;UtilityList!$B$4:$B$251&amp;UtilityList!$C$4:$C$251,0))</f>
        <v>Ketchikan Gateway</v>
      </c>
      <c r="O158" s="452" t="str">
        <f t="array" ref="O158">INDEX(UtilityList!L$4:L$251,MATCH('Table 2.1b_percent'!$A158&amp;'Table 2.1b_percent'!$B158&amp;'Table 2.1b_percent'!$C158,UtilityList!$A$4:$A$251&amp;UtilityList!$B$4:$B$251&amp;UtilityList!$C$4:$C$251,0))</f>
        <v>Sealaska</v>
      </c>
      <c r="P158" s="452" t="str">
        <f t="array" ref="P158">INDEX(UtilityList!M$4:M$251,MATCH('Table 2.1b_percent'!$A158&amp;'Table 2.1b_percent'!$B158&amp;'Table 2.1b_percent'!$C158,UtilityList!$A$4:$A$251&amp;UtilityList!$B$4:$B$251&amp;UtilityList!$C$4:$C$251,0))</f>
        <v>SE</v>
      </c>
    </row>
    <row r="159" spans="1:16" s="344" customFormat="1" x14ac:dyDescent="0.25">
      <c r="A159" s="619" t="s">
        <v>209</v>
      </c>
      <c r="B159" s="361" t="s">
        <v>214</v>
      </c>
      <c r="C159" s="351" t="s">
        <v>659</v>
      </c>
      <c r="D159" s="625">
        <v>1</v>
      </c>
      <c r="E159" s="626">
        <v>0</v>
      </c>
      <c r="F159" s="626">
        <v>0</v>
      </c>
      <c r="G159" s="626">
        <v>1</v>
      </c>
      <c r="H159" s="626">
        <v>0</v>
      </c>
      <c r="I159" s="361" t="s">
        <v>648</v>
      </c>
      <c r="J159" s="622" t="str">
        <f t="array" ref="J159">INDEX(UtilityList!H$4:H$251,MATCH('Table 2.1b_percent'!$A159&amp;'Table 2.1b_percent'!$B159&amp;'Table 2.1b_percent'!$C159,UtilityList!$A$4:$A$251&amp;UtilityList!$B$4:$B$251&amp;UtilityList!$C$4:$C$251,0))</f>
        <v>PCE Ineligible</v>
      </c>
      <c r="K159" s="709">
        <f t="array" ref="K159">INDEX(UtilityList!Q$4:Q$251,MATCH('Table 2.1b_percent'!$A159&amp;'Table 2.1b_percent'!$B159&amp;'Table 2.1b_percent'!$C159,UtilityList!$A$4:$A$251&amp;UtilityList!$B$4:$B$251&amp;UtilityList!$C$4:$C$251,0))</f>
        <v>0</v>
      </c>
      <c r="L159" s="627" t="str">
        <f t="array" ref="L159">INDEX(UtilityList!I$4:I$251,MATCH('Table 2.1b_percent'!$A159&amp;'Table 2.1b_percent'!$B159&amp;'Table 2.1b_percent'!$C159,UtilityList!$A$4:$A$251&amp;UtilityList!$B$4:$B$251&amp;UtilityList!$C$4:$C$251,0))</f>
        <v>KPU</v>
      </c>
      <c r="M159" s="452" t="str">
        <f t="array" ref="M159">INDEX(UtilityList!J$4:J$251,MATCH('Table 2.1b_percent'!$A159&amp;'Table 2.1b_percent'!$B159&amp;'Table 2.1b_percent'!$C159,UtilityList!$A$4:$A$251&amp;UtilityList!$B$4:$B$251&amp;UtilityList!$C$4:$C$251,0))</f>
        <v>Southeast</v>
      </c>
      <c r="N159" s="452" t="str">
        <f t="array" ref="N159">INDEX(UtilityList!K$4:K$251,MATCH('Table 2.1b_percent'!$A159&amp;'Table 2.1b_percent'!$B159&amp;'Table 2.1b_percent'!$C159,UtilityList!$A$4:$A$251&amp;UtilityList!$B$4:$B$251&amp;UtilityList!$C$4:$C$251,0))</f>
        <v>Ketchikan Gateway</v>
      </c>
      <c r="O159" s="452" t="str">
        <f t="array" ref="O159">INDEX(UtilityList!L$4:L$251,MATCH('Table 2.1b_percent'!$A159&amp;'Table 2.1b_percent'!$B159&amp;'Table 2.1b_percent'!$C159,UtilityList!$A$4:$A$251&amp;UtilityList!$B$4:$B$251&amp;UtilityList!$C$4:$C$251,0))</f>
        <v>Sealaska</v>
      </c>
      <c r="P159" s="452" t="str">
        <f t="array" ref="P159">INDEX(UtilityList!M$4:M$251,MATCH('Table 2.1b_percent'!$A159&amp;'Table 2.1b_percent'!$B159&amp;'Table 2.1b_percent'!$C159,UtilityList!$A$4:$A$251&amp;UtilityList!$B$4:$B$251&amp;UtilityList!$C$4:$C$251,0))</f>
        <v>SE</v>
      </c>
    </row>
    <row r="160" spans="1:16" s="344" customFormat="1" x14ac:dyDescent="0.25">
      <c r="A160" s="619" t="s">
        <v>215</v>
      </c>
      <c r="B160" s="339" t="s">
        <v>216</v>
      </c>
      <c r="C160" s="619" t="s">
        <v>216</v>
      </c>
      <c r="D160" s="625">
        <v>1</v>
      </c>
      <c r="E160" s="626">
        <v>0</v>
      </c>
      <c r="F160" s="626">
        <v>0</v>
      </c>
      <c r="G160" s="626">
        <v>1</v>
      </c>
      <c r="H160" s="626">
        <v>0</v>
      </c>
      <c r="I160" s="361" t="s">
        <v>648</v>
      </c>
      <c r="J160" s="622" t="str">
        <f t="array" ref="J160">INDEX(UtilityList!H$4:H$251,MATCH('Table 2.1b_percent'!$A160&amp;'Table 2.1b_percent'!$B160&amp;'Table 2.1b_percent'!$C160,UtilityList!$A$4:$A$251&amp;UtilityList!$B$4:$B$251&amp;UtilityList!$C$4:$C$251,0))</f>
        <v>PCE Eligible Active</v>
      </c>
      <c r="K160" s="709">
        <f t="array" ref="K160">INDEX(UtilityList!Q$4:Q$251,MATCH('Table 2.1b_percent'!$A160&amp;'Table 2.1b_percent'!$B160&amp;'Table 2.1b_percent'!$C160,UtilityList!$A$4:$A$251&amp;UtilityList!$B$4:$B$251&amp;UtilityList!$C$4:$C$251,0))</f>
        <v>0</v>
      </c>
      <c r="L160" s="627" t="str">
        <f t="array" ref="L160">INDEX(UtilityList!I$4:I$251,MATCH('Table 2.1b_percent'!$A160&amp;'Table 2.1b_percent'!$B160&amp;'Table 2.1b_percent'!$C160,UtilityList!$A$4:$A$251&amp;UtilityList!$B$4:$B$251&amp;UtilityList!$C$4:$C$251,0))</f>
        <v>KINGC</v>
      </c>
      <c r="M160" s="452" t="str">
        <f t="array" ref="M160">INDEX(UtilityList!J$4:J$251,MATCH('Table 2.1b_percent'!$A160&amp;'Table 2.1b_percent'!$B160&amp;'Table 2.1b_percent'!$C160,UtilityList!$A$4:$A$251&amp;UtilityList!$B$4:$B$251&amp;UtilityList!$C$4:$C$251,0))</f>
        <v>Aleutians</v>
      </c>
      <c r="N160" s="452" t="str">
        <f t="array" ref="N160">INDEX(UtilityList!K$4:K$251,MATCH('Table 2.1b_percent'!$A160&amp;'Table 2.1b_percent'!$B160&amp;'Table 2.1b_percent'!$C160,UtilityList!$A$4:$A$251&amp;UtilityList!$B$4:$B$251&amp;UtilityList!$C$4:$C$251,0))</f>
        <v>Aleutians East</v>
      </c>
      <c r="O160" s="452" t="str">
        <f t="array" ref="O160">INDEX(UtilityList!L$4:L$251,MATCH('Table 2.1b_percent'!$A160&amp;'Table 2.1b_percent'!$B160&amp;'Table 2.1b_percent'!$C160,UtilityList!$A$4:$A$251&amp;UtilityList!$B$4:$B$251&amp;UtilityList!$C$4:$C$251,0))</f>
        <v>Aleut</v>
      </c>
      <c r="P160" s="452" t="str">
        <f t="array" ref="P160">INDEX(UtilityList!M$4:M$251,MATCH('Table 2.1b_percent'!$A160&amp;'Table 2.1b_percent'!$B160&amp;'Table 2.1b_percent'!$C160,UtilityList!$A$4:$A$251&amp;UtilityList!$B$4:$B$251&amp;UtilityList!$C$4:$C$251,0))</f>
        <v>SW</v>
      </c>
    </row>
    <row r="161" spans="1:16" s="344" customFormat="1" x14ac:dyDescent="0.25">
      <c r="A161" s="619" t="s">
        <v>215</v>
      </c>
      <c r="B161" s="361" t="s">
        <v>216</v>
      </c>
      <c r="C161" s="350" t="s">
        <v>216</v>
      </c>
      <c r="D161" s="625">
        <v>1</v>
      </c>
      <c r="E161" s="626">
        <v>0</v>
      </c>
      <c r="F161" s="626">
        <v>1</v>
      </c>
      <c r="G161" s="626">
        <v>0</v>
      </c>
      <c r="H161" s="626">
        <v>0</v>
      </c>
      <c r="I161" s="361" t="s">
        <v>648</v>
      </c>
      <c r="J161" s="622" t="str">
        <f t="array" ref="J161">INDEX(UtilityList!H$4:H$251,MATCH('Table 2.1b_percent'!$A161&amp;'Table 2.1b_percent'!$B161&amp;'Table 2.1b_percent'!$C161,UtilityList!$A$4:$A$251&amp;UtilityList!$B$4:$B$251&amp;UtilityList!$C$4:$C$251,0))</f>
        <v>PCE Eligible Active</v>
      </c>
      <c r="K161" s="709">
        <f t="array" ref="K161">INDEX(UtilityList!Q$4:Q$251,MATCH('Table 2.1b_percent'!$A161&amp;'Table 2.1b_percent'!$B161&amp;'Table 2.1b_percent'!$C161,UtilityList!$A$4:$A$251&amp;UtilityList!$B$4:$B$251&amp;UtilityList!$C$4:$C$251,0))</f>
        <v>0</v>
      </c>
      <c r="L161" s="627" t="str">
        <f t="array" ref="L161">INDEX(UtilityList!I$4:I$251,MATCH('Table 2.1b_percent'!$A161&amp;'Table 2.1b_percent'!$B161&amp;'Table 2.1b_percent'!$C161,UtilityList!$A$4:$A$251&amp;UtilityList!$B$4:$B$251&amp;UtilityList!$C$4:$C$251,0))</f>
        <v>KINGC</v>
      </c>
      <c r="M161" s="452" t="str">
        <f t="array" ref="M161">INDEX(UtilityList!J$4:J$251,MATCH('Table 2.1b_percent'!$A161&amp;'Table 2.1b_percent'!$B161&amp;'Table 2.1b_percent'!$C161,UtilityList!$A$4:$A$251&amp;UtilityList!$B$4:$B$251&amp;UtilityList!$C$4:$C$251,0))</f>
        <v>Aleutians</v>
      </c>
      <c r="N161" s="452" t="str">
        <f t="array" ref="N161">INDEX(UtilityList!K$4:K$251,MATCH('Table 2.1b_percent'!$A161&amp;'Table 2.1b_percent'!$B161&amp;'Table 2.1b_percent'!$C161,UtilityList!$A$4:$A$251&amp;UtilityList!$B$4:$B$251&amp;UtilityList!$C$4:$C$251,0))</f>
        <v>Aleutians East</v>
      </c>
      <c r="O161" s="452" t="str">
        <f t="array" ref="O161">INDEX(UtilityList!L$4:L$251,MATCH('Table 2.1b_percent'!$A161&amp;'Table 2.1b_percent'!$B161&amp;'Table 2.1b_percent'!$C161,UtilityList!$A$4:$A$251&amp;UtilityList!$B$4:$B$251&amp;UtilityList!$C$4:$C$251,0))</f>
        <v>Aleut</v>
      </c>
      <c r="P161" s="452" t="str">
        <f t="array" ref="P161">INDEX(UtilityList!M$4:M$251,MATCH('Table 2.1b_percent'!$A161&amp;'Table 2.1b_percent'!$B161&amp;'Table 2.1b_percent'!$C161,UtilityList!$A$4:$A$251&amp;UtilityList!$B$4:$B$251&amp;UtilityList!$C$4:$C$251,0))</f>
        <v>SW</v>
      </c>
    </row>
    <row r="162" spans="1:16" s="344" customFormat="1" ht="105" x14ac:dyDescent="0.25">
      <c r="A162" s="619" t="s">
        <v>219</v>
      </c>
      <c r="B162" s="361" t="s">
        <v>220</v>
      </c>
      <c r="C162" s="350" t="s">
        <v>220</v>
      </c>
      <c r="D162" s="625">
        <v>1</v>
      </c>
      <c r="E162" s="626">
        <v>0</v>
      </c>
      <c r="F162" s="626">
        <v>1</v>
      </c>
      <c r="G162" s="626">
        <v>0</v>
      </c>
      <c r="H162" s="626">
        <v>0</v>
      </c>
      <c r="I162" s="361" t="s">
        <v>718</v>
      </c>
      <c r="J162" s="622" t="str">
        <f t="array" ref="J162">INDEX(UtilityList!H$4:H$251,MATCH('Table 2.1b_percent'!$A162&amp;'Table 2.1b_percent'!$B162&amp;'Table 2.1b_percent'!$C162,UtilityList!$A$4:$A$251&amp;UtilityList!$B$4:$B$251&amp;UtilityList!$C$4:$C$251,0))</f>
        <v>PCE Eligible Active</v>
      </c>
      <c r="K162" s="709" t="str">
        <f t="array" ref="K162">INDEX(UtilityList!Q$4:Q$251,MATCH('Table 2.1b_percent'!$A162&amp;'Table 2.1b_percent'!$B162&amp;'Table 2.1b_percent'!$C162,UtilityList!$A$4:$A$251&amp;UtilityList!$B$4:$B$251&amp;UtilityList!$C$4:$C$251,0))</f>
        <v>Receives power from Shungnak via intertie. For fuel use and cost, please refer to Shungnak. On July 1, 2012, AVEC took over operations in Kobuk.</v>
      </c>
      <c r="L162" s="627" t="str">
        <f t="array" ref="L162">INDEX(UtilityList!I$4:I$251,MATCH('Table 2.1b_percent'!$A162&amp;'Table 2.1b_percent'!$B162&amp;'Table 2.1b_percent'!$C162,UtilityList!$A$4:$A$251&amp;UtilityList!$B$4:$B$251&amp;UtilityList!$C$4:$C$251,0))</f>
        <v>KOBUVEC</v>
      </c>
      <c r="M162" s="452" t="str">
        <f t="array" ref="M162">INDEX(UtilityList!J$4:J$251,MATCH('Table 2.1b_percent'!$A162&amp;'Table 2.1b_percent'!$B162&amp;'Table 2.1b_percent'!$C162,UtilityList!$A$4:$A$251&amp;UtilityList!$B$4:$B$251&amp;UtilityList!$C$4:$C$251,0))</f>
        <v>Northwest Arctic</v>
      </c>
      <c r="N162" s="452" t="str">
        <f t="array" ref="N162">INDEX(UtilityList!K$4:K$251,MATCH('Table 2.1b_percent'!$A162&amp;'Table 2.1b_percent'!$B162&amp;'Table 2.1b_percent'!$C162,UtilityList!$A$4:$A$251&amp;UtilityList!$B$4:$B$251&amp;UtilityList!$C$4:$C$251,0))</f>
        <v>Northwest Arctic</v>
      </c>
      <c r="O162" s="452" t="str">
        <f t="array" ref="O162">INDEX(UtilityList!L$4:L$251,MATCH('Table 2.1b_percent'!$A162&amp;'Table 2.1b_percent'!$B162&amp;'Table 2.1b_percent'!$C162,UtilityList!$A$4:$A$251&amp;UtilityList!$B$4:$B$251&amp;UtilityList!$C$4:$C$251,0))</f>
        <v>NANA</v>
      </c>
      <c r="P162" s="452" t="str">
        <f t="array" ref="P162">INDEX(UtilityList!M$4:M$251,MATCH('Table 2.1b_percent'!$A162&amp;'Table 2.1b_percent'!$B162&amp;'Table 2.1b_percent'!$C162,UtilityList!$A$4:$A$251&amp;UtilityList!$B$4:$B$251&amp;UtilityList!$C$4:$C$251,0))</f>
        <v>AN</v>
      </c>
    </row>
    <row r="163" spans="1:16" s="344" customFormat="1" x14ac:dyDescent="0.25">
      <c r="A163" s="352" t="s">
        <v>221</v>
      </c>
      <c r="B163" s="353" t="s">
        <v>222</v>
      </c>
      <c r="C163" s="353" t="s">
        <v>222</v>
      </c>
      <c r="D163" s="625">
        <v>1</v>
      </c>
      <c r="E163" s="626">
        <v>0</v>
      </c>
      <c r="F163" s="626">
        <v>1</v>
      </c>
      <c r="G163" s="626">
        <v>0</v>
      </c>
      <c r="H163" s="626">
        <v>0</v>
      </c>
      <c r="I163" s="361" t="s">
        <v>648</v>
      </c>
      <c r="J163" s="622" t="str">
        <f t="array" ref="J163">INDEX(UtilityList!H$4:H$251,MATCH('Table 2.1b_percent'!$A163&amp;'Table 2.1b_percent'!$B163&amp;'Table 2.1b_percent'!$C163,UtilityList!$A$4:$A$251&amp;UtilityList!$B$4:$B$251&amp;UtilityList!$C$4:$C$251,0))</f>
        <v>PCE Ineligible</v>
      </c>
      <c r="K163" s="709">
        <f t="array" ref="K163">INDEX(UtilityList!Q$4:Q$251,MATCH('Table 2.1b_percent'!$A163&amp;'Table 2.1b_percent'!$B163&amp;'Table 2.1b_percent'!$C163,UtilityList!$A$4:$A$251&amp;UtilityList!$B$4:$B$251&amp;UtilityList!$C$4:$C$251,0))</f>
        <v>0</v>
      </c>
      <c r="L163" s="627" t="str">
        <f t="array" ref="L163">INDEX(UtilityList!I$4:I$251,MATCH('Table 2.1b_percent'!$A163&amp;'Table 2.1b_percent'!$B163&amp;'Table 2.1b_percent'!$C163,UtilityList!$A$4:$A$251&amp;UtilityList!$B$4:$B$251&amp;UtilityList!$C$4:$C$251,0))</f>
        <v>KEA</v>
      </c>
      <c r="M163" s="452" t="str">
        <f t="array" ref="M163">INDEX(UtilityList!J$4:J$251,MATCH('Table 2.1b_percent'!$A163&amp;'Table 2.1b_percent'!$B163&amp;'Table 2.1b_percent'!$C163,UtilityList!$A$4:$A$251&amp;UtilityList!$B$4:$B$251&amp;UtilityList!$C$4:$C$251,0))</f>
        <v>Kodiak</v>
      </c>
      <c r="N163" s="452" t="str">
        <f t="array" ref="N163">INDEX(UtilityList!K$4:K$251,MATCH('Table 2.1b_percent'!$A163&amp;'Table 2.1b_percent'!$B163&amp;'Table 2.1b_percent'!$C163,UtilityList!$A$4:$A$251&amp;UtilityList!$B$4:$B$251&amp;UtilityList!$C$4:$C$251,0))</f>
        <v>Kodiak Island</v>
      </c>
      <c r="O163" s="452" t="str">
        <f t="array" ref="O163">INDEX(UtilityList!L$4:L$251,MATCH('Table 2.1b_percent'!$A163&amp;'Table 2.1b_percent'!$B163&amp;'Table 2.1b_percent'!$C163,UtilityList!$A$4:$A$251&amp;UtilityList!$B$4:$B$251&amp;UtilityList!$C$4:$C$251,0))</f>
        <v>Koniag</v>
      </c>
      <c r="P163" s="452" t="str">
        <f t="array" ref="P163">INDEX(UtilityList!M$4:M$251,MATCH('Table 2.1b_percent'!$A163&amp;'Table 2.1b_percent'!$B163&amp;'Table 2.1b_percent'!$C163,UtilityList!$A$4:$A$251&amp;UtilityList!$B$4:$B$251&amp;UtilityList!$C$4:$C$251,0))</f>
        <v>SC</v>
      </c>
    </row>
    <row r="164" spans="1:16" s="344" customFormat="1" x14ac:dyDescent="0.25">
      <c r="A164" s="619" t="s">
        <v>221</v>
      </c>
      <c r="B164" s="361" t="s">
        <v>223</v>
      </c>
      <c r="C164" s="350" t="s">
        <v>222</v>
      </c>
      <c r="D164" s="625">
        <v>1</v>
      </c>
      <c r="E164" s="626">
        <v>0</v>
      </c>
      <c r="F164" s="626">
        <v>1</v>
      </c>
      <c r="G164" s="626">
        <v>0</v>
      </c>
      <c r="H164" s="626">
        <v>0</v>
      </c>
      <c r="I164" s="361" t="s">
        <v>648</v>
      </c>
      <c r="J164" s="622" t="str">
        <f t="array" ref="J164">INDEX(UtilityList!H$4:H$251,MATCH('Table 2.1b_percent'!$A164&amp;'Table 2.1b_percent'!$B164&amp;'Table 2.1b_percent'!$C164,UtilityList!$A$4:$A$251&amp;UtilityList!$B$4:$B$251&amp;UtilityList!$C$4:$C$251,0))</f>
        <v>PCE Ineligible</v>
      </c>
      <c r="K164" s="709">
        <f t="array" ref="K164">INDEX(UtilityList!Q$4:Q$251,MATCH('Table 2.1b_percent'!$A164&amp;'Table 2.1b_percent'!$B164&amp;'Table 2.1b_percent'!$C164,UtilityList!$A$4:$A$251&amp;UtilityList!$B$4:$B$251&amp;UtilityList!$C$4:$C$251,0))</f>
        <v>0</v>
      </c>
      <c r="L164" s="627" t="str">
        <f t="array" ref="L164">INDEX(UtilityList!I$4:I$251,MATCH('Table 2.1b_percent'!$A164&amp;'Table 2.1b_percent'!$B164&amp;'Table 2.1b_percent'!$C164,UtilityList!$A$4:$A$251&amp;UtilityList!$B$4:$B$251&amp;UtilityList!$C$4:$C$251,0))</f>
        <v>KEA</v>
      </c>
      <c r="M164" s="452" t="str">
        <f t="array" ref="M164">INDEX(UtilityList!J$4:J$251,MATCH('Table 2.1b_percent'!$A164&amp;'Table 2.1b_percent'!$B164&amp;'Table 2.1b_percent'!$C164,UtilityList!$A$4:$A$251&amp;UtilityList!$B$4:$B$251&amp;UtilityList!$C$4:$C$251,0))</f>
        <v>Kodiak</v>
      </c>
      <c r="N164" s="452" t="str">
        <f t="array" ref="N164">INDEX(UtilityList!K$4:K$251,MATCH('Table 2.1b_percent'!$A164&amp;'Table 2.1b_percent'!$B164&amp;'Table 2.1b_percent'!$C164,UtilityList!$A$4:$A$251&amp;UtilityList!$B$4:$B$251&amp;UtilityList!$C$4:$C$251,0))</f>
        <v>Kodiak Island</v>
      </c>
      <c r="O164" s="452" t="str">
        <f t="array" ref="O164">INDEX(UtilityList!L$4:L$251,MATCH('Table 2.1b_percent'!$A164&amp;'Table 2.1b_percent'!$B164&amp;'Table 2.1b_percent'!$C164,UtilityList!$A$4:$A$251&amp;UtilityList!$B$4:$B$251&amp;UtilityList!$C$4:$C$251,0))</f>
        <v>Koniag</v>
      </c>
      <c r="P164" s="452" t="str">
        <f t="array" ref="P164">INDEX(UtilityList!M$4:M$251,MATCH('Table 2.1b_percent'!$A164&amp;'Table 2.1b_percent'!$B164&amp;'Table 2.1b_percent'!$C164,UtilityList!$A$4:$A$251&amp;UtilityList!$B$4:$B$251&amp;UtilityList!$C$4:$C$251,0))</f>
        <v>SC</v>
      </c>
    </row>
    <row r="165" spans="1:16" s="344" customFormat="1" x14ac:dyDescent="0.25">
      <c r="A165" s="619" t="s">
        <v>221</v>
      </c>
      <c r="B165" s="361" t="s">
        <v>224</v>
      </c>
      <c r="C165" s="350" t="s">
        <v>222</v>
      </c>
      <c r="D165" s="625">
        <v>1</v>
      </c>
      <c r="E165" s="626">
        <v>0</v>
      </c>
      <c r="F165" s="626">
        <v>0</v>
      </c>
      <c r="G165" s="626">
        <v>0</v>
      </c>
      <c r="H165" s="626">
        <v>1</v>
      </c>
      <c r="I165" s="361" t="s">
        <v>648</v>
      </c>
      <c r="J165" s="622" t="str">
        <f t="array" ref="J165">INDEX(UtilityList!H$4:H$251,MATCH('Table 2.1b_percent'!$A165&amp;'Table 2.1b_percent'!$B165&amp;'Table 2.1b_percent'!$C165,UtilityList!$A$4:$A$251&amp;UtilityList!$B$4:$B$251&amp;UtilityList!$C$4:$C$251,0))</f>
        <v>PCE Ineligible</v>
      </c>
      <c r="K165" s="709">
        <f t="array" ref="K165">INDEX(UtilityList!Q$4:Q$251,MATCH('Table 2.1b_percent'!$A165&amp;'Table 2.1b_percent'!$B165&amp;'Table 2.1b_percent'!$C165,UtilityList!$A$4:$A$251&amp;UtilityList!$B$4:$B$251&amp;UtilityList!$C$4:$C$251,0))</f>
        <v>0</v>
      </c>
      <c r="L165" s="627" t="str">
        <f t="array" ref="L165">INDEX(UtilityList!I$4:I$251,MATCH('Table 2.1b_percent'!$A165&amp;'Table 2.1b_percent'!$B165&amp;'Table 2.1b_percent'!$C165,UtilityList!$A$4:$A$251&amp;UtilityList!$B$4:$B$251&amp;UtilityList!$C$4:$C$251,0))</f>
        <v>KEA</v>
      </c>
      <c r="M165" s="452" t="str">
        <f t="array" ref="M165">INDEX(UtilityList!J$4:J$251,MATCH('Table 2.1b_percent'!$A165&amp;'Table 2.1b_percent'!$B165&amp;'Table 2.1b_percent'!$C165,UtilityList!$A$4:$A$251&amp;UtilityList!$B$4:$B$251&amp;UtilityList!$C$4:$C$251,0))</f>
        <v>Kodiak</v>
      </c>
      <c r="N165" s="452" t="str">
        <f t="array" ref="N165">INDEX(UtilityList!K$4:K$251,MATCH('Table 2.1b_percent'!$A165&amp;'Table 2.1b_percent'!$B165&amp;'Table 2.1b_percent'!$C165,UtilityList!$A$4:$A$251&amp;UtilityList!$B$4:$B$251&amp;UtilityList!$C$4:$C$251,0))</f>
        <v>Kodiak Island</v>
      </c>
      <c r="O165" s="452" t="str">
        <f t="array" ref="O165">INDEX(UtilityList!L$4:L$251,MATCH('Table 2.1b_percent'!$A165&amp;'Table 2.1b_percent'!$B165&amp;'Table 2.1b_percent'!$C165,UtilityList!$A$4:$A$251&amp;UtilityList!$B$4:$B$251&amp;UtilityList!$C$4:$C$251,0))</f>
        <v>Koniag</v>
      </c>
      <c r="P165" s="452" t="str">
        <f t="array" ref="P165">INDEX(UtilityList!M$4:M$251,MATCH('Table 2.1b_percent'!$A165&amp;'Table 2.1b_percent'!$B165&amp;'Table 2.1b_percent'!$C165,UtilityList!$A$4:$A$251&amp;UtilityList!$B$4:$B$251&amp;UtilityList!$C$4:$C$251,0))</f>
        <v>SC</v>
      </c>
    </row>
    <row r="166" spans="1:16" s="344" customFormat="1" x14ac:dyDescent="0.25">
      <c r="A166" s="619" t="s">
        <v>221</v>
      </c>
      <c r="B166" s="361" t="s">
        <v>226</v>
      </c>
      <c r="C166" s="350" t="s">
        <v>222</v>
      </c>
      <c r="D166" s="625">
        <v>1</v>
      </c>
      <c r="E166" s="626">
        <v>0</v>
      </c>
      <c r="F166" s="626">
        <v>1</v>
      </c>
      <c r="G166" s="626">
        <v>0</v>
      </c>
      <c r="H166" s="626">
        <v>0</v>
      </c>
      <c r="I166" s="361" t="s">
        <v>648</v>
      </c>
      <c r="J166" s="622" t="str">
        <f t="array" ref="J166">INDEX(UtilityList!H$4:H$251,MATCH('Table 2.1b_percent'!$A166&amp;'Table 2.1b_percent'!$B166&amp;'Table 2.1b_percent'!$C166,UtilityList!$A$4:$A$251&amp;UtilityList!$B$4:$B$251&amp;UtilityList!$C$4:$C$251,0))</f>
        <v>PCE Ineligible</v>
      </c>
      <c r="K166" s="709">
        <f t="array" ref="K166">INDEX(UtilityList!Q$4:Q$251,MATCH('Table 2.1b_percent'!$A166&amp;'Table 2.1b_percent'!$B166&amp;'Table 2.1b_percent'!$C166,UtilityList!$A$4:$A$251&amp;UtilityList!$B$4:$B$251&amp;UtilityList!$C$4:$C$251,0))</f>
        <v>0</v>
      </c>
      <c r="L166" s="627" t="str">
        <f t="array" ref="L166">INDEX(UtilityList!I$4:I$251,MATCH('Table 2.1b_percent'!$A166&amp;'Table 2.1b_percent'!$B166&amp;'Table 2.1b_percent'!$C166,UtilityList!$A$4:$A$251&amp;UtilityList!$B$4:$B$251&amp;UtilityList!$C$4:$C$251,0))</f>
        <v>KEA</v>
      </c>
      <c r="M166" s="452" t="str">
        <f t="array" ref="M166">INDEX(UtilityList!J$4:J$251,MATCH('Table 2.1b_percent'!$A166&amp;'Table 2.1b_percent'!$B166&amp;'Table 2.1b_percent'!$C166,UtilityList!$A$4:$A$251&amp;UtilityList!$B$4:$B$251&amp;UtilityList!$C$4:$C$251,0))</f>
        <v>Kodiak</v>
      </c>
      <c r="N166" s="452" t="str">
        <f t="array" ref="N166">INDEX(UtilityList!K$4:K$251,MATCH('Table 2.1b_percent'!$A166&amp;'Table 2.1b_percent'!$B166&amp;'Table 2.1b_percent'!$C166,UtilityList!$A$4:$A$251&amp;UtilityList!$B$4:$B$251&amp;UtilityList!$C$4:$C$251,0))</f>
        <v>Kodiak Island</v>
      </c>
      <c r="O166" s="452" t="str">
        <f t="array" ref="O166">INDEX(UtilityList!L$4:L$251,MATCH('Table 2.1b_percent'!$A166&amp;'Table 2.1b_percent'!$B166&amp;'Table 2.1b_percent'!$C166,UtilityList!$A$4:$A$251&amp;UtilityList!$B$4:$B$251&amp;UtilityList!$C$4:$C$251,0))</f>
        <v>Koniag</v>
      </c>
      <c r="P166" s="452" t="str">
        <f t="array" ref="P166">INDEX(UtilityList!M$4:M$251,MATCH('Table 2.1b_percent'!$A166&amp;'Table 2.1b_percent'!$B166&amp;'Table 2.1b_percent'!$C166,UtilityList!$A$4:$A$251&amp;UtilityList!$B$4:$B$251&amp;UtilityList!$C$4:$C$251,0))</f>
        <v>SC</v>
      </c>
    </row>
    <row r="167" spans="1:16" s="344" customFormat="1" x14ac:dyDescent="0.25">
      <c r="A167" s="619" t="s">
        <v>221</v>
      </c>
      <c r="B167" s="361" t="s">
        <v>225</v>
      </c>
      <c r="C167" s="350" t="s">
        <v>222</v>
      </c>
      <c r="D167" s="625">
        <v>1</v>
      </c>
      <c r="E167" s="626">
        <v>0</v>
      </c>
      <c r="F167" s="626">
        <v>0</v>
      </c>
      <c r="G167" s="626">
        <v>1</v>
      </c>
      <c r="H167" s="626">
        <v>0</v>
      </c>
      <c r="I167" s="361" t="s">
        <v>648</v>
      </c>
      <c r="J167" s="622" t="str">
        <f t="array" ref="J167">INDEX(UtilityList!H$4:H$251,MATCH('Table 2.1b_percent'!$A167&amp;'Table 2.1b_percent'!$B167&amp;'Table 2.1b_percent'!$C167,UtilityList!$A$4:$A$251&amp;UtilityList!$B$4:$B$251&amp;UtilityList!$C$4:$C$251,0))</f>
        <v>PCE Ineligible</v>
      </c>
      <c r="K167" s="709">
        <f t="array" ref="K167">INDEX(UtilityList!Q$4:Q$251,MATCH('Table 2.1b_percent'!$A167&amp;'Table 2.1b_percent'!$B167&amp;'Table 2.1b_percent'!$C167,UtilityList!$A$4:$A$251&amp;UtilityList!$B$4:$B$251&amp;UtilityList!$C$4:$C$251,0))</f>
        <v>0</v>
      </c>
      <c r="L167" s="627" t="str">
        <f t="array" ref="L167">INDEX(UtilityList!I$4:I$251,MATCH('Table 2.1b_percent'!$A167&amp;'Table 2.1b_percent'!$B167&amp;'Table 2.1b_percent'!$C167,UtilityList!$A$4:$A$251&amp;UtilityList!$B$4:$B$251&amp;UtilityList!$C$4:$C$251,0))</f>
        <v>KEA</v>
      </c>
      <c r="M167" s="452" t="str">
        <f t="array" ref="M167">INDEX(UtilityList!J$4:J$251,MATCH('Table 2.1b_percent'!$A167&amp;'Table 2.1b_percent'!$B167&amp;'Table 2.1b_percent'!$C167,UtilityList!$A$4:$A$251&amp;UtilityList!$B$4:$B$251&amp;UtilityList!$C$4:$C$251,0))</f>
        <v>Kodiak</v>
      </c>
      <c r="N167" s="452" t="str">
        <f t="array" ref="N167">INDEX(UtilityList!K$4:K$251,MATCH('Table 2.1b_percent'!$A167&amp;'Table 2.1b_percent'!$B167&amp;'Table 2.1b_percent'!$C167,UtilityList!$A$4:$A$251&amp;UtilityList!$B$4:$B$251&amp;UtilityList!$C$4:$C$251,0))</f>
        <v>Kodiak Island</v>
      </c>
      <c r="O167" s="452" t="str">
        <f t="array" ref="O167">INDEX(UtilityList!L$4:L$251,MATCH('Table 2.1b_percent'!$A167&amp;'Table 2.1b_percent'!$B167&amp;'Table 2.1b_percent'!$C167,UtilityList!$A$4:$A$251&amp;UtilityList!$B$4:$B$251&amp;UtilityList!$C$4:$C$251,0))</f>
        <v>Koniag</v>
      </c>
      <c r="P167" s="452" t="str">
        <f t="array" ref="P167">INDEX(UtilityList!M$4:M$251,MATCH('Table 2.1b_percent'!$A167&amp;'Table 2.1b_percent'!$B167&amp;'Table 2.1b_percent'!$C167,UtilityList!$A$4:$A$251&amp;UtilityList!$B$4:$B$251&amp;UtilityList!$C$4:$C$251,0))</f>
        <v>SC</v>
      </c>
    </row>
    <row r="168" spans="1:16" s="344" customFormat="1" ht="30" x14ac:dyDescent="0.25">
      <c r="A168" s="619" t="s">
        <v>227</v>
      </c>
      <c r="B168" s="361" t="s">
        <v>228</v>
      </c>
      <c r="C168" s="350" t="s">
        <v>228</v>
      </c>
      <c r="D168" s="625">
        <v>1</v>
      </c>
      <c r="E168" s="626">
        <v>0</v>
      </c>
      <c r="F168" s="626">
        <v>1</v>
      </c>
      <c r="G168" s="626">
        <v>0</v>
      </c>
      <c r="H168" s="626">
        <v>0</v>
      </c>
      <c r="I168" s="361" t="s">
        <v>718</v>
      </c>
      <c r="J168" s="622" t="str">
        <f t="array" ref="J168">INDEX(UtilityList!H$4:H$251,MATCH('Table 2.1b_percent'!$A168&amp;'Table 2.1b_percent'!$B168&amp;'Table 2.1b_percent'!$C168,UtilityList!$A$4:$A$251&amp;UtilityList!$B$4:$B$251&amp;UtilityList!$C$4:$C$251,0))</f>
        <v>PCE Eligible Active</v>
      </c>
      <c r="K168" s="709">
        <f t="array" ref="K168">INDEX(UtilityList!Q$4:Q$251,MATCH('Table 2.1b_percent'!$A168&amp;'Table 2.1b_percent'!$B168&amp;'Table 2.1b_percent'!$C168,UtilityList!$A$4:$A$251&amp;UtilityList!$B$4:$B$251&amp;UtilityList!$C$4:$C$251,0))</f>
        <v>0</v>
      </c>
      <c r="L168" s="627" t="str">
        <f t="array" ref="L168">INDEX(UtilityList!I$4:I$251,MATCH('Table 2.1b_percent'!$A168&amp;'Table 2.1b_percent'!$B168&amp;'Table 2.1b_percent'!$C168,UtilityList!$A$4:$A$251&amp;UtilityList!$B$4:$B$251&amp;UtilityList!$C$4:$C$251,0))</f>
        <v>KOKHVC</v>
      </c>
      <c r="M168" s="452" t="str">
        <f t="array" ref="M168">INDEX(UtilityList!J$4:J$251,MATCH('Table 2.1b_percent'!$A168&amp;'Table 2.1b_percent'!$B168&amp;'Table 2.1b_percent'!$C168,UtilityList!$A$4:$A$251&amp;UtilityList!$B$4:$B$251&amp;UtilityList!$C$4:$C$251,0))</f>
        <v>Bristol Bay</v>
      </c>
      <c r="N168" s="452" t="str">
        <f t="array" ref="N168">INDEX(UtilityList!K$4:K$251,MATCH('Table 2.1b_percent'!$A168&amp;'Table 2.1b_percent'!$B168&amp;'Table 2.1b_percent'!$C168,UtilityList!$A$4:$A$251&amp;UtilityList!$B$4:$B$251&amp;UtilityList!$C$4:$C$251,0))</f>
        <v>Lake and Peninsula</v>
      </c>
      <c r="O168" s="452" t="str">
        <f t="array" ref="O168">INDEX(UtilityList!L$4:L$251,MATCH('Table 2.1b_percent'!$A168&amp;'Table 2.1b_percent'!$B168&amp;'Table 2.1b_percent'!$C168,UtilityList!$A$4:$A$251&amp;UtilityList!$B$4:$B$251&amp;UtilityList!$C$4:$C$251,0))</f>
        <v>Bristol Bay</v>
      </c>
      <c r="P168" s="452" t="str">
        <f t="array" ref="P168">INDEX(UtilityList!M$4:M$251,MATCH('Table 2.1b_percent'!$A168&amp;'Table 2.1b_percent'!$B168&amp;'Table 2.1b_percent'!$C168,UtilityList!$A$4:$A$251&amp;UtilityList!$B$4:$B$251&amp;UtilityList!$C$4:$C$251,0))</f>
        <v>SW</v>
      </c>
    </row>
    <row r="169" spans="1:16" s="344" customFormat="1" x14ac:dyDescent="0.25">
      <c r="A169" s="619" t="s">
        <v>229</v>
      </c>
      <c r="B169" s="361" t="s">
        <v>230</v>
      </c>
      <c r="C169" s="350" t="s">
        <v>230</v>
      </c>
      <c r="D169" s="625">
        <v>1</v>
      </c>
      <c r="E169" s="626">
        <v>0</v>
      </c>
      <c r="F169" s="626">
        <v>0.92</v>
      </c>
      <c r="G169" s="626">
        <v>0</v>
      </c>
      <c r="H169" s="626">
        <v>0.08</v>
      </c>
      <c r="I169" s="361" t="s">
        <v>648</v>
      </c>
      <c r="J169" s="622" t="str">
        <f t="array" ref="J169">INDEX(UtilityList!H$4:H$251,MATCH('Table 2.1b_percent'!$A169&amp;'Table 2.1b_percent'!$B169&amp;'Table 2.1b_percent'!$C169,UtilityList!$A$4:$A$251&amp;UtilityList!$B$4:$B$251&amp;UtilityList!$C$4:$C$251,0))</f>
        <v>PCE Eligible Active</v>
      </c>
      <c r="K169" s="709">
        <f t="array" ref="K169">INDEX(UtilityList!Q$4:Q$251,MATCH('Table 2.1b_percent'!$A169&amp;'Table 2.1b_percent'!$B169&amp;'Table 2.1b_percent'!$C169,UtilityList!$A$4:$A$251&amp;UtilityList!$B$4:$B$251&amp;UtilityList!$C$4:$C$251,0))</f>
        <v>0</v>
      </c>
      <c r="L169" s="627" t="str">
        <f t="array" ref="L169">INDEX(UtilityList!I$4:I$251,MATCH('Table 2.1b_percent'!$A169&amp;'Table 2.1b_percent'!$B169&amp;'Table 2.1b_percent'!$C169,UtilityList!$A$4:$A$251&amp;UtilityList!$B$4:$B$251&amp;UtilityList!$C$4:$C$251,0))</f>
        <v>KOTZEA</v>
      </c>
      <c r="M169" s="452" t="str">
        <f t="array" ref="M169">INDEX(UtilityList!J$4:J$251,MATCH('Table 2.1b_percent'!$A169&amp;'Table 2.1b_percent'!$B169&amp;'Table 2.1b_percent'!$C169,UtilityList!$A$4:$A$251&amp;UtilityList!$B$4:$B$251&amp;UtilityList!$C$4:$C$251,0))</f>
        <v>Northwest Arctic</v>
      </c>
      <c r="N169" s="452" t="str">
        <f t="array" ref="N169">INDEX(UtilityList!K$4:K$251,MATCH('Table 2.1b_percent'!$A169&amp;'Table 2.1b_percent'!$B169&amp;'Table 2.1b_percent'!$C169,UtilityList!$A$4:$A$251&amp;UtilityList!$B$4:$B$251&amp;UtilityList!$C$4:$C$251,0))</f>
        <v>Northwest Arctic</v>
      </c>
      <c r="O169" s="452" t="str">
        <f t="array" ref="O169">INDEX(UtilityList!L$4:L$251,MATCH('Table 2.1b_percent'!$A169&amp;'Table 2.1b_percent'!$B169&amp;'Table 2.1b_percent'!$C169,UtilityList!$A$4:$A$251&amp;UtilityList!$B$4:$B$251&amp;UtilityList!$C$4:$C$251,0))</f>
        <v>NANA</v>
      </c>
      <c r="P169" s="452" t="str">
        <f t="array" ref="P169">INDEX(UtilityList!M$4:M$251,MATCH('Table 2.1b_percent'!$A169&amp;'Table 2.1b_percent'!$B169&amp;'Table 2.1b_percent'!$C169,UtilityList!$A$4:$A$251&amp;UtilityList!$B$4:$B$251&amp;UtilityList!$C$4:$C$251,0))</f>
        <v>AN</v>
      </c>
    </row>
    <row r="170" spans="1:16" s="344" customFormat="1" ht="30" x14ac:dyDescent="0.25">
      <c r="A170" s="619" t="s">
        <v>231</v>
      </c>
      <c r="B170" s="361" t="s">
        <v>232</v>
      </c>
      <c r="C170" s="350" t="s">
        <v>232</v>
      </c>
      <c r="D170" s="625">
        <v>1</v>
      </c>
      <c r="E170" s="626">
        <v>0</v>
      </c>
      <c r="F170" s="626">
        <v>1</v>
      </c>
      <c r="G170" s="626">
        <v>0</v>
      </c>
      <c r="H170" s="626">
        <v>0</v>
      </c>
      <c r="I170" s="361" t="s">
        <v>718</v>
      </c>
      <c r="J170" s="622" t="str">
        <f t="array" ref="J170">INDEX(UtilityList!H$4:H$251,MATCH('Table 2.1b_percent'!$A170&amp;'Table 2.1b_percent'!$B170&amp;'Table 2.1b_percent'!$C170,UtilityList!$A$4:$A$251&amp;UtilityList!$B$4:$B$251&amp;UtilityList!$C$4:$C$251,0))</f>
        <v>PCE Eligible Active</v>
      </c>
      <c r="K170" s="709">
        <f t="array" ref="K170">INDEX(UtilityList!Q$4:Q$251,MATCH('Table 2.1b_percent'!$A170&amp;'Table 2.1b_percent'!$B170&amp;'Table 2.1b_percent'!$C170,UtilityList!$A$4:$A$251&amp;UtilityList!$B$4:$B$251&amp;UtilityList!$C$4:$C$251,0))</f>
        <v>0</v>
      </c>
      <c r="L170" s="627" t="str">
        <f t="array" ref="L170">INDEX(UtilityList!I$4:I$251,MATCH('Table 2.1b_percent'!$A170&amp;'Table 2.1b_percent'!$B170&amp;'Table 2.1b_percent'!$C170,UtilityList!$A$4:$A$251&amp;UtilityList!$B$4:$B$251&amp;UtilityList!$C$4:$C$251,0))</f>
        <v>KOYU</v>
      </c>
      <c r="M170" s="452" t="str">
        <f t="array" ref="M170">INDEX(UtilityList!J$4:J$251,MATCH('Table 2.1b_percent'!$A170&amp;'Table 2.1b_percent'!$B170&amp;'Table 2.1b_percent'!$C170,UtilityList!$A$4:$A$251&amp;UtilityList!$B$4:$B$251&amp;UtilityList!$C$4:$C$251,0))</f>
        <v>Yukon-Koyukuk/Upper Tanana</v>
      </c>
      <c r="N170" s="452" t="str">
        <f t="array" ref="N170">INDEX(UtilityList!K$4:K$251,MATCH('Table 2.1b_percent'!$A170&amp;'Table 2.1b_percent'!$B170&amp;'Table 2.1b_percent'!$C170,UtilityList!$A$4:$A$251&amp;UtilityList!$B$4:$B$251&amp;UtilityList!$C$4:$C$251,0))</f>
        <v>Yukon-Koyukuk (CA)</v>
      </c>
      <c r="O170" s="452" t="str">
        <f t="array" ref="O170">INDEX(UtilityList!L$4:L$251,MATCH('Table 2.1b_percent'!$A170&amp;'Table 2.1b_percent'!$B170&amp;'Table 2.1b_percent'!$C170,UtilityList!$A$4:$A$251&amp;UtilityList!$B$4:$B$251&amp;UtilityList!$C$4:$C$251,0))</f>
        <v>Doyon</v>
      </c>
      <c r="P170" s="452" t="str">
        <f t="array" ref="P170">INDEX(UtilityList!M$4:M$251,MATCH('Table 2.1b_percent'!$A170&amp;'Table 2.1b_percent'!$B170&amp;'Table 2.1b_percent'!$C170,UtilityList!$A$4:$A$251&amp;UtilityList!$B$4:$B$251&amp;UtilityList!$C$4:$C$251,0))</f>
        <v>YU</v>
      </c>
    </row>
    <row r="171" spans="1:16" s="344" customFormat="1" ht="30" x14ac:dyDescent="0.25">
      <c r="A171" s="619" t="s">
        <v>233</v>
      </c>
      <c r="B171" s="361" t="s">
        <v>234</v>
      </c>
      <c r="C171" s="350" t="s">
        <v>234</v>
      </c>
      <c r="D171" s="625">
        <v>1</v>
      </c>
      <c r="E171" s="626">
        <v>0</v>
      </c>
      <c r="F171" s="626">
        <v>1</v>
      </c>
      <c r="G171" s="626">
        <v>0</v>
      </c>
      <c r="H171" s="626">
        <v>0</v>
      </c>
      <c r="I171" s="361" t="s">
        <v>718</v>
      </c>
      <c r="J171" s="622" t="str">
        <f t="array" ref="J171">INDEX(UtilityList!H$4:H$251,MATCH('Table 2.1b_percent'!$A171&amp;'Table 2.1b_percent'!$B171&amp;'Table 2.1b_percent'!$C171,UtilityList!$A$4:$A$251&amp;UtilityList!$B$4:$B$251&amp;UtilityList!$C$4:$C$251,0))</f>
        <v>PCE Eligible Active</v>
      </c>
      <c r="K171" s="709">
        <f t="array" ref="K171">INDEX(UtilityList!Q$4:Q$251,MATCH('Table 2.1b_percent'!$A171&amp;'Table 2.1b_percent'!$B171&amp;'Table 2.1b_percent'!$C171,UtilityList!$A$4:$A$251&amp;UtilityList!$B$4:$B$251&amp;UtilityList!$C$4:$C$251,0))</f>
        <v>0</v>
      </c>
      <c r="L171" s="627" t="str">
        <f t="array" ref="L171">INDEX(UtilityList!I$4:I$251,MATCH('Table 2.1b_percent'!$A171&amp;'Table 2.1b_percent'!$B171&amp;'Table 2.1b_percent'!$C171,UtilityList!$A$4:$A$251&amp;UtilityList!$B$4:$B$251&amp;UtilityList!$C$4:$C$251,0))</f>
        <v>KWET</v>
      </c>
      <c r="M171" s="452" t="str">
        <f t="array" ref="M171">INDEX(UtilityList!J$4:J$251,MATCH('Table 2.1b_percent'!$A171&amp;'Table 2.1b_percent'!$B171&amp;'Table 2.1b_percent'!$C171,UtilityList!$A$4:$A$251&amp;UtilityList!$B$4:$B$251&amp;UtilityList!$C$4:$C$251,0))</f>
        <v>Lower Yukon-Kuskokwim</v>
      </c>
      <c r="N171" s="452" t="str">
        <f t="array" ref="N171">INDEX(UtilityList!K$4:K$251,MATCH('Table 2.1b_percent'!$A171&amp;'Table 2.1b_percent'!$B171&amp;'Table 2.1b_percent'!$C171,UtilityList!$A$4:$A$251&amp;UtilityList!$B$4:$B$251&amp;UtilityList!$C$4:$C$251,0))</f>
        <v>Bethel (CA)</v>
      </c>
      <c r="O171" s="452" t="str">
        <f t="array" ref="O171">INDEX(UtilityList!L$4:L$251,MATCH('Table 2.1b_percent'!$A171&amp;'Table 2.1b_percent'!$B171&amp;'Table 2.1b_percent'!$C171,UtilityList!$A$4:$A$251&amp;UtilityList!$B$4:$B$251&amp;UtilityList!$C$4:$C$251,0))</f>
        <v>Calista</v>
      </c>
      <c r="P171" s="452" t="str">
        <f t="array" ref="P171">INDEX(UtilityList!M$4:M$251,MATCH('Table 2.1b_percent'!$A171&amp;'Table 2.1b_percent'!$B171&amp;'Table 2.1b_percent'!$C171,UtilityList!$A$4:$A$251&amp;UtilityList!$B$4:$B$251&amp;UtilityList!$C$4:$C$251,0))</f>
        <v>SW</v>
      </c>
    </row>
    <row r="172" spans="1:16" s="344" customFormat="1" ht="30" x14ac:dyDescent="0.25">
      <c r="A172" s="619" t="s">
        <v>641</v>
      </c>
      <c r="B172" s="361" t="s">
        <v>235</v>
      </c>
      <c r="C172" s="350" t="s">
        <v>235</v>
      </c>
      <c r="D172" s="625">
        <v>1</v>
      </c>
      <c r="E172" s="626">
        <v>0</v>
      </c>
      <c r="F172" s="626">
        <v>1</v>
      </c>
      <c r="G172" s="626">
        <v>0</v>
      </c>
      <c r="H172" s="626">
        <v>0</v>
      </c>
      <c r="I172" s="361" t="s">
        <v>718</v>
      </c>
      <c r="J172" s="622" t="str">
        <f t="array" ref="J172">INDEX(UtilityList!H$4:H$251,MATCH('Table 2.1b_percent'!$A172&amp;'Table 2.1b_percent'!$B172&amp;'Table 2.1b_percent'!$C172,UtilityList!$A$4:$A$251&amp;UtilityList!$B$4:$B$251&amp;UtilityList!$C$4:$C$251,0))</f>
        <v>PCE Eligible Active</v>
      </c>
      <c r="K172" s="709">
        <f t="array" ref="K172">INDEX(UtilityList!Q$4:Q$251,MATCH('Table 2.1b_percent'!$A172&amp;'Table 2.1b_percent'!$B172&amp;'Table 2.1b_percent'!$C172,UtilityList!$A$4:$A$251&amp;UtilityList!$B$4:$B$251&amp;UtilityList!$C$4:$C$251,0))</f>
        <v>0</v>
      </c>
      <c r="L172" s="627" t="str">
        <f t="array" ref="L172">INDEX(UtilityList!I$4:I$251,MATCH('Table 2.1b_percent'!$A172&amp;'Table 2.1b_percent'!$B172&amp;'Table 2.1b_percent'!$C172,UtilityList!$A$4:$A$251&amp;UtilityList!$B$4:$B$251&amp;UtilityList!$C$4:$C$251,0))</f>
        <v>KWIGPC</v>
      </c>
      <c r="M172" s="452" t="str">
        <f t="array" ref="M172">INDEX(UtilityList!J$4:J$251,MATCH('Table 2.1b_percent'!$A172&amp;'Table 2.1b_percent'!$B172&amp;'Table 2.1b_percent'!$C172,UtilityList!$A$4:$A$251&amp;UtilityList!$B$4:$B$251&amp;UtilityList!$C$4:$C$251,0))</f>
        <v>Lower Yukon-Kuskokwim</v>
      </c>
      <c r="N172" s="452" t="str">
        <f t="array" ref="N172">INDEX(UtilityList!K$4:K$251,MATCH('Table 2.1b_percent'!$A172&amp;'Table 2.1b_percent'!$B172&amp;'Table 2.1b_percent'!$C172,UtilityList!$A$4:$A$251&amp;UtilityList!$B$4:$B$251&amp;UtilityList!$C$4:$C$251,0))</f>
        <v>Bethel (CA)</v>
      </c>
      <c r="O172" s="452" t="str">
        <f t="array" ref="O172">INDEX(UtilityList!L$4:L$251,MATCH('Table 2.1b_percent'!$A172&amp;'Table 2.1b_percent'!$B172&amp;'Table 2.1b_percent'!$C172,UtilityList!$A$4:$A$251&amp;UtilityList!$B$4:$B$251&amp;UtilityList!$C$4:$C$251,0))</f>
        <v>Calista</v>
      </c>
      <c r="P172" s="452" t="str">
        <f t="array" ref="P172">INDEX(UtilityList!M$4:M$251,MATCH('Table 2.1b_percent'!$A172&amp;'Table 2.1b_percent'!$B172&amp;'Table 2.1b_percent'!$C172,UtilityList!$A$4:$A$251&amp;UtilityList!$B$4:$B$251&amp;UtilityList!$C$4:$C$251,0))</f>
        <v>SW</v>
      </c>
    </row>
    <row r="173" spans="1:16" s="344" customFormat="1" x14ac:dyDescent="0.25">
      <c r="A173" s="619" t="s">
        <v>236</v>
      </c>
      <c r="B173" s="339" t="s">
        <v>237</v>
      </c>
      <c r="C173" s="623" t="s">
        <v>237</v>
      </c>
      <c r="D173" s="625">
        <v>1</v>
      </c>
      <c r="E173" s="626">
        <v>0</v>
      </c>
      <c r="F173" s="626">
        <v>0</v>
      </c>
      <c r="G173" s="626">
        <v>1</v>
      </c>
      <c r="H173" s="626">
        <v>0</v>
      </c>
      <c r="I173" s="361" t="s">
        <v>652</v>
      </c>
      <c r="J173" s="622" t="str">
        <f t="array" ref="J173">INDEX(UtilityList!H$4:H$251,MATCH('Table 2.1b_percent'!$A173&amp;'Table 2.1b_percent'!$B173&amp;'Table 2.1b_percent'!$C173,UtilityList!$A$4:$A$251&amp;UtilityList!$B$4:$B$251&amp;UtilityList!$C$4:$C$251,0))</f>
        <v>PCE Eligible Active</v>
      </c>
      <c r="K173" s="709">
        <f t="array" ref="K173">INDEX(UtilityList!Q$4:Q$251,MATCH('Table 2.1b_percent'!$A173&amp;'Table 2.1b_percent'!$B173&amp;'Table 2.1b_percent'!$C173,UtilityList!$A$4:$A$251&amp;UtilityList!$B$4:$B$251&amp;UtilityList!$C$4:$C$251,0))</f>
        <v>0</v>
      </c>
      <c r="L173" s="627" t="str">
        <f t="array" ref="L173">INDEX(UtilityList!I$4:I$251,MATCH('Table 2.1b_percent'!$A173&amp;'Table 2.1b_percent'!$B173&amp;'Table 2.1b_percent'!$C173,UtilityList!$A$4:$A$251&amp;UtilityList!$B$4:$B$251&amp;UtilityList!$C$4:$C$251,0))</f>
        <v>LARSBUC</v>
      </c>
      <c r="M173" s="452" t="str">
        <f t="array" ref="M173">INDEX(UtilityList!J$4:J$251,MATCH('Table 2.1b_percent'!$A173&amp;'Table 2.1b_percent'!$B173&amp;'Table 2.1b_percent'!$C173,UtilityList!$A$4:$A$251&amp;UtilityList!$B$4:$B$251&amp;UtilityList!$C$4:$C$251,0))</f>
        <v>Kodiak</v>
      </c>
      <c r="N173" s="452" t="str">
        <f t="array" ref="N173">INDEX(UtilityList!K$4:K$251,MATCH('Table 2.1b_percent'!$A173&amp;'Table 2.1b_percent'!$B173&amp;'Table 2.1b_percent'!$C173,UtilityList!$A$4:$A$251&amp;UtilityList!$B$4:$B$251&amp;UtilityList!$C$4:$C$251,0))</f>
        <v>Kodiak Island</v>
      </c>
      <c r="O173" s="452" t="str">
        <f t="array" ref="O173">INDEX(UtilityList!L$4:L$251,MATCH('Table 2.1b_percent'!$A173&amp;'Table 2.1b_percent'!$B173&amp;'Table 2.1b_percent'!$C173,UtilityList!$A$4:$A$251&amp;UtilityList!$B$4:$B$251&amp;UtilityList!$C$4:$C$251,0))</f>
        <v>Koniag</v>
      </c>
      <c r="P173" s="452" t="str">
        <f t="array" ref="P173">INDEX(UtilityList!M$4:M$251,MATCH('Table 2.1b_percent'!$A173&amp;'Table 2.1b_percent'!$B173&amp;'Table 2.1b_percent'!$C173,UtilityList!$A$4:$A$251&amp;UtilityList!$B$4:$B$251&amp;UtilityList!$C$4:$C$251,0))</f>
        <v>SC</v>
      </c>
    </row>
    <row r="174" spans="1:16" s="344" customFormat="1" ht="30" x14ac:dyDescent="0.25">
      <c r="A174" s="619" t="s">
        <v>236</v>
      </c>
      <c r="B174" s="361" t="s">
        <v>237</v>
      </c>
      <c r="C174" s="350" t="s">
        <v>237</v>
      </c>
      <c r="D174" s="625">
        <v>1</v>
      </c>
      <c r="E174" s="626">
        <v>0</v>
      </c>
      <c r="F174" s="626">
        <v>1</v>
      </c>
      <c r="G174" s="626">
        <v>0</v>
      </c>
      <c r="H174" s="626">
        <v>0</v>
      </c>
      <c r="I174" s="361" t="s">
        <v>718</v>
      </c>
      <c r="J174" s="622" t="str">
        <f t="array" ref="J174">INDEX(UtilityList!H$4:H$251,MATCH('Table 2.1b_percent'!$A174&amp;'Table 2.1b_percent'!$B174&amp;'Table 2.1b_percent'!$C174,UtilityList!$A$4:$A$251&amp;UtilityList!$B$4:$B$251&amp;UtilityList!$C$4:$C$251,0))</f>
        <v>PCE Eligible Active</v>
      </c>
      <c r="K174" s="709">
        <f t="array" ref="K174">INDEX(UtilityList!Q$4:Q$251,MATCH('Table 2.1b_percent'!$A174&amp;'Table 2.1b_percent'!$B174&amp;'Table 2.1b_percent'!$C174,UtilityList!$A$4:$A$251&amp;UtilityList!$B$4:$B$251&amp;UtilityList!$C$4:$C$251,0))</f>
        <v>0</v>
      </c>
      <c r="L174" s="627" t="str">
        <f t="array" ref="L174">INDEX(UtilityList!I$4:I$251,MATCH('Table 2.1b_percent'!$A174&amp;'Table 2.1b_percent'!$B174&amp;'Table 2.1b_percent'!$C174,UtilityList!$A$4:$A$251&amp;UtilityList!$B$4:$B$251&amp;UtilityList!$C$4:$C$251,0))</f>
        <v>LARSBUC</v>
      </c>
      <c r="M174" s="452" t="str">
        <f t="array" ref="M174">INDEX(UtilityList!J$4:J$251,MATCH('Table 2.1b_percent'!$A174&amp;'Table 2.1b_percent'!$B174&amp;'Table 2.1b_percent'!$C174,UtilityList!$A$4:$A$251&amp;UtilityList!$B$4:$B$251&amp;UtilityList!$C$4:$C$251,0))</f>
        <v>Kodiak</v>
      </c>
      <c r="N174" s="452" t="str">
        <f t="array" ref="N174">INDEX(UtilityList!K$4:K$251,MATCH('Table 2.1b_percent'!$A174&amp;'Table 2.1b_percent'!$B174&amp;'Table 2.1b_percent'!$C174,UtilityList!$A$4:$A$251&amp;UtilityList!$B$4:$B$251&amp;UtilityList!$C$4:$C$251,0))</f>
        <v>Kodiak Island</v>
      </c>
      <c r="O174" s="452" t="str">
        <f t="array" ref="O174">INDEX(UtilityList!L$4:L$251,MATCH('Table 2.1b_percent'!$A174&amp;'Table 2.1b_percent'!$B174&amp;'Table 2.1b_percent'!$C174,UtilityList!$A$4:$A$251&amp;UtilityList!$B$4:$B$251&amp;UtilityList!$C$4:$C$251,0))</f>
        <v>Koniag</v>
      </c>
      <c r="P174" s="452" t="str">
        <f t="array" ref="P174">INDEX(UtilityList!M$4:M$251,MATCH('Table 2.1b_percent'!$A174&amp;'Table 2.1b_percent'!$B174&amp;'Table 2.1b_percent'!$C174,UtilityList!$A$4:$A$251&amp;UtilityList!$B$4:$B$251&amp;UtilityList!$C$4:$C$251,0))</f>
        <v>SC</v>
      </c>
    </row>
    <row r="175" spans="1:16" s="344" customFormat="1" ht="30" x14ac:dyDescent="0.25">
      <c r="A175" s="619" t="s">
        <v>238</v>
      </c>
      <c r="B175" s="361" t="s">
        <v>239</v>
      </c>
      <c r="C175" s="350" t="s">
        <v>239</v>
      </c>
      <c r="D175" s="625">
        <v>1</v>
      </c>
      <c r="E175" s="626">
        <v>0</v>
      </c>
      <c r="F175" s="626">
        <v>1</v>
      </c>
      <c r="G175" s="626">
        <v>0</v>
      </c>
      <c r="H175" s="626">
        <v>0</v>
      </c>
      <c r="I175" s="361" t="s">
        <v>718</v>
      </c>
      <c r="J175" s="622" t="str">
        <f t="array" ref="J175">INDEX(UtilityList!H$4:H$251,MATCH('Table 2.1b_percent'!$A175&amp;'Table 2.1b_percent'!$B175&amp;'Table 2.1b_percent'!$C175,UtilityList!$A$4:$A$251&amp;UtilityList!$B$4:$B$251&amp;UtilityList!$C$4:$C$251,0))</f>
        <v>PCE Eligible Active</v>
      </c>
      <c r="K175" s="709">
        <f t="array" ref="K175">INDEX(UtilityList!Q$4:Q$251,MATCH('Table 2.1b_percent'!$A175&amp;'Table 2.1b_percent'!$B175&amp;'Table 2.1b_percent'!$C175,UtilityList!$A$4:$A$251&amp;UtilityList!$B$4:$B$251&amp;UtilityList!$C$4:$C$251,0))</f>
        <v>0</v>
      </c>
      <c r="L175" s="627" t="str">
        <f t="array" ref="L175">INDEX(UtilityList!I$4:I$251,MATCH('Table 2.1b_percent'!$A175&amp;'Table 2.1b_percent'!$B175&amp;'Table 2.1b_percent'!$C175,UtilityList!$A$4:$A$251&amp;UtilityList!$B$4:$B$251&amp;UtilityList!$C$4:$C$251,0))</f>
        <v>LEVEEC</v>
      </c>
      <c r="M175" s="452" t="str">
        <f t="array" ref="M175">INDEX(UtilityList!J$4:J$251,MATCH('Table 2.1b_percent'!$A175&amp;'Table 2.1b_percent'!$B175&amp;'Table 2.1b_percent'!$C175,UtilityList!$A$4:$A$251&amp;UtilityList!$B$4:$B$251&amp;UtilityList!$C$4:$C$251,0))</f>
        <v>Bristol Bay</v>
      </c>
      <c r="N175" s="452" t="str">
        <f t="array" ref="N175">INDEX(UtilityList!K$4:K$251,MATCH('Table 2.1b_percent'!$A175&amp;'Table 2.1b_percent'!$B175&amp;'Table 2.1b_percent'!$C175,UtilityList!$A$4:$A$251&amp;UtilityList!$B$4:$B$251&amp;UtilityList!$C$4:$C$251,0))</f>
        <v>Lake and Peninsula</v>
      </c>
      <c r="O175" s="452" t="str">
        <f t="array" ref="O175">INDEX(UtilityList!L$4:L$251,MATCH('Table 2.1b_percent'!$A175&amp;'Table 2.1b_percent'!$B175&amp;'Table 2.1b_percent'!$C175,UtilityList!$A$4:$A$251&amp;UtilityList!$B$4:$B$251&amp;UtilityList!$C$4:$C$251,0))</f>
        <v>Bristol Bay</v>
      </c>
      <c r="P175" s="452" t="str">
        <f t="array" ref="P175">INDEX(UtilityList!M$4:M$251,MATCH('Table 2.1b_percent'!$A175&amp;'Table 2.1b_percent'!$B175&amp;'Table 2.1b_percent'!$C175,UtilityList!$A$4:$A$251&amp;UtilityList!$B$4:$B$251&amp;UtilityList!$C$4:$C$251,0))</f>
        <v>SW</v>
      </c>
    </row>
    <row r="176" spans="1:16" s="344" customFormat="1" ht="30" x14ac:dyDescent="0.25">
      <c r="A176" s="619" t="s">
        <v>242</v>
      </c>
      <c r="B176" s="361" t="s">
        <v>243</v>
      </c>
      <c r="C176" s="350" t="s">
        <v>243</v>
      </c>
      <c r="D176" s="625">
        <v>1</v>
      </c>
      <c r="E176" s="626">
        <v>0</v>
      </c>
      <c r="F176" s="626">
        <v>1</v>
      </c>
      <c r="G176" s="626">
        <v>0</v>
      </c>
      <c r="H176" s="626">
        <v>0</v>
      </c>
      <c r="I176" s="361" t="s">
        <v>718</v>
      </c>
      <c r="J176" s="622" t="str">
        <f t="array" ref="J176">INDEX(UtilityList!H$4:H$251,MATCH('Table 2.1b_percent'!$A176&amp;'Table 2.1b_percent'!$B176&amp;'Table 2.1b_percent'!$C176,UtilityList!$A$4:$A$251&amp;UtilityList!$B$4:$B$251&amp;UtilityList!$C$4:$C$251,0))</f>
        <v>PCE Eligible Active</v>
      </c>
      <c r="K176" s="709">
        <f t="array" ref="K176">INDEX(UtilityList!Q$4:Q$251,MATCH('Table 2.1b_percent'!$A176&amp;'Table 2.1b_percent'!$B176&amp;'Table 2.1b_percent'!$C176,UtilityList!$A$4:$A$251&amp;UtilityList!$B$4:$B$251&amp;UtilityList!$C$4:$C$251,0))</f>
        <v>0</v>
      </c>
      <c r="L176" s="627" t="str">
        <f t="array" ref="L176">INDEX(UtilityList!I$4:I$251,MATCH('Table 2.1b_percent'!$A176&amp;'Table 2.1b_percent'!$B176&amp;'Table 2.1b_percent'!$C176,UtilityList!$A$4:$A$251&amp;UtilityList!$B$4:$B$251&amp;UtilityList!$C$4:$C$251,0))</f>
        <v>MANOPC</v>
      </c>
      <c r="M176" s="452" t="str">
        <f t="array" ref="M176">INDEX(UtilityList!J$4:J$251,MATCH('Table 2.1b_percent'!$A176&amp;'Table 2.1b_percent'!$B176&amp;'Table 2.1b_percent'!$C176,UtilityList!$A$4:$A$251&amp;UtilityList!$B$4:$B$251&amp;UtilityList!$C$4:$C$251,0))</f>
        <v>Bristol Bay</v>
      </c>
      <c r="N176" s="452" t="str">
        <f t="array" ref="N176">INDEX(UtilityList!K$4:K$251,MATCH('Table 2.1b_percent'!$A176&amp;'Table 2.1b_percent'!$B176&amp;'Table 2.1b_percent'!$C176,UtilityList!$A$4:$A$251&amp;UtilityList!$B$4:$B$251&amp;UtilityList!$C$4:$C$251,0))</f>
        <v>Dillingham (CA)</v>
      </c>
      <c r="O176" s="452" t="str">
        <f t="array" ref="O176">INDEX(UtilityList!L$4:L$251,MATCH('Table 2.1b_percent'!$A176&amp;'Table 2.1b_percent'!$B176&amp;'Table 2.1b_percent'!$C176,UtilityList!$A$4:$A$251&amp;UtilityList!$B$4:$B$251&amp;UtilityList!$C$4:$C$251,0))</f>
        <v>Bristol Bay</v>
      </c>
      <c r="P176" s="452" t="str">
        <f t="array" ref="P176">INDEX(UtilityList!M$4:M$251,MATCH('Table 2.1b_percent'!$A176&amp;'Table 2.1b_percent'!$B176&amp;'Table 2.1b_percent'!$C176,UtilityList!$A$4:$A$251&amp;UtilityList!$B$4:$B$251&amp;UtilityList!$C$4:$C$251,0))</f>
        <v>SW</v>
      </c>
    </row>
    <row r="177" spans="1:16" s="344" customFormat="1" ht="30" x14ac:dyDescent="0.25">
      <c r="A177" s="619" t="s">
        <v>509</v>
      </c>
      <c r="B177" s="361" t="s">
        <v>244</v>
      </c>
      <c r="C177" s="350" t="s">
        <v>244</v>
      </c>
      <c r="D177" s="625">
        <v>1</v>
      </c>
      <c r="E177" s="626">
        <v>0</v>
      </c>
      <c r="F177" s="626">
        <v>1</v>
      </c>
      <c r="G177" s="626">
        <v>0</v>
      </c>
      <c r="H177" s="626">
        <v>0</v>
      </c>
      <c r="I177" s="361" t="s">
        <v>648</v>
      </c>
      <c r="J177" s="622" t="str">
        <f t="array" ref="J177">INDEX(UtilityList!H$4:H$251,MATCH('Table 2.1b_percent'!$A177&amp;'Table 2.1b_percent'!$B177&amp;'Table 2.1b_percent'!$C177,UtilityList!$A$4:$A$251&amp;UtilityList!$B$4:$B$251&amp;UtilityList!$C$4:$C$251,0))</f>
        <v>PCE Eligible Active</v>
      </c>
      <c r="K177" s="709">
        <f t="array" ref="K177">INDEX(UtilityList!Q$4:Q$251,MATCH('Table 2.1b_percent'!$A177&amp;'Table 2.1b_percent'!$B177&amp;'Table 2.1b_percent'!$C177,UtilityList!$A$4:$A$251&amp;UtilityList!$B$4:$B$251&amp;UtilityList!$C$4:$C$251,0))</f>
        <v>0</v>
      </c>
      <c r="L177" s="627" t="str">
        <f t="array" ref="L177">INDEX(UtilityList!I$4:I$251,MATCH('Table 2.1b_percent'!$A177&amp;'Table 2.1b_percent'!$B177&amp;'Table 2.1b_percent'!$C177,UtilityList!$A$4:$A$251&amp;UtilityList!$B$4:$B$251&amp;UtilityList!$C$4:$C$251,0))</f>
        <v>MCGRLP</v>
      </c>
      <c r="M177" s="452" t="str">
        <f t="array" ref="M177">INDEX(UtilityList!J$4:J$251,MATCH('Table 2.1b_percent'!$A177&amp;'Table 2.1b_percent'!$B177&amp;'Table 2.1b_percent'!$C177,UtilityList!$A$4:$A$251&amp;UtilityList!$B$4:$B$251&amp;UtilityList!$C$4:$C$251,0))</f>
        <v>Yukon-Koyukuk/Upper Tanana</v>
      </c>
      <c r="N177" s="452" t="str">
        <f t="array" ref="N177">INDEX(UtilityList!K$4:K$251,MATCH('Table 2.1b_percent'!$A177&amp;'Table 2.1b_percent'!$B177&amp;'Table 2.1b_percent'!$C177,UtilityList!$A$4:$A$251&amp;UtilityList!$B$4:$B$251&amp;UtilityList!$C$4:$C$251,0))</f>
        <v>Yukon-Koyukuk (CA)</v>
      </c>
      <c r="O177" s="452" t="str">
        <f t="array" ref="O177">INDEX(UtilityList!L$4:L$251,MATCH('Table 2.1b_percent'!$A177&amp;'Table 2.1b_percent'!$B177&amp;'Table 2.1b_percent'!$C177,UtilityList!$A$4:$A$251&amp;UtilityList!$B$4:$B$251&amp;UtilityList!$C$4:$C$251,0))</f>
        <v>Doyon</v>
      </c>
      <c r="P177" s="452" t="str">
        <f t="array" ref="P177">INDEX(UtilityList!M$4:M$251,MATCH('Table 2.1b_percent'!$A177&amp;'Table 2.1b_percent'!$B177&amp;'Table 2.1b_percent'!$C177,UtilityList!$A$4:$A$251&amp;UtilityList!$B$4:$B$251&amp;UtilityList!$C$4:$C$251,0))</f>
        <v>SW</v>
      </c>
    </row>
    <row r="178" spans="1:16" s="344" customFormat="1" x14ac:dyDescent="0.25">
      <c r="A178" s="619" t="s">
        <v>245</v>
      </c>
      <c r="B178" s="361" t="s">
        <v>246</v>
      </c>
      <c r="C178" s="350" t="s">
        <v>247</v>
      </c>
      <c r="D178" s="625">
        <v>1</v>
      </c>
      <c r="E178" s="626">
        <v>0</v>
      </c>
      <c r="F178" s="626">
        <v>1</v>
      </c>
      <c r="G178" s="626">
        <v>0</v>
      </c>
      <c r="H178" s="626">
        <v>0</v>
      </c>
      <c r="I178" s="361" t="s">
        <v>648</v>
      </c>
      <c r="J178" s="622" t="str">
        <f t="array" ref="J178">INDEX(UtilityList!H$4:H$251,MATCH('Table 2.1b_percent'!$A178&amp;'Table 2.1b_percent'!$B178&amp;'Table 2.1b_percent'!$C178,UtilityList!$A$4:$A$251&amp;UtilityList!$B$4:$B$251&amp;UtilityList!$C$4:$C$251,0))</f>
        <v>PCE Ineligible</v>
      </c>
      <c r="K178" s="709">
        <f t="array" ref="K178">INDEX(UtilityList!Q$4:Q$251,MATCH('Table 2.1b_percent'!$A178&amp;'Table 2.1b_percent'!$B178&amp;'Table 2.1b_percent'!$C178,UtilityList!$A$4:$A$251&amp;UtilityList!$B$4:$B$251&amp;UtilityList!$C$4:$C$251,0))</f>
        <v>0</v>
      </c>
      <c r="L178" s="627" t="str">
        <f t="array" ref="L178">INDEX(UtilityList!I$4:I$251,MATCH('Table 2.1b_percent'!$A178&amp;'Table 2.1b_percent'!$B178&amp;'Table 2.1b_percent'!$C178,UtilityList!$A$4:$A$251&amp;UtilityList!$B$4:$B$251&amp;UtilityList!$C$4:$C$251,0))</f>
        <v>MP&amp;L</v>
      </c>
      <c r="M178" s="452" t="str">
        <f t="array" ref="M178">INDEX(UtilityList!J$4:J$251,MATCH('Table 2.1b_percent'!$A178&amp;'Table 2.1b_percent'!$B178&amp;'Table 2.1b_percent'!$C178,UtilityList!$A$4:$A$251&amp;UtilityList!$B$4:$B$251&amp;UtilityList!$C$4:$C$251,0))</f>
        <v>Southeast</v>
      </c>
      <c r="N178" s="452" t="str">
        <f t="array" ref="N178">INDEX(UtilityList!K$4:K$251,MATCH('Table 2.1b_percent'!$A178&amp;'Table 2.1b_percent'!$B178&amp;'Table 2.1b_percent'!$C178,UtilityList!$A$4:$A$251&amp;UtilityList!$B$4:$B$251&amp;UtilityList!$C$4:$C$251,0))</f>
        <v>Prince of Wales-Hyder (CA)</v>
      </c>
      <c r="O178" s="452" t="str">
        <f t="array" ref="O178">INDEX(UtilityList!L$4:L$251,MATCH('Table 2.1b_percent'!$A178&amp;'Table 2.1b_percent'!$B178&amp;'Table 2.1b_percent'!$C178,UtilityList!$A$4:$A$251&amp;UtilityList!$B$4:$B$251&amp;UtilityList!$C$4:$C$251,0))</f>
        <v>Sealaska</v>
      </c>
      <c r="P178" s="452" t="str">
        <f t="array" ref="P178">INDEX(UtilityList!M$4:M$251,MATCH('Table 2.1b_percent'!$A178&amp;'Table 2.1b_percent'!$B178&amp;'Table 2.1b_percent'!$C178,UtilityList!$A$4:$A$251&amp;UtilityList!$B$4:$B$251&amp;UtilityList!$C$4:$C$251,0))</f>
        <v>SE</v>
      </c>
    </row>
    <row r="179" spans="1:16" s="344" customFormat="1" x14ac:dyDescent="0.25">
      <c r="A179" s="619" t="s">
        <v>245</v>
      </c>
      <c r="B179" s="361" t="s">
        <v>248</v>
      </c>
      <c r="C179" s="350" t="s">
        <v>247</v>
      </c>
      <c r="D179" s="625">
        <v>1</v>
      </c>
      <c r="E179" s="626">
        <v>0</v>
      </c>
      <c r="F179" s="626">
        <v>0</v>
      </c>
      <c r="G179" s="626">
        <v>1</v>
      </c>
      <c r="H179" s="626">
        <v>0</v>
      </c>
      <c r="I179" s="361" t="s">
        <v>648</v>
      </c>
      <c r="J179" s="622" t="str">
        <f t="array" ref="J179">INDEX(UtilityList!H$4:H$251,MATCH('Table 2.1b_percent'!$A179&amp;'Table 2.1b_percent'!$B179&amp;'Table 2.1b_percent'!$C179,UtilityList!$A$4:$A$251&amp;UtilityList!$B$4:$B$251&amp;UtilityList!$C$4:$C$251,0))</f>
        <v>PCE Ineligible</v>
      </c>
      <c r="K179" s="709">
        <f t="array" ref="K179">INDEX(UtilityList!Q$4:Q$251,MATCH('Table 2.1b_percent'!$A179&amp;'Table 2.1b_percent'!$B179&amp;'Table 2.1b_percent'!$C179,UtilityList!$A$4:$A$251&amp;UtilityList!$B$4:$B$251&amp;UtilityList!$C$4:$C$251,0))</f>
        <v>0</v>
      </c>
      <c r="L179" s="627" t="str">
        <f t="array" ref="L179">INDEX(UtilityList!I$4:I$251,MATCH('Table 2.1b_percent'!$A179&amp;'Table 2.1b_percent'!$B179&amp;'Table 2.1b_percent'!$C179,UtilityList!$A$4:$A$251&amp;UtilityList!$B$4:$B$251&amp;UtilityList!$C$4:$C$251,0))</f>
        <v>MP&amp;L</v>
      </c>
      <c r="M179" s="452" t="str">
        <f t="array" ref="M179">INDEX(UtilityList!J$4:J$251,MATCH('Table 2.1b_percent'!$A179&amp;'Table 2.1b_percent'!$B179&amp;'Table 2.1b_percent'!$C179,UtilityList!$A$4:$A$251&amp;UtilityList!$B$4:$B$251&amp;UtilityList!$C$4:$C$251,0))</f>
        <v>Southeast</v>
      </c>
      <c r="N179" s="452" t="str">
        <f t="array" ref="N179">INDEX(UtilityList!K$4:K$251,MATCH('Table 2.1b_percent'!$A179&amp;'Table 2.1b_percent'!$B179&amp;'Table 2.1b_percent'!$C179,UtilityList!$A$4:$A$251&amp;UtilityList!$B$4:$B$251&amp;UtilityList!$C$4:$C$251,0))</f>
        <v>Prince of Wales-Hyder (CA)</v>
      </c>
      <c r="O179" s="452" t="str">
        <f t="array" ref="O179">INDEX(UtilityList!L$4:L$251,MATCH('Table 2.1b_percent'!$A179&amp;'Table 2.1b_percent'!$B179&amp;'Table 2.1b_percent'!$C179,UtilityList!$A$4:$A$251&amp;UtilityList!$B$4:$B$251&amp;UtilityList!$C$4:$C$251,0))</f>
        <v>Sealaska</v>
      </c>
      <c r="P179" s="452" t="str">
        <f t="array" ref="P179">INDEX(UtilityList!M$4:M$251,MATCH('Table 2.1b_percent'!$A179&amp;'Table 2.1b_percent'!$B179&amp;'Table 2.1b_percent'!$C179,UtilityList!$A$4:$A$251&amp;UtilityList!$B$4:$B$251&amp;UtilityList!$C$4:$C$251,0))</f>
        <v>SE</v>
      </c>
    </row>
    <row r="180" spans="1:16" s="344" customFormat="1" x14ac:dyDescent="0.25">
      <c r="A180" s="619" t="s">
        <v>245</v>
      </c>
      <c r="B180" s="361" t="s">
        <v>249</v>
      </c>
      <c r="C180" s="350" t="s">
        <v>247</v>
      </c>
      <c r="D180" s="625">
        <v>1</v>
      </c>
      <c r="E180" s="626">
        <v>0</v>
      </c>
      <c r="F180" s="626">
        <v>0</v>
      </c>
      <c r="G180" s="626">
        <v>1</v>
      </c>
      <c r="H180" s="626">
        <v>0</v>
      </c>
      <c r="I180" s="361" t="s">
        <v>648</v>
      </c>
      <c r="J180" s="622" t="str">
        <f t="array" ref="J180">INDEX(UtilityList!H$4:H$251,MATCH('Table 2.1b_percent'!$A180&amp;'Table 2.1b_percent'!$B180&amp;'Table 2.1b_percent'!$C180,UtilityList!$A$4:$A$251&amp;UtilityList!$B$4:$B$251&amp;UtilityList!$C$4:$C$251,0))</f>
        <v>PCE Ineligible</v>
      </c>
      <c r="K180" s="709">
        <f t="array" ref="K180">INDEX(UtilityList!Q$4:Q$251,MATCH('Table 2.1b_percent'!$A180&amp;'Table 2.1b_percent'!$B180&amp;'Table 2.1b_percent'!$C180,UtilityList!$A$4:$A$251&amp;UtilityList!$B$4:$B$251&amp;UtilityList!$C$4:$C$251,0))</f>
        <v>0</v>
      </c>
      <c r="L180" s="627" t="str">
        <f t="array" ref="L180">INDEX(UtilityList!I$4:I$251,MATCH('Table 2.1b_percent'!$A180&amp;'Table 2.1b_percent'!$B180&amp;'Table 2.1b_percent'!$C180,UtilityList!$A$4:$A$251&amp;UtilityList!$B$4:$B$251&amp;UtilityList!$C$4:$C$251,0))</f>
        <v>MP&amp;L</v>
      </c>
      <c r="M180" s="452" t="str">
        <f t="array" ref="M180">INDEX(UtilityList!J$4:J$251,MATCH('Table 2.1b_percent'!$A180&amp;'Table 2.1b_percent'!$B180&amp;'Table 2.1b_percent'!$C180,UtilityList!$A$4:$A$251&amp;UtilityList!$B$4:$B$251&amp;UtilityList!$C$4:$C$251,0))</f>
        <v>Southeast</v>
      </c>
      <c r="N180" s="452" t="str">
        <f t="array" ref="N180">INDEX(UtilityList!K$4:K$251,MATCH('Table 2.1b_percent'!$A180&amp;'Table 2.1b_percent'!$B180&amp;'Table 2.1b_percent'!$C180,UtilityList!$A$4:$A$251&amp;UtilityList!$B$4:$B$251&amp;UtilityList!$C$4:$C$251,0))</f>
        <v>Prince of Wales-Hyder (CA)</v>
      </c>
      <c r="O180" s="452" t="str">
        <f t="array" ref="O180">INDEX(UtilityList!L$4:L$251,MATCH('Table 2.1b_percent'!$A180&amp;'Table 2.1b_percent'!$B180&amp;'Table 2.1b_percent'!$C180,UtilityList!$A$4:$A$251&amp;UtilityList!$B$4:$B$251&amp;UtilityList!$C$4:$C$251,0))</f>
        <v>Sealaska</v>
      </c>
      <c r="P180" s="452" t="str">
        <f t="array" ref="P180">INDEX(UtilityList!M$4:M$251,MATCH('Table 2.1b_percent'!$A180&amp;'Table 2.1b_percent'!$B180&amp;'Table 2.1b_percent'!$C180,UtilityList!$A$4:$A$251&amp;UtilityList!$B$4:$B$251&amp;UtilityList!$C$4:$C$251,0))</f>
        <v>SE</v>
      </c>
    </row>
    <row r="181" spans="1:16" s="344" customFormat="1" ht="30" x14ac:dyDescent="0.25">
      <c r="A181" s="619" t="s">
        <v>250</v>
      </c>
      <c r="B181" s="361" t="s">
        <v>251</v>
      </c>
      <c r="C181" s="350" t="s">
        <v>251</v>
      </c>
      <c r="D181" s="625">
        <v>1</v>
      </c>
      <c r="E181" s="626">
        <v>0</v>
      </c>
      <c r="F181" s="626">
        <v>1</v>
      </c>
      <c r="G181" s="626">
        <v>0</v>
      </c>
      <c r="H181" s="626">
        <v>0</v>
      </c>
      <c r="I181" s="361" t="s">
        <v>718</v>
      </c>
      <c r="J181" s="622" t="str">
        <f t="array" ref="J181">INDEX(UtilityList!H$4:H$251,MATCH('Table 2.1b_percent'!$A181&amp;'Table 2.1b_percent'!$B181&amp;'Table 2.1b_percent'!$C181,UtilityList!$A$4:$A$251&amp;UtilityList!$B$4:$B$251&amp;UtilityList!$C$4:$C$251,0))</f>
        <v>PCE Eligible Active</v>
      </c>
      <c r="K181" s="709">
        <f t="array" ref="K181">INDEX(UtilityList!Q$4:Q$251,MATCH('Table 2.1b_percent'!$A181&amp;'Table 2.1b_percent'!$B181&amp;'Table 2.1b_percent'!$C181,UtilityList!$A$4:$A$251&amp;UtilityList!$B$4:$B$251&amp;UtilityList!$C$4:$C$251,0))</f>
        <v>0</v>
      </c>
      <c r="L181" s="627" t="str">
        <f t="array" ref="L181">INDEX(UtilityList!I$4:I$251,MATCH('Table 2.1b_percent'!$A181&amp;'Table 2.1b_percent'!$B181&amp;'Table 2.1b_percent'!$C181,UtilityList!$A$4:$A$251&amp;UtilityList!$B$4:$B$251&amp;UtilityList!$C$4:$C$251,0))</f>
        <v>MIDDKEC</v>
      </c>
      <c r="M181" s="452" t="str">
        <f t="array" ref="M181">INDEX(UtilityList!J$4:J$251,MATCH('Table 2.1b_percent'!$A181&amp;'Table 2.1b_percent'!$B181&amp;'Table 2.1b_percent'!$C181,UtilityList!$A$4:$A$251&amp;UtilityList!$B$4:$B$251&amp;UtilityList!$C$4:$C$251,0))</f>
        <v>Lower Yukon-Kuskokwim</v>
      </c>
      <c r="N181" s="452" t="str">
        <f t="array" ref="N181">INDEX(UtilityList!K$4:K$251,MATCH('Table 2.1b_percent'!$A181&amp;'Table 2.1b_percent'!$B181&amp;'Table 2.1b_percent'!$C181,UtilityList!$A$4:$A$251&amp;UtilityList!$B$4:$B$251&amp;UtilityList!$C$4:$C$251,0))</f>
        <v>Bethel (CA)</v>
      </c>
      <c r="O181" s="452" t="str">
        <f t="array" ref="O181">INDEX(UtilityList!L$4:L$251,MATCH('Table 2.1b_percent'!$A181&amp;'Table 2.1b_percent'!$B181&amp;'Table 2.1b_percent'!$C181,UtilityList!$A$4:$A$251&amp;UtilityList!$B$4:$B$251&amp;UtilityList!$C$4:$C$251,0))</f>
        <v>Calista</v>
      </c>
      <c r="P181" s="452" t="str">
        <f t="array" ref="P181">INDEX(UtilityList!M$4:M$251,MATCH('Table 2.1b_percent'!$A181&amp;'Table 2.1b_percent'!$B181&amp;'Table 2.1b_percent'!$C181,UtilityList!$A$4:$A$251&amp;UtilityList!$B$4:$B$251&amp;UtilityList!$C$4:$C$251,0))</f>
        <v>SW</v>
      </c>
    </row>
    <row r="182" spans="1:16" s="344" customFormat="1" ht="30" x14ac:dyDescent="0.25">
      <c r="A182" s="619" t="s">
        <v>250</v>
      </c>
      <c r="B182" s="361" t="s">
        <v>252</v>
      </c>
      <c r="C182" s="350" t="s">
        <v>252</v>
      </c>
      <c r="D182" s="625">
        <v>1</v>
      </c>
      <c r="E182" s="626">
        <v>0</v>
      </c>
      <c r="F182" s="626">
        <v>1</v>
      </c>
      <c r="G182" s="626">
        <v>0</v>
      </c>
      <c r="H182" s="626">
        <v>0</v>
      </c>
      <c r="I182" s="361" t="s">
        <v>718</v>
      </c>
      <c r="J182" s="622" t="str">
        <f t="array" ref="J182">INDEX(UtilityList!H$4:H$251,MATCH('Table 2.1b_percent'!$A182&amp;'Table 2.1b_percent'!$B182&amp;'Table 2.1b_percent'!$C182,UtilityList!$A$4:$A$251&amp;UtilityList!$B$4:$B$251&amp;UtilityList!$C$4:$C$251,0))</f>
        <v>PCE Eligible Active</v>
      </c>
      <c r="K182" s="709">
        <f t="array" ref="K182">INDEX(UtilityList!Q$4:Q$251,MATCH('Table 2.1b_percent'!$A182&amp;'Table 2.1b_percent'!$B182&amp;'Table 2.1b_percent'!$C182,UtilityList!$A$4:$A$251&amp;UtilityList!$B$4:$B$251&amp;UtilityList!$C$4:$C$251,0))</f>
        <v>0</v>
      </c>
      <c r="L182" s="627" t="str">
        <f t="array" ref="L182">INDEX(UtilityList!I$4:I$251,MATCH('Table 2.1b_percent'!$A182&amp;'Table 2.1b_percent'!$B182&amp;'Table 2.1b_percent'!$C182,UtilityList!$A$4:$A$251&amp;UtilityList!$B$4:$B$251&amp;UtilityList!$C$4:$C$251,0))</f>
        <v>MIDDKEC</v>
      </c>
      <c r="M182" s="452" t="str">
        <f t="array" ref="M182">INDEX(UtilityList!J$4:J$251,MATCH('Table 2.1b_percent'!$A182&amp;'Table 2.1b_percent'!$B182&amp;'Table 2.1b_percent'!$C182,UtilityList!$A$4:$A$251&amp;UtilityList!$B$4:$B$251&amp;UtilityList!$C$4:$C$251,0))</f>
        <v>Lower Yukon-Kuskokwim</v>
      </c>
      <c r="N182" s="452" t="str">
        <f t="array" ref="N182">INDEX(UtilityList!K$4:K$251,MATCH('Table 2.1b_percent'!$A182&amp;'Table 2.1b_percent'!$B182&amp;'Table 2.1b_percent'!$C182,UtilityList!$A$4:$A$251&amp;UtilityList!$B$4:$B$251&amp;UtilityList!$C$4:$C$251,0))</f>
        <v>Bethel (CA)</v>
      </c>
      <c r="O182" s="452" t="str">
        <f t="array" ref="O182">INDEX(UtilityList!L$4:L$251,MATCH('Table 2.1b_percent'!$A182&amp;'Table 2.1b_percent'!$B182&amp;'Table 2.1b_percent'!$C182,UtilityList!$A$4:$A$251&amp;UtilityList!$B$4:$B$251&amp;UtilityList!$C$4:$C$251,0))</f>
        <v>Calista</v>
      </c>
      <c r="P182" s="452" t="str">
        <f t="array" ref="P182">INDEX(UtilityList!M$4:M$251,MATCH('Table 2.1b_percent'!$A182&amp;'Table 2.1b_percent'!$B182&amp;'Table 2.1b_percent'!$C182,UtilityList!$A$4:$A$251&amp;UtilityList!$B$4:$B$251&amp;UtilityList!$C$4:$C$251,0))</f>
        <v>SW</v>
      </c>
    </row>
    <row r="183" spans="1:16" s="344" customFormat="1" ht="30" x14ac:dyDescent="0.25">
      <c r="A183" s="619" t="s">
        <v>250</v>
      </c>
      <c r="B183" s="361" t="s">
        <v>253</v>
      </c>
      <c r="C183" s="350" t="s">
        <v>253</v>
      </c>
      <c r="D183" s="625">
        <v>1</v>
      </c>
      <c r="E183" s="626">
        <v>0</v>
      </c>
      <c r="F183" s="626">
        <v>1</v>
      </c>
      <c r="G183" s="626">
        <v>0</v>
      </c>
      <c r="H183" s="626">
        <v>0</v>
      </c>
      <c r="I183" s="361" t="s">
        <v>718</v>
      </c>
      <c r="J183" s="622" t="str">
        <f t="array" ref="J183">INDEX(UtilityList!H$4:H$251,MATCH('Table 2.1b_percent'!$A183&amp;'Table 2.1b_percent'!$B183&amp;'Table 2.1b_percent'!$C183,UtilityList!$A$4:$A$251&amp;UtilityList!$B$4:$B$251&amp;UtilityList!$C$4:$C$251,0))</f>
        <v>PCE Eligible Active</v>
      </c>
      <c r="K183" s="709">
        <f t="array" ref="K183">INDEX(UtilityList!Q$4:Q$251,MATCH('Table 2.1b_percent'!$A183&amp;'Table 2.1b_percent'!$B183&amp;'Table 2.1b_percent'!$C183,UtilityList!$A$4:$A$251&amp;UtilityList!$B$4:$B$251&amp;UtilityList!$C$4:$C$251,0))</f>
        <v>0</v>
      </c>
      <c r="L183" s="627" t="str">
        <f t="array" ref="L183">INDEX(UtilityList!I$4:I$251,MATCH('Table 2.1b_percent'!$A183&amp;'Table 2.1b_percent'!$B183&amp;'Table 2.1b_percent'!$C183,UtilityList!$A$4:$A$251&amp;UtilityList!$B$4:$B$251&amp;UtilityList!$C$4:$C$251,0))</f>
        <v>MIDDKEC</v>
      </c>
      <c r="M183" s="452" t="str">
        <f t="array" ref="M183">INDEX(UtilityList!J$4:J$251,MATCH('Table 2.1b_percent'!$A183&amp;'Table 2.1b_percent'!$B183&amp;'Table 2.1b_percent'!$C183,UtilityList!$A$4:$A$251&amp;UtilityList!$B$4:$B$251&amp;UtilityList!$C$4:$C$251,0))</f>
        <v>Lower Yukon-Kuskokwim</v>
      </c>
      <c r="N183" s="452" t="str">
        <f t="array" ref="N183">INDEX(UtilityList!K$4:K$251,MATCH('Table 2.1b_percent'!$A183&amp;'Table 2.1b_percent'!$B183&amp;'Table 2.1b_percent'!$C183,UtilityList!$A$4:$A$251&amp;UtilityList!$B$4:$B$251&amp;UtilityList!$C$4:$C$251,0))</f>
        <v>Bethel (CA)</v>
      </c>
      <c r="O183" s="452" t="str">
        <f t="array" ref="O183">INDEX(UtilityList!L$4:L$251,MATCH('Table 2.1b_percent'!$A183&amp;'Table 2.1b_percent'!$B183&amp;'Table 2.1b_percent'!$C183,UtilityList!$A$4:$A$251&amp;UtilityList!$B$4:$B$251&amp;UtilityList!$C$4:$C$251,0))</f>
        <v>Calista</v>
      </c>
      <c r="P183" s="452" t="str">
        <f t="array" ref="P183">INDEX(UtilityList!M$4:M$251,MATCH('Table 2.1b_percent'!$A183&amp;'Table 2.1b_percent'!$B183&amp;'Table 2.1b_percent'!$C183,UtilityList!$A$4:$A$251&amp;UtilityList!$B$4:$B$251&amp;UtilityList!$C$4:$C$251,0))</f>
        <v>SW</v>
      </c>
    </row>
    <row r="184" spans="1:16" s="344" customFormat="1" ht="30" x14ac:dyDescent="0.25">
      <c r="A184" s="619" t="s">
        <v>250</v>
      </c>
      <c r="B184" s="361" t="s">
        <v>254</v>
      </c>
      <c r="C184" s="350" t="s">
        <v>254</v>
      </c>
      <c r="D184" s="625">
        <v>1</v>
      </c>
      <c r="E184" s="626">
        <v>0</v>
      </c>
      <c r="F184" s="626">
        <v>1</v>
      </c>
      <c r="G184" s="626">
        <v>0</v>
      </c>
      <c r="H184" s="626">
        <v>0</v>
      </c>
      <c r="I184" s="361" t="s">
        <v>718</v>
      </c>
      <c r="J184" s="622" t="str">
        <f t="array" ref="J184">INDEX(UtilityList!H$4:H$251,MATCH('Table 2.1b_percent'!$A184&amp;'Table 2.1b_percent'!$B184&amp;'Table 2.1b_percent'!$C184,UtilityList!$A$4:$A$251&amp;UtilityList!$B$4:$B$251&amp;UtilityList!$C$4:$C$251,0))</f>
        <v>PCE Eligible Active</v>
      </c>
      <c r="K184" s="709">
        <f t="array" ref="K184">INDEX(UtilityList!Q$4:Q$251,MATCH('Table 2.1b_percent'!$A184&amp;'Table 2.1b_percent'!$B184&amp;'Table 2.1b_percent'!$C184,UtilityList!$A$4:$A$251&amp;UtilityList!$B$4:$B$251&amp;UtilityList!$C$4:$C$251,0))</f>
        <v>0</v>
      </c>
      <c r="L184" s="627" t="str">
        <f t="array" ref="L184">INDEX(UtilityList!I$4:I$251,MATCH('Table 2.1b_percent'!$A184&amp;'Table 2.1b_percent'!$B184&amp;'Table 2.1b_percent'!$C184,UtilityList!$A$4:$A$251&amp;UtilityList!$B$4:$B$251&amp;UtilityList!$C$4:$C$251,0))</f>
        <v>MIDDKEC</v>
      </c>
      <c r="M184" s="452" t="str">
        <f t="array" ref="M184">INDEX(UtilityList!J$4:J$251,MATCH('Table 2.1b_percent'!$A184&amp;'Table 2.1b_percent'!$B184&amp;'Table 2.1b_percent'!$C184,UtilityList!$A$4:$A$251&amp;UtilityList!$B$4:$B$251&amp;UtilityList!$C$4:$C$251,0))</f>
        <v>Lower Yukon-Kuskokwim</v>
      </c>
      <c r="N184" s="452" t="str">
        <f t="array" ref="N184">INDEX(UtilityList!K$4:K$251,MATCH('Table 2.1b_percent'!$A184&amp;'Table 2.1b_percent'!$B184&amp;'Table 2.1b_percent'!$C184,UtilityList!$A$4:$A$251&amp;UtilityList!$B$4:$B$251&amp;UtilityList!$C$4:$C$251,0))</f>
        <v>Bethel (CA)</v>
      </c>
      <c r="O184" s="452" t="str">
        <f t="array" ref="O184">INDEX(UtilityList!L$4:L$251,MATCH('Table 2.1b_percent'!$A184&amp;'Table 2.1b_percent'!$B184&amp;'Table 2.1b_percent'!$C184,UtilityList!$A$4:$A$251&amp;UtilityList!$B$4:$B$251&amp;UtilityList!$C$4:$C$251,0))</f>
        <v>Calista</v>
      </c>
      <c r="P184" s="452" t="str">
        <f t="array" ref="P184">INDEX(UtilityList!M$4:M$251,MATCH('Table 2.1b_percent'!$A184&amp;'Table 2.1b_percent'!$B184&amp;'Table 2.1b_percent'!$C184,UtilityList!$A$4:$A$251&amp;UtilityList!$B$4:$B$251&amp;UtilityList!$C$4:$C$251,0))</f>
        <v>SW</v>
      </c>
    </row>
    <row r="185" spans="1:16" s="344" customFormat="1" ht="30" x14ac:dyDescent="0.25">
      <c r="A185" s="619" t="s">
        <v>250</v>
      </c>
      <c r="B185" s="361" t="s">
        <v>255</v>
      </c>
      <c r="C185" s="350" t="s">
        <v>255</v>
      </c>
      <c r="D185" s="625">
        <v>1</v>
      </c>
      <c r="E185" s="626">
        <v>0</v>
      </c>
      <c r="F185" s="626">
        <v>1</v>
      </c>
      <c r="G185" s="626">
        <v>0</v>
      </c>
      <c r="H185" s="626">
        <v>0</v>
      </c>
      <c r="I185" s="361" t="s">
        <v>718</v>
      </c>
      <c r="J185" s="622" t="str">
        <f t="array" ref="J185">INDEX(UtilityList!H$4:H$251,MATCH('Table 2.1b_percent'!$A185&amp;'Table 2.1b_percent'!$B185&amp;'Table 2.1b_percent'!$C185,UtilityList!$A$4:$A$251&amp;UtilityList!$B$4:$B$251&amp;UtilityList!$C$4:$C$251,0))</f>
        <v>PCE Eligible Active</v>
      </c>
      <c r="K185" s="709">
        <f t="array" ref="K185">INDEX(UtilityList!Q$4:Q$251,MATCH('Table 2.1b_percent'!$A185&amp;'Table 2.1b_percent'!$B185&amp;'Table 2.1b_percent'!$C185,UtilityList!$A$4:$A$251&amp;UtilityList!$B$4:$B$251&amp;UtilityList!$C$4:$C$251,0))</f>
        <v>0</v>
      </c>
      <c r="L185" s="627" t="str">
        <f t="array" ref="L185">INDEX(UtilityList!I$4:I$251,MATCH('Table 2.1b_percent'!$A185&amp;'Table 2.1b_percent'!$B185&amp;'Table 2.1b_percent'!$C185,UtilityList!$A$4:$A$251&amp;UtilityList!$B$4:$B$251&amp;UtilityList!$C$4:$C$251,0))</f>
        <v>MIDDKEC</v>
      </c>
      <c r="M185" s="452" t="str">
        <f t="array" ref="M185">INDEX(UtilityList!J$4:J$251,MATCH('Table 2.1b_percent'!$A185&amp;'Table 2.1b_percent'!$B185&amp;'Table 2.1b_percent'!$C185,UtilityList!$A$4:$A$251&amp;UtilityList!$B$4:$B$251&amp;UtilityList!$C$4:$C$251,0))</f>
        <v>Lower Yukon-Kuskokwim</v>
      </c>
      <c r="N185" s="452" t="str">
        <f t="array" ref="N185">INDEX(UtilityList!K$4:K$251,MATCH('Table 2.1b_percent'!$A185&amp;'Table 2.1b_percent'!$B185&amp;'Table 2.1b_percent'!$C185,UtilityList!$A$4:$A$251&amp;UtilityList!$B$4:$B$251&amp;UtilityList!$C$4:$C$251,0))</f>
        <v>Bethel (CA)</v>
      </c>
      <c r="O185" s="452" t="str">
        <f t="array" ref="O185">INDEX(UtilityList!L$4:L$251,MATCH('Table 2.1b_percent'!$A185&amp;'Table 2.1b_percent'!$B185&amp;'Table 2.1b_percent'!$C185,UtilityList!$A$4:$A$251&amp;UtilityList!$B$4:$B$251&amp;UtilityList!$C$4:$C$251,0))</f>
        <v>Calista</v>
      </c>
      <c r="P185" s="452" t="str">
        <f t="array" ref="P185">INDEX(UtilityList!M$4:M$251,MATCH('Table 2.1b_percent'!$A185&amp;'Table 2.1b_percent'!$B185&amp;'Table 2.1b_percent'!$C185,UtilityList!$A$4:$A$251&amp;UtilityList!$B$4:$B$251&amp;UtilityList!$C$4:$C$251,0))</f>
        <v>SW</v>
      </c>
    </row>
    <row r="186" spans="1:16" s="344" customFormat="1" ht="90" x14ac:dyDescent="0.25">
      <c r="A186" s="619" t="s">
        <v>258</v>
      </c>
      <c r="B186" s="361" t="s">
        <v>259</v>
      </c>
      <c r="C186" s="350" t="s">
        <v>682</v>
      </c>
      <c r="D186" s="625">
        <v>1</v>
      </c>
      <c r="E186" s="626">
        <v>0</v>
      </c>
      <c r="F186" s="626">
        <v>1</v>
      </c>
      <c r="G186" s="626">
        <v>0</v>
      </c>
      <c r="H186" s="626">
        <v>0</v>
      </c>
      <c r="I186" s="361" t="s">
        <v>648</v>
      </c>
      <c r="J186" s="622" t="str">
        <f t="array" ref="J186">INDEX(UtilityList!H$4:H$251,MATCH('Table 2.1b_percent'!$A186&amp;'Table 2.1b_percent'!$B186&amp;'Table 2.1b_percent'!$C186,UtilityList!$A$4:$A$251&amp;UtilityList!$B$4:$B$251&amp;UtilityList!$C$4:$C$251,0))</f>
        <v>PCE Eligible Active</v>
      </c>
      <c r="K186" s="709" t="str">
        <f t="array" ref="K186">INDEX(UtilityList!Q$4:Q$251,MATCH('Table 2.1b_percent'!$A186&amp;'Table 2.1b_percent'!$B186&amp;'Table 2.1b_percent'!$C186,UtilityList!$A$4:$A$251&amp;UtilityList!$B$4:$B$251&amp;UtilityList!$C$4:$C$251,0))</f>
        <v>Provides power to South Naknek and King Salmon via intertie. Data includes South Naknek's and King Salmon's information.</v>
      </c>
      <c r="L186" s="627" t="str">
        <f t="array" ref="L186">INDEX(UtilityList!I$4:I$251,MATCH('Table 2.1b_percent'!$A186&amp;'Table 2.1b_percent'!$B186&amp;'Table 2.1b_percent'!$C186,UtilityList!$A$4:$A$251&amp;UtilityList!$B$4:$B$251&amp;UtilityList!$C$4:$C$251,0))</f>
        <v>NAKNEA</v>
      </c>
      <c r="M186" s="452" t="str">
        <f t="array" ref="M186">INDEX(UtilityList!J$4:J$251,MATCH('Table 2.1b_percent'!$A186&amp;'Table 2.1b_percent'!$B186&amp;'Table 2.1b_percent'!$C186,UtilityList!$A$4:$A$251&amp;UtilityList!$B$4:$B$251&amp;UtilityList!$C$4:$C$251,0))</f>
        <v>Bristol Bay</v>
      </c>
      <c r="N186" s="452" t="str">
        <f t="array" ref="N186">INDEX(UtilityList!K$4:K$251,MATCH('Table 2.1b_percent'!$A186&amp;'Table 2.1b_percent'!$B186&amp;'Table 2.1b_percent'!$C186,UtilityList!$A$4:$A$251&amp;UtilityList!$B$4:$B$251&amp;UtilityList!$C$4:$C$251,0))</f>
        <v>Bristol Bay</v>
      </c>
      <c r="O186" s="452" t="str">
        <f t="array" ref="O186">INDEX(UtilityList!L$4:L$251,MATCH('Table 2.1b_percent'!$A186&amp;'Table 2.1b_percent'!$B186&amp;'Table 2.1b_percent'!$C186,UtilityList!$A$4:$A$251&amp;UtilityList!$B$4:$B$251&amp;UtilityList!$C$4:$C$251,0))</f>
        <v>Bristol Bay</v>
      </c>
      <c r="P186" s="452" t="str">
        <f t="array" ref="P186">INDEX(UtilityList!M$4:M$251,MATCH('Table 2.1b_percent'!$A186&amp;'Table 2.1b_percent'!$B186&amp;'Table 2.1b_percent'!$C186,UtilityList!$A$4:$A$251&amp;UtilityList!$B$4:$B$251&amp;UtilityList!$C$4:$C$251,0))</f>
        <v>SW</v>
      </c>
    </row>
    <row r="187" spans="1:16" s="344" customFormat="1" ht="45" x14ac:dyDescent="0.25">
      <c r="A187" s="619" t="s">
        <v>260</v>
      </c>
      <c r="B187" s="361" t="s">
        <v>261</v>
      </c>
      <c r="C187" s="350" t="s">
        <v>261</v>
      </c>
      <c r="D187" s="625">
        <v>1</v>
      </c>
      <c r="E187" s="626">
        <v>0</v>
      </c>
      <c r="F187" s="626">
        <v>1</v>
      </c>
      <c r="G187" s="626">
        <v>0</v>
      </c>
      <c r="H187" s="626">
        <v>0</v>
      </c>
      <c r="I187" s="361" t="s">
        <v>718</v>
      </c>
      <c r="J187" s="622" t="str">
        <f t="array" ref="J187">INDEX(UtilityList!H$4:H$251,MATCH('Table 2.1b_percent'!$A187&amp;'Table 2.1b_percent'!$B187&amp;'Table 2.1b_percent'!$C187,UtilityList!$A$4:$A$251&amp;UtilityList!$B$4:$B$251&amp;UtilityList!$C$4:$C$251,0))</f>
        <v>PCE Eligible Active</v>
      </c>
      <c r="K187" s="709" t="str">
        <f t="array" ref="K187">INDEX(UtilityList!Q$4:Q$251,MATCH('Table 2.1b_percent'!$A187&amp;'Table 2.1b_percent'!$B187&amp;'Table 2.1b_percent'!$C187,UtilityList!$A$4:$A$251&amp;UtilityList!$B$4:$B$251&amp;UtilityList!$C$4:$C$251,0))</f>
        <v>Purchases power from Bethel Utilities Corporation</v>
      </c>
      <c r="L187" s="627" t="str">
        <f t="array" ref="L187">INDEX(UtilityList!I$4:I$251,MATCH('Table 2.1b_percent'!$A187&amp;'Table 2.1b_percent'!$B187&amp;'Table 2.1b_percent'!$C187,UtilityList!$A$4:$A$251&amp;UtilityList!$B$4:$B$251&amp;UtilityList!$C$4:$C$251,0))</f>
        <v>NAPAC</v>
      </c>
      <c r="M187" s="452" t="str">
        <f t="array" ref="M187">INDEX(UtilityList!J$4:J$251,MATCH('Table 2.1b_percent'!$A187&amp;'Table 2.1b_percent'!$B187&amp;'Table 2.1b_percent'!$C187,UtilityList!$A$4:$A$251&amp;UtilityList!$B$4:$B$251&amp;UtilityList!$C$4:$C$251,0))</f>
        <v>Lower Yukon-Kuskokwim</v>
      </c>
      <c r="N187" s="452" t="str">
        <f t="array" ref="N187">INDEX(UtilityList!K$4:K$251,MATCH('Table 2.1b_percent'!$A187&amp;'Table 2.1b_percent'!$B187&amp;'Table 2.1b_percent'!$C187,UtilityList!$A$4:$A$251&amp;UtilityList!$B$4:$B$251&amp;UtilityList!$C$4:$C$251,0))</f>
        <v>Bethel (CA)</v>
      </c>
      <c r="O187" s="452" t="str">
        <f t="array" ref="O187">INDEX(UtilityList!L$4:L$251,MATCH('Table 2.1b_percent'!$A187&amp;'Table 2.1b_percent'!$B187&amp;'Table 2.1b_percent'!$C187,UtilityList!$A$4:$A$251&amp;UtilityList!$B$4:$B$251&amp;UtilityList!$C$4:$C$251,0))</f>
        <v>Calista</v>
      </c>
      <c r="P187" s="452" t="str">
        <f t="array" ref="P187">INDEX(UtilityList!M$4:M$251,MATCH('Table 2.1b_percent'!$A187&amp;'Table 2.1b_percent'!$B187&amp;'Table 2.1b_percent'!$C187,UtilityList!$A$4:$A$251&amp;UtilityList!$B$4:$B$251&amp;UtilityList!$C$4:$C$251,0))</f>
        <v>SW</v>
      </c>
    </row>
    <row r="188" spans="1:16" s="344" customFormat="1" ht="30" x14ac:dyDescent="0.25">
      <c r="A188" s="619" t="s">
        <v>264</v>
      </c>
      <c r="B188" s="361" t="s">
        <v>265</v>
      </c>
      <c r="C188" s="350" t="s">
        <v>265</v>
      </c>
      <c r="D188" s="625">
        <v>1</v>
      </c>
      <c r="E188" s="626">
        <v>0</v>
      </c>
      <c r="F188" s="626">
        <v>1</v>
      </c>
      <c r="G188" s="626">
        <v>0</v>
      </c>
      <c r="H188" s="626">
        <v>0</v>
      </c>
      <c r="I188" s="361" t="s">
        <v>718</v>
      </c>
      <c r="J188" s="622" t="str">
        <f t="array" ref="J188">INDEX(UtilityList!H$4:H$251,MATCH('Table 2.1b_percent'!$A188&amp;'Table 2.1b_percent'!$B188&amp;'Table 2.1b_percent'!$C188,UtilityList!$A$4:$A$251&amp;UtilityList!$B$4:$B$251&amp;UtilityList!$C$4:$C$251,0))</f>
        <v>PCE Eligible Active</v>
      </c>
      <c r="K188" s="709">
        <f t="array" ref="K188">INDEX(UtilityList!Q$4:Q$251,MATCH('Table 2.1b_percent'!$A188&amp;'Table 2.1b_percent'!$B188&amp;'Table 2.1b_percent'!$C188,UtilityList!$A$4:$A$251&amp;UtilityList!$B$4:$B$251&amp;UtilityList!$C$4:$C$251,0))</f>
        <v>0</v>
      </c>
      <c r="L188" s="627" t="str">
        <f t="array" ref="L188">INDEX(UtilityList!I$4:I$251,MATCH('Table 2.1b_percent'!$A188&amp;'Table 2.1b_percent'!$B188&amp;'Table 2.1b_percent'!$C188,UtilityList!$A$4:$A$251&amp;UtilityList!$B$4:$B$251&amp;UtilityList!$C$4:$C$251,0))</f>
        <v>NATELP</v>
      </c>
      <c r="M188" s="452" t="str">
        <f t="array" ref="M188">INDEX(UtilityList!J$4:J$251,MATCH('Table 2.1b_percent'!$A188&amp;'Table 2.1b_percent'!$B188&amp;'Table 2.1b_percent'!$C188,UtilityList!$A$4:$A$251&amp;UtilityList!$B$4:$B$251&amp;UtilityList!$C$4:$C$251,0))</f>
        <v>Lower Yukon-Kuskokwim</v>
      </c>
      <c r="N188" s="452" t="str">
        <f t="array" ref="N188">INDEX(UtilityList!K$4:K$251,MATCH('Table 2.1b_percent'!$A188&amp;'Table 2.1b_percent'!$B188&amp;'Table 2.1b_percent'!$C188,UtilityList!$A$4:$A$251&amp;UtilityList!$B$4:$B$251&amp;UtilityList!$C$4:$C$251,0))</f>
        <v>Bethel (CA)</v>
      </c>
      <c r="O188" s="452" t="str">
        <f t="array" ref="O188">INDEX(UtilityList!L$4:L$251,MATCH('Table 2.1b_percent'!$A188&amp;'Table 2.1b_percent'!$B188&amp;'Table 2.1b_percent'!$C188,UtilityList!$A$4:$A$251&amp;UtilityList!$B$4:$B$251&amp;UtilityList!$C$4:$C$251,0))</f>
        <v>Calista</v>
      </c>
      <c r="P188" s="452" t="str">
        <f t="array" ref="P188">INDEX(UtilityList!M$4:M$251,MATCH('Table 2.1b_percent'!$A188&amp;'Table 2.1b_percent'!$B188&amp;'Table 2.1b_percent'!$C188,UtilityList!$A$4:$A$251&amp;UtilityList!$B$4:$B$251&amp;UtilityList!$C$4:$C$251,0))</f>
        <v>SW</v>
      </c>
    </row>
    <row r="189" spans="1:16" s="344" customFormat="1" x14ac:dyDescent="0.25">
      <c r="A189" s="619" t="s">
        <v>266</v>
      </c>
      <c r="B189" s="361" t="s">
        <v>267</v>
      </c>
      <c r="C189" s="350" t="s">
        <v>267</v>
      </c>
      <c r="D189" s="625">
        <v>1</v>
      </c>
      <c r="E189" s="626">
        <v>0</v>
      </c>
      <c r="F189" s="626">
        <v>0</v>
      </c>
      <c r="G189" s="626">
        <v>0</v>
      </c>
      <c r="H189" s="626">
        <v>1</v>
      </c>
      <c r="I189" s="361" t="s">
        <v>647</v>
      </c>
      <c r="J189" s="622" t="str">
        <f t="array" ref="J189">INDEX(UtilityList!H$4:H$251,MATCH('Table 2.1b_percent'!$A189&amp;'Table 2.1b_percent'!$B189&amp;'Table 2.1b_percent'!$C189,UtilityList!$A$4:$A$251&amp;UtilityList!$B$4:$B$251&amp;UtilityList!$C$4:$C$251,0))</f>
        <v>PCE Eligible Active</v>
      </c>
      <c r="K189" s="709">
        <f t="array" ref="K189">INDEX(UtilityList!Q$4:Q$251,MATCH('Table 2.1b_percent'!$A189&amp;'Table 2.1b_percent'!$B189&amp;'Table 2.1b_percent'!$C189,UtilityList!$A$4:$A$251&amp;UtilityList!$B$4:$B$251&amp;UtilityList!$C$4:$C$251,0))</f>
        <v>0</v>
      </c>
      <c r="L189" s="627" t="str">
        <f t="array" ref="L189">INDEX(UtilityList!I$4:I$251,MATCH('Table 2.1b_percent'!$A189&amp;'Table 2.1b_percent'!$B189&amp;'Table 2.1b_percent'!$C189,UtilityList!$A$4:$A$251&amp;UtilityList!$B$4:$B$251&amp;UtilityList!$C$4:$C$251,0))</f>
        <v>PERR</v>
      </c>
      <c r="M189" s="452" t="str">
        <f t="array" ref="M189">INDEX(UtilityList!J$4:J$251,MATCH('Table 2.1b_percent'!$A189&amp;'Table 2.1b_percent'!$B189&amp;'Table 2.1b_percent'!$C189,UtilityList!$A$4:$A$251&amp;UtilityList!$B$4:$B$251&amp;UtilityList!$C$4:$C$251,0))</f>
        <v>Bristol Bay</v>
      </c>
      <c r="N189" s="452" t="str">
        <f t="array" ref="N189">INDEX(UtilityList!K$4:K$251,MATCH('Table 2.1b_percent'!$A189&amp;'Table 2.1b_percent'!$B189&amp;'Table 2.1b_percent'!$C189,UtilityList!$A$4:$A$251&amp;UtilityList!$B$4:$B$251&amp;UtilityList!$C$4:$C$251,0))</f>
        <v>Lake and Peninsula</v>
      </c>
      <c r="O189" s="452" t="str">
        <f t="array" ref="O189">INDEX(UtilityList!L$4:L$251,MATCH('Table 2.1b_percent'!$A189&amp;'Table 2.1b_percent'!$B189&amp;'Table 2.1b_percent'!$C189,UtilityList!$A$4:$A$251&amp;UtilityList!$B$4:$B$251&amp;UtilityList!$C$4:$C$251,0))</f>
        <v>Bristol Bay</v>
      </c>
      <c r="P189" s="452" t="str">
        <f t="array" ref="P189">INDEX(UtilityList!M$4:M$251,MATCH('Table 2.1b_percent'!$A189&amp;'Table 2.1b_percent'!$B189&amp;'Table 2.1b_percent'!$C189,UtilityList!$A$4:$A$251&amp;UtilityList!$B$4:$B$251&amp;UtilityList!$C$4:$C$251,0))</f>
        <v>SW</v>
      </c>
    </row>
    <row r="190" spans="1:16" s="344" customFormat="1" ht="30" x14ac:dyDescent="0.25">
      <c r="A190" s="619" t="s">
        <v>266</v>
      </c>
      <c r="B190" s="361" t="s">
        <v>267</v>
      </c>
      <c r="C190" s="350" t="s">
        <v>267</v>
      </c>
      <c r="D190" s="625">
        <v>1</v>
      </c>
      <c r="E190" s="626">
        <v>0</v>
      </c>
      <c r="F190" s="626">
        <v>1</v>
      </c>
      <c r="G190" s="626">
        <v>0</v>
      </c>
      <c r="H190" s="626">
        <v>0</v>
      </c>
      <c r="I190" s="361" t="s">
        <v>718</v>
      </c>
      <c r="J190" s="622" t="str">
        <f t="array" ref="J190">INDEX(UtilityList!H$4:H$251,MATCH('Table 2.1b_percent'!$A190&amp;'Table 2.1b_percent'!$B190&amp;'Table 2.1b_percent'!$C190,UtilityList!$A$4:$A$251&amp;UtilityList!$B$4:$B$251&amp;UtilityList!$C$4:$C$251,0))</f>
        <v>PCE Eligible Active</v>
      </c>
      <c r="K190" s="709">
        <f t="array" ref="K190">INDEX(UtilityList!Q$4:Q$251,MATCH('Table 2.1b_percent'!$A190&amp;'Table 2.1b_percent'!$B190&amp;'Table 2.1b_percent'!$C190,UtilityList!$A$4:$A$251&amp;UtilityList!$B$4:$B$251&amp;UtilityList!$C$4:$C$251,0))</f>
        <v>0</v>
      </c>
      <c r="L190" s="627" t="str">
        <f t="array" ref="L190">INDEX(UtilityList!I$4:I$251,MATCH('Table 2.1b_percent'!$A190&amp;'Table 2.1b_percent'!$B190&amp;'Table 2.1b_percent'!$C190,UtilityList!$A$4:$A$251&amp;UtilityList!$B$4:$B$251&amp;UtilityList!$C$4:$C$251,0))</f>
        <v>PERR</v>
      </c>
      <c r="M190" s="452" t="str">
        <f t="array" ref="M190">INDEX(UtilityList!J$4:J$251,MATCH('Table 2.1b_percent'!$A190&amp;'Table 2.1b_percent'!$B190&amp;'Table 2.1b_percent'!$C190,UtilityList!$A$4:$A$251&amp;UtilityList!$B$4:$B$251&amp;UtilityList!$C$4:$C$251,0))</f>
        <v>Bristol Bay</v>
      </c>
      <c r="N190" s="452" t="str">
        <f t="array" ref="N190">INDEX(UtilityList!K$4:K$251,MATCH('Table 2.1b_percent'!$A190&amp;'Table 2.1b_percent'!$B190&amp;'Table 2.1b_percent'!$C190,UtilityList!$A$4:$A$251&amp;UtilityList!$B$4:$B$251&amp;UtilityList!$C$4:$C$251,0))</f>
        <v>Lake and Peninsula</v>
      </c>
      <c r="O190" s="452" t="str">
        <f t="array" ref="O190">INDEX(UtilityList!L$4:L$251,MATCH('Table 2.1b_percent'!$A190&amp;'Table 2.1b_percent'!$B190&amp;'Table 2.1b_percent'!$C190,UtilityList!$A$4:$A$251&amp;UtilityList!$B$4:$B$251&amp;UtilityList!$C$4:$C$251,0))</f>
        <v>Bristol Bay</v>
      </c>
      <c r="P190" s="452" t="str">
        <f t="array" ref="P190">INDEX(UtilityList!M$4:M$251,MATCH('Table 2.1b_percent'!$A190&amp;'Table 2.1b_percent'!$B190&amp;'Table 2.1b_percent'!$C190,UtilityList!$A$4:$A$251&amp;UtilityList!$B$4:$B$251&amp;UtilityList!$C$4:$C$251,0))</f>
        <v>SW</v>
      </c>
    </row>
    <row r="191" spans="1:16" s="344" customFormat="1" ht="30" x14ac:dyDescent="0.25">
      <c r="A191" s="619" t="s">
        <v>268</v>
      </c>
      <c r="B191" s="361" t="s">
        <v>269</v>
      </c>
      <c r="C191" s="350" t="s">
        <v>269</v>
      </c>
      <c r="D191" s="625">
        <v>1</v>
      </c>
      <c r="E191" s="626">
        <v>0</v>
      </c>
      <c r="F191" s="626">
        <v>1</v>
      </c>
      <c r="G191" s="626">
        <v>0</v>
      </c>
      <c r="H191" s="626">
        <v>0</v>
      </c>
      <c r="I191" s="361" t="s">
        <v>718</v>
      </c>
      <c r="J191" s="622" t="str">
        <f t="array" ref="J191">INDEX(UtilityList!H$4:H$251,MATCH('Table 2.1b_percent'!$A191&amp;'Table 2.1b_percent'!$B191&amp;'Table 2.1b_percent'!$C191,UtilityList!$A$4:$A$251&amp;UtilityList!$B$4:$B$251&amp;UtilityList!$C$4:$C$251,0))</f>
        <v>PCE Eligible Active</v>
      </c>
      <c r="K191" s="709">
        <f t="array" ref="K191">INDEX(UtilityList!Q$4:Q$251,MATCH('Table 2.1b_percent'!$A191&amp;'Table 2.1b_percent'!$B191&amp;'Table 2.1b_percent'!$C191,UtilityList!$A$4:$A$251&amp;UtilityList!$B$4:$B$251&amp;UtilityList!$C$4:$C$251,0))</f>
        <v>0</v>
      </c>
      <c r="L191" s="627" t="str">
        <f t="array" ref="L191">INDEX(UtilityList!I$4:I$251,MATCH('Table 2.1b_percent'!$A191&amp;'Table 2.1b_percent'!$B191&amp;'Table 2.1b_percent'!$C191,UtilityList!$A$4:$A$251&amp;UtilityList!$B$4:$B$251&amp;UtilityList!$C$4:$C$251,0))</f>
        <v>NELSLEC</v>
      </c>
      <c r="M191" s="452" t="str">
        <f t="array" ref="M191">INDEX(UtilityList!J$4:J$251,MATCH('Table 2.1b_percent'!$A191&amp;'Table 2.1b_percent'!$B191&amp;'Table 2.1b_percent'!$C191,UtilityList!$A$4:$A$251&amp;UtilityList!$B$4:$B$251&amp;UtilityList!$C$4:$C$251,0))</f>
        <v>Aleutians</v>
      </c>
      <c r="N191" s="452" t="str">
        <f t="array" ref="N191">INDEX(UtilityList!K$4:K$251,MATCH('Table 2.1b_percent'!$A191&amp;'Table 2.1b_percent'!$B191&amp;'Table 2.1b_percent'!$C191,UtilityList!$A$4:$A$251&amp;UtilityList!$B$4:$B$251&amp;UtilityList!$C$4:$C$251,0))</f>
        <v>Aleutians East</v>
      </c>
      <c r="O191" s="452" t="str">
        <f t="array" ref="O191">INDEX(UtilityList!L$4:L$251,MATCH('Table 2.1b_percent'!$A191&amp;'Table 2.1b_percent'!$B191&amp;'Table 2.1b_percent'!$C191,UtilityList!$A$4:$A$251&amp;UtilityList!$B$4:$B$251&amp;UtilityList!$C$4:$C$251,0))</f>
        <v>Aleut</v>
      </c>
      <c r="P191" s="452" t="str">
        <f t="array" ref="P191">INDEX(UtilityList!M$4:M$251,MATCH('Table 2.1b_percent'!$A191&amp;'Table 2.1b_percent'!$B191&amp;'Table 2.1b_percent'!$C191,UtilityList!$A$4:$A$251&amp;UtilityList!$B$4:$B$251&amp;UtilityList!$C$4:$C$251,0))</f>
        <v>SW</v>
      </c>
    </row>
    <row r="192" spans="1:16" s="344" customFormat="1" ht="30" x14ac:dyDescent="0.25">
      <c r="A192" s="619" t="s">
        <v>270</v>
      </c>
      <c r="B192" s="361" t="s">
        <v>271</v>
      </c>
      <c r="C192" s="350" t="s">
        <v>271</v>
      </c>
      <c r="D192" s="625">
        <v>1</v>
      </c>
      <c r="E192" s="626">
        <v>0</v>
      </c>
      <c r="F192" s="626">
        <v>1</v>
      </c>
      <c r="G192" s="626">
        <v>0</v>
      </c>
      <c r="H192" s="626">
        <v>0</v>
      </c>
      <c r="I192" s="361" t="s">
        <v>718</v>
      </c>
      <c r="J192" s="622" t="str">
        <f t="array" ref="J192">INDEX(UtilityList!H$4:H$251,MATCH('Table 2.1b_percent'!$A192&amp;'Table 2.1b_percent'!$B192&amp;'Table 2.1b_percent'!$C192,UtilityList!$A$4:$A$251&amp;UtilityList!$B$4:$B$251&amp;UtilityList!$C$4:$C$251,0))</f>
        <v>PCE Eligible Active</v>
      </c>
      <c r="K192" s="709">
        <f t="array" ref="K192">INDEX(UtilityList!Q$4:Q$251,MATCH('Table 2.1b_percent'!$A192&amp;'Table 2.1b_percent'!$B192&amp;'Table 2.1b_percent'!$C192,UtilityList!$A$4:$A$251&amp;UtilityList!$B$4:$B$251&amp;UtilityList!$C$4:$C$251,0))</f>
        <v>0</v>
      </c>
      <c r="L192" s="627" t="str">
        <f t="array" ref="L192">INDEX(UtilityList!I$4:I$251,MATCH('Table 2.1b_percent'!$A192&amp;'Table 2.1b_percent'!$B192&amp;'Table 2.1b_percent'!$C192,UtilityList!$A$4:$A$251&amp;UtilityList!$B$4:$B$251&amp;UtilityList!$C$4:$C$251,0))</f>
        <v>NEWKVC</v>
      </c>
      <c r="M192" s="452" t="str">
        <f t="array" ref="M192">INDEX(UtilityList!J$4:J$251,MATCH('Table 2.1b_percent'!$A192&amp;'Table 2.1b_percent'!$B192&amp;'Table 2.1b_percent'!$C192,UtilityList!$A$4:$A$251&amp;UtilityList!$B$4:$B$251&amp;UtilityList!$C$4:$C$251,0))</f>
        <v>Bristol Bay</v>
      </c>
      <c r="N192" s="452" t="str">
        <f t="array" ref="N192">INDEX(UtilityList!K$4:K$251,MATCH('Table 2.1b_percent'!$A192&amp;'Table 2.1b_percent'!$B192&amp;'Table 2.1b_percent'!$C192,UtilityList!$A$4:$A$251&amp;UtilityList!$B$4:$B$251&amp;UtilityList!$C$4:$C$251,0))</f>
        <v>Dillingham (CA)</v>
      </c>
      <c r="O192" s="452" t="str">
        <f t="array" ref="O192">INDEX(UtilityList!L$4:L$251,MATCH('Table 2.1b_percent'!$A192&amp;'Table 2.1b_percent'!$B192&amp;'Table 2.1b_percent'!$C192,UtilityList!$A$4:$A$251&amp;UtilityList!$B$4:$B$251&amp;UtilityList!$C$4:$C$251,0))</f>
        <v>Bristol Bay</v>
      </c>
      <c r="P192" s="452" t="str">
        <f t="array" ref="P192">INDEX(UtilityList!M$4:M$251,MATCH('Table 2.1b_percent'!$A192&amp;'Table 2.1b_percent'!$B192&amp;'Table 2.1b_percent'!$C192,UtilityList!$A$4:$A$251&amp;UtilityList!$B$4:$B$251&amp;UtilityList!$C$4:$C$251,0))</f>
        <v>SW</v>
      </c>
    </row>
    <row r="193" spans="1:16" s="344" customFormat="1" ht="30" x14ac:dyDescent="0.25">
      <c r="A193" s="619" t="s">
        <v>272</v>
      </c>
      <c r="B193" s="361" t="s">
        <v>273</v>
      </c>
      <c r="C193" s="350" t="s">
        <v>273</v>
      </c>
      <c r="D193" s="625">
        <v>1</v>
      </c>
      <c r="E193" s="626">
        <v>0</v>
      </c>
      <c r="F193" s="626">
        <v>1</v>
      </c>
      <c r="G193" s="626">
        <v>0</v>
      </c>
      <c r="H193" s="626">
        <v>0</v>
      </c>
      <c r="I193" s="361" t="s">
        <v>718</v>
      </c>
      <c r="J193" s="622" t="str">
        <f t="array" ref="J193">INDEX(UtilityList!H$4:H$251,MATCH('Table 2.1b_percent'!$A193&amp;'Table 2.1b_percent'!$B193&amp;'Table 2.1b_percent'!$C193,UtilityList!$A$4:$A$251&amp;UtilityList!$B$4:$B$251&amp;UtilityList!$C$4:$C$251,0))</f>
        <v>PCE Eligible Active</v>
      </c>
      <c r="K193" s="709">
        <f t="array" ref="K193">INDEX(UtilityList!Q$4:Q$251,MATCH('Table 2.1b_percent'!$A193&amp;'Table 2.1b_percent'!$B193&amp;'Table 2.1b_percent'!$C193,UtilityList!$A$4:$A$251&amp;UtilityList!$B$4:$B$251&amp;UtilityList!$C$4:$C$251,0))</f>
        <v>0</v>
      </c>
      <c r="L193" s="627" t="str">
        <f t="array" ref="L193">INDEX(UtilityList!I$4:I$251,MATCH('Table 2.1b_percent'!$A193&amp;'Table 2.1b_percent'!$B193&amp;'Table 2.1b_percent'!$C193,UtilityList!$A$4:$A$251&amp;UtilityList!$B$4:$B$251&amp;UtilityList!$C$4:$C$251,0))</f>
        <v>NIKO</v>
      </c>
      <c r="M193" s="452" t="str">
        <f t="array" ref="M193">INDEX(UtilityList!J$4:J$251,MATCH('Table 2.1b_percent'!$A193&amp;'Table 2.1b_percent'!$B193&amp;'Table 2.1b_percent'!$C193,UtilityList!$A$4:$A$251&amp;UtilityList!$B$4:$B$251&amp;UtilityList!$C$4:$C$251,0))</f>
        <v>Yukon-Koyukuk/Upper Tanana</v>
      </c>
      <c r="N193" s="452" t="str">
        <f t="array" ref="N193">INDEX(UtilityList!K$4:K$251,MATCH('Table 2.1b_percent'!$A193&amp;'Table 2.1b_percent'!$B193&amp;'Table 2.1b_percent'!$C193,UtilityList!$A$4:$A$251&amp;UtilityList!$B$4:$B$251&amp;UtilityList!$C$4:$C$251,0))</f>
        <v>Yukon-Koyukuk (CA)</v>
      </c>
      <c r="O193" s="452" t="str">
        <f t="array" ref="O193">INDEX(UtilityList!L$4:L$251,MATCH('Table 2.1b_percent'!$A193&amp;'Table 2.1b_percent'!$B193&amp;'Table 2.1b_percent'!$C193,UtilityList!$A$4:$A$251&amp;UtilityList!$B$4:$B$251&amp;UtilityList!$C$4:$C$251,0))</f>
        <v>Doyon</v>
      </c>
      <c r="P193" s="452" t="str">
        <f t="array" ref="P193">INDEX(UtilityList!M$4:M$251,MATCH('Table 2.1b_percent'!$A193&amp;'Table 2.1b_percent'!$B193&amp;'Table 2.1b_percent'!$C193,UtilityList!$A$4:$A$251&amp;UtilityList!$B$4:$B$251&amp;UtilityList!$C$4:$C$251,0))</f>
        <v>SW</v>
      </c>
    </row>
    <row r="194" spans="1:16" s="344" customFormat="1" x14ac:dyDescent="0.25">
      <c r="A194" s="619" t="s">
        <v>274</v>
      </c>
      <c r="B194" s="361" t="s">
        <v>275</v>
      </c>
      <c r="C194" s="350" t="s">
        <v>276</v>
      </c>
      <c r="D194" s="625">
        <v>1</v>
      </c>
      <c r="E194" s="626">
        <v>0</v>
      </c>
      <c r="F194" s="626">
        <v>1</v>
      </c>
      <c r="G194" s="626">
        <v>0</v>
      </c>
      <c r="H194" s="626">
        <v>0</v>
      </c>
      <c r="I194" s="361" t="s">
        <v>648</v>
      </c>
      <c r="J194" s="622" t="str">
        <f t="array" ref="J194">INDEX(UtilityList!H$4:H$251,MATCH('Table 2.1b_percent'!$A194&amp;'Table 2.1b_percent'!$B194&amp;'Table 2.1b_percent'!$C194,UtilityList!$A$4:$A$251&amp;UtilityList!$B$4:$B$251&amp;UtilityList!$C$4:$C$251,0))</f>
        <v>PCE Eligible Active</v>
      </c>
      <c r="K194" s="709">
        <f t="array" ref="K194">INDEX(UtilityList!Q$4:Q$251,MATCH('Table 2.1b_percent'!$A194&amp;'Table 2.1b_percent'!$B194&amp;'Table 2.1b_percent'!$C194,UtilityList!$A$4:$A$251&amp;UtilityList!$B$4:$B$251&amp;UtilityList!$C$4:$C$251,0))</f>
        <v>0</v>
      </c>
      <c r="L194" s="627" t="str">
        <f t="array" ref="L194">INDEX(UtilityList!I$4:I$251,MATCH('Table 2.1b_percent'!$A194&amp;'Table 2.1b_percent'!$B194&amp;'Table 2.1b_percent'!$C194,UtilityList!$A$4:$A$251&amp;UtilityList!$B$4:$B$251&amp;UtilityList!$C$4:$C$251,0))</f>
        <v>NOME</v>
      </c>
      <c r="M194" s="452" t="str">
        <f t="array" ref="M194">INDEX(UtilityList!J$4:J$251,MATCH('Table 2.1b_percent'!$A194&amp;'Table 2.1b_percent'!$B194&amp;'Table 2.1b_percent'!$C194,UtilityList!$A$4:$A$251&amp;UtilityList!$B$4:$B$251&amp;UtilityList!$C$4:$C$251,0))</f>
        <v>Bering Straits</v>
      </c>
      <c r="N194" s="452" t="str">
        <f t="array" ref="N194">INDEX(UtilityList!K$4:K$251,MATCH('Table 2.1b_percent'!$A194&amp;'Table 2.1b_percent'!$B194&amp;'Table 2.1b_percent'!$C194,UtilityList!$A$4:$A$251&amp;UtilityList!$B$4:$B$251&amp;UtilityList!$C$4:$C$251,0))</f>
        <v>Nome (CA)</v>
      </c>
      <c r="O194" s="452" t="str">
        <f t="array" ref="O194">INDEX(UtilityList!L$4:L$251,MATCH('Table 2.1b_percent'!$A194&amp;'Table 2.1b_percent'!$B194&amp;'Table 2.1b_percent'!$C194,UtilityList!$A$4:$A$251&amp;UtilityList!$B$4:$B$251&amp;UtilityList!$C$4:$C$251,0))</f>
        <v>Bering Straits</v>
      </c>
      <c r="P194" s="452" t="str">
        <f t="array" ref="P194">INDEX(UtilityList!M$4:M$251,MATCH('Table 2.1b_percent'!$A194&amp;'Table 2.1b_percent'!$B194&amp;'Table 2.1b_percent'!$C194,UtilityList!$A$4:$A$251&amp;UtilityList!$B$4:$B$251&amp;UtilityList!$C$4:$C$251,0))</f>
        <v>AN</v>
      </c>
    </row>
    <row r="195" spans="1:16" s="344" customFormat="1" x14ac:dyDescent="0.25">
      <c r="A195" s="619" t="s">
        <v>277</v>
      </c>
      <c r="B195" s="361" t="s">
        <v>278</v>
      </c>
      <c r="C195" s="350" t="s">
        <v>278</v>
      </c>
      <c r="D195" s="625">
        <v>1</v>
      </c>
      <c r="E195" s="626">
        <v>0</v>
      </c>
      <c r="F195" s="626">
        <v>1</v>
      </c>
      <c r="G195" s="626">
        <v>0</v>
      </c>
      <c r="H195" s="626">
        <v>0</v>
      </c>
      <c r="I195" s="361" t="s">
        <v>648</v>
      </c>
      <c r="J195" s="622" t="str">
        <f t="array" ref="J195">INDEX(UtilityList!H$4:H$251,MATCH('Table 2.1b_percent'!$A195&amp;'Table 2.1b_percent'!$B195&amp;'Table 2.1b_percent'!$C195,UtilityList!$A$4:$A$251&amp;UtilityList!$B$4:$B$251&amp;UtilityList!$C$4:$C$251,0))</f>
        <v>PCE Eligible Active</v>
      </c>
      <c r="K195" s="709">
        <f t="array" ref="K195">INDEX(UtilityList!Q$4:Q$251,MATCH('Table 2.1b_percent'!$A195&amp;'Table 2.1b_percent'!$B195&amp;'Table 2.1b_percent'!$C195,UtilityList!$A$4:$A$251&amp;UtilityList!$B$4:$B$251&amp;UtilityList!$C$4:$C$251,0))</f>
        <v>0</v>
      </c>
      <c r="L195" s="627" t="str">
        <f t="array" ref="L195">INDEX(UtilityList!I$4:I$251,MATCH('Table 2.1b_percent'!$A195&amp;'Table 2.1b_percent'!$B195&amp;'Table 2.1b_percent'!$C195,UtilityList!$A$4:$A$251&amp;UtilityList!$B$4:$B$251&amp;UtilityList!$C$4:$C$251,0))</f>
        <v>NORTSB</v>
      </c>
      <c r="M195" s="452" t="str">
        <f t="array" ref="M195">INDEX(UtilityList!J$4:J$251,MATCH('Table 2.1b_percent'!$A195&amp;'Table 2.1b_percent'!$B195&amp;'Table 2.1b_percent'!$C195,UtilityList!$A$4:$A$251&amp;UtilityList!$B$4:$B$251&amp;UtilityList!$C$4:$C$251,0))</f>
        <v>North Slope</v>
      </c>
      <c r="N195" s="452" t="str">
        <f t="array" ref="N195">INDEX(UtilityList!K$4:K$251,MATCH('Table 2.1b_percent'!$A195&amp;'Table 2.1b_percent'!$B195&amp;'Table 2.1b_percent'!$C195,UtilityList!$A$4:$A$251&amp;UtilityList!$B$4:$B$251&amp;UtilityList!$C$4:$C$251,0))</f>
        <v>North Slope</v>
      </c>
      <c r="O195" s="452" t="str">
        <f t="array" ref="O195">INDEX(UtilityList!L$4:L$251,MATCH('Table 2.1b_percent'!$A195&amp;'Table 2.1b_percent'!$B195&amp;'Table 2.1b_percent'!$C195,UtilityList!$A$4:$A$251&amp;UtilityList!$B$4:$B$251&amp;UtilityList!$C$4:$C$251,0))</f>
        <v>Arctic Slope</v>
      </c>
      <c r="P195" s="452" t="str">
        <f t="array" ref="P195">INDEX(UtilityList!M$4:M$251,MATCH('Table 2.1b_percent'!$A195&amp;'Table 2.1b_percent'!$B195&amp;'Table 2.1b_percent'!$C195,UtilityList!$A$4:$A$251&amp;UtilityList!$B$4:$B$251&amp;UtilityList!$C$4:$C$251,0))</f>
        <v>AN</v>
      </c>
    </row>
    <row r="196" spans="1:16" s="344" customFormat="1" x14ac:dyDescent="0.25">
      <c r="A196" s="619" t="s">
        <v>277</v>
      </c>
      <c r="B196" s="350" t="s">
        <v>279</v>
      </c>
      <c r="C196" s="350" t="s">
        <v>279</v>
      </c>
      <c r="D196" s="625">
        <v>1</v>
      </c>
      <c r="E196" s="626">
        <v>0</v>
      </c>
      <c r="F196" s="626">
        <v>1</v>
      </c>
      <c r="G196" s="626">
        <v>0</v>
      </c>
      <c r="H196" s="626">
        <v>0</v>
      </c>
      <c r="I196" s="361" t="s">
        <v>648</v>
      </c>
      <c r="J196" s="622" t="str">
        <f t="array" ref="J196">INDEX(UtilityList!H$4:H$251,MATCH('Table 2.1b_percent'!$A196&amp;'Table 2.1b_percent'!$B196&amp;'Table 2.1b_percent'!$C196,UtilityList!$A$4:$A$251&amp;UtilityList!$B$4:$B$251&amp;UtilityList!$C$4:$C$251,0))</f>
        <v>PCE Eligible Active</v>
      </c>
      <c r="K196" s="709">
        <f t="array" ref="K196">INDEX(UtilityList!Q$4:Q$251,MATCH('Table 2.1b_percent'!$A196&amp;'Table 2.1b_percent'!$B196&amp;'Table 2.1b_percent'!$C196,UtilityList!$A$4:$A$251&amp;UtilityList!$B$4:$B$251&amp;UtilityList!$C$4:$C$251,0))</f>
        <v>0</v>
      </c>
      <c r="L196" s="627" t="str">
        <f t="array" ref="L196">INDEX(UtilityList!I$4:I$251,MATCH('Table 2.1b_percent'!$A196&amp;'Table 2.1b_percent'!$B196&amp;'Table 2.1b_percent'!$C196,UtilityList!$A$4:$A$251&amp;UtilityList!$B$4:$B$251&amp;UtilityList!$C$4:$C$251,0))</f>
        <v>NORTSB</v>
      </c>
      <c r="M196" s="452" t="str">
        <f t="array" ref="M196">INDEX(UtilityList!J$4:J$251,MATCH('Table 2.1b_percent'!$A196&amp;'Table 2.1b_percent'!$B196&amp;'Table 2.1b_percent'!$C196,UtilityList!$A$4:$A$251&amp;UtilityList!$B$4:$B$251&amp;UtilityList!$C$4:$C$251,0))</f>
        <v>North Slope</v>
      </c>
      <c r="N196" s="452" t="str">
        <f t="array" ref="N196">INDEX(UtilityList!K$4:K$251,MATCH('Table 2.1b_percent'!$A196&amp;'Table 2.1b_percent'!$B196&amp;'Table 2.1b_percent'!$C196,UtilityList!$A$4:$A$251&amp;UtilityList!$B$4:$B$251&amp;UtilityList!$C$4:$C$251,0))</f>
        <v>North Slope</v>
      </c>
      <c r="O196" s="452" t="str">
        <f t="array" ref="O196">INDEX(UtilityList!L$4:L$251,MATCH('Table 2.1b_percent'!$A196&amp;'Table 2.1b_percent'!$B196&amp;'Table 2.1b_percent'!$C196,UtilityList!$A$4:$A$251&amp;UtilityList!$B$4:$B$251&amp;UtilityList!$C$4:$C$251,0))</f>
        <v>Arctic Slope</v>
      </c>
      <c r="P196" s="452" t="str">
        <f t="array" ref="P196">INDEX(UtilityList!M$4:M$251,MATCH('Table 2.1b_percent'!$A196&amp;'Table 2.1b_percent'!$B196&amp;'Table 2.1b_percent'!$C196,UtilityList!$A$4:$A$251&amp;UtilityList!$B$4:$B$251&amp;UtilityList!$C$4:$C$251,0))</f>
        <v>AN</v>
      </c>
    </row>
    <row r="197" spans="1:16" s="344" customFormat="1" x14ac:dyDescent="0.25">
      <c r="A197" s="619" t="s">
        <v>277</v>
      </c>
      <c r="B197" s="361" t="s">
        <v>280</v>
      </c>
      <c r="C197" s="350" t="s">
        <v>280</v>
      </c>
      <c r="D197" s="625">
        <v>1</v>
      </c>
      <c r="E197" s="626">
        <v>0</v>
      </c>
      <c r="F197" s="626">
        <v>1</v>
      </c>
      <c r="G197" s="626">
        <v>0</v>
      </c>
      <c r="H197" s="626">
        <v>0</v>
      </c>
      <c r="I197" s="361" t="s">
        <v>648</v>
      </c>
      <c r="J197" s="622" t="str">
        <f t="array" ref="J197">INDEX(UtilityList!H$4:H$251,MATCH('Table 2.1b_percent'!$A197&amp;'Table 2.1b_percent'!$B197&amp;'Table 2.1b_percent'!$C197,UtilityList!$A$4:$A$251&amp;UtilityList!$B$4:$B$251&amp;UtilityList!$C$4:$C$251,0))</f>
        <v>PCE Eligible Active</v>
      </c>
      <c r="K197" s="709">
        <f t="array" ref="K197">INDEX(UtilityList!Q$4:Q$251,MATCH('Table 2.1b_percent'!$A197&amp;'Table 2.1b_percent'!$B197&amp;'Table 2.1b_percent'!$C197,UtilityList!$A$4:$A$251&amp;UtilityList!$B$4:$B$251&amp;UtilityList!$C$4:$C$251,0))</f>
        <v>0</v>
      </c>
      <c r="L197" s="627" t="str">
        <f t="array" ref="L197">INDEX(UtilityList!I$4:I$251,MATCH('Table 2.1b_percent'!$A197&amp;'Table 2.1b_percent'!$B197&amp;'Table 2.1b_percent'!$C197,UtilityList!$A$4:$A$251&amp;UtilityList!$B$4:$B$251&amp;UtilityList!$C$4:$C$251,0))</f>
        <v>NORTSB</v>
      </c>
      <c r="M197" s="452" t="str">
        <f t="array" ref="M197">INDEX(UtilityList!J$4:J$251,MATCH('Table 2.1b_percent'!$A197&amp;'Table 2.1b_percent'!$B197&amp;'Table 2.1b_percent'!$C197,UtilityList!$A$4:$A$251&amp;UtilityList!$B$4:$B$251&amp;UtilityList!$C$4:$C$251,0))</f>
        <v>North Slope</v>
      </c>
      <c r="N197" s="452" t="str">
        <f t="array" ref="N197">INDEX(UtilityList!K$4:K$251,MATCH('Table 2.1b_percent'!$A197&amp;'Table 2.1b_percent'!$B197&amp;'Table 2.1b_percent'!$C197,UtilityList!$A$4:$A$251&amp;UtilityList!$B$4:$B$251&amp;UtilityList!$C$4:$C$251,0))</f>
        <v>North Slope</v>
      </c>
      <c r="O197" s="452" t="str">
        <f t="array" ref="O197">INDEX(UtilityList!L$4:L$251,MATCH('Table 2.1b_percent'!$A197&amp;'Table 2.1b_percent'!$B197&amp;'Table 2.1b_percent'!$C197,UtilityList!$A$4:$A$251&amp;UtilityList!$B$4:$B$251&amp;UtilityList!$C$4:$C$251,0))</f>
        <v>Arctic Slope</v>
      </c>
      <c r="P197" s="452" t="str">
        <f t="array" ref="P197">INDEX(UtilityList!M$4:M$251,MATCH('Table 2.1b_percent'!$A197&amp;'Table 2.1b_percent'!$B197&amp;'Table 2.1b_percent'!$C197,UtilityList!$A$4:$A$251&amp;UtilityList!$B$4:$B$251&amp;UtilityList!$C$4:$C$251,0))</f>
        <v>AN</v>
      </c>
    </row>
    <row r="198" spans="1:16" s="344" customFormat="1" x14ac:dyDescent="0.25">
      <c r="A198" s="619" t="s">
        <v>277</v>
      </c>
      <c r="B198" s="361" t="s">
        <v>281</v>
      </c>
      <c r="C198" s="350" t="s">
        <v>281</v>
      </c>
      <c r="D198" s="625">
        <v>1</v>
      </c>
      <c r="E198" s="626">
        <v>0</v>
      </c>
      <c r="F198" s="626">
        <v>1</v>
      </c>
      <c r="G198" s="626">
        <v>0</v>
      </c>
      <c r="H198" s="626">
        <v>0</v>
      </c>
      <c r="I198" s="361" t="s">
        <v>648</v>
      </c>
      <c r="J198" s="622" t="str">
        <f t="array" ref="J198">INDEX(UtilityList!H$4:H$251,MATCH('Table 2.1b_percent'!$A198&amp;'Table 2.1b_percent'!$B198&amp;'Table 2.1b_percent'!$C198,UtilityList!$A$4:$A$251&amp;UtilityList!$B$4:$B$251&amp;UtilityList!$C$4:$C$251,0))</f>
        <v>PCE Eligible Active</v>
      </c>
      <c r="K198" s="709">
        <f t="array" ref="K198">INDEX(UtilityList!Q$4:Q$251,MATCH('Table 2.1b_percent'!$A198&amp;'Table 2.1b_percent'!$B198&amp;'Table 2.1b_percent'!$C198,UtilityList!$A$4:$A$251&amp;UtilityList!$B$4:$B$251&amp;UtilityList!$C$4:$C$251,0))</f>
        <v>0</v>
      </c>
      <c r="L198" s="627" t="str">
        <f t="array" ref="L198">INDEX(UtilityList!I$4:I$251,MATCH('Table 2.1b_percent'!$A198&amp;'Table 2.1b_percent'!$B198&amp;'Table 2.1b_percent'!$C198,UtilityList!$A$4:$A$251&amp;UtilityList!$B$4:$B$251&amp;UtilityList!$C$4:$C$251,0))</f>
        <v>NORTSB</v>
      </c>
      <c r="M198" s="452" t="str">
        <f t="array" ref="M198">INDEX(UtilityList!J$4:J$251,MATCH('Table 2.1b_percent'!$A198&amp;'Table 2.1b_percent'!$B198&amp;'Table 2.1b_percent'!$C198,UtilityList!$A$4:$A$251&amp;UtilityList!$B$4:$B$251&amp;UtilityList!$C$4:$C$251,0))</f>
        <v>North Slope</v>
      </c>
      <c r="N198" s="452" t="str">
        <f t="array" ref="N198">INDEX(UtilityList!K$4:K$251,MATCH('Table 2.1b_percent'!$A198&amp;'Table 2.1b_percent'!$B198&amp;'Table 2.1b_percent'!$C198,UtilityList!$A$4:$A$251&amp;UtilityList!$B$4:$B$251&amp;UtilityList!$C$4:$C$251,0))</f>
        <v>North Slope</v>
      </c>
      <c r="O198" s="452" t="str">
        <f t="array" ref="O198">INDEX(UtilityList!L$4:L$251,MATCH('Table 2.1b_percent'!$A198&amp;'Table 2.1b_percent'!$B198&amp;'Table 2.1b_percent'!$C198,UtilityList!$A$4:$A$251&amp;UtilityList!$B$4:$B$251&amp;UtilityList!$C$4:$C$251,0))</f>
        <v>Arctic Slope</v>
      </c>
      <c r="P198" s="452" t="str">
        <f t="array" ref="P198">INDEX(UtilityList!M$4:M$251,MATCH('Table 2.1b_percent'!$A198&amp;'Table 2.1b_percent'!$B198&amp;'Table 2.1b_percent'!$C198,UtilityList!$A$4:$A$251&amp;UtilityList!$B$4:$B$251&amp;UtilityList!$C$4:$C$251,0))</f>
        <v>AN</v>
      </c>
    </row>
    <row r="199" spans="1:16" s="344" customFormat="1" x14ac:dyDescent="0.25">
      <c r="A199" s="619" t="s">
        <v>277</v>
      </c>
      <c r="B199" s="361" t="s">
        <v>282</v>
      </c>
      <c r="C199" s="350" t="s">
        <v>282</v>
      </c>
      <c r="D199" s="625">
        <v>1</v>
      </c>
      <c r="E199" s="626">
        <v>0</v>
      </c>
      <c r="F199" s="626">
        <v>1</v>
      </c>
      <c r="G199" s="626">
        <v>0</v>
      </c>
      <c r="H199" s="626">
        <v>0</v>
      </c>
      <c r="I199" s="361" t="s">
        <v>648</v>
      </c>
      <c r="J199" s="622" t="str">
        <f t="array" ref="J199">INDEX(UtilityList!H$4:H$251,MATCH('Table 2.1b_percent'!$A199&amp;'Table 2.1b_percent'!$B199&amp;'Table 2.1b_percent'!$C199,UtilityList!$A$4:$A$251&amp;UtilityList!$B$4:$B$251&amp;UtilityList!$C$4:$C$251,0))</f>
        <v>PCE Eligible Active</v>
      </c>
      <c r="K199" s="709">
        <f t="array" ref="K199">INDEX(UtilityList!Q$4:Q$251,MATCH('Table 2.1b_percent'!$A199&amp;'Table 2.1b_percent'!$B199&amp;'Table 2.1b_percent'!$C199,UtilityList!$A$4:$A$251&amp;UtilityList!$B$4:$B$251&amp;UtilityList!$C$4:$C$251,0))</f>
        <v>0</v>
      </c>
      <c r="L199" s="627" t="str">
        <f t="array" ref="L199">INDEX(UtilityList!I$4:I$251,MATCH('Table 2.1b_percent'!$A199&amp;'Table 2.1b_percent'!$B199&amp;'Table 2.1b_percent'!$C199,UtilityList!$A$4:$A$251&amp;UtilityList!$B$4:$B$251&amp;UtilityList!$C$4:$C$251,0))</f>
        <v>NORTSB</v>
      </c>
      <c r="M199" s="452" t="str">
        <f t="array" ref="M199">INDEX(UtilityList!J$4:J$251,MATCH('Table 2.1b_percent'!$A199&amp;'Table 2.1b_percent'!$B199&amp;'Table 2.1b_percent'!$C199,UtilityList!$A$4:$A$251&amp;UtilityList!$B$4:$B$251&amp;UtilityList!$C$4:$C$251,0))</f>
        <v>North Slope</v>
      </c>
      <c r="N199" s="452" t="str">
        <f t="array" ref="N199">INDEX(UtilityList!K$4:K$251,MATCH('Table 2.1b_percent'!$A199&amp;'Table 2.1b_percent'!$B199&amp;'Table 2.1b_percent'!$C199,UtilityList!$A$4:$A$251&amp;UtilityList!$B$4:$B$251&amp;UtilityList!$C$4:$C$251,0))</f>
        <v>North Slope</v>
      </c>
      <c r="O199" s="452" t="str">
        <f t="array" ref="O199">INDEX(UtilityList!L$4:L$251,MATCH('Table 2.1b_percent'!$A199&amp;'Table 2.1b_percent'!$B199&amp;'Table 2.1b_percent'!$C199,UtilityList!$A$4:$A$251&amp;UtilityList!$B$4:$B$251&amp;UtilityList!$C$4:$C$251,0))</f>
        <v>Arctic Slope</v>
      </c>
      <c r="P199" s="452" t="str">
        <f t="array" ref="P199">INDEX(UtilityList!M$4:M$251,MATCH('Table 2.1b_percent'!$A199&amp;'Table 2.1b_percent'!$B199&amp;'Table 2.1b_percent'!$C199,UtilityList!$A$4:$A$251&amp;UtilityList!$B$4:$B$251&amp;UtilityList!$C$4:$C$251,0))</f>
        <v>AN</v>
      </c>
    </row>
    <row r="200" spans="1:16" s="344" customFormat="1" x14ac:dyDescent="0.25">
      <c r="A200" s="619" t="s">
        <v>277</v>
      </c>
      <c r="B200" s="361" t="s">
        <v>283</v>
      </c>
      <c r="C200" s="350" t="s">
        <v>283</v>
      </c>
      <c r="D200" s="625">
        <v>1</v>
      </c>
      <c r="E200" s="626">
        <v>0</v>
      </c>
      <c r="F200" s="626">
        <v>1</v>
      </c>
      <c r="G200" s="626">
        <v>0</v>
      </c>
      <c r="H200" s="626">
        <v>0</v>
      </c>
      <c r="I200" s="361" t="s">
        <v>648</v>
      </c>
      <c r="J200" s="622" t="str">
        <f t="array" ref="J200">INDEX(UtilityList!H$4:H$251,MATCH('Table 2.1b_percent'!$A200&amp;'Table 2.1b_percent'!$B200&amp;'Table 2.1b_percent'!$C200,UtilityList!$A$4:$A$251&amp;UtilityList!$B$4:$B$251&amp;UtilityList!$C$4:$C$251,0))</f>
        <v>PCE Eligible Active</v>
      </c>
      <c r="K200" s="709">
        <f t="array" ref="K200">INDEX(UtilityList!Q$4:Q$251,MATCH('Table 2.1b_percent'!$A200&amp;'Table 2.1b_percent'!$B200&amp;'Table 2.1b_percent'!$C200,UtilityList!$A$4:$A$251&amp;UtilityList!$B$4:$B$251&amp;UtilityList!$C$4:$C$251,0))</f>
        <v>0</v>
      </c>
      <c r="L200" s="627" t="str">
        <f t="array" ref="L200">INDEX(UtilityList!I$4:I$251,MATCH('Table 2.1b_percent'!$A200&amp;'Table 2.1b_percent'!$B200&amp;'Table 2.1b_percent'!$C200,UtilityList!$A$4:$A$251&amp;UtilityList!$B$4:$B$251&amp;UtilityList!$C$4:$C$251,0))</f>
        <v>NORTSB</v>
      </c>
      <c r="M200" s="452" t="str">
        <f t="array" ref="M200">INDEX(UtilityList!J$4:J$251,MATCH('Table 2.1b_percent'!$A200&amp;'Table 2.1b_percent'!$B200&amp;'Table 2.1b_percent'!$C200,UtilityList!$A$4:$A$251&amp;UtilityList!$B$4:$B$251&amp;UtilityList!$C$4:$C$251,0))</f>
        <v>North Slope</v>
      </c>
      <c r="N200" s="452" t="str">
        <f t="array" ref="N200">INDEX(UtilityList!K$4:K$251,MATCH('Table 2.1b_percent'!$A200&amp;'Table 2.1b_percent'!$B200&amp;'Table 2.1b_percent'!$C200,UtilityList!$A$4:$A$251&amp;UtilityList!$B$4:$B$251&amp;UtilityList!$C$4:$C$251,0))</f>
        <v>North Slope</v>
      </c>
      <c r="O200" s="452" t="str">
        <f t="array" ref="O200">INDEX(UtilityList!L$4:L$251,MATCH('Table 2.1b_percent'!$A200&amp;'Table 2.1b_percent'!$B200&amp;'Table 2.1b_percent'!$C200,UtilityList!$A$4:$A$251&amp;UtilityList!$B$4:$B$251&amp;UtilityList!$C$4:$C$251,0))</f>
        <v>Arctic Slope</v>
      </c>
      <c r="P200" s="452" t="str">
        <f t="array" ref="P200">INDEX(UtilityList!M$4:M$251,MATCH('Table 2.1b_percent'!$A200&amp;'Table 2.1b_percent'!$B200&amp;'Table 2.1b_percent'!$C200,UtilityList!$A$4:$A$251&amp;UtilityList!$B$4:$B$251&amp;UtilityList!$C$4:$C$251,0))</f>
        <v>AN</v>
      </c>
    </row>
    <row r="201" spans="1:16" s="344" customFormat="1" x14ac:dyDescent="0.25">
      <c r="A201" s="619" t="s">
        <v>277</v>
      </c>
      <c r="B201" s="361" t="s">
        <v>284</v>
      </c>
      <c r="C201" s="350" t="s">
        <v>284</v>
      </c>
      <c r="D201" s="625">
        <v>1</v>
      </c>
      <c r="E201" s="626">
        <v>0</v>
      </c>
      <c r="F201" s="626">
        <v>1</v>
      </c>
      <c r="G201" s="626">
        <v>0</v>
      </c>
      <c r="H201" s="626">
        <v>0</v>
      </c>
      <c r="I201" s="361" t="s">
        <v>648</v>
      </c>
      <c r="J201" s="622" t="str">
        <f t="array" ref="J201">INDEX(UtilityList!H$4:H$251,MATCH('Table 2.1b_percent'!$A201&amp;'Table 2.1b_percent'!$B201&amp;'Table 2.1b_percent'!$C201,UtilityList!$A$4:$A$251&amp;UtilityList!$B$4:$B$251&amp;UtilityList!$C$4:$C$251,0))</f>
        <v>PCE Eligible Active</v>
      </c>
      <c r="K201" s="709">
        <f t="array" ref="K201">INDEX(UtilityList!Q$4:Q$251,MATCH('Table 2.1b_percent'!$A201&amp;'Table 2.1b_percent'!$B201&amp;'Table 2.1b_percent'!$C201,UtilityList!$A$4:$A$251&amp;UtilityList!$B$4:$B$251&amp;UtilityList!$C$4:$C$251,0))</f>
        <v>0</v>
      </c>
      <c r="L201" s="627" t="str">
        <f t="array" ref="L201">INDEX(UtilityList!I$4:I$251,MATCH('Table 2.1b_percent'!$A201&amp;'Table 2.1b_percent'!$B201&amp;'Table 2.1b_percent'!$C201,UtilityList!$A$4:$A$251&amp;UtilityList!$B$4:$B$251&amp;UtilityList!$C$4:$C$251,0))</f>
        <v>NORTSB</v>
      </c>
      <c r="M201" s="452" t="str">
        <f t="array" ref="M201">INDEX(UtilityList!J$4:J$251,MATCH('Table 2.1b_percent'!$A201&amp;'Table 2.1b_percent'!$B201&amp;'Table 2.1b_percent'!$C201,UtilityList!$A$4:$A$251&amp;UtilityList!$B$4:$B$251&amp;UtilityList!$C$4:$C$251,0))</f>
        <v>North Slope</v>
      </c>
      <c r="N201" s="452" t="str">
        <f t="array" ref="N201">INDEX(UtilityList!K$4:K$251,MATCH('Table 2.1b_percent'!$A201&amp;'Table 2.1b_percent'!$B201&amp;'Table 2.1b_percent'!$C201,UtilityList!$A$4:$A$251&amp;UtilityList!$B$4:$B$251&amp;UtilityList!$C$4:$C$251,0))</f>
        <v>North Slope</v>
      </c>
      <c r="O201" s="452" t="str">
        <f t="array" ref="O201">INDEX(UtilityList!L$4:L$251,MATCH('Table 2.1b_percent'!$A201&amp;'Table 2.1b_percent'!$B201&amp;'Table 2.1b_percent'!$C201,UtilityList!$A$4:$A$251&amp;UtilityList!$B$4:$B$251&amp;UtilityList!$C$4:$C$251,0))</f>
        <v>Arctic Slope</v>
      </c>
      <c r="P201" s="452" t="str">
        <f t="array" ref="P201">INDEX(UtilityList!M$4:M$251,MATCH('Table 2.1b_percent'!$A201&amp;'Table 2.1b_percent'!$B201&amp;'Table 2.1b_percent'!$C201,UtilityList!$A$4:$A$251&amp;UtilityList!$B$4:$B$251&amp;UtilityList!$C$4:$C$251,0))</f>
        <v>AN</v>
      </c>
    </row>
    <row r="202" spans="1:16" s="344" customFormat="1" ht="30" x14ac:dyDescent="0.25">
      <c r="A202" s="619" t="s">
        <v>285</v>
      </c>
      <c r="B202" s="361" t="s">
        <v>521</v>
      </c>
      <c r="C202" s="350" t="s">
        <v>286</v>
      </c>
      <c r="D202" s="625">
        <v>1</v>
      </c>
      <c r="E202" s="626">
        <v>0</v>
      </c>
      <c r="F202" s="626">
        <v>1</v>
      </c>
      <c r="G202" s="626">
        <v>0</v>
      </c>
      <c r="H202" s="626">
        <v>0</v>
      </c>
      <c r="I202" s="361" t="s">
        <v>718</v>
      </c>
      <c r="J202" s="622" t="str">
        <f t="array" ref="J202">INDEX(UtilityList!H$4:H$251,MATCH('Table 2.1b_percent'!$A202&amp;'Table 2.1b_percent'!$B202&amp;'Table 2.1b_percent'!$C202,UtilityList!$A$4:$A$251&amp;UtilityList!$B$4:$B$251&amp;UtilityList!$C$4:$C$251,0))</f>
        <v>PCE Eligible Active</v>
      </c>
      <c r="K202" s="709">
        <f t="array" ref="K202">INDEX(UtilityList!Q$4:Q$251,MATCH('Table 2.1b_percent'!$A202&amp;'Table 2.1b_percent'!$B202&amp;'Table 2.1b_percent'!$C202,UtilityList!$A$4:$A$251&amp;UtilityList!$B$4:$B$251&amp;UtilityList!$C$4:$C$251,0))</f>
        <v>0</v>
      </c>
      <c r="L202" s="627" t="str">
        <f t="array" ref="L202">INDEX(UtilityList!I$4:I$251,MATCH('Table 2.1b_percent'!$A202&amp;'Table 2.1b_percent'!$B202&amp;'Table 2.1b_percent'!$C202,UtilityList!$A$4:$A$251&amp;UtilityList!$B$4:$B$251&amp;UtilityList!$C$4:$C$251,0))</f>
        <v>NUNAIEC</v>
      </c>
      <c r="M202" s="452" t="str">
        <f t="array" ref="M202">INDEX(UtilityList!J$4:J$251,MATCH('Table 2.1b_percent'!$A202&amp;'Table 2.1b_percent'!$B202&amp;'Table 2.1b_percent'!$C202,UtilityList!$A$4:$A$251&amp;UtilityList!$B$4:$B$251&amp;UtilityList!$C$4:$C$251,0))</f>
        <v>Lower Yukon-Kuskokwim</v>
      </c>
      <c r="N202" s="452" t="str">
        <f t="array" ref="N202">INDEX(UtilityList!K$4:K$251,MATCH('Table 2.1b_percent'!$A202&amp;'Table 2.1b_percent'!$B202&amp;'Table 2.1b_percent'!$C202,UtilityList!$A$4:$A$251&amp;UtilityList!$B$4:$B$251&amp;UtilityList!$C$4:$C$251,0))</f>
        <v>Wade Hampton (CA)</v>
      </c>
      <c r="O202" s="452" t="str">
        <f t="array" ref="O202">INDEX(UtilityList!L$4:L$251,MATCH('Table 2.1b_percent'!$A202&amp;'Table 2.1b_percent'!$B202&amp;'Table 2.1b_percent'!$C202,UtilityList!$A$4:$A$251&amp;UtilityList!$B$4:$B$251&amp;UtilityList!$C$4:$C$251,0))</f>
        <v>Calista</v>
      </c>
      <c r="P202" s="452" t="str">
        <f t="array" ref="P202">INDEX(UtilityList!M$4:M$251,MATCH('Table 2.1b_percent'!$A202&amp;'Table 2.1b_percent'!$B202&amp;'Table 2.1b_percent'!$C202,UtilityList!$A$4:$A$251&amp;UtilityList!$B$4:$B$251&amp;UtilityList!$C$4:$C$251,0))</f>
        <v>YU</v>
      </c>
    </row>
    <row r="203" spans="1:16" s="344" customFormat="1" ht="75" x14ac:dyDescent="0.25">
      <c r="A203" s="619" t="s">
        <v>536</v>
      </c>
      <c r="B203" s="361" t="s">
        <v>287</v>
      </c>
      <c r="C203" s="350" t="s">
        <v>687</v>
      </c>
      <c r="D203" s="625">
        <v>1</v>
      </c>
      <c r="E203" s="626">
        <v>0</v>
      </c>
      <c r="F203" s="626">
        <v>1</v>
      </c>
      <c r="G203" s="626">
        <v>0</v>
      </c>
      <c r="H203" s="626">
        <v>0</v>
      </c>
      <c r="I203" s="361" t="s">
        <v>648</v>
      </c>
      <c r="J203" s="622" t="str">
        <f t="array" ref="J203">INDEX(UtilityList!H$4:H$251,MATCH('Table 2.1b_percent'!$A203&amp;'Table 2.1b_percent'!$B203&amp;'Table 2.1b_percent'!$C203,UtilityList!$A$4:$A$251&amp;UtilityList!$B$4:$B$251&amp;UtilityList!$C$4:$C$251,0))</f>
        <v>PCE Eligible Active</v>
      </c>
      <c r="K203" s="709" t="str">
        <f t="array" ref="K203">INDEX(UtilityList!Q$4:Q$251,MATCH('Table 2.1b_percent'!$A203&amp;'Table 2.1b_percent'!$B203&amp;'Table 2.1b_percent'!$C203,UtilityList!$A$4:$A$251&amp;UtilityList!$B$4:$B$251&amp;UtilityList!$C$4:$C$251,0))</f>
        <v>Provides power to Aleknagik via intertie. Data includes Aleknagik's information.</v>
      </c>
      <c r="L203" s="627" t="str">
        <f t="array" ref="L203">INDEX(UtilityList!I$4:I$251,MATCH('Table 2.1b_percent'!$A203&amp;'Table 2.1b_percent'!$B203&amp;'Table 2.1b_percent'!$C203,UtilityList!$A$4:$A$251&amp;UtilityList!$B$4:$B$251&amp;UtilityList!$C$4:$C$251,0))</f>
        <v>NETCI</v>
      </c>
      <c r="M203" s="452" t="str">
        <f t="array" ref="M203">INDEX(UtilityList!J$4:J$251,MATCH('Table 2.1b_percent'!$A203&amp;'Table 2.1b_percent'!$B203&amp;'Table 2.1b_percent'!$C203,UtilityList!$A$4:$A$251&amp;UtilityList!$B$4:$B$251&amp;UtilityList!$C$4:$C$251,0))</f>
        <v>Bristol Bay</v>
      </c>
      <c r="N203" s="452" t="str">
        <f t="array" ref="N203">INDEX(UtilityList!K$4:K$251,MATCH('Table 2.1b_percent'!$A203&amp;'Table 2.1b_percent'!$B203&amp;'Table 2.1b_percent'!$C203,UtilityList!$A$4:$A$251&amp;UtilityList!$B$4:$B$251&amp;UtilityList!$C$4:$C$251,0))</f>
        <v>Dillingham (CA)</v>
      </c>
      <c r="O203" s="452" t="str">
        <f t="array" ref="O203">INDEX(UtilityList!L$4:L$251,MATCH('Table 2.1b_percent'!$A203&amp;'Table 2.1b_percent'!$B203&amp;'Table 2.1b_percent'!$C203,UtilityList!$A$4:$A$251&amp;UtilityList!$B$4:$B$251&amp;UtilityList!$C$4:$C$251,0))</f>
        <v>Bristol Bay</v>
      </c>
      <c r="P203" s="452" t="str">
        <f t="array" ref="P203">INDEX(UtilityList!M$4:M$251,MATCH('Table 2.1b_percent'!$A203&amp;'Table 2.1b_percent'!$B203&amp;'Table 2.1b_percent'!$C203,UtilityList!$A$4:$A$251&amp;UtilityList!$B$4:$B$251&amp;UtilityList!$C$4:$C$251,0))</f>
        <v>SW</v>
      </c>
    </row>
    <row r="204" spans="1:16" s="344" customFormat="1" ht="30" x14ac:dyDescent="0.25">
      <c r="A204" s="619" t="s">
        <v>288</v>
      </c>
      <c r="B204" s="361" t="s">
        <v>289</v>
      </c>
      <c r="C204" s="350" t="s">
        <v>289</v>
      </c>
      <c r="D204" s="625">
        <v>1</v>
      </c>
      <c r="E204" s="626">
        <v>0</v>
      </c>
      <c r="F204" s="626">
        <v>1</v>
      </c>
      <c r="G204" s="626">
        <v>0</v>
      </c>
      <c r="H204" s="626">
        <v>0</v>
      </c>
      <c r="I204" s="361" t="s">
        <v>718</v>
      </c>
      <c r="J204" s="622" t="str">
        <f t="array" ref="J204">INDEX(UtilityList!H$4:H$251,MATCH('Table 2.1b_percent'!$A204&amp;'Table 2.1b_percent'!$B204&amp;'Table 2.1b_percent'!$C204,UtilityList!$A$4:$A$251&amp;UtilityList!$B$4:$B$251&amp;UtilityList!$C$4:$C$251,0))</f>
        <v>PCE Eligible Active</v>
      </c>
      <c r="K204" s="709">
        <f t="array" ref="K204">INDEX(UtilityList!Q$4:Q$251,MATCH('Table 2.1b_percent'!$A204&amp;'Table 2.1b_percent'!$B204&amp;'Table 2.1b_percent'!$C204,UtilityList!$A$4:$A$251&amp;UtilityList!$B$4:$B$251&amp;UtilityList!$C$4:$C$251,0))</f>
        <v>0</v>
      </c>
      <c r="L204" s="627" t="str">
        <f t="array" ref="L204">INDEX(UtilityList!I$4:I$251,MATCH('Table 2.1b_percent'!$A204&amp;'Table 2.1b_percent'!$B204&amp;'Table 2.1b_percent'!$C204,UtilityList!$A$4:$A$251&amp;UtilityList!$B$4:$B$251&amp;UtilityList!$C$4:$C$251,0))</f>
        <v>OUZI</v>
      </c>
      <c r="M204" s="452" t="str">
        <f t="array" ref="M204">INDEX(UtilityList!J$4:J$251,MATCH('Table 2.1b_percent'!$A204&amp;'Table 2.1b_percent'!$B204&amp;'Table 2.1b_percent'!$C204,UtilityList!$A$4:$A$251&amp;UtilityList!$B$4:$B$251&amp;UtilityList!$C$4:$C$251,0))</f>
        <v>Kodiak</v>
      </c>
      <c r="N204" s="452" t="str">
        <f t="array" ref="N204">INDEX(UtilityList!K$4:K$251,MATCH('Table 2.1b_percent'!$A204&amp;'Table 2.1b_percent'!$B204&amp;'Table 2.1b_percent'!$C204,UtilityList!$A$4:$A$251&amp;UtilityList!$B$4:$B$251&amp;UtilityList!$C$4:$C$251,0))</f>
        <v>Kodiak Island</v>
      </c>
      <c r="O204" s="452" t="str">
        <f t="array" ref="O204">INDEX(UtilityList!L$4:L$251,MATCH('Table 2.1b_percent'!$A204&amp;'Table 2.1b_percent'!$B204&amp;'Table 2.1b_percent'!$C204,UtilityList!$A$4:$A$251&amp;UtilityList!$B$4:$B$251&amp;UtilityList!$C$4:$C$251,0))</f>
        <v>Koniag</v>
      </c>
      <c r="P204" s="452" t="str">
        <f t="array" ref="P204">INDEX(UtilityList!M$4:M$251,MATCH('Table 2.1b_percent'!$A204&amp;'Table 2.1b_percent'!$B204&amp;'Table 2.1b_percent'!$C204,UtilityList!$A$4:$A$251&amp;UtilityList!$B$4:$B$251&amp;UtilityList!$C$4:$C$251,0))</f>
        <v>SC</v>
      </c>
    </row>
    <row r="205" spans="1:16" s="344" customFormat="1" ht="30" x14ac:dyDescent="0.25">
      <c r="A205" s="619" t="s">
        <v>290</v>
      </c>
      <c r="B205" s="361" t="s">
        <v>291</v>
      </c>
      <c r="C205" s="350" t="s">
        <v>291</v>
      </c>
      <c r="D205" s="625">
        <v>1</v>
      </c>
      <c r="E205" s="626">
        <v>0</v>
      </c>
      <c r="F205" s="626">
        <v>1</v>
      </c>
      <c r="G205" s="626">
        <v>0</v>
      </c>
      <c r="H205" s="626">
        <v>0</v>
      </c>
      <c r="I205" s="361" t="s">
        <v>718</v>
      </c>
      <c r="J205" s="622" t="str">
        <f t="array" ref="J205">INDEX(UtilityList!H$4:H$251,MATCH('Table 2.1b_percent'!$A205&amp;'Table 2.1b_percent'!$B205&amp;'Table 2.1b_percent'!$C205,UtilityList!$A$4:$A$251&amp;UtilityList!$B$4:$B$251&amp;UtilityList!$C$4:$C$251,0))</f>
        <v>PCE Eligible Active</v>
      </c>
      <c r="K205" s="709">
        <f t="array" ref="K205">INDEX(UtilityList!Q$4:Q$251,MATCH('Table 2.1b_percent'!$A205&amp;'Table 2.1b_percent'!$B205&amp;'Table 2.1b_percent'!$C205,UtilityList!$A$4:$A$251&amp;UtilityList!$B$4:$B$251&amp;UtilityList!$C$4:$C$251,0))</f>
        <v>0</v>
      </c>
      <c r="L205" s="627" t="str">
        <f t="array" ref="L205">INDEX(UtilityList!I$4:I$251,MATCH('Table 2.1b_percent'!$A205&amp;'Table 2.1b_percent'!$B205&amp;'Table 2.1b_percent'!$C205,UtilityList!$A$4:$A$251&amp;UtilityList!$B$4:$B$251&amp;UtilityList!$C$4:$C$251,0))</f>
        <v>PEDRBV</v>
      </c>
      <c r="M205" s="452" t="str">
        <f t="array" ref="M205">INDEX(UtilityList!J$4:J$251,MATCH('Table 2.1b_percent'!$A205&amp;'Table 2.1b_percent'!$B205&amp;'Table 2.1b_percent'!$C205,UtilityList!$A$4:$A$251&amp;UtilityList!$B$4:$B$251&amp;UtilityList!$C$4:$C$251,0))</f>
        <v>Bristol Bay</v>
      </c>
      <c r="N205" s="452" t="str">
        <f t="array" ref="N205">INDEX(UtilityList!K$4:K$251,MATCH('Table 2.1b_percent'!$A205&amp;'Table 2.1b_percent'!$B205&amp;'Table 2.1b_percent'!$C205,UtilityList!$A$4:$A$251&amp;UtilityList!$B$4:$B$251&amp;UtilityList!$C$4:$C$251,0))</f>
        <v>Lake and Peninsula</v>
      </c>
      <c r="O205" s="452" t="str">
        <f t="array" ref="O205">INDEX(UtilityList!L$4:L$251,MATCH('Table 2.1b_percent'!$A205&amp;'Table 2.1b_percent'!$B205&amp;'Table 2.1b_percent'!$C205,UtilityList!$A$4:$A$251&amp;UtilityList!$B$4:$B$251&amp;UtilityList!$C$4:$C$251,0))</f>
        <v>Bristol Bay</v>
      </c>
      <c r="P205" s="452" t="str">
        <f t="array" ref="P205">INDEX(UtilityList!M$4:M$251,MATCH('Table 2.1b_percent'!$A205&amp;'Table 2.1b_percent'!$B205&amp;'Table 2.1b_percent'!$C205,UtilityList!$A$4:$A$251&amp;UtilityList!$B$4:$B$251&amp;UtilityList!$C$4:$C$251,0))</f>
        <v>SW</v>
      </c>
    </row>
    <row r="206" spans="1:16" s="344" customFormat="1" ht="30" x14ac:dyDescent="0.25">
      <c r="A206" s="619" t="s">
        <v>292</v>
      </c>
      <c r="B206" s="361" t="s">
        <v>293</v>
      </c>
      <c r="C206" s="350" t="s">
        <v>293</v>
      </c>
      <c r="D206" s="625">
        <v>1</v>
      </c>
      <c r="E206" s="626">
        <v>0</v>
      </c>
      <c r="F206" s="626">
        <v>0.77192982456140347</v>
      </c>
      <c r="G206" s="626">
        <v>0.22807017543859648</v>
      </c>
      <c r="H206" s="626">
        <v>0</v>
      </c>
      <c r="I206" s="361" t="s">
        <v>660</v>
      </c>
      <c r="J206" s="622" t="str">
        <f t="array" ref="J206">INDEX(UtilityList!H$4:H$251,MATCH('Table 2.1b_percent'!$A206&amp;'Table 2.1b_percent'!$B206&amp;'Table 2.1b_percent'!$C206,UtilityList!$A$4:$A$251&amp;UtilityList!$B$4:$B$251&amp;UtilityList!$C$4:$C$251,0))</f>
        <v>PCE Eligible Active</v>
      </c>
      <c r="K206" s="709">
        <f t="array" ref="K206">INDEX(UtilityList!Q$4:Q$251,MATCH('Table 2.1b_percent'!$A206&amp;'Table 2.1b_percent'!$B206&amp;'Table 2.1b_percent'!$C206,UtilityList!$A$4:$A$251&amp;UtilityList!$B$4:$B$251&amp;UtilityList!$C$4:$C$251,0))</f>
        <v>0</v>
      </c>
      <c r="L206" s="627">
        <f t="array" ref="L206">INDEX(UtilityList!I$4:I$251,MATCH('Table 2.1b_percent'!$A206&amp;'Table 2.1b_percent'!$B206&amp;'Table 2.1b_percent'!$C206,UtilityList!$A$4:$A$251&amp;UtilityList!$B$4:$B$251&amp;UtilityList!$C$4:$C$251,0))</f>
        <v>0</v>
      </c>
      <c r="M206" s="452" t="str">
        <f t="array" ref="M206">INDEX(UtilityList!J$4:J$251,MATCH('Table 2.1b_percent'!$A206&amp;'Table 2.1b_percent'!$B206&amp;'Table 2.1b_percent'!$C206,UtilityList!$A$4:$A$251&amp;UtilityList!$B$4:$B$251&amp;UtilityList!$C$4:$C$251,0))</f>
        <v>Southeast</v>
      </c>
      <c r="N206" s="452" t="str">
        <f t="array" ref="N206">INDEX(UtilityList!K$4:K$251,MATCH('Table 2.1b_percent'!$A206&amp;'Table 2.1b_percent'!$B206&amp;'Table 2.1b_percent'!$C206,UtilityList!$A$4:$A$251&amp;UtilityList!$B$4:$B$251&amp;UtilityList!$C$4:$C$251,0))</f>
        <v>Hoonah-Angoon (CA)</v>
      </c>
      <c r="O206" s="452" t="str">
        <f t="array" ref="O206">INDEX(UtilityList!L$4:L$251,MATCH('Table 2.1b_percent'!$A206&amp;'Table 2.1b_percent'!$B206&amp;'Table 2.1b_percent'!$C206,UtilityList!$A$4:$A$251&amp;UtilityList!$B$4:$B$251&amp;UtilityList!$C$4:$C$251,0))</f>
        <v>Sealaska</v>
      </c>
      <c r="P206" s="452" t="str">
        <f t="array" ref="P206">INDEX(UtilityList!M$4:M$251,MATCH('Table 2.1b_percent'!$A206&amp;'Table 2.1b_percent'!$B206&amp;'Table 2.1b_percent'!$C206,UtilityList!$A$4:$A$251&amp;UtilityList!$B$4:$B$251&amp;UtilityList!$C$4:$C$251,0))</f>
        <v>SE</v>
      </c>
    </row>
    <row r="207" spans="1:16" s="344" customFormat="1" ht="30" x14ac:dyDescent="0.25">
      <c r="A207" s="619" t="s">
        <v>294</v>
      </c>
      <c r="B207" s="339" t="s">
        <v>522</v>
      </c>
      <c r="C207" s="350" t="s">
        <v>295</v>
      </c>
      <c r="D207" s="625">
        <v>1</v>
      </c>
      <c r="E207" s="626">
        <v>0</v>
      </c>
      <c r="F207" s="626">
        <v>0.84251968503937003</v>
      </c>
      <c r="G207" s="626">
        <v>0.15748031496062992</v>
      </c>
      <c r="H207" s="626">
        <v>0</v>
      </c>
      <c r="I207" s="361" t="s">
        <v>660</v>
      </c>
      <c r="J207" s="622" t="str">
        <f t="array" ref="J207">INDEX(UtilityList!H$4:H$251,MATCH('Table 2.1b_percent'!$A207&amp;'Table 2.1b_percent'!$B207&amp;'Table 2.1b_percent'!$C207,UtilityList!$A$4:$A$251&amp;UtilityList!$B$4:$B$251&amp;UtilityList!$C$4:$C$251,0))</f>
        <v>PCE Ineligible</v>
      </c>
      <c r="K207" s="709">
        <f t="array" ref="K207">INDEX(UtilityList!Q$4:Q$251,MATCH('Table 2.1b_percent'!$A207&amp;'Table 2.1b_percent'!$B207&amp;'Table 2.1b_percent'!$C207,UtilityList!$A$4:$A$251&amp;UtilityList!$B$4:$B$251&amp;UtilityList!$C$4:$C$251,0))</f>
        <v>0</v>
      </c>
      <c r="L207" s="627" t="str">
        <f t="array" ref="L207">INDEX(UtilityList!I$4:I$251,MATCH('Table 2.1b_percent'!$A207&amp;'Table 2.1b_percent'!$B207&amp;'Table 2.1b_percent'!$C207,UtilityList!$A$4:$A$251&amp;UtilityList!$B$4:$B$251&amp;UtilityList!$C$4:$C$251,0))</f>
        <v>PETERSBURG</v>
      </c>
      <c r="M207" s="452" t="str">
        <f t="array" ref="M207">INDEX(UtilityList!J$4:J$251,MATCH('Table 2.1b_percent'!$A207&amp;'Table 2.1b_percent'!$B207&amp;'Table 2.1b_percent'!$C207,UtilityList!$A$4:$A$251&amp;UtilityList!$B$4:$B$251&amp;UtilityList!$C$4:$C$251,0))</f>
        <v>Southeast</v>
      </c>
      <c r="N207" s="452" t="str">
        <f t="array" ref="N207">INDEX(UtilityList!K$4:K$251,MATCH('Table 2.1b_percent'!$A207&amp;'Table 2.1b_percent'!$B207&amp;'Table 2.1b_percent'!$C207,UtilityList!$A$4:$A$251&amp;UtilityList!$B$4:$B$251&amp;UtilityList!$C$4:$C$251,0))</f>
        <v>Petersburg (CA)</v>
      </c>
      <c r="O207" s="452" t="str">
        <f t="array" ref="O207">INDEX(UtilityList!L$4:L$251,MATCH('Table 2.1b_percent'!$A207&amp;'Table 2.1b_percent'!$B207&amp;'Table 2.1b_percent'!$C207,UtilityList!$A$4:$A$251&amp;UtilityList!$B$4:$B$251&amp;UtilityList!$C$4:$C$251,0))</f>
        <v>Sealaska</v>
      </c>
      <c r="P207" s="452" t="str">
        <f t="array" ref="P207">INDEX(UtilityList!M$4:M$251,MATCH('Table 2.1b_percent'!$A207&amp;'Table 2.1b_percent'!$B207&amp;'Table 2.1b_percent'!$C207,UtilityList!$A$4:$A$251&amp;UtilityList!$B$4:$B$251&amp;UtilityList!$C$4:$C$251,0))</f>
        <v>SE</v>
      </c>
    </row>
    <row r="208" spans="1:16" s="344" customFormat="1" ht="30" x14ac:dyDescent="0.25">
      <c r="A208" s="619" t="s">
        <v>296</v>
      </c>
      <c r="B208" s="361" t="s">
        <v>297</v>
      </c>
      <c r="C208" s="350" t="s">
        <v>297</v>
      </c>
      <c r="D208" s="625">
        <v>1</v>
      </c>
      <c r="E208" s="626">
        <v>0</v>
      </c>
      <c r="F208" s="626">
        <v>1</v>
      </c>
      <c r="G208" s="626">
        <v>0</v>
      </c>
      <c r="H208" s="626">
        <v>0</v>
      </c>
      <c r="I208" s="361" t="s">
        <v>718</v>
      </c>
      <c r="J208" s="622" t="str">
        <f t="array" ref="J208">INDEX(UtilityList!H$4:H$251,MATCH('Table 2.1b_percent'!$A208&amp;'Table 2.1b_percent'!$B208&amp;'Table 2.1b_percent'!$C208,UtilityList!$A$4:$A$251&amp;UtilityList!$B$4:$B$251&amp;UtilityList!$C$4:$C$251,0))</f>
        <v>PCE Eligible Active</v>
      </c>
      <c r="K208" s="709">
        <f t="array" ref="K208">INDEX(UtilityList!Q$4:Q$251,MATCH('Table 2.1b_percent'!$A208&amp;'Table 2.1b_percent'!$B208&amp;'Table 2.1b_percent'!$C208,UtilityList!$A$4:$A$251&amp;UtilityList!$B$4:$B$251&amp;UtilityList!$C$4:$C$251,0))</f>
        <v>0</v>
      </c>
      <c r="L208" s="627" t="str">
        <f t="array" ref="L208">INDEX(UtilityList!I$4:I$251,MATCH('Table 2.1b_percent'!$A208&amp;'Table 2.1b_percent'!$B208&amp;'Table 2.1b_percent'!$C208,UtilityList!$A$4:$A$251&amp;UtilityList!$B$4:$B$251&amp;UtilityList!$C$4:$C$251,0))</f>
        <v>PILOPEU</v>
      </c>
      <c r="M208" s="452" t="str">
        <f t="array" ref="M208">INDEX(UtilityList!J$4:J$251,MATCH('Table 2.1b_percent'!$A208&amp;'Table 2.1b_percent'!$B208&amp;'Table 2.1b_percent'!$C208,UtilityList!$A$4:$A$251&amp;UtilityList!$B$4:$B$251&amp;UtilityList!$C$4:$C$251,0))</f>
        <v>Bristol Bay</v>
      </c>
      <c r="N208" s="452" t="str">
        <f t="array" ref="N208">INDEX(UtilityList!K$4:K$251,MATCH('Table 2.1b_percent'!$A208&amp;'Table 2.1b_percent'!$B208&amp;'Table 2.1b_percent'!$C208,UtilityList!$A$4:$A$251&amp;UtilityList!$B$4:$B$251&amp;UtilityList!$C$4:$C$251,0))</f>
        <v>Lake and Peninsula</v>
      </c>
      <c r="O208" s="452" t="str">
        <f t="array" ref="O208">INDEX(UtilityList!L$4:L$251,MATCH('Table 2.1b_percent'!$A208&amp;'Table 2.1b_percent'!$B208&amp;'Table 2.1b_percent'!$C208,UtilityList!$A$4:$A$251&amp;UtilityList!$B$4:$B$251&amp;UtilityList!$C$4:$C$251,0))</f>
        <v>Bristol Bay</v>
      </c>
      <c r="P208" s="452" t="str">
        <f t="array" ref="P208">INDEX(UtilityList!M$4:M$251,MATCH('Table 2.1b_percent'!$A208&amp;'Table 2.1b_percent'!$B208&amp;'Table 2.1b_percent'!$C208,UtilityList!$A$4:$A$251&amp;UtilityList!$B$4:$B$251&amp;UtilityList!$C$4:$C$251,0))</f>
        <v>SW</v>
      </c>
    </row>
    <row r="209" spans="1:16" s="344" customFormat="1" ht="30" x14ac:dyDescent="0.25">
      <c r="A209" s="619" t="s">
        <v>298</v>
      </c>
      <c r="B209" s="361" t="s">
        <v>299</v>
      </c>
      <c r="C209" s="350" t="s">
        <v>299</v>
      </c>
      <c r="D209" s="625">
        <v>1</v>
      </c>
      <c r="E209" s="626">
        <v>0</v>
      </c>
      <c r="F209" s="626">
        <v>1</v>
      </c>
      <c r="G209" s="626">
        <v>0</v>
      </c>
      <c r="H209" s="626">
        <v>0</v>
      </c>
      <c r="I209" s="361" t="s">
        <v>718</v>
      </c>
      <c r="J209" s="622" t="str">
        <f t="array" ref="J209">INDEX(UtilityList!H$4:H$251,MATCH('Table 2.1b_percent'!$A209&amp;'Table 2.1b_percent'!$B209&amp;'Table 2.1b_percent'!$C209,UtilityList!$A$4:$A$251&amp;UtilityList!$B$4:$B$251&amp;UtilityList!$C$4:$C$251,0))</f>
        <v>PCE Eligible Inactive</v>
      </c>
      <c r="K209" s="709">
        <f t="array" ref="K209">INDEX(UtilityList!Q$4:Q$251,MATCH('Table 2.1b_percent'!$A209&amp;'Table 2.1b_percent'!$B209&amp;'Table 2.1b_percent'!$C209,UtilityList!$A$4:$A$251&amp;UtilityList!$B$4:$B$251&amp;UtilityList!$C$4:$C$251,0))</f>
        <v>0</v>
      </c>
      <c r="L209" s="627" t="str">
        <f t="array" ref="L209">INDEX(UtilityList!I$4:I$251,MATCH('Table 2.1b_percent'!$A209&amp;'Table 2.1b_percent'!$B209&amp;'Table 2.1b_percent'!$C209,UtilityList!$A$4:$A$251&amp;UtilityList!$B$4:$B$251&amp;UtilityList!$C$4:$C$251,0))</f>
        <v>PLAT</v>
      </c>
      <c r="M209" s="452" t="str">
        <f t="array" ref="M209">INDEX(UtilityList!J$4:J$251,MATCH('Table 2.1b_percent'!$A209&amp;'Table 2.1b_percent'!$B209&amp;'Table 2.1b_percent'!$C209,UtilityList!$A$4:$A$251&amp;UtilityList!$B$4:$B$251&amp;UtilityList!$C$4:$C$251,0))</f>
        <v>Lower Yukon-Kuskokwim</v>
      </c>
      <c r="N209" s="452" t="str">
        <f t="array" ref="N209">INDEX(UtilityList!K$4:K$251,MATCH('Table 2.1b_percent'!$A209&amp;'Table 2.1b_percent'!$B209&amp;'Table 2.1b_percent'!$C209,UtilityList!$A$4:$A$251&amp;UtilityList!$B$4:$B$251&amp;UtilityList!$C$4:$C$251,0))</f>
        <v>Bethel (CA)</v>
      </c>
      <c r="O209" s="452" t="str">
        <f t="array" ref="O209">INDEX(UtilityList!L$4:L$251,MATCH('Table 2.1b_percent'!$A209&amp;'Table 2.1b_percent'!$B209&amp;'Table 2.1b_percent'!$C209,UtilityList!$A$4:$A$251&amp;UtilityList!$B$4:$B$251&amp;UtilityList!$C$4:$C$251,0))</f>
        <v>Calista</v>
      </c>
      <c r="P209" s="452" t="str">
        <f t="array" ref="P209">INDEX(UtilityList!M$4:M$251,MATCH('Table 2.1b_percent'!$A209&amp;'Table 2.1b_percent'!$B209&amp;'Table 2.1b_percent'!$C209,UtilityList!$A$4:$A$251&amp;UtilityList!$B$4:$B$251&amp;UtilityList!$C$4:$C$251,0))</f>
        <v>SW</v>
      </c>
    </row>
    <row r="210" spans="1:16" s="344" customFormat="1" ht="30" x14ac:dyDescent="0.25">
      <c r="A210" s="619" t="s">
        <v>300</v>
      </c>
      <c r="B210" s="361" t="s">
        <v>301</v>
      </c>
      <c r="C210" s="350" t="s">
        <v>301</v>
      </c>
      <c r="D210" s="625">
        <v>1</v>
      </c>
      <c r="E210" s="626">
        <v>0</v>
      </c>
      <c r="F210" s="626">
        <v>1</v>
      </c>
      <c r="G210" s="626">
        <v>0</v>
      </c>
      <c r="H210" s="626">
        <v>0</v>
      </c>
      <c r="I210" s="361" t="s">
        <v>718</v>
      </c>
      <c r="J210" s="622" t="str">
        <f t="array" ref="J210">INDEX(UtilityList!H$4:H$251,MATCH('Table 2.1b_percent'!$A210&amp;'Table 2.1b_percent'!$B210&amp;'Table 2.1b_percent'!$C210,UtilityList!$A$4:$A$251&amp;UtilityList!$B$4:$B$251&amp;UtilityList!$C$4:$C$251,0))</f>
        <v>PCE Eligible Active</v>
      </c>
      <c r="K210" s="709">
        <f t="array" ref="K210">INDEX(UtilityList!Q$4:Q$251,MATCH('Table 2.1b_percent'!$A210&amp;'Table 2.1b_percent'!$B210&amp;'Table 2.1b_percent'!$C210,UtilityList!$A$4:$A$251&amp;UtilityList!$B$4:$B$251&amp;UtilityList!$C$4:$C$251,0))</f>
        <v>0</v>
      </c>
      <c r="L210" s="627" t="str">
        <f t="array" ref="L210">INDEX(UtilityList!I$4:I$251,MATCH('Table 2.1b_percent'!$A210&amp;'Table 2.1b_percent'!$B210&amp;'Table 2.1b_percent'!$C210,UtilityList!$A$4:$A$251&amp;UtilityList!$B$4:$B$251&amp;UtilityList!$C$4:$C$251,0))</f>
        <v>PORTHU</v>
      </c>
      <c r="M210" s="452" t="str">
        <f t="array" ref="M210">INDEX(UtilityList!J$4:J$251,MATCH('Table 2.1b_percent'!$A210&amp;'Table 2.1b_percent'!$B210&amp;'Table 2.1b_percent'!$C210,UtilityList!$A$4:$A$251&amp;UtilityList!$B$4:$B$251&amp;UtilityList!$C$4:$C$251,0))</f>
        <v>Bristol Bay</v>
      </c>
      <c r="N210" s="452" t="str">
        <f t="array" ref="N210">INDEX(UtilityList!K$4:K$251,MATCH('Table 2.1b_percent'!$A210&amp;'Table 2.1b_percent'!$B210&amp;'Table 2.1b_percent'!$C210,UtilityList!$A$4:$A$251&amp;UtilityList!$B$4:$B$251&amp;UtilityList!$C$4:$C$251,0))</f>
        <v>Lake and Peninsula</v>
      </c>
      <c r="O210" s="452" t="str">
        <f t="array" ref="O210">INDEX(UtilityList!L$4:L$251,MATCH('Table 2.1b_percent'!$A210&amp;'Table 2.1b_percent'!$B210&amp;'Table 2.1b_percent'!$C210,UtilityList!$A$4:$A$251&amp;UtilityList!$B$4:$B$251&amp;UtilityList!$C$4:$C$251,0))</f>
        <v>Bristol Bay</v>
      </c>
      <c r="P210" s="452" t="str">
        <f t="array" ref="P210">INDEX(UtilityList!M$4:M$251,MATCH('Table 2.1b_percent'!$A210&amp;'Table 2.1b_percent'!$B210&amp;'Table 2.1b_percent'!$C210,UtilityList!$A$4:$A$251&amp;UtilityList!$B$4:$B$251&amp;UtilityList!$C$4:$C$251,0))</f>
        <v>SW</v>
      </c>
    </row>
    <row r="211" spans="1:16" s="344" customFormat="1" ht="45" x14ac:dyDescent="0.25">
      <c r="A211" s="619" t="s">
        <v>302</v>
      </c>
      <c r="B211" s="361" t="s">
        <v>303</v>
      </c>
      <c r="C211" s="350" t="s">
        <v>303</v>
      </c>
      <c r="D211" s="625">
        <v>1</v>
      </c>
      <c r="E211" s="626">
        <v>0</v>
      </c>
      <c r="F211" s="626">
        <v>0.67272727272727273</v>
      </c>
      <c r="G211" s="626">
        <v>0</v>
      </c>
      <c r="H211" s="626">
        <v>0.32727272727272727</v>
      </c>
      <c r="I211" s="361" t="s">
        <v>719</v>
      </c>
      <c r="J211" s="622" t="str">
        <f t="array" ref="J211">INDEX(UtilityList!H$4:H$251,MATCH('Table 2.1b_percent'!$A211&amp;'Table 2.1b_percent'!$B211&amp;'Table 2.1b_percent'!$C211,UtilityList!$A$4:$A$251&amp;UtilityList!$B$4:$B$251&amp;UtilityList!$C$4:$C$251,0))</f>
        <v>PCE Eligible Active</v>
      </c>
      <c r="K211" s="709">
        <f t="array" ref="K211">INDEX(UtilityList!Q$4:Q$251,MATCH('Table 2.1b_percent'!$A211&amp;'Table 2.1b_percent'!$B211&amp;'Table 2.1b_percent'!$C211,UtilityList!$A$4:$A$251&amp;UtilityList!$B$4:$B$251&amp;UtilityList!$C$4:$C$251,0))</f>
        <v>0</v>
      </c>
      <c r="L211" s="627" t="str">
        <f t="array" ref="L211">INDEX(UtilityList!I$4:I$251,MATCH('Table 2.1b_percent'!$A211&amp;'Table 2.1b_percent'!$B211&amp;'Table 2.1b_percent'!$C211,UtilityList!$A$4:$A$251&amp;UtilityList!$B$4:$B$251&amp;UtilityList!$C$4:$C$251,0))</f>
        <v>PUVUPC</v>
      </c>
      <c r="M211" s="452" t="str">
        <f t="array" ref="M211">INDEX(UtilityList!J$4:J$251,MATCH('Table 2.1b_percent'!$A211&amp;'Table 2.1b_percent'!$B211&amp;'Table 2.1b_percent'!$C211,UtilityList!$A$4:$A$251&amp;UtilityList!$B$4:$B$251&amp;UtilityList!$C$4:$C$251,0))</f>
        <v>Lower Yukon-Kuskokwim</v>
      </c>
      <c r="N211" s="452" t="str">
        <f t="array" ref="N211">INDEX(UtilityList!K$4:K$251,MATCH('Table 2.1b_percent'!$A211&amp;'Table 2.1b_percent'!$B211&amp;'Table 2.1b_percent'!$C211,UtilityList!$A$4:$A$251&amp;UtilityList!$B$4:$B$251&amp;UtilityList!$C$4:$C$251,0))</f>
        <v>Bethel (CA)</v>
      </c>
      <c r="O211" s="452" t="str">
        <f t="array" ref="O211">INDEX(UtilityList!L$4:L$251,MATCH('Table 2.1b_percent'!$A211&amp;'Table 2.1b_percent'!$B211&amp;'Table 2.1b_percent'!$C211,UtilityList!$A$4:$A$251&amp;UtilityList!$B$4:$B$251&amp;UtilityList!$C$4:$C$251,0))</f>
        <v>Calista</v>
      </c>
      <c r="P211" s="452" t="str">
        <f t="array" ref="P211">INDEX(UtilityList!M$4:M$251,MATCH('Table 2.1b_percent'!$A211&amp;'Table 2.1b_percent'!$B211&amp;'Table 2.1b_percent'!$C211,UtilityList!$A$4:$A$251&amp;UtilityList!$B$4:$B$251&amp;UtilityList!$C$4:$C$251,0))</f>
        <v>SW</v>
      </c>
    </row>
    <row r="212" spans="1:16" s="344" customFormat="1" ht="30" x14ac:dyDescent="0.25">
      <c r="A212" s="619" t="s">
        <v>304</v>
      </c>
      <c r="B212" s="361" t="s">
        <v>305</v>
      </c>
      <c r="C212" s="350" t="s">
        <v>305</v>
      </c>
      <c r="D212" s="625">
        <v>1</v>
      </c>
      <c r="E212" s="626">
        <v>0</v>
      </c>
      <c r="F212" s="626">
        <v>1</v>
      </c>
      <c r="G212" s="626">
        <v>0</v>
      </c>
      <c r="H212" s="626">
        <v>0</v>
      </c>
      <c r="I212" s="361" t="s">
        <v>718</v>
      </c>
      <c r="J212" s="622" t="str">
        <f t="array" ref="J212">INDEX(UtilityList!H$4:H$251,MATCH('Table 2.1b_percent'!$A212&amp;'Table 2.1b_percent'!$B212&amp;'Table 2.1b_percent'!$C212,UtilityList!$A$4:$A$251&amp;UtilityList!$B$4:$B$251&amp;UtilityList!$C$4:$C$251,0))</f>
        <v>PCE Eligible Inactive</v>
      </c>
      <c r="K212" s="709">
        <f t="array" ref="K212">INDEX(UtilityList!Q$4:Q$251,MATCH('Table 2.1b_percent'!$A212&amp;'Table 2.1b_percent'!$B212&amp;'Table 2.1b_percent'!$C212,UtilityList!$A$4:$A$251&amp;UtilityList!$B$4:$B$251&amp;UtilityList!$C$4:$C$251,0))</f>
        <v>0</v>
      </c>
      <c r="L212" s="627">
        <f t="array" ref="L212">INDEX(UtilityList!I$4:I$251,MATCH('Table 2.1b_percent'!$A212&amp;'Table 2.1b_percent'!$B212&amp;'Table 2.1b_percent'!$C212,UtilityList!$A$4:$A$251&amp;UtilityList!$B$4:$B$251&amp;UtilityList!$C$4:$C$251,0))</f>
        <v>0</v>
      </c>
      <c r="M212" s="452" t="str">
        <f t="array" ref="M212">INDEX(UtilityList!J$4:J$251,MATCH('Table 2.1b_percent'!$A212&amp;'Table 2.1b_percent'!$B212&amp;'Table 2.1b_percent'!$C212,UtilityList!$A$4:$A$251&amp;UtilityList!$B$4:$B$251&amp;UtilityList!$C$4:$C$251,0))</f>
        <v>Yukon-Koyukuk/Upper Tanana</v>
      </c>
      <c r="N212" s="452" t="str">
        <f t="array" ref="N212">INDEX(UtilityList!K$4:K$251,MATCH('Table 2.1b_percent'!$A212&amp;'Table 2.1b_percent'!$B212&amp;'Table 2.1b_percent'!$C212,UtilityList!$A$4:$A$251&amp;UtilityList!$B$4:$B$251&amp;UtilityList!$C$4:$C$251,0))</f>
        <v>Yukon-Koyukuk (CA)</v>
      </c>
      <c r="O212" s="452" t="str">
        <f t="array" ref="O212">INDEX(UtilityList!L$4:L$251,MATCH('Table 2.1b_percent'!$A212&amp;'Table 2.1b_percent'!$B212&amp;'Table 2.1b_percent'!$C212,UtilityList!$A$4:$A$251&amp;UtilityList!$B$4:$B$251&amp;UtilityList!$C$4:$C$251,0))</f>
        <v>Doyon</v>
      </c>
      <c r="P212" s="452" t="str">
        <f t="array" ref="P212">INDEX(UtilityList!M$4:M$251,MATCH('Table 2.1b_percent'!$A212&amp;'Table 2.1b_percent'!$B212&amp;'Table 2.1b_percent'!$C212,UtilityList!$A$4:$A$251&amp;UtilityList!$B$4:$B$251&amp;UtilityList!$C$4:$C$251,0))</f>
        <v>YU</v>
      </c>
    </row>
    <row r="213" spans="1:16" s="344" customFormat="1" ht="30" x14ac:dyDescent="0.25">
      <c r="A213" s="619" t="s">
        <v>306</v>
      </c>
      <c r="B213" s="361" t="s">
        <v>307</v>
      </c>
      <c r="C213" s="350" t="s">
        <v>307</v>
      </c>
      <c r="D213" s="625">
        <v>1</v>
      </c>
      <c r="E213" s="626">
        <v>0</v>
      </c>
      <c r="F213" s="626">
        <v>1</v>
      </c>
      <c r="G213" s="626">
        <v>0</v>
      </c>
      <c r="H213" s="626">
        <v>0</v>
      </c>
      <c r="I213" s="361" t="s">
        <v>718</v>
      </c>
      <c r="J213" s="622" t="str">
        <f t="array" ref="J213">INDEX(UtilityList!H$4:H$251,MATCH('Table 2.1b_percent'!$A213&amp;'Table 2.1b_percent'!$B213&amp;'Table 2.1b_percent'!$C213,UtilityList!$A$4:$A$251&amp;UtilityList!$B$4:$B$251&amp;UtilityList!$C$4:$C$251,0))</f>
        <v>PCE Eligible Active</v>
      </c>
      <c r="K213" s="709">
        <f t="array" ref="K213">INDEX(UtilityList!Q$4:Q$251,MATCH('Table 2.1b_percent'!$A213&amp;'Table 2.1b_percent'!$B213&amp;'Table 2.1b_percent'!$C213,UtilityList!$A$4:$A$251&amp;UtilityList!$B$4:$B$251&amp;UtilityList!$C$4:$C$251,0))</f>
        <v>0</v>
      </c>
      <c r="L213" s="627" t="str">
        <f t="array" ref="L213">INDEX(UtilityList!I$4:I$251,MATCH('Table 2.1b_percent'!$A213&amp;'Table 2.1b_percent'!$B213&amp;'Table 2.1b_percent'!$C213,UtilityList!$A$4:$A$251&amp;UtilityList!$B$4:$B$251&amp;UtilityList!$C$4:$C$251,0))</f>
        <v>RUBY</v>
      </c>
      <c r="M213" s="452" t="str">
        <f t="array" ref="M213">INDEX(UtilityList!J$4:J$251,MATCH('Table 2.1b_percent'!$A213&amp;'Table 2.1b_percent'!$B213&amp;'Table 2.1b_percent'!$C213,UtilityList!$A$4:$A$251&amp;UtilityList!$B$4:$B$251&amp;UtilityList!$C$4:$C$251,0))</f>
        <v>Yukon-Koyukuk/Upper Tanana</v>
      </c>
      <c r="N213" s="452" t="str">
        <f t="array" ref="N213">INDEX(UtilityList!K$4:K$251,MATCH('Table 2.1b_percent'!$A213&amp;'Table 2.1b_percent'!$B213&amp;'Table 2.1b_percent'!$C213,UtilityList!$A$4:$A$251&amp;UtilityList!$B$4:$B$251&amp;UtilityList!$C$4:$C$251,0))</f>
        <v>Yukon-Koyukuk (CA)</v>
      </c>
      <c r="O213" s="452" t="str">
        <f t="array" ref="O213">INDEX(UtilityList!L$4:L$251,MATCH('Table 2.1b_percent'!$A213&amp;'Table 2.1b_percent'!$B213&amp;'Table 2.1b_percent'!$C213,UtilityList!$A$4:$A$251&amp;UtilityList!$B$4:$B$251&amp;UtilityList!$C$4:$C$251,0))</f>
        <v>Doyon</v>
      </c>
      <c r="P213" s="452" t="str">
        <f t="array" ref="P213">INDEX(UtilityList!M$4:M$251,MATCH('Table 2.1b_percent'!$A213&amp;'Table 2.1b_percent'!$B213&amp;'Table 2.1b_percent'!$C213,UtilityList!$A$4:$A$251&amp;UtilityList!$B$4:$B$251&amp;UtilityList!$C$4:$C$251,0))</f>
        <v>YU</v>
      </c>
    </row>
    <row r="214" spans="1:16" s="344" customFormat="1" ht="30" x14ac:dyDescent="0.25">
      <c r="A214" s="619" t="s">
        <v>308</v>
      </c>
      <c r="B214" s="361" t="s">
        <v>309</v>
      </c>
      <c r="C214" s="350" t="s">
        <v>309</v>
      </c>
      <c r="D214" s="625">
        <v>1</v>
      </c>
      <c r="E214" s="626">
        <v>0</v>
      </c>
      <c r="F214" s="626">
        <v>1</v>
      </c>
      <c r="G214" s="626">
        <v>0</v>
      </c>
      <c r="H214" s="626">
        <v>0</v>
      </c>
      <c r="I214" s="361" t="s">
        <v>718</v>
      </c>
      <c r="J214" s="622" t="str">
        <f t="array" ref="J214">INDEX(UtilityList!H$4:H$251,MATCH('Table 2.1b_percent'!$A214&amp;'Table 2.1b_percent'!$B214&amp;'Table 2.1b_percent'!$C214,UtilityList!$A$4:$A$251&amp;UtilityList!$B$4:$B$251&amp;UtilityList!$C$4:$C$251,0))</f>
        <v>PCE Eligible Inactive</v>
      </c>
      <c r="K214" s="709">
        <f t="array" ref="K214">INDEX(UtilityList!Q$4:Q$251,MATCH('Table 2.1b_percent'!$A214&amp;'Table 2.1b_percent'!$B214&amp;'Table 2.1b_percent'!$C214,UtilityList!$A$4:$A$251&amp;UtilityList!$B$4:$B$251&amp;UtilityList!$C$4:$C$251,0))</f>
        <v>0</v>
      </c>
      <c r="L214" s="627" t="str">
        <f t="array" ref="L214">INDEX(UtilityList!I$4:I$251,MATCH('Table 2.1b_percent'!$A214&amp;'Table 2.1b_percent'!$B214&amp;'Table 2.1b_percent'!$C214,UtilityList!$A$4:$A$251&amp;UtilityList!$B$4:$B$251&amp;UtilityList!$C$4:$C$251,0))</f>
        <v>ST. GEORGE</v>
      </c>
      <c r="M214" s="452" t="str">
        <f t="array" ref="M214">INDEX(UtilityList!J$4:J$251,MATCH('Table 2.1b_percent'!$A214&amp;'Table 2.1b_percent'!$B214&amp;'Table 2.1b_percent'!$C214,UtilityList!$A$4:$A$251&amp;UtilityList!$B$4:$B$251&amp;UtilityList!$C$4:$C$251,0))</f>
        <v>Aleutians</v>
      </c>
      <c r="N214" s="452" t="str">
        <f t="array" ref="N214">INDEX(UtilityList!K$4:K$251,MATCH('Table 2.1b_percent'!$A214&amp;'Table 2.1b_percent'!$B214&amp;'Table 2.1b_percent'!$C214,UtilityList!$A$4:$A$251&amp;UtilityList!$B$4:$B$251&amp;UtilityList!$C$4:$C$251,0))</f>
        <v>Aleutians West (CA)</v>
      </c>
      <c r="O214" s="452" t="str">
        <f t="array" ref="O214">INDEX(UtilityList!L$4:L$251,MATCH('Table 2.1b_percent'!$A214&amp;'Table 2.1b_percent'!$B214&amp;'Table 2.1b_percent'!$C214,UtilityList!$A$4:$A$251&amp;UtilityList!$B$4:$B$251&amp;UtilityList!$C$4:$C$251,0))</f>
        <v>Aleut</v>
      </c>
      <c r="P214" s="452" t="str">
        <f t="array" ref="P214">INDEX(UtilityList!M$4:M$251,MATCH('Table 2.1b_percent'!$A214&amp;'Table 2.1b_percent'!$B214&amp;'Table 2.1b_percent'!$C214,UtilityList!$A$4:$A$251&amp;UtilityList!$B$4:$B$251&amp;UtilityList!$C$4:$C$251,0))</f>
        <v>SW</v>
      </c>
    </row>
    <row r="215" spans="1:16" s="344" customFormat="1" ht="30" x14ac:dyDescent="0.25">
      <c r="A215" s="619" t="s">
        <v>633</v>
      </c>
      <c r="B215" s="361" t="s">
        <v>320</v>
      </c>
      <c r="C215" s="350" t="s">
        <v>320</v>
      </c>
      <c r="D215" s="625">
        <v>1</v>
      </c>
      <c r="E215" s="626">
        <v>0</v>
      </c>
      <c r="F215" s="626">
        <v>1</v>
      </c>
      <c r="G215" s="626">
        <v>0</v>
      </c>
      <c r="H215" s="626">
        <v>0</v>
      </c>
      <c r="I215" s="361" t="s">
        <v>718</v>
      </c>
      <c r="J215" s="622" t="str">
        <f t="array" ref="J215">INDEX(UtilityList!H$4:H$251,MATCH('Table 2.1b_percent'!$A215&amp;'Table 2.1b_percent'!$B215&amp;'Table 2.1b_percent'!$C215,UtilityList!$A$4:$A$251&amp;UtilityList!$B$4:$B$251&amp;UtilityList!$C$4:$C$251,0))</f>
        <v>PCE Eligible Active</v>
      </c>
      <c r="K215" s="709">
        <f t="array" ref="K215">INDEX(UtilityList!Q$4:Q$251,MATCH('Table 2.1b_percent'!$A215&amp;'Table 2.1b_percent'!$B215&amp;'Table 2.1b_percent'!$C215,UtilityList!$A$4:$A$251&amp;UtilityList!$B$4:$B$251&amp;UtilityList!$C$4:$C$251,0))</f>
        <v>0</v>
      </c>
      <c r="L215" s="627" t="str">
        <f t="array" ref="L215">INDEX(UtilityList!I$4:I$251,MATCH('Table 2.1b_percent'!$A215&amp;'Table 2.1b_percent'!$B215&amp;'Table 2.1b_percent'!$C215,UtilityList!$A$4:$A$251&amp;UtilityList!$B$4:$B$251&amp;UtilityList!$C$4:$C$251,0))</f>
        <v>STPMEU</v>
      </c>
      <c r="M215" s="452" t="str">
        <f t="array" ref="M215">INDEX(UtilityList!J$4:J$251,MATCH('Table 2.1b_percent'!$A215&amp;'Table 2.1b_percent'!$B215&amp;'Table 2.1b_percent'!$C215,UtilityList!$A$4:$A$251&amp;UtilityList!$B$4:$B$251&amp;UtilityList!$C$4:$C$251,0))</f>
        <v>Aleutians</v>
      </c>
      <c r="N215" s="452" t="str">
        <f t="array" ref="N215">INDEX(UtilityList!K$4:K$251,MATCH('Table 2.1b_percent'!$A215&amp;'Table 2.1b_percent'!$B215&amp;'Table 2.1b_percent'!$C215,UtilityList!$A$4:$A$251&amp;UtilityList!$B$4:$B$251&amp;UtilityList!$C$4:$C$251,0))</f>
        <v>Aleutians West (CA)</v>
      </c>
      <c r="O215" s="452" t="str">
        <f t="array" ref="O215">INDEX(UtilityList!L$4:L$251,MATCH('Table 2.1b_percent'!$A215&amp;'Table 2.1b_percent'!$B215&amp;'Table 2.1b_percent'!$C215,UtilityList!$A$4:$A$251&amp;UtilityList!$B$4:$B$251&amp;UtilityList!$C$4:$C$251,0))</f>
        <v>Aleut</v>
      </c>
      <c r="P215" s="452" t="str">
        <f t="array" ref="P215">INDEX(UtilityList!M$4:M$251,MATCH('Table 2.1b_percent'!$A215&amp;'Table 2.1b_percent'!$B215&amp;'Table 2.1b_percent'!$C215,UtilityList!$A$4:$A$251&amp;UtilityList!$B$4:$B$251&amp;UtilityList!$C$4:$C$251,0))</f>
        <v>SW</v>
      </c>
    </row>
    <row r="216" spans="1:16" s="344" customFormat="1" x14ac:dyDescent="0.25">
      <c r="A216" s="619" t="s">
        <v>633</v>
      </c>
      <c r="B216" s="361" t="s">
        <v>320</v>
      </c>
      <c r="C216" s="350" t="s">
        <v>320</v>
      </c>
      <c r="D216" s="625">
        <v>1</v>
      </c>
      <c r="E216" s="626">
        <v>0</v>
      </c>
      <c r="F216" s="626">
        <v>0</v>
      </c>
      <c r="G216" s="626">
        <v>0</v>
      </c>
      <c r="H216" s="626">
        <v>1</v>
      </c>
      <c r="I216" s="361" t="s">
        <v>647</v>
      </c>
      <c r="J216" s="622" t="str">
        <f t="array" ref="J216">INDEX(UtilityList!H$4:H$251,MATCH('Table 2.1b_percent'!$A216&amp;'Table 2.1b_percent'!$B216&amp;'Table 2.1b_percent'!$C216,UtilityList!$A$4:$A$251&amp;UtilityList!$B$4:$B$251&amp;UtilityList!$C$4:$C$251,0))</f>
        <v>PCE Eligible Active</v>
      </c>
      <c r="K216" s="709">
        <f t="array" ref="K216">INDEX(UtilityList!Q$4:Q$251,MATCH('Table 2.1b_percent'!$A216&amp;'Table 2.1b_percent'!$B216&amp;'Table 2.1b_percent'!$C216,UtilityList!$A$4:$A$251&amp;UtilityList!$B$4:$B$251&amp;UtilityList!$C$4:$C$251,0))</f>
        <v>0</v>
      </c>
      <c r="L216" s="627" t="str">
        <f t="array" ref="L216">INDEX(UtilityList!I$4:I$251,MATCH('Table 2.1b_percent'!$A216&amp;'Table 2.1b_percent'!$B216&amp;'Table 2.1b_percent'!$C216,UtilityList!$A$4:$A$251&amp;UtilityList!$B$4:$B$251&amp;UtilityList!$C$4:$C$251,0))</f>
        <v>STPMEU</v>
      </c>
      <c r="M216" s="452" t="str">
        <f t="array" ref="M216">INDEX(UtilityList!J$4:J$251,MATCH('Table 2.1b_percent'!$A216&amp;'Table 2.1b_percent'!$B216&amp;'Table 2.1b_percent'!$C216,UtilityList!$A$4:$A$251&amp;UtilityList!$B$4:$B$251&amp;UtilityList!$C$4:$C$251,0))</f>
        <v>Aleutians</v>
      </c>
      <c r="N216" s="452" t="str">
        <f t="array" ref="N216">INDEX(UtilityList!K$4:K$251,MATCH('Table 2.1b_percent'!$A216&amp;'Table 2.1b_percent'!$B216&amp;'Table 2.1b_percent'!$C216,UtilityList!$A$4:$A$251&amp;UtilityList!$B$4:$B$251&amp;UtilityList!$C$4:$C$251,0))</f>
        <v>Aleutians West (CA)</v>
      </c>
      <c r="O216" s="452" t="str">
        <f t="array" ref="O216">INDEX(UtilityList!L$4:L$251,MATCH('Table 2.1b_percent'!$A216&amp;'Table 2.1b_percent'!$B216&amp;'Table 2.1b_percent'!$C216,UtilityList!$A$4:$A$251&amp;UtilityList!$B$4:$B$251&amp;UtilityList!$C$4:$C$251,0))</f>
        <v>Aleut</v>
      </c>
      <c r="P216" s="452" t="str">
        <f t="array" ref="P216">INDEX(UtilityList!M$4:M$251,MATCH('Table 2.1b_percent'!$A216&amp;'Table 2.1b_percent'!$B216&amp;'Table 2.1b_percent'!$C216,UtilityList!$A$4:$A$251&amp;UtilityList!$B$4:$B$251&amp;UtilityList!$C$4:$C$251,0))</f>
        <v>SW</v>
      </c>
    </row>
    <row r="217" spans="1:16" s="344" customFormat="1" x14ac:dyDescent="0.25">
      <c r="A217" s="619" t="s">
        <v>310</v>
      </c>
      <c r="B217" s="361" t="s">
        <v>311</v>
      </c>
      <c r="C217" s="350" t="s">
        <v>311</v>
      </c>
      <c r="D217" s="625">
        <v>1</v>
      </c>
      <c r="E217" s="626">
        <v>0</v>
      </c>
      <c r="F217" s="626">
        <v>1</v>
      </c>
      <c r="G217" s="626">
        <v>0</v>
      </c>
      <c r="H217" s="626">
        <v>0</v>
      </c>
      <c r="I217" s="361" t="s">
        <v>648</v>
      </c>
      <c r="J217" s="622" t="str">
        <f t="array" ref="J217">INDEX(UtilityList!H$4:H$251,MATCH('Table 2.1b_percent'!$A217&amp;'Table 2.1b_percent'!$B217&amp;'Table 2.1b_percent'!$C217,UtilityList!$A$4:$A$251&amp;UtilityList!$B$4:$B$251&amp;UtilityList!$C$4:$C$251,0))</f>
        <v>PCE Ineligible</v>
      </c>
      <c r="K217" s="709">
        <f t="array" ref="K217">INDEX(UtilityList!Q$4:Q$251,MATCH('Table 2.1b_percent'!$A217&amp;'Table 2.1b_percent'!$B217&amp;'Table 2.1b_percent'!$C217,UtilityList!$A$4:$A$251&amp;UtilityList!$B$4:$B$251&amp;UtilityList!$C$4:$C$251,0))</f>
        <v>0</v>
      </c>
      <c r="L217" s="627" t="str">
        <f t="array" ref="L217">INDEX(UtilityList!I$4:I$251,MATCH('Table 2.1b_percent'!$A217&amp;'Table 2.1b_percent'!$B217&amp;'Table 2.1b_percent'!$C217,UtilityList!$A$4:$A$251&amp;UtilityList!$B$4:$B$251&amp;UtilityList!$C$4:$C$251,0))</f>
        <v>SEWARD</v>
      </c>
      <c r="M217" s="452" t="str">
        <f t="array" ref="M217">INDEX(UtilityList!J$4:J$251,MATCH('Table 2.1b_percent'!$A217&amp;'Table 2.1b_percent'!$B217&amp;'Table 2.1b_percent'!$C217,UtilityList!$A$4:$A$251&amp;UtilityList!$B$4:$B$251&amp;UtilityList!$C$4:$C$251,0))</f>
        <v>Railbelt</v>
      </c>
      <c r="N217" s="452" t="str">
        <f t="array" ref="N217">INDEX(UtilityList!K$4:K$251,MATCH('Table 2.1b_percent'!$A217&amp;'Table 2.1b_percent'!$B217&amp;'Table 2.1b_percent'!$C217,UtilityList!$A$4:$A$251&amp;UtilityList!$B$4:$B$251&amp;UtilityList!$C$4:$C$251,0))</f>
        <v>Kenai Peninsula</v>
      </c>
      <c r="O217" s="452" t="str">
        <f t="array" ref="O217">INDEX(UtilityList!L$4:L$251,MATCH('Table 2.1b_percent'!$A217&amp;'Table 2.1b_percent'!$B217&amp;'Table 2.1b_percent'!$C217,UtilityList!$A$4:$A$251&amp;UtilityList!$B$4:$B$251&amp;UtilityList!$C$4:$C$251,0))</f>
        <v>Chugach</v>
      </c>
      <c r="P217" s="452" t="str">
        <f t="array" ref="P217">INDEX(UtilityList!M$4:M$251,MATCH('Table 2.1b_percent'!$A217&amp;'Table 2.1b_percent'!$B217&amp;'Table 2.1b_percent'!$C217,UtilityList!$A$4:$A$251&amp;UtilityList!$B$4:$B$251&amp;UtilityList!$C$4:$C$251,0))</f>
        <v>SC</v>
      </c>
    </row>
    <row r="218" spans="1:16" s="344" customFormat="1" x14ac:dyDescent="0.25">
      <c r="A218" s="619" t="s">
        <v>638</v>
      </c>
      <c r="B218" s="361" t="s">
        <v>313</v>
      </c>
      <c r="C218" s="350" t="s">
        <v>314</v>
      </c>
      <c r="D218" s="625">
        <v>1</v>
      </c>
      <c r="E218" s="626">
        <v>0</v>
      </c>
      <c r="F218" s="626">
        <v>0</v>
      </c>
      <c r="G218" s="626">
        <v>1</v>
      </c>
      <c r="H218" s="626">
        <v>0</v>
      </c>
      <c r="I218" s="361" t="s">
        <v>648</v>
      </c>
      <c r="J218" s="622" t="str">
        <f t="array" ref="J218">INDEX(UtilityList!H$4:H$251,MATCH('Table 2.1b_percent'!$A218&amp;'Table 2.1b_percent'!$B218&amp;'Table 2.1b_percent'!$C218,UtilityList!$A$4:$A$251&amp;UtilityList!$B$4:$B$251&amp;UtilityList!$C$4:$C$251,0))</f>
        <v>PCE Ineligible</v>
      </c>
      <c r="K218" s="709">
        <f t="array" ref="K218">INDEX(UtilityList!Q$4:Q$251,MATCH('Table 2.1b_percent'!$A218&amp;'Table 2.1b_percent'!$B218&amp;'Table 2.1b_percent'!$C218,UtilityList!$A$4:$A$251&amp;UtilityList!$B$4:$B$251&amp;UtilityList!$C$4:$C$251,0))</f>
        <v>0</v>
      </c>
      <c r="L218" s="627" t="str">
        <f t="array" ref="L218">INDEX(UtilityList!I$4:I$251,MATCH('Table 2.1b_percent'!$A218&amp;'Table 2.1b_percent'!$B218&amp;'Table 2.1b_percent'!$C218,UtilityList!$A$4:$A$251&amp;UtilityList!$B$4:$B$251&amp;UtilityList!$C$4:$C$251,0))</f>
        <v>SITKA</v>
      </c>
      <c r="M218" s="452" t="str">
        <f t="array" ref="M218">INDEX(UtilityList!J$4:J$251,MATCH('Table 2.1b_percent'!$A218&amp;'Table 2.1b_percent'!$B218&amp;'Table 2.1b_percent'!$C218,UtilityList!$A$4:$A$251&amp;UtilityList!$B$4:$B$251&amp;UtilityList!$C$4:$C$251,0))</f>
        <v>Southeast</v>
      </c>
      <c r="N218" s="452" t="str">
        <f t="array" ref="N218">INDEX(UtilityList!K$4:K$251,MATCH('Table 2.1b_percent'!$A218&amp;'Table 2.1b_percent'!$B218&amp;'Table 2.1b_percent'!$C218,UtilityList!$A$4:$A$251&amp;UtilityList!$B$4:$B$251&amp;UtilityList!$C$4:$C$251,0))</f>
        <v>Sitka</v>
      </c>
      <c r="O218" s="452" t="str">
        <f t="array" ref="O218">INDEX(UtilityList!L$4:L$251,MATCH('Table 2.1b_percent'!$A218&amp;'Table 2.1b_percent'!$B218&amp;'Table 2.1b_percent'!$C218,UtilityList!$A$4:$A$251&amp;UtilityList!$B$4:$B$251&amp;UtilityList!$C$4:$C$251,0))</f>
        <v>Sealaska</v>
      </c>
      <c r="P218" s="452" t="str">
        <f t="array" ref="P218">INDEX(UtilityList!M$4:M$251,MATCH('Table 2.1b_percent'!$A218&amp;'Table 2.1b_percent'!$B218&amp;'Table 2.1b_percent'!$C218,UtilityList!$A$4:$A$251&amp;UtilityList!$B$4:$B$251&amp;UtilityList!$C$4:$C$251,0))</f>
        <v>SE</v>
      </c>
    </row>
    <row r="219" spans="1:16" s="344" customFormat="1" x14ac:dyDescent="0.25">
      <c r="A219" s="619" t="s">
        <v>638</v>
      </c>
      <c r="B219" s="361" t="s">
        <v>315</v>
      </c>
      <c r="C219" s="350" t="s">
        <v>314</v>
      </c>
      <c r="D219" s="625">
        <v>1</v>
      </c>
      <c r="E219" s="626">
        <v>0</v>
      </c>
      <c r="F219" s="626">
        <v>0</v>
      </c>
      <c r="G219" s="626">
        <v>1</v>
      </c>
      <c r="H219" s="626">
        <v>0</v>
      </c>
      <c r="I219" s="361" t="s">
        <v>648</v>
      </c>
      <c r="J219" s="622" t="str">
        <f t="array" ref="J219">INDEX(UtilityList!H$4:H$251,MATCH('Table 2.1b_percent'!$A219&amp;'Table 2.1b_percent'!$B219&amp;'Table 2.1b_percent'!$C219,UtilityList!$A$4:$A$251&amp;UtilityList!$B$4:$B$251&amp;UtilityList!$C$4:$C$251,0))</f>
        <v>PCE Ineligible</v>
      </c>
      <c r="K219" s="709">
        <f t="array" ref="K219">INDEX(UtilityList!Q$4:Q$251,MATCH('Table 2.1b_percent'!$A219&amp;'Table 2.1b_percent'!$B219&amp;'Table 2.1b_percent'!$C219,UtilityList!$A$4:$A$251&amp;UtilityList!$B$4:$B$251&amp;UtilityList!$C$4:$C$251,0))</f>
        <v>0</v>
      </c>
      <c r="L219" s="627" t="str">
        <f t="array" ref="L219">INDEX(UtilityList!I$4:I$251,MATCH('Table 2.1b_percent'!$A219&amp;'Table 2.1b_percent'!$B219&amp;'Table 2.1b_percent'!$C219,UtilityList!$A$4:$A$251&amp;UtilityList!$B$4:$B$251&amp;UtilityList!$C$4:$C$251,0))</f>
        <v>SITKA</v>
      </c>
      <c r="M219" s="452" t="str">
        <f t="array" ref="M219">INDEX(UtilityList!J$4:J$251,MATCH('Table 2.1b_percent'!$A219&amp;'Table 2.1b_percent'!$B219&amp;'Table 2.1b_percent'!$C219,UtilityList!$A$4:$A$251&amp;UtilityList!$B$4:$B$251&amp;UtilityList!$C$4:$C$251,0))</f>
        <v>Southeast</v>
      </c>
      <c r="N219" s="452" t="str">
        <f t="array" ref="N219">INDEX(UtilityList!K$4:K$251,MATCH('Table 2.1b_percent'!$A219&amp;'Table 2.1b_percent'!$B219&amp;'Table 2.1b_percent'!$C219,UtilityList!$A$4:$A$251&amp;UtilityList!$B$4:$B$251&amp;UtilityList!$C$4:$C$251,0))</f>
        <v>Sitka</v>
      </c>
      <c r="O219" s="452" t="str">
        <f t="array" ref="O219">INDEX(UtilityList!L$4:L$251,MATCH('Table 2.1b_percent'!$A219&amp;'Table 2.1b_percent'!$B219&amp;'Table 2.1b_percent'!$C219,UtilityList!$A$4:$A$251&amp;UtilityList!$B$4:$B$251&amp;UtilityList!$C$4:$C$251,0))</f>
        <v>Sealaska</v>
      </c>
      <c r="P219" s="452" t="str">
        <f t="array" ref="P219">INDEX(UtilityList!M$4:M$251,MATCH('Table 2.1b_percent'!$A219&amp;'Table 2.1b_percent'!$B219&amp;'Table 2.1b_percent'!$C219,UtilityList!$A$4:$A$251&amp;UtilityList!$B$4:$B$251&amp;UtilityList!$C$4:$C$251,0))</f>
        <v>SE</v>
      </c>
    </row>
    <row r="220" spans="1:16" s="344" customFormat="1" x14ac:dyDescent="0.25">
      <c r="A220" s="619" t="s">
        <v>638</v>
      </c>
      <c r="B220" s="361" t="s">
        <v>316</v>
      </c>
      <c r="C220" s="350" t="s">
        <v>314</v>
      </c>
      <c r="D220" s="625">
        <v>1</v>
      </c>
      <c r="E220" s="626">
        <v>0</v>
      </c>
      <c r="F220" s="626">
        <v>1</v>
      </c>
      <c r="G220" s="626">
        <v>0</v>
      </c>
      <c r="H220" s="626">
        <v>0</v>
      </c>
      <c r="I220" s="361" t="s">
        <v>648</v>
      </c>
      <c r="J220" s="622" t="str">
        <f t="array" ref="J220">INDEX(UtilityList!H$4:H$251,MATCH('Table 2.1b_percent'!$A220&amp;'Table 2.1b_percent'!$B220&amp;'Table 2.1b_percent'!$C220,UtilityList!$A$4:$A$251&amp;UtilityList!$B$4:$B$251&amp;UtilityList!$C$4:$C$251,0))</f>
        <v>PCE Ineligible</v>
      </c>
      <c r="K220" s="709">
        <f t="array" ref="K220">INDEX(UtilityList!Q$4:Q$251,MATCH('Table 2.1b_percent'!$A220&amp;'Table 2.1b_percent'!$B220&amp;'Table 2.1b_percent'!$C220,UtilityList!$A$4:$A$251&amp;UtilityList!$B$4:$B$251&amp;UtilityList!$C$4:$C$251,0))</f>
        <v>0</v>
      </c>
      <c r="L220" s="627" t="str">
        <f t="array" ref="L220">INDEX(UtilityList!I$4:I$251,MATCH('Table 2.1b_percent'!$A220&amp;'Table 2.1b_percent'!$B220&amp;'Table 2.1b_percent'!$C220,UtilityList!$A$4:$A$251&amp;UtilityList!$B$4:$B$251&amp;UtilityList!$C$4:$C$251,0))</f>
        <v>SITKA</v>
      </c>
      <c r="M220" s="452" t="str">
        <f t="array" ref="M220">INDEX(UtilityList!J$4:J$251,MATCH('Table 2.1b_percent'!$A220&amp;'Table 2.1b_percent'!$B220&amp;'Table 2.1b_percent'!$C220,UtilityList!$A$4:$A$251&amp;UtilityList!$B$4:$B$251&amp;UtilityList!$C$4:$C$251,0))</f>
        <v>Southeast</v>
      </c>
      <c r="N220" s="452" t="str">
        <f t="array" ref="N220">INDEX(UtilityList!K$4:K$251,MATCH('Table 2.1b_percent'!$A220&amp;'Table 2.1b_percent'!$B220&amp;'Table 2.1b_percent'!$C220,UtilityList!$A$4:$A$251&amp;UtilityList!$B$4:$B$251&amp;UtilityList!$C$4:$C$251,0))</f>
        <v>Sitka</v>
      </c>
      <c r="O220" s="452" t="str">
        <f t="array" ref="O220">INDEX(UtilityList!L$4:L$251,MATCH('Table 2.1b_percent'!$A220&amp;'Table 2.1b_percent'!$B220&amp;'Table 2.1b_percent'!$C220,UtilityList!$A$4:$A$251&amp;UtilityList!$B$4:$B$251&amp;UtilityList!$C$4:$C$251,0))</f>
        <v>Sealaska</v>
      </c>
      <c r="P220" s="452" t="str">
        <f t="array" ref="P220">INDEX(UtilityList!M$4:M$251,MATCH('Table 2.1b_percent'!$A220&amp;'Table 2.1b_percent'!$B220&amp;'Table 2.1b_percent'!$C220,UtilityList!$A$4:$A$251&amp;UtilityList!$B$4:$B$251&amp;UtilityList!$C$4:$C$251,0))</f>
        <v>SE</v>
      </c>
    </row>
    <row r="221" spans="1:16" s="344" customFormat="1" x14ac:dyDescent="0.25">
      <c r="A221" s="619" t="s">
        <v>317</v>
      </c>
      <c r="B221" s="339" t="s">
        <v>318</v>
      </c>
      <c r="C221" s="351" t="s">
        <v>659</v>
      </c>
      <c r="D221" s="625">
        <v>1</v>
      </c>
      <c r="E221" s="626">
        <v>0</v>
      </c>
      <c r="F221" s="626">
        <v>0</v>
      </c>
      <c r="G221" s="626">
        <v>1</v>
      </c>
      <c r="H221" s="626">
        <v>0</v>
      </c>
      <c r="I221" s="361" t="s">
        <v>652</v>
      </c>
      <c r="J221" s="622" t="str">
        <f t="array" ref="J221">INDEX(UtilityList!H$4:H$251,MATCH('Table 2.1b_percent'!$A221&amp;'Table 2.1b_percent'!$B221&amp;'Table 2.1b_percent'!$C221,UtilityList!$A$4:$A$251&amp;UtilityList!$B$4:$B$251&amp;UtilityList!$C$4:$C$251,0))</f>
        <v>PCE Ineligible</v>
      </c>
      <c r="K221" s="709">
        <f t="array" ref="K221">INDEX(UtilityList!Q$4:Q$251,MATCH('Table 2.1b_percent'!$A221&amp;'Table 2.1b_percent'!$B221&amp;'Table 2.1b_percent'!$C221,UtilityList!$A$4:$A$251&amp;UtilityList!$B$4:$B$251&amp;UtilityList!$C$4:$C$251,0))</f>
        <v>0</v>
      </c>
      <c r="L221" s="627">
        <f t="array" ref="L221">INDEX(UtilityList!I$4:I$251,MATCH('Table 2.1b_percent'!$A221&amp;'Table 2.1b_percent'!$B221&amp;'Table 2.1b_percent'!$C221,UtilityList!$A$4:$A$251&amp;UtilityList!$B$4:$B$251&amp;UtilityList!$C$4:$C$251,0))</f>
        <v>0</v>
      </c>
      <c r="M221" s="452" t="str">
        <f t="array" ref="M221">INDEX(UtilityList!J$4:J$251,MATCH('Table 2.1b_percent'!$A221&amp;'Table 2.1b_percent'!$B221&amp;'Table 2.1b_percent'!$C221,UtilityList!$A$4:$A$251&amp;UtilityList!$B$4:$B$251&amp;UtilityList!$C$4:$C$251,0))</f>
        <v>Southeast</v>
      </c>
      <c r="N221" s="452" t="str">
        <f t="array" ref="N221">INDEX(UtilityList!K$4:K$251,MATCH('Table 2.1b_percent'!$A221&amp;'Table 2.1b_percent'!$B221&amp;'Table 2.1b_percent'!$C221,UtilityList!$A$4:$A$251&amp;UtilityList!$B$4:$B$251&amp;UtilityList!$C$4:$C$251,0))</f>
        <v>Ketchikan Gateway</v>
      </c>
      <c r="O221" s="452" t="str">
        <f t="array" ref="O221">INDEX(UtilityList!L$4:L$251,MATCH('Table 2.1b_percent'!$A221&amp;'Table 2.1b_percent'!$B221&amp;'Table 2.1b_percent'!$C221,UtilityList!$A$4:$A$251&amp;UtilityList!$B$4:$B$251&amp;UtilityList!$C$4:$C$251,0))</f>
        <v>Sealaska</v>
      </c>
      <c r="P221" s="452" t="str">
        <f t="array" ref="P221">INDEX(UtilityList!M$4:M$251,MATCH('Table 2.1b_percent'!$A221&amp;'Table 2.1b_percent'!$B221&amp;'Table 2.1b_percent'!$C221,UtilityList!$A$4:$A$251&amp;UtilityList!$B$4:$B$251&amp;UtilityList!$C$4:$C$251,0))</f>
        <v>SE</v>
      </c>
    </row>
    <row r="222" spans="1:16" s="344" customFormat="1" ht="30" x14ac:dyDescent="0.25">
      <c r="A222" s="619" t="s">
        <v>321</v>
      </c>
      <c r="B222" s="361" t="s">
        <v>322</v>
      </c>
      <c r="C222" s="350" t="s">
        <v>322</v>
      </c>
      <c r="D222" s="625">
        <v>1</v>
      </c>
      <c r="E222" s="626">
        <v>0</v>
      </c>
      <c r="F222" s="626">
        <v>1</v>
      </c>
      <c r="G222" s="626">
        <v>0</v>
      </c>
      <c r="H222" s="626">
        <v>0</v>
      </c>
      <c r="I222" s="361" t="s">
        <v>718</v>
      </c>
      <c r="J222" s="622" t="str">
        <f t="array" ref="J222">INDEX(UtilityList!H$4:H$251,MATCH('Table 2.1b_percent'!$A222&amp;'Table 2.1b_percent'!$B222&amp;'Table 2.1b_percent'!$C222,UtilityList!$A$4:$A$251&amp;UtilityList!$B$4:$B$251&amp;UtilityList!$C$4:$C$251,0))</f>
        <v>PCE Eligible Inactive</v>
      </c>
      <c r="K222" s="709">
        <f t="array" ref="K222">INDEX(UtilityList!Q$4:Q$251,MATCH('Table 2.1b_percent'!$A222&amp;'Table 2.1b_percent'!$B222&amp;'Table 2.1b_percent'!$C222,UtilityList!$A$4:$A$251&amp;UtilityList!$B$4:$B$251&amp;UtilityList!$C$4:$C$251,0))</f>
        <v>0</v>
      </c>
      <c r="L222" s="627" t="str">
        <f t="array" ref="L222">INDEX(UtilityList!I$4:I$251,MATCH('Table 2.1b_percent'!$A222&amp;'Table 2.1b_percent'!$B222&amp;'Table 2.1b_percent'!$C222,UtilityList!$A$4:$A$251&amp;UtilityList!$B$4:$B$251&amp;UtilityList!$C$4:$C$251,0))</f>
        <v>STEVVIC</v>
      </c>
      <c r="M222" s="452" t="str">
        <f t="array" ref="M222">INDEX(UtilityList!J$4:J$251,MATCH('Table 2.1b_percent'!$A222&amp;'Table 2.1b_percent'!$B222&amp;'Table 2.1b_percent'!$C222,UtilityList!$A$4:$A$251&amp;UtilityList!$B$4:$B$251&amp;UtilityList!$C$4:$C$251,0))</f>
        <v>Yukon-Koyukuk/Upper Tanana</v>
      </c>
      <c r="N222" s="452" t="str">
        <f t="array" ref="N222">INDEX(UtilityList!K$4:K$251,MATCH('Table 2.1b_percent'!$A222&amp;'Table 2.1b_percent'!$B222&amp;'Table 2.1b_percent'!$C222,UtilityList!$A$4:$A$251&amp;UtilityList!$B$4:$B$251&amp;UtilityList!$C$4:$C$251,0))</f>
        <v>Yukon-Koyukuk (CA)</v>
      </c>
      <c r="O222" s="452" t="str">
        <f t="array" ref="O222">INDEX(UtilityList!L$4:L$251,MATCH('Table 2.1b_percent'!$A222&amp;'Table 2.1b_percent'!$B222&amp;'Table 2.1b_percent'!$C222,UtilityList!$A$4:$A$251&amp;UtilityList!$B$4:$B$251&amp;UtilityList!$C$4:$C$251,0))</f>
        <v>Doyon</v>
      </c>
      <c r="P222" s="452" t="str">
        <f t="array" ref="P222">INDEX(UtilityList!M$4:M$251,MATCH('Table 2.1b_percent'!$A222&amp;'Table 2.1b_percent'!$B222&amp;'Table 2.1b_percent'!$C222,UtilityList!$A$4:$A$251&amp;UtilityList!$B$4:$B$251&amp;UtilityList!$C$4:$C$251,0))</f>
        <v>YU</v>
      </c>
    </row>
    <row r="223" spans="1:16" s="344" customFormat="1" ht="30" x14ac:dyDescent="0.25">
      <c r="A223" s="619" t="s">
        <v>323</v>
      </c>
      <c r="B223" s="361" t="s">
        <v>324</v>
      </c>
      <c r="C223" s="350" t="s">
        <v>324</v>
      </c>
      <c r="D223" s="625">
        <v>1</v>
      </c>
      <c r="E223" s="626">
        <v>0</v>
      </c>
      <c r="F223" s="626">
        <v>1</v>
      </c>
      <c r="G223" s="626">
        <v>0</v>
      </c>
      <c r="H223" s="626">
        <v>0</v>
      </c>
      <c r="I223" s="361" t="s">
        <v>718</v>
      </c>
      <c r="J223" s="622" t="str">
        <f t="array" ref="J223">INDEX(UtilityList!H$4:H$251,MATCH('Table 2.1b_percent'!$A223&amp;'Table 2.1b_percent'!$B223&amp;'Table 2.1b_percent'!$C223,UtilityList!$A$4:$A$251&amp;UtilityList!$B$4:$B$251&amp;UtilityList!$C$4:$C$251,0))</f>
        <v>PCE Eligible Active</v>
      </c>
      <c r="K223" s="709">
        <f t="array" ref="K223">INDEX(UtilityList!Q$4:Q$251,MATCH('Table 2.1b_percent'!$A223&amp;'Table 2.1b_percent'!$B223&amp;'Table 2.1b_percent'!$C223,UtilityList!$A$4:$A$251&amp;UtilityList!$B$4:$B$251&amp;UtilityList!$C$4:$C$251,0))</f>
        <v>0</v>
      </c>
      <c r="L223" s="627" t="str">
        <f t="array" ref="L223">INDEX(UtilityList!I$4:I$251,MATCH('Table 2.1b_percent'!$A223&amp;'Table 2.1b_percent'!$B223&amp;'Table 2.1b_percent'!$C223,UtilityList!$A$4:$A$251&amp;UtilityList!$B$4:$B$251&amp;UtilityList!$C$4:$C$251,0))</f>
        <v>TAKOC</v>
      </c>
      <c r="M223" s="452" t="str">
        <f t="array" ref="M223">INDEX(UtilityList!J$4:J$251,MATCH('Table 2.1b_percent'!$A223&amp;'Table 2.1b_percent'!$B223&amp;'Table 2.1b_percent'!$C223,UtilityList!$A$4:$A$251&amp;UtilityList!$B$4:$B$251&amp;UtilityList!$C$4:$C$251,0))</f>
        <v>Yukon-Koyukuk/Upper Tanana</v>
      </c>
      <c r="N223" s="452" t="str">
        <f t="array" ref="N223">INDEX(UtilityList!K$4:K$251,MATCH('Table 2.1b_percent'!$A223&amp;'Table 2.1b_percent'!$B223&amp;'Table 2.1b_percent'!$C223,UtilityList!$A$4:$A$251&amp;UtilityList!$B$4:$B$251&amp;UtilityList!$C$4:$C$251,0))</f>
        <v>Yukon-Koyukuk (CA)</v>
      </c>
      <c r="O223" s="452" t="str">
        <f t="array" ref="O223">INDEX(UtilityList!L$4:L$251,MATCH('Table 2.1b_percent'!$A223&amp;'Table 2.1b_percent'!$B223&amp;'Table 2.1b_percent'!$C223,UtilityList!$A$4:$A$251&amp;UtilityList!$B$4:$B$251&amp;UtilityList!$C$4:$C$251,0))</f>
        <v>Doyon</v>
      </c>
      <c r="P223" s="452" t="str">
        <f t="array" ref="P223">INDEX(UtilityList!M$4:M$251,MATCH('Table 2.1b_percent'!$A223&amp;'Table 2.1b_percent'!$B223&amp;'Table 2.1b_percent'!$C223,UtilityList!$A$4:$A$251&amp;UtilityList!$B$4:$B$251&amp;UtilityList!$C$4:$C$251,0))</f>
        <v>SW</v>
      </c>
    </row>
    <row r="224" spans="1:16" s="344" customFormat="1" ht="30" x14ac:dyDescent="0.25">
      <c r="A224" s="619" t="s">
        <v>325</v>
      </c>
      <c r="B224" s="361" t="s">
        <v>326</v>
      </c>
      <c r="C224" s="350" t="s">
        <v>326</v>
      </c>
      <c r="D224" s="625">
        <v>1</v>
      </c>
      <c r="E224" s="626">
        <v>0</v>
      </c>
      <c r="F224" s="626">
        <v>1</v>
      </c>
      <c r="G224" s="626">
        <v>0</v>
      </c>
      <c r="H224" s="626">
        <v>0</v>
      </c>
      <c r="I224" s="361" t="s">
        <v>718</v>
      </c>
      <c r="J224" s="622" t="str">
        <f t="array" ref="J224">INDEX(UtilityList!H$4:H$251,MATCH('Table 2.1b_percent'!$A224&amp;'Table 2.1b_percent'!$B224&amp;'Table 2.1b_percent'!$C224,UtilityList!$A$4:$A$251&amp;UtilityList!$B$4:$B$251&amp;UtilityList!$C$4:$C$251,0))</f>
        <v>PCE Eligible Active</v>
      </c>
      <c r="K224" s="709">
        <f t="array" ref="K224">INDEX(UtilityList!Q$4:Q$251,MATCH('Table 2.1b_percent'!$A224&amp;'Table 2.1b_percent'!$B224&amp;'Table 2.1b_percent'!$C224,UtilityList!$A$4:$A$251&amp;UtilityList!$B$4:$B$251&amp;UtilityList!$C$4:$C$251,0))</f>
        <v>0</v>
      </c>
      <c r="L224" s="627" t="str">
        <f t="array" ref="L224">INDEX(UtilityList!I$4:I$251,MATCH('Table 2.1b_percent'!$A224&amp;'Table 2.1b_percent'!$B224&amp;'Table 2.1b_percent'!$C224,UtilityList!$A$4:$A$251&amp;UtilityList!$B$4:$B$251&amp;UtilityList!$C$4:$C$251,0))</f>
        <v>TANAEC</v>
      </c>
      <c r="M224" s="452" t="str">
        <f t="array" ref="M224">INDEX(UtilityList!J$4:J$251,MATCH('Table 2.1b_percent'!$A224&amp;'Table 2.1b_percent'!$B224&amp;'Table 2.1b_percent'!$C224,UtilityList!$A$4:$A$251&amp;UtilityList!$B$4:$B$251&amp;UtilityList!$C$4:$C$251,0))</f>
        <v>Bristol Bay</v>
      </c>
      <c r="N224" s="452" t="str">
        <f t="array" ref="N224">INDEX(UtilityList!K$4:K$251,MATCH('Table 2.1b_percent'!$A224&amp;'Table 2.1b_percent'!$B224&amp;'Table 2.1b_percent'!$C224,UtilityList!$A$4:$A$251&amp;UtilityList!$B$4:$B$251&amp;UtilityList!$C$4:$C$251,0))</f>
        <v>Lake and Peninsula</v>
      </c>
      <c r="O224" s="452" t="str">
        <f t="array" ref="O224">INDEX(UtilityList!L$4:L$251,MATCH('Table 2.1b_percent'!$A224&amp;'Table 2.1b_percent'!$B224&amp;'Table 2.1b_percent'!$C224,UtilityList!$A$4:$A$251&amp;UtilityList!$B$4:$B$251&amp;UtilityList!$C$4:$C$251,0))</f>
        <v>Cook Inlet</v>
      </c>
      <c r="P224" s="452" t="str">
        <f t="array" ref="P224">INDEX(UtilityList!M$4:M$251,MATCH('Table 2.1b_percent'!$A224&amp;'Table 2.1b_percent'!$B224&amp;'Table 2.1b_percent'!$C224,UtilityList!$A$4:$A$251&amp;UtilityList!$B$4:$B$251&amp;UtilityList!$C$4:$C$251,0))</f>
        <v>SW</v>
      </c>
    </row>
    <row r="225" spans="1:16" s="344" customFormat="1" ht="30" x14ac:dyDescent="0.25">
      <c r="A225" s="619" t="s">
        <v>510</v>
      </c>
      <c r="B225" s="361" t="s">
        <v>327</v>
      </c>
      <c r="C225" s="350" t="s">
        <v>327</v>
      </c>
      <c r="D225" s="625">
        <v>1</v>
      </c>
      <c r="E225" s="626">
        <v>0</v>
      </c>
      <c r="F225" s="626">
        <v>1</v>
      </c>
      <c r="G225" s="626">
        <v>0</v>
      </c>
      <c r="H225" s="626">
        <v>0</v>
      </c>
      <c r="I225" s="361" t="s">
        <v>718</v>
      </c>
      <c r="J225" s="622" t="str">
        <f t="array" ref="J225">INDEX(UtilityList!H$4:H$251,MATCH('Table 2.1b_percent'!$A225&amp;'Table 2.1b_percent'!$B225&amp;'Table 2.1b_percent'!$C225,UtilityList!$A$4:$A$251&amp;UtilityList!$B$4:$B$251&amp;UtilityList!$C$4:$C$251,0))</f>
        <v>PCE Eligible Active</v>
      </c>
      <c r="K225" s="709">
        <f t="array" ref="K225">INDEX(UtilityList!Q$4:Q$251,MATCH('Table 2.1b_percent'!$A225&amp;'Table 2.1b_percent'!$B225&amp;'Table 2.1b_percent'!$C225,UtilityList!$A$4:$A$251&amp;UtilityList!$B$4:$B$251&amp;UtilityList!$C$4:$C$251,0))</f>
        <v>0</v>
      </c>
      <c r="L225" s="627" t="str">
        <f t="array" ref="L225">INDEX(UtilityList!I$4:I$251,MATCH('Table 2.1b_percent'!$A225&amp;'Table 2.1b_percent'!$B225&amp;'Table 2.1b_percent'!$C225,UtilityList!$A$4:$A$251&amp;UtilityList!$B$4:$B$251&amp;UtilityList!$C$4:$C$251,0))</f>
        <v>TPC</v>
      </c>
      <c r="M225" s="452" t="str">
        <f t="array" ref="M225">INDEX(UtilityList!J$4:J$251,MATCH('Table 2.1b_percent'!$A225&amp;'Table 2.1b_percent'!$B225&amp;'Table 2.1b_percent'!$C225,UtilityList!$A$4:$A$251&amp;UtilityList!$B$4:$B$251&amp;UtilityList!$C$4:$C$251,0))</f>
        <v>Yukon-Koyukuk/Upper Tanana</v>
      </c>
      <c r="N225" s="452" t="str">
        <f t="array" ref="N225">INDEX(UtilityList!K$4:K$251,MATCH('Table 2.1b_percent'!$A225&amp;'Table 2.1b_percent'!$B225&amp;'Table 2.1b_percent'!$C225,UtilityList!$A$4:$A$251&amp;UtilityList!$B$4:$B$251&amp;UtilityList!$C$4:$C$251,0))</f>
        <v>Yukon-Koyukuk (CA)</v>
      </c>
      <c r="O225" s="452" t="str">
        <f t="array" ref="O225">INDEX(UtilityList!L$4:L$251,MATCH('Table 2.1b_percent'!$A225&amp;'Table 2.1b_percent'!$B225&amp;'Table 2.1b_percent'!$C225,UtilityList!$A$4:$A$251&amp;UtilityList!$B$4:$B$251&amp;UtilityList!$C$4:$C$251,0))</f>
        <v>Doyon</v>
      </c>
      <c r="P225" s="452" t="str">
        <f t="array" ref="P225">INDEX(UtilityList!M$4:M$251,MATCH('Table 2.1b_percent'!$A225&amp;'Table 2.1b_percent'!$B225&amp;'Table 2.1b_percent'!$C225,UtilityList!$A$4:$A$251&amp;UtilityList!$B$4:$B$251&amp;UtilityList!$C$4:$C$251,0))</f>
        <v>YU</v>
      </c>
    </row>
    <row r="226" spans="1:16" s="344" customFormat="1" ht="30" x14ac:dyDescent="0.25">
      <c r="A226" s="619" t="s">
        <v>328</v>
      </c>
      <c r="B226" s="361" t="s">
        <v>329</v>
      </c>
      <c r="C226" s="350" t="s">
        <v>329</v>
      </c>
      <c r="D226" s="625">
        <v>1</v>
      </c>
      <c r="E226" s="626">
        <v>0</v>
      </c>
      <c r="F226" s="626">
        <v>1</v>
      </c>
      <c r="G226" s="626">
        <v>0</v>
      </c>
      <c r="H226" s="626">
        <v>0</v>
      </c>
      <c r="I226" s="361" t="s">
        <v>718</v>
      </c>
      <c r="J226" s="622" t="str">
        <f t="array" ref="J226">INDEX(UtilityList!H$4:H$251,MATCH('Table 2.1b_percent'!$A226&amp;'Table 2.1b_percent'!$B226&amp;'Table 2.1b_percent'!$C226,UtilityList!$A$4:$A$251&amp;UtilityList!$B$4:$B$251&amp;UtilityList!$C$4:$C$251,0))</f>
        <v>PCE Eligible Active</v>
      </c>
      <c r="K226" s="709">
        <f t="array" ref="K226">INDEX(UtilityList!Q$4:Q$251,MATCH('Table 2.1b_percent'!$A226&amp;'Table 2.1b_percent'!$B226&amp;'Table 2.1b_percent'!$C226,UtilityList!$A$4:$A$251&amp;UtilityList!$B$4:$B$251&amp;UtilityList!$C$4:$C$251,0))</f>
        <v>0</v>
      </c>
      <c r="L226" s="627" t="str">
        <f t="array" ref="L226">INDEX(UtilityList!I$4:I$251,MATCH('Table 2.1b_percent'!$A226&amp;'Table 2.1b_percent'!$B226&amp;'Table 2.1b_percent'!$C226,UtilityList!$A$4:$A$251&amp;UtilityList!$B$4:$B$251&amp;UtilityList!$C$4:$C$251,0))</f>
        <v>TATIVIC</v>
      </c>
      <c r="M226" s="452" t="str">
        <f t="array" ref="M226">INDEX(UtilityList!J$4:J$251,MATCH('Table 2.1b_percent'!$A226&amp;'Table 2.1b_percent'!$B226&amp;'Table 2.1b_percent'!$C226,UtilityList!$A$4:$A$251&amp;UtilityList!$B$4:$B$251&amp;UtilityList!$C$4:$C$251,0))</f>
        <v>Copper River/Chugach</v>
      </c>
      <c r="N226" s="452" t="str">
        <f t="array" ref="N226">INDEX(UtilityList!K$4:K$251,MATCH('Table 2.1b_percent'!$A226&amp;'Table 2.1b_percent'!$B226&amp;'Table 2.1b_percent'!$C226,UtilityList!$A$4:$A$251&amp;UtilityList!$B$4:$B$251&amp;UtilityList!$C$4:$C$251,0))</f>
        <v>Valdez-Cordova (CA)</v>
      </c>
      <c r="O226" s="452" t="str">
        <f t="array" ref="O226">INDEX(UtilityList!L$4:L$251,MATCH('Table 2.1b_percent'!$A226&amp;'Table 2.1b_percent'!$B226&amp;'Table 2.1b_percent'!$C226,UtilityList!$A$4:$A$251&amp;UtilityList!$B$4:$B$251&amp;UtilityList!$C$4:$C$251,0))</f>
        <v>Chugach</v>
      </c>
      <c r="P226" s="452" t="str">
        <f t="array" ref="P226">INDEX(UtilityList!M$4:M$251,MATCH('Table 2.1b_percent'!$A226&amp;'Table 2.1b_percent'!$B226&amp;'Table 2.1b_percent'!$C226,UtilityList!$A$4:$A$251&amp;UtilityList!$B$4:$B$251&amp;UtilityList!$C$4:$C$251,0))</f>
        <v>SC</v>
      </c>
    </row>
    <row r="227" spans="1:16" s="344" customFormat="1" ht="30" x14ac:dyDescent="0.25">
      <c r="A227" s="619" t="s">
        <v>1080</v>
      </c>
      <c r="B227" s="361" t="s">
        <v>330</v>
      </c>
      <c r="C227" s="350" t="s">
        <v>330</v>
      </c>
      <c r="D227" s="625">
        <v>1</v>
      </c>
      <c r="E227" s="626">
        <v>0</v>
      </c>
      <c r="F227" s="626">
        <v>1</v>
      </c>
      <c r="G227" s="626">
        <v>0</v>
      </c>
      <c r="H227" s="626">
        <v>0</v>
      </c>
      <c r="I227" s="361" t="s">
        <v>718</v>
      </c>
      <c r="J227" s="622" t="str">
        <f t="array" ref="J227">INDEX(UtilityList!H$4:H$251,MATCH('Table 2.1b_percent'!$A227&amp;'Table 2.1b_percent'!$B227&amp;'Table 2.1b_percent'!$C227,UtilityList!$A$4:$A$251&amp;UtilityList!$B$4:$B$251&amp;UtilityList!$C$4:$C$251,0))</f>
        <v>PCE Eligible Active</v>
      </c>
      <c r="K227" s="709">
        <f t="array" ref="K227">INDEX(UtilityList!Q$4:Q$251,MATCH('Table 2.1b_percent'!$A227&amp;'Table 2.1b_percent'!$B227&amp;'Table 2.1b_percent'!$C227,UtilityList!$A$4:$A$251&amp;UtilityList!$B$4:$B$251&amp;UtilityList!$C$4:$C$251,0))</f>
        <v>0</v>
      </c>
      <c r="L227" s="627" t="str">
        <f t="array" ref="L227">INDEX(UtilityList!I$4:I$251,MATCH('Table 2.1b_percent'!$A227&amp;'Table 2.1b_percent'!$B227&amp;'Table 2.1b_percent'!$C227,UtilityList!$A$4:$A$251&amp;UtilityList!$B$4:$B$251&amp;UtilityList!$C$4:$C$251,0))</f>
        <v>TDXA</v>
      </c>
      <c r="M227" s="452" t="str">
        <f t="array" ref="M227">INDEX(UtilityList!J$4:J$251,MATCH('Table 2.1b_percent'!$A227&amp;'Table 2.1b_percent'!$B227&amp;'Table 2.1b_percent'!$C227,UtilityList!$A$4:$A$251&amp;UtilityList!$B$4:$B$251&amp;UtilityList!$C$4:$C$251,0))</f>
        <v>Aleutians</v>
      </c>
      <c r="N227" s="452" t="str">
        <f t="array" ref="N227">INDEX(UtilityList!K$4:K$251,MATCH('Table 2.1b_percent'!$A227&amp;'Table 2.1b_percent'!$B227&amp;'Table 2.1b_percent'!$C227,UtilityList!$A$4:$A$251&amp;UtilityList!$B$4:$B$251&amp;UtilityList!$C$4:$C$251,0))</f>
        <v>Aleutians West (CA)</v>
      </c>
      <c r="O227" s="452" t="str">
        <f t="array" ref="O227">INDEX(UtilityList!L$4:L$251,MATCH('Table 2.1b_percent'!$A227&amp;'Table 2.1b_percent'!$B227&amp;'Table 2.1b_percent'!$C227,UtilityList!$A$4:$A$251&amp;UtilityList!$B$4:$B$251&amp;UtilityList!$C$4:$C$251,0))</f>
        <v>Aleut</v>
      </c>
      <c r="P227" s="452" t="str">
        <f t="array" ref="P227">INDEX(UtilityList!M$4:M$251,MATCH('Table 2.1b_percent'!$A227&amp;'Table 2.1b_percent'!$B227&amp;'Table 2.1b_percent'!$C227,UtilityList!$A$4:$A$251&amp;UtilityList!$B$4:$B$251&amp;UtilityList!$C$4:$C$251,0))</f>
        <v>SW</v>
      </c>
    </row>
    <row r="228" spans="1:16" s="344" customFormat="1" x14ac:dyDescent="0.25">
      <c r="A228" s="619" t="s">
        <v>331</v>
      </c>
      <c r="B228" s="361" t="s">
        <v>332</v>
      </c>
      <c r="C228" s="350" t="s">
        <v>332</v>
      </c>
      <c r="D228" s="625">
        <v>1</v>
      </c>
      <c r="E228" s="626">
        <v>0</v>
      </c>
      <c r="F228" s="626">
        <v>0</v>
      </c>
      <c r="G228" s="626">
        <v>0</v>
      </c>
      <c r="H228" s="626">
        <v>1</v>
      </c>
      <c r="I228" s="361" t="s">
        <v>647</v>
      </c>
      <c r="J228" s="622" t="str">
        <f t="array" ref="J228">INDEX(UtilityList!H$4:H$251,MATCH('Table 2.1b_percent'!$A228&amp;'Table 2.1b_percent'!$B228&amp;'Table 2.1b_percent'!$C228,UtilityList!$A$4:$A$251&amp;UtilityList!$B$4:$B$251&amp;UtilityList!$C$4:$C$251,0))</f>
        <v>PCE Eligible Active</v>
      </c>
      <c r="K228" s="709">
        <f t="array" ref="K228">INDEX(UtilityList!Q$4:Q$251,MATCH('Table 2.1b_percent'!$A228&amp;'Table 2.1b_percent'!$B228&amp;'Table 2.1b_percent'!$C228,UtilityList!$A$4:$A$251&amp;UtilityList!$B$4:$B$251&amp;UtilityList!$C$4:$C$251,0))</f>
        <v>0</v>
      </c>
      <c r="L228" s="627" t="str">
        <f t="array" ref="L228">INDEX(UtilityList!I$4:I$251,MATCH('Table 2.1b_percent'!$A228&amp;'Table 2.1b_percent'!$B228&amp;'Table 2.1b_percent'!$C228,UtilityList!$A$4:$A$251&amp;UtilityList!$B$4:$B$251&amp;UtilityList!$C$4:$C$251,0))</f>
        <v>TDXC</v>
      </c>
      <c r="M228" s="452" t="str">
        <f t="array" ref="M228">INDEX(UtilityList!J$4:J$251,MATCH('Table 2.1b_percent'!$A228&amp;'Table 2.1b_percent'!$B228&amp;'Table 2.1b_percent'!$C228,UtilityList!$A$4:$A$251&amp;UtilityList!$B$4:$B$251&amp;UtilityList!$C$4:$C$251,0))</f>
        <v>Aleutians</v>
      </c>
      <c r="N228" s="452" t="str">
        <f t="array" ref="N228">INDEX(UtilityList!K$4:K$251,MATCH('Table 2.1b_percent'!$A228&amp;'Table 2.1b_percent'!$B228&amp;'Table 2.1b_percent'!$C228,UtilityList!$A$4:$A$251&amp;UtilityList!$B$4:$B$251&amp;UtilityList!$C$4:$C$251,0))</f>
        <v>Aleutians East</v>
      </c>
      <c r="O228" s="452" t="str">
        <f t="array" ref="O228">INDEX(UtilityList!L$4:L$251,MATCH('Table 2.1b_percent'!$A228&amp;'Table 2.1b_percent'!$B228&amp;'Table 2.1b_percent'!$C228,UtilityList!$A$4:$A$251&amp;UtilityList!$B$4:$B$251&amp;UtilityList!$C$4:$C$251,0))</f>
        <v>Aleut</v>
      </c>
      <c r="P228" s="452" t="str">
        <f t="array" ref="P228">INDEX(UtilityList!M$4:M$251,MATCH('Table 2.1b_percent'!$A228&amp;'Table 2.1b_percent'!$B228&amp;'Table 2.1b_percent'!$C228,UtilityList!$A$4:$A$251&amp;UtilityList!$B$4:$B$251&amp;UtilityList!$C$4:$C$251,0))</f>
        <v>SW</v>
      </c>
    </row>
    <row r="229" spans="1:16" s="344" customFormat="1" ht="30" x14ac:dyDescent="0.25">
      <c r="A229" s="619" t="s">
        <v>331</v>
      </c>
      <c r="B229" s="361" t="s">
        <v>332</v>
      </c>
      <c r="C229" s="350" t="s">
        <v>332</v>
      </c>
      <c r="D229" s="625">
        <v>1</v>
      </c>
      <c r="E229" s="626">
        <v>0</v>
      </c>
      <c r="F229" s="626">
        <v>1</v>
      </c>
      <c r="G229" s="626">
        <v>0</v>
      </c>
      <c r="H229" s="626">
        <v>0</v>
      </c>
      <c r="I229" s="361" t="s">
        <v>718</v>
      </c>
      <c r="J229" s="622" t="str">
        <f t="array" ref="J229">INDEX(UtilityList!H$4:H$251,MATCH('Table 2.1b_percent'!$A229&amp;'Table 2.1b_percent'!$B229&amp;'Table 2.1b_percent'!$C229,UtilityList!$A$4:$A$251&amp;UtilityList!$B$4:$B$251&amp;UtilityList!$C$4:$C$251,0))</f>
        <v>PCE Eligible Active</v>
      </c>
      <c r="K229" s="709">
        <f t="array" ref="K229">INDEX(UtilityList!Q$4:Q$251,MATCH('Table 2.1b_percent'!$A229&amp;'Table 2.1b_percent'!$B229&amp;'Table 2.1b_percent'!$C229,UtilityList!$A$4:$A$251&amp;UtilityList!$B$4:$B$251&amp;UtilityList!$C$4:$C$251,0))</f>
        <v>0</v>
      </c>
      <c r="L229" s="627" t="str">
        <f t="array" ref="L229">INDEX(UtilityList!I$4:I$251,MATCH('Table 2.1b_percent'!$A229&amp;'Table 2.1b_percent'!$B229&amp;'Table 2.1b_percent'!$C229,UtilityList!$A$4:$A$251&amp;UtilityList!$B$4:$B$251&amp;UtilityList!$C$4:$C$251,0))</f>
        <v>TDXC</v>
      </c>
      <c r="M229" s="452" t="str">
        <f t="array" ref="M229">INDEX(UtilityList!J$4:J$251,MATCH('Table 2.1b_percent'!$A229&amp;'Table 2.1b_percent'!$B229&amp;'Table 2.1b_percent'!$C229,UtilityList!$A$4:$A$251&amp;UtilityList!$B$4:$B$251&amp;UtilityList!$C$4:$C$251,0))</f>
        <v>Aleutians</v>
      </c>
      <c r="N229" s="452" t="str">
        <f t="array" ref="N229">INDEX(UtilityList!K$4:K$251,MATCH('Table 2.1b_percent'!$A229&amp;'Table 2.1b_percent'!$B229&amp;'Table 2.1b_percent'!$C229,UtilityList!$A$4:$A$251&amp;UtilityList!$B$4:$B$251&amp;UtilityList!$C$4:$C$251,0))</f>
        <v>Aleutians East</v>
      </c>
      <c r="O229" s="452" t="str">
        <f t="array" ref="O229">INDEX(UtilityList!L$4:L$251,MATCH('Table 2.1b_percent'!$A229&amp;'Table 2.1b_percent'!$B229&amp;'Table 2.1b_percent'!$C229,UtilityList!$A$4:$A$251&amp;UtilityList!$B$4:$B$251&amp;UtilityList!$C$4:$C$251,0))</f>
        <v>Aleut</v>
      </c>
      <c r="P229" s="452" t="str">
        <f t="array" ref="P229">INDEX(UtilityList!M$4:M$251,MATCH('Table 2.1b_percent'!$A229&amp;'Table 2.1b_percent'!$B229&amp;'Table 2.1b_percent'!$C229,UtilityList!$A$4:$A$251&amp;UtilityList!$B$4:$B$251&amp;UtilityList!$C$4:$C$251,0))</f>
        <v>SW</v>
      </c>
    </row>
    <row r="230" spans="1:16" s="344" customFormat="1" ht="30" x14ac:dyDescent="0.25">
      <c r="A230" s="619" t="s">
        <v>333</v>
      </c>
      <c r="B230" s="361" t="s">
        <v>334</v>
      </c>
      <c r="C230" s="350" t="s">
        <v>334</v>
      </c>
      <c r="D230" s="625">
        <v>1</v>
      </c>
      <c r="E230" s="626">
        <v>0</v>
      </c>
      <c r="F230" s="626">
        <v>1</v>
      </c>
      <c r="G230" s="626">
        <v>0</v>
      </c>
      <c r="H230" s="626">
        <v>0</v>
      </c>
      <c r="I230" s="361" t="s">
        <v>718</v>
      </c>
      <c r="J230" s="622" t="str">
        <f t="array" ref="J230">INDEX(UtilityList!H$4:H$251,MATCH('Table 2.1b_percent'!$A230&amp;'Table 2.1b_percent'!$B230&amp;'Table 2.1b_percent'!$C230,UtilityList!$A$4:$A$251&amp;UtilityList!$B$4:$B$251&amp;UtilityList!$C$4:$C$251,0))</f>
        <v>PCE Eligible Active</v>
      </c>
      <c r="K230" s="709">
        <f t="array" ref="K230">INDEX(UtilityList!Q$4:Q$251,MATCH('Table 2.1b_percent'!$A230&amp;'Table 2.1b_percent'!$B230&amp;'Table 2.1b_percent'!$C230,UtilityList!$A$4:$A$251&amp;UtilityList!$B$4:$B$251&amp;UtilityList!$C$4:$C$251,0))</f>
        <v>0</v>
      </c>
      <c r="L230" s="627" t="str">
        <f t="array" ref="L230">INDEX(UtilityList!I$4:I$251,MATCH('Table 2.1b_percent'!$A230&amp;'Table 2.1b_percent'!$B230&amp;'Table 2.1b_percent'!$C230,UtilityList!$A$4:$A$251&amp;UtilityList!$B$4:$B$251&amp;UtilityList!$C$4:$C$251,0))</f>
        <v>TMG</v>
      </c>
      <c r="M230" s="452" t="str">
        <f t="array" ref="M230">INDEX(UtilityList!J$4:J$251,MATCH('Table 2.1b_percent'!$A230&amp;'Table 2.1b_percent'!$B230&amp;'Table 2.1b_percent'!$C230,UtilityList!$A$4:$A$251&amp;UtilityList!$B$4:$B$251&amp;UtilityList!$C$4:$C$251,0))</f>
        <v>Yukon-Koyukuk/Upper Tanana</v>
      </c>
      <c r="N230" s="452" t="str">
        <f t="array" ref="N230">INDEX(UtilityList!K$4:K$251,MATCH('Table 2.1b_percent'!$A230&amp;'Table 2.1b_percent'!$B230&amp;'Table 2.1b_percent'!$C230,UtilityList!$A$4:$A$251&amp;UtilityList!$B$4:$B$251&amp;UtilityList!$C$4:$C$251,0))</f>
        <v>Yukon-Koyukuk (CA)</v>
      </c>
      <c r="O230" s="452" t="str">
        <f t="array" ref="O230">INDEX(UtilityList!L$4:L$251,MATCH('Table 2.1b_percent'!$A230&amp;'Table 2.1b_percent'!$B230&amp;'Table 2.1b_percent'!$C230,UtilityList!$A$4:$A$251&amp;UtilityList!$B$4:$B$251&amp;UtilityList!$C$4:$C$251,0))</f>
        <v>Doyon</v>
      </c>
      <c r="P230" s="452" t="str">
        <f t="array" ref="P230">INDEX(UtilityList!M$4:M$251,MATCH('Table 2.1b_percent'!$A230&amp;'Table 2.1b_percent'!$B230&amp;'Table 2.1b_percent'!$C230,UtilityList!$A$4:$A$251&amp;UtilityList!$B$4:$B$251&amp;UtilityList!$C$4:$C$251,0))</f>
        <v>YU</v>
      </c>
    </row>
    <row r="231" spans="1:16" s="344" customFormat="1" ht="30" x14ac:dyDescent="0.25">
      <c r="A231" s="619" t="s">
        <v>335</v>
      </c>
      <c r="B231" s="361" t="s">
        <v>336</v>
      </c>
      <c r="C231" s="350" t="s">
        <v>336</v>
      </c>
      <c r="D231" s="625">
        <v>1</v>
      </c>
      <c r="E231" s="626">
        <v>0</v>
      </c>
      <c r="F231" s="626">
        <v>1</v>
      </c>
      <c r="G231" s="626">
        <v>0</v>
      </c>
      <c r="H231" s="626">
        <v>0</v>
      </c>
      <c r="I231" s="361" t="s">
        <v>718</v>
      </c>
      <c r="J231" s="622" t="str">
        <f t="array" ref="J231">INDEX(UtilityList!H$4:H$251,MATCH('Table 2.1b_percent'!$A231&amp;'Table 2.1b_percent'!$B231&amp;'Table 2.1b_percent'!$C231,UtilityList!$A$4:$A$251&amp;UtilityList!$B$4:$B$251&amp;UtilityList!$C$4:$C$251,0))</f>
        <v>PCE Eligible Active</v>
      </c>
      <c r="K231" s="709">
        <f t="array" ref="K231">INDEX(UtilityList!Q$4:Q$251,MATCH('Table 2.1b_percent'!$A231&amp;'Table 2.1b_percent'!$B231&amp;'Table 2.1b_percent'!$C231,UtilityList!$A$4:$A$251&amp;UtilityList!$B$4:$B$251&amp;UtilityList!$C$4:$C$251,0))</f>
        <v>0</v>
      </c>
      <c r="L231" s="627" t="str">
        <f t="array" ref="L231">INDEX(UtilityList!I$4:I$251,MATCH('Table 2.1b_percent'!$A231&amp;'Table 2.1b_percent'!$B231&amp;'Table 2.1b_percent'!$C231,UtilityList!$A$4:$A$251&amp;UtilityList!$B$4:$B$251&amp;UtilityList!$C$4:$C$251,0))</f>
        <v>TENAS</v>
      </c>
      <c r="M231" s="452" t="str">
        <f t="array" ref="M231">INDEX(UtilityList!J$4:J$251,MATCH('Table 2.1b_percent'!$A231&amp;'Table 2.1b_percent'!$B231&amp;'Table 2.1b_percent'!$C231,UtilityList!$A$4:$A$251&amp;UtilityList!$B$4:$B$251&amp;UtilityList!$C$4:$C$251,0))</f>
        <v>Southeast</v>
      </c>
      <c r="N231" s="452" t="str">
        <f t="array" ref="N231">INDEX(UtilityList!K$4:K$251,MATCH('Table 2.1b_percent'!$A231&amp;'Table 2.1b_percent'!$B231&amp;'Table 2.1b_percent'!$C231,UtilityList!$A$4:$A$251&amp;UtilityList!$B$4:$B$251&amp;UtilityList!$C$4:$C$251,0))</f>
        <v>Hoonah-Angoon (CA)</v>
      </c>
      <c r="O231" s="452" t="str">
        <f t="array" ref="O231">INDEX(UtilityList!L$4:L$251,MATCH('Table 2.1b_percent'!$A231&amp;'Table 2.1b_percent'!$B231&amp;'Table 2.1b_percent'!$C231,UtilityList!$A$4:$A$251&amp;UtilityList!$B$4:$B$251&amp;UtilityList!$C$4:$C$251,0))</f>
        <v>Sealaska</v>
      </c>
      <c r="P231" s="452" t="str">
        <f t="array" ref="P231">INDEX(UtilityList!M$4:M$251,MATCH('Table 2.1b_percent'!$A231&amp;'Table 2.1b_percent'!$B231&amp;'Table 2.1b_percent'!$C231,UtilityList!$A$4:$A$251&amp;UtilityList!$B$4:$B$251&amp;UtilityList!$C$4:$C$251,0))</f>
        <v>SE</v>
      </c>
    </row>
    <row r="232" spans="1:16" s="344" customFormat="1" ht="30" x14ac:dyDescent="0.25">
      <c r="A232" s="619" t="s">
        <v>337</v>
      </c>
      <c r="B232" s="361" t="s">
        <v>338</v>
      </c>
      <c r="C232" s="350" t="s">
        <v>338</v>
      </c>
      <c r="D232" s="625">
        <v>1</v>
      </c>
      <c r="E232" s="626">
        <v>0</v>
      </c>
      <c r="F232" s="626">
        <v>1</v>
      </c>
      <c r="G232" s="626">
        <v>0</v>
      </c>
      <c r="H232" s="626">
        <v>0</v>
      </c>
      <c r="I232" s="361" t="s">
        <v>718</v>
      </c>
      <c r="J232" s="622" t="str">
        <f t="array" ref="J232">INDEX(UtilityList!H$4:H$251,MATCH('Table 2.1b_percent'!$A232&amp;'Table 2.1b_percent'!$B232&amp;'Table 2.1b_percent'!$C232,UtilityList!$A$4:$A$251&amp;UtilityList!$B$4:$B$251&amp;UtilityList!$C$4:$C$251,0))</f>
        <v>PCE Eligible Active</v>
      </c>
      <c r="K232" s="709">
        <f t="array" ref="K232">INDEX(UtilityList!Q$4:Q$251,MATCH('Table 2.1b_percent'!$A232&amp;'Table 2.1b_percent'!$B232&amp;'Table 2.1b_percent'!$C232,UtilityList!$A$4:$A$251&amp;UtilityList!$B$4:$B$251&amp;UtilityList!$C$4:$C$251,0))</f>
        <v>0</v>
      </c>
      <c r="L232" s="627" t="str">
        <f t="array" ref="L232">INDEX(UtilityList!I$4:I$251,MATCH('Table 2.1b_percent'!$A232&amp;'Table 2.1b_percent'!$B232&amp;'Table 2.1b_percent'!$C232,UtilityList!$A$4:$A$251&amp;UtilityList!$B$4:$B$251&amp;UtilityList!$C$4:$C$251,0))</f>
        <v>TULUTPU</v>
      </c>
      <c r="M232" s="452" t="str">
        <f t="array" ref="M232">INDEX(UtilityList!J$4:J$251,MATCH('Table 2.1b_percent'!$A232&amp;'Table 2.1b_percent'!$B232&amp;'Table 2.1b_percent'!$C232,UtilityList!$A$4:$A$251&amp;UtilityList!$B$4:$B$251&amp;UtilityList!$C$4:$C$251,0))</f>
        <v>Lower Yukon-Kuskokwim</v>
      </c>
      <c r="N232" s="452" t="str">
        <f t="array" ref="N232">INDEX(UtilityList!K$4:K$251,MATCH('Table 2.1b_percent'!$A232&amp;'Table 2.1b_percent'!$B232&amp;'Table 2.1b_percent'!$C232,UtilityList!$A$4:$A$251&amp;UtilityList!$B$4:$B$251&amp;UtilityList!$C$4:$C$251,0))</f>
        <v>Bethel (CA)</v>
      </c>
      <c r="O232" s="452" t="str">
        <f t="array" ref="O232">INDEX(UtilityList!L$4:L$251,MATCH('Table 2.1b_percent'!$A232&amp;'Table 2.1b_percent'!$B232&amp;'Table 2.1b_percent'!$C232,UtilityList!$A$4:$A$251&amp;UtilityList!$B$4:$B$251&amp;UtilityList!$C$4:$C$251,0))</f>
        <v>Calista</v>
      </c>
      <c r="P232" s="452" t="str">
        <f t="array" ref="P232">INDEX(UtilityList!M$4:M$251,MATCH('Table 2.1b_percent'!$A232&amp;'Table 2.1b_percent'!$B232&amp;'Table 2.1b_percent'!$C232,UtilityList!$A$4:$A$251&amp;UtilityList!$B$4:$B$251&amp;UtilityList!$C$4:$C$251,0))</f>
        <v>SW</v>
      </c>
    </row>
    <row r="233" spans="1:16" s="344" customFormat="1" ht="30" x14ac:dyDescent="0.25">
      <c r="A233" s="619" t="s">
        <v>339</v>
      </c>
      <c r="B233" s="361" t="s">
        <v>340</v>
      </c>
      <c r="C233" s="350" t="s">
        <v>340</v>
      </c>
      <c r="D233" s="625">
        <v>1</v>
      </c>
      <c r="E233" s="626">
        <v>0</v>
      </c>
      <c r="F233" s="626">
        <v>1</v>
      </c>
      <c r="G233" s="626">
        <v>0</v>
      </c>
      <c r="H233" s="626">
        <v>0</v>
      </c>
      <c r="I233" s="361" t="s">
        <v>718</v>
      </c>
      <c r="J233" s="622" t="str">
        <f t="array" ref="J233">INDEX(UtilityList!H$4:H$251,MATCH('Table 2.1b_percent'!$A233&amp;'Table 2.1b_percent'!$B233&amp;'Table 2.1b_percent'!$C233,UtilityList!$A$4:$A$251&amp;UtilityList!$B$4:$B$251&amp;UtilityList!$C$4:$C$251,0))</f>
        <v>PCE Eligible Active</v>
      </c>
      <c r="K233" s="709">
        <f t="array" ref="K233">INDEX(UtilityList!Q$4:Q$251,MATCH('Table 2.1b_percent'!$A233&amp;'Table 2.1b_percent'!$B233&amp;'Table 2.1b_percent'!$C233,UtilityList!$A$4:$A$251&amp;UtilityList!$B$4:$B$251&amp;UtilityList!$C$4:$C$251,0))</f>
        <v>0</v>
      </c>
      <c r="L233" s="627" t="str">
        <f t="array" ref="L233">INDEX(UtilityList!I$4:I$251,MATCH('Table 2.1b_percent'!$A233&amp;'Table 2.1b_percent'!$B233&amp;'Table 2.1b_percent'!$C233,UtilityList!$A$4:$A$251&amp;UtilityList!$B$4:$B$251&amp;UtilityList!$C$4:$C$251,0))</f>
        <v>TUNTCSA</v>
      </c>
      <c r="M233" s="452" t="str">
        <f t="array" ref="M233">INDEX(UtilityList!J$4:J$251,MATCH('Table 2.1b_percent'!$A233&amp;'Table 2.1b_percent'!$B233&amp;'Table 2.1b_percent'!$C233,UtilityList!$A$4:$A$251&amp;UtilityList!$B$4:$B$251&amp;UtilityList!$C$4:$C$251,0))</f>
        <v>Lower Yukon-Kuskokwim</v>
      </c>
      <c r="N233" s="452" t="str">
        <f t="array" ref="N233">INDEX(UtilityList!K$4:K$251,MATCH('Table 2.1b_percent'!$A233&amp;'Table 2.1b_percent'!$B233&amp;'Table 2.1b_percent'!$C233,UtilityList!$A$4:$A$251&amp;UtilityList!$B$4:$B$251&amp;UtilityList!$C$4:$C$251,0))</f>
        <v>Bethel (CA)</v>
      </c>
      <c r="O233" s="452" t="str">
        <f t="array" ref="O233">INDEX(UtilityList!L$4:L$251,MATCH('Table 2.1b_percent'!$A233&amp;'Table 2.1b_percent'!$B233&amp;'Table 2.1b_percent'!$C233,UtilityList!$A$4:$A$251&amp;UtilityList!$B$4:$B$251&amp;UtilityList!$C$4:$C$251,0))</f>
        <v>Calista</v>
      </c>
      <c r="P233" s="452" t="str">
        <f t="array" ref="P233">INDEX(UtilityList!M$4:M$251,MATCH('Table 2.1b_percent'!$A233&amp;'Table 2.1b_percent'!$B233&amp;'Table 2.1b_percent'!$C233,UtilityList!$A$4:$A$251&amp;UtilityList!$B$4:$B$251&amp;UtilityList!$C$4:$C$251,0))</f>
        <v>SW</v>
      </c>
    </row>
    <row r="234" spans="1:16" s="344" customFormat="1" ht="30" x14ac:dyDescent="0.25">
      <c r="A234" s="619" t="s">
        <v>341</v>
      </c>
      <c r="B234" s="361" t="s">
        <v>342</v>
      </c>
      <c r="C234" s="350" t="s">
        <v>342</v>
      </c>
      <c r="D234" s="625">
        <v>1</v>
      </c>
      <c r="E234" s="626">
        <v>0</v>
      </c>
      <c r="F234" s="626">
        <v>1</v>
      </c>
      <c r="G234" s="626">
        <v>0</v>
      </c>
      <c r="H234" s="626">
        <v>0</v>
      </c>
      <c r="I234" s="361" t="s">
        <v>718</v>
      </c>
      <c r="J234" s="622" t="str">
        <f t="array" ref="J234">INDEX(UtilityList!H$4:H$251,MATCH('Table 2.1b_percent'!$A234&amp;'Table 2.1b_percent'!$B234&amp;'Table 2.1b_percent'!$C234,UtilityList!$A$4:$A$251&amp;UtilityList!$B$4:$B$251&amp;UtilityList!$C$4:$C$251,0))</f>
        <v>PCE Eligible Active</v>
      </c>
      <c r="K234" s="709">
        <f t="array" ref="K234">INDEX(UtilityList!Q$4:Q$251,MATCH('Table 2.1b_percent'!$A234&amp;'Table 2.1b_percent'!$B234&amp;'Table 2.1b_percent'!$C234,UtilityList!$A$4:$A$251&amp;UtilityList!$B$4:$B$251&amp;UtilityList!$C$4:$C$251,0))</f>
        <v>0</v>
      </c>
      <c r="L234" s="627" t="str">
        <f t="array" ref="L234">INDEX(UtilityList!I$4:I$251,MATCH('Table 2.1b_percent'!$A234&amp;'Table 2.1b_percent'!$B234&amp;'Table 2.1b_percent'!$C234,UtilityList!$A$4:$A$251&amp;UtilityList!$B$4:$B$251&amp;UtilityList!$C$4:$C$251,0))</f>
        <v>TWINHVC</v>
      </c>
      <c r="M234" s="452" t="str">
        <f t="array" ref="M234">INDEX(UtilityList!J$4:J$251,MATCH('Table 2.1b_percent'!$A234&amp;'Table 2.1b_percent'!$B234&amp;'Table 2.1b_percent'!$C234,UtilityList!$A$4:$A$251&amp;UtilityList!$B$4:$B$251&amp;UtilityList!$C$4:$C$251,0))</f>
        <v>Bristol Bay</v>
      </c>
      <c r="N234" s="452" t="str">
        <f t="array" ref="N234">INDEX(UtilityList!K$4:K$251,MATCH('Table 2.1b_percent'!$A234&amp;'Table 2.1b_percent'!$B234&amp;'Table 2.1b_percent'!$C234,UtilityList!$A$4:$A$251&amp;UtilityList!$B$4:$B$251&amp;UtilityList!$C$4:$C$251,0))</f>
        <v>Dillingham (CA)</v>
      </c>
      <c r="O234" s="452" t="str">
        <f t="array" ref="O234">INDEX(UtilityList!L$4:L$251,MATCH('Table 2.1b_percent'!$A234&amp;'Table 2.1b_percent'!$B234&amp;'Table 2.1b_percent'!$C234,UtilityList!$A$4:$A$251&amp;UtilityList!$B$4:$B$251&amp;UtilityList!$C$4:$C$251,0))</f>
        <v>Bristol Bay</v>
      </c>
      <c r="P234" s="452" t="str">
        <f t="array" ref="P234">INDEX(UtilityList!M$4:M$251,MATCH('Table 2.1b_percent'!$A234&amp;'Table 2.1b_percent'!$B234&amp;'Table 2.1b_percent'!$C234,UtilityList!$A$4:$A$251&amp;UtilityList!$B$4:$B$251&amp;UtilityList!$C$4:$C$251,0))</f>
        <v>SW</v>
      </c>
    </row>
    <row r="235" spans="1:16" s="344" customFormat="1" ht="45" x14ac:dyDescent="0.25">
      <c r="A235" s="619" t="s">
        <v>343</v>
      </c>
      <c r="B235" s="361" t="s">
        <v>344</v>
      </c>
      <c r="C235" s="350" t="s">
        <v>344</v>
      </c>
      <c r="D235" s="625">
        <v>1</v>
      </c>
      <c r="E235" s="626">
        <v>0</v>
      </c>
      <c r="F235" s="626">
        <v>0.75095785440613028</v>
      </c>
      <c r="G235" s="626">
        <v>0</v>
      </c>
      <c r="H235" s="626">
        <v>0.24904214559386972</v>
      </c>
      <c r="I235" s="361" t="s">
        <v>719</v>
      </c>
      <c r="J235" s="622" t="str">
        <f t="array" ref="J235">INDEX(UtilityList!H$4:H$251,MATCH('Table 2.1b_percent'!$A235&amp;'Table 2.1b_percent'!$B235&amp;'Table 2.1b_percent'!$C235,UtilityList!$A$4:$A$251&amp;UtilityList!$B$4:$B$251&amp;UtilityList!$C$4:$C$251,0))</f>
        <v>PCE Eligible Active</v>
      </c>
      <c r="K235" s="709">
        <f t="array" ref="K235">INDEX(UtilityList!Q$4:Q$251,MATCH('Table 2.1b_percent'!$A235&amp;'Table 2.1b_percent'!$B235&amp;'Table 2.1b_percent'!$C235,UtilityList!$A$4:$A$251&amp;UtilityList!$B$4:$B$251&amp;UtilityList!$C$4:$C$251,0))</f>
        <v>0</v>
      </c>
      <c r="L235" s="627" t="str">
        <f t="array" ref="L235">INDEX(UtilityList!I$4:I$251,MATCH('Table 2.1b_percent'!$A235&amp;'Table 2.1b_percent'!$B235&amp;'Table 2.1b_percent'!$C235,UtilityList!$A$4:$A$251&amp;UtilityList!$B$4:$B$251&amp;UtilityList!$C$4:$C$251,0))</f>
        <v>UMNAP</v>
      </c>
      <c r="M235" s="452" t="str">
        <f t="array" ref="M235">INDEX(UtilityList!J$4:J$251,MATCH('Table 2.1b_percent'!$A235&amp;'Table 2.1b_percent'!$B235&amp;'Table 2.1b_percent'!$C235,UtilityList!$A$4:$A$251&amp;UtilityList!$B$4:$B$251&amp;UtilityList!$C$4:$C$251,0))</f>
        <v>Aleutians</v>
      </c>
      <c r="N235" s="452" t="str">
        <f t="array" ref="N235">INDEX(UtilityList!K$4:K$251,MATCH('Table 2.1b_percent'!$A235&amp;'Table 2.1b_percent'!$B235&amp;'Table 2.1b_percent'!$C235,UtilityList!$A$4:$A$251&amp;UtilityList!$B$4:$B$251&amp;UtilityList!$C$4:$C$251,0))</f>
        <v>Aleutians West (CA)</v>
      </c>
      <c r="O235" s="452" t="str">
        <f t="array" ref="O235">INDEX(UtilityList!L$4:L$251,MATCH('Table 2.1b_percent'!$A235&amp;'Table 2.1b_percent'!$B235&amp;'Table 2.1b_percent'!$C235,UtilityList!$A$4:$A$251&amp;UtilityList!$B$4:$B$251&amp;UtilityList!$C$4:$C$251,0))</f>
        <v>Aleut</v>
      </c>
      <c r="P235" s="452" t="str">
        <f t="array" ref="P235">INDEX(UtilityList!M$4:M$251,MATCH('Table 2.1b_percent'!$A235&amp;'Table 2.1b_percent'!$B235&amp;'Table 2.1b_percent'!$C235,UtilityList!$A$4:$A$251&amp;UtilityList!$B$4:$B$251&amp;UtilityList!$C$4:$C$251,0))</f>
        <v>SW</v>
      </c>
    </row>
    <row r="236" spans="1:16" s="344" customFormat="1" ht="30" x14ac:dyDescent="0.25">
      <c r="A236" s="619" t="s">
        <v>537</v>
      </c>
      <c r="B236" s="361" t="s">
        <v>345</v>
      </c>
      <c r="C236" s="350" t="s">
        <v>345</v>
      </c>
      <c r="D236" s="625">
        <v>1</v>
      </c>
      <c r="E236" s="626">
        <v>0</v>
      </c>
      <c r="F236" s="626">
        <v>0.76923076923076927</v>
      </c>
      <c r="G236" s="626">
        <v>0</v>
      </c>
      <c r="H236" s="626">
        <v>0.23076923076923078</v>
      </c>
      <c r="I236" s="361" t="s">
        <v>654</v>
      </c>
      <c r="J236" s="622" t="str">
        <f t="array" ref="J236">INDEX(UtilityList!H$4:H$251,MATCH('Table 2.1b_percent'!$A236&amp;'Table 2.1b_percent'!$B236&amp;'Table 2.1b_percent'!$C236,UtilityList!$A$4:$A$251&amp;UtilityList!$B$4:$B$251&amp;UtilityList!$C$4:$C$251,0))</f>
        <v>PCE Eligible Active</v>
      </c>
      <c r="K236" s="709">
        <f t="array" ref="K236">INDEX(UtilityList!Q$4:Q$251,MATCH('Table 2.1b_percent'!$A236&amp;'Table 2.1b_percent'!$B236&amp;'Table 2.1b_percent'!$C236,UtilityList!$A$4:$A$251&amp;UtilityList!$B$4:$B$251&amp;UtilityList!$C$4:$C$251,0))</f>
        <v>0</v>
      </c>
      <c r="L236" s="627" t="str">
        <f t="array" ref="L236">INDEX(UtilityList!I$4:I$251,MATCH('Table 2.1b_percent'!$A236&amp;'Table 2.1b_percent'!$B236&amp;'Table 2.1b_percent'!$C236,UtilityList!$A$4:$A$251&amp;UtilityList!$B$4:$B$251&amp;UtilityList!$C$4:$C$251,0))</f>
        <v>UVEC</v>
      </c>
      <c r="M236" s="452" t="str">
        <f t="array" ref="M236">INDEX(UtilityList!J$4:J$251,MATCH('Table 2.1b_percent'!$A236&amp;'Table 2.1b_percent'!$B236&amp;'Table 2.1b_percent'!$C236,UtilityList!$A$4:$A$251&amp;UtilityList!$B$4:$B$251&amp;UtilityList!$C$4:$C$251,0))</f>
        <v>Bering Straits</v>
      </c>
      <c r="N236" s="452" t="str">
        <f t="array" ref="N236">INDEX(UtilityList!K$4:K$251,MATCH('Table 2.1b_percent'!$A236&amp;'Table 2.1b_percent'!$B236&amp;'Table 2.1b_percent'!$C236,UtilityList!$A$4:$A$251&amp;UtilityList!$B$4:$B$251&amp;UtilityList!$C$4:$C$251,0))</f>
        <v>Nome (CA)</v>
      </c>
      <c r="O236" s="452" t="str">
        <f t="array" ref="O236">INDEX(UtilityList!L$4:L$251,MATCH('Table 2.1b_percent'!$A236&amp;'Table 2.1b_percent'!$B236&amp;'Table 2.1b_percent'!$C236,UtilityList!$A$4:$A$251&amp;UtilityList!$B$4:$B$251&amp;UtilityList!$C$4:$C$251,0))</f>
        <v>Bering Straits</v>
      </c>
      <c r="P236" s="452" t="str">
        <f t="array" ref="P236">INDEX(UtilityList!M$4:M$251,MATCH('Table 2.1b_percent'!$A236&amp;'Table 2.1b_percent'!$B236&amp;'Table 2.1b_percent'!$C236,UtilityList!$A$4:$A$251&amp;UtilityList!$B$4:$B$251&amp;UtilityList!$C$4:$C$251,0))</f>
        <v>AN</v>
      </c>
    </row>
    <row r="237" spans="1:16" s="344" customFormat="1" x14ac:dyDescent="0.25">
      <c r="A237" s="619" t="s">
        <v>637</v>
      </c>
      <c r="B237" s="361" t="s">
        <v>490</v>
      </c>
      <c r="C237" s="350" t="s">
        <v>490</v>
      </c>
      <c r="D237" s="625">
        <v>1</v>
      </c>
      <c r="E237" s="626">
        <v>0</v>
      </c>
      <c r="F237" s="626">
        <v>1</v>
      </c>
      <c r="G237" s="626">
        <v>0</v>
      </c>
      <c r="H237" s="626">
        <v>0</v>
      </c>
      <c r="I237" s="361" t="s">
        <v>648</v>
      </c>
      <c r="J237" s="622" t="str">
        <f t="array" ref="J237">INDEX(UtilityList!H$4:H$251,MATCH('Table 2.1b_percent'!$A237&amp;'Table 2.1b_percent'!$B237&amp;'Table 2.1b_percent'!$C237,UtilityList!$A$4:$A$251&amp;UtilityList!$B$4:$B$251&amp;UtilityList!$C$4:$C$251,0))</f>
        <v>PCE Eligible Active</v>
      </c>
      <c r="K237" s="709">
        <f t="array" ref="K237">INDEX(UtilityList!Q$4:Q$251,MATCH('Table 2.1b_percent'!$A237&amp;'Table 2.1b_percent'!$B237&amp;'Table 2.1b_percent'!$C237,UtilityList!$A$4:$A$251&amp;UtilityList!$B$4:$B$251&amp;UtilityList!$C$4:$C$251,0))</f>
        <v>0</v>
      </c>
      <c r="L237" s="627" t="str">
        <f t="array" ref="L237">INDEX(UtilityList!I$4:I$251,MATCH('Table 2.1b_percent'!$A237&amp;'Table 2.1b_percent'!$B237&amp;'Table 2.1b_percent'!$C237,UtilityList!$A$4:$A$251&amp;UtilityList!$B$4:$B$251&amp;UtilityList!$C$4:$C$251,0))</f>
        <v>UNALASKA</v>
      </c>
      <c r="M237" s="452" t="str">
        <f t="array" ref="M237">INDEX(UtilityList!J$4:J$251,MATCH('Table 2.1b_percent'!$A237&amp;'Table 2.1b_percent'!$B237&amp;'Table 2.1b_percent'!$C237,UtilityList!$A$4:$A$251&amp;UtilityList!$B$4:$B$251&amp;UtilityList!$C$4:$C$251,0))</f>
        <v>Aleutians</v>
      </c>
      <c r="N237" s="452" t="str">
        <f t="array" ref="N237">INDEX(UtilityList!K$4:K$251,MATCH('Table 2.1b_percent'!$A237&amp;'Table 2.1b_percent'!$B237&amp;'Table 2.1b_percent'!$C237,UtilityList!$A$4:$A$251&amp;UtilityList!$B$4:$B$251&amp;UtilityList!$C$4:$C$251,0))</f>
        <v>Aleutians West (CA)</v>
      </c>
      <c r="O237" s="452" t="str">
        <f t="array" ref="O237">INDEX(UtilityList!L$4:L$251,MATCH('Table 2.1b_percent'!$A237&amp;'Table 2.1b_percent'!$B237&amp;'Table 2.1b_percent'!$C237,UtilityList!$A$4:$A$251&amp;UtilityList!$B$4:$B$251&amp;UtilityList!$C$4:$C$251,0))</f>
        <v>Aleut</v>
      </c>
      <c r="P237" s="452" t="str">
        <f t="array" ref="P237">INDEX(UtilityList!M$4:M$251,MATCH('Table 2.1b_percent'!$A237&amp;'Table 2.1b_percent'!$B237&amp;'Table 2.1b_percent'!$C237,UtilityList!$A$4:$A$251&amp;UtilityList!$B$4:$B$251&amp;UtilityList!$C$4:$C$251,0))</f>
        <v>SW</v>
      </c>
    </row>
    <row r="238" spans="1:16" s="344" customFormat="1" x14ac:dyDescent="0.25">
      <c r="A238" s="619" t="s">
        <v>637</v>
      </c>
      <c r="B238" s="361" t="s">
        <v>491</v>
      </c>
      <c r="C238" s="350" t="s">
        <v>492</v>
      </c>
      <c r="D238" s="625">
        <v>1</v>
      </c>
      <c r="E238" s="626">
        <v>0</v>
      </c>
      <c r="F238" s="626">
        <v>1</v>
      </c>
      <c r="G238" s="626">
        <v>0</v>
      </c>
      <c r="H238" s="626">
        <v>0</v>
      </c>
      <c r="I238" s="361" t="s">
        <v>648</v>
      </c>
      <c r="J238" s="622" t="str">
        <f t="array" ref="J238">INDEX(UtilityList!H$4:H$251,MATCH('Table 2.1b_percent'!$A238&amp;'Table 2.1b_percent'!$B238&amp;'Table 2.1b_percent'!$C238,UtilityList!$A$4:$A$251&amp;UtilityList!$B$4:$B$251&amp;UtilityList!$C$4:$C$251,0))</f>
        <v>PCE Eligible Active</v>
      </c>
      <c r="K238" s="709">
        <f t="array" ref="K238">INDEX(UtilityList!Q$4:Q$251,MATCH('Table 2.1b_percent'!$A238&amp;'Table 2.1b_percent'!$B238&amp;'Table 2.1b_percent'!$C238,UtilityList!$A$4:$A$251&amp;UtilityList!$B$4:$B$251&amp;UtilityList!$C$4:$C$251,0))</f>
        <v>0</v>
      </c>
      <c r="L238" s="627" t="str">
        <f t="array" ref="L238">INDEX(UtilityList!I$4:I$251,MATCH('Table 2.1b_percent'!$A238&amp;'Table 2.1b_percent'!$B238&amp;'Table 2.1b_percent'!$C238,UtilityList!$A$4:$A$251&amp;UtilityList!$B$4:$B$251&amp;UtilityList!$C$4:$C$251,0))</f>
        <v>UNALASKA</v>
      </c>
      <c r="M238" s="452" t="str">
        <f t="array" ref="M238">INDEX(UtilityList!J$4:J$251,MATCH('Table 2.1b_percent'!$A238&amp;'Table 2.1b_percent'!$B238&amp;'Table 2.1b_percent'!$C238,UtilityList!$A$4:$A$251&amp;UtilityList!$B$4:$B$251&amp;UtilityList!$C$4:$C$251,0))</f>
        <v>Aleutians</v>
      </c>
      <c r="N238" s="452" t="str">
        <f t="array" ref="N238">INDEX(UtilityList!K$4:K$251,MATCH('Table 2.1b_percent'!$A238&amp;'Table 2.1b_percent'!$B238&amp;'Table 2.1b_percent'!$C238,UtilityList!$A$4:$A$251&amp;UtilityList!$B$4:$B$251&amp;UtilityList!$C$4:$C$251,0))</f>
        <v>Aleutians West (CA)</v>
      </c>
      <c r="O238" s="452" t="str">
        <f t="array" ref="O238">INDEX(UtilityList!L$4:L$251,MATCH('Table 2.1b_percent'!$A238&amp;'Table 2.1b_percent'!$B238&amp;'Table 2.1b_percent'!$C238,UtilityList!$A$4:$A$251&amp;UtilityList!$B$4:$B$251&amp;UtilityList!$C$4:$C$251,0))</f>
        <v>Aleut</v>
      </c>
      <c r="P238" s="452" t="str">
        <f t="array" ref="P238">INDEX(UtilityList!M$4:M$251,MATCH('Table 2.1b_percent'!$A238&amp;'Table 2.1b_percent'!$B238&amp;'Table 2.1b_percent'!$C238,UtilityList!$A$4:$A$251&amp;UtilityList!$B$4:$B$251&amp;UtilityList!$C$4:$C$251,0))</f>
        <v>SW</v>
      </c>
    </row>
    <row r="239" spans="1:16" s="344" customFormat="1" ht="30" x14ac:dyDescent="0.25">
      <c r="A239" s="619" t="s">
        <v>348</v>
      </c>
      <c r="B239" s="361" t="s">
        <v>349</v>
      </c>
      <c r="C239" s="350" t="s">
        <v>349</v>
      </c>
      <c r="D239" s="625">
        <v>1</v>
      </c>
      <c r="E239" s="626">
        <v>0</v>
      </c>
      <c r="F239" s="626">
        <v>1</v>
      </c>
      <c r="G239" s="626">
        <v>0</v>
      </c>
      <c r="H239" s="626">
        <v>0</v>
      </c>
      <c r="I239" s="361" t="s">
        <v>718</v>
      </c>
      <c r="J239" s="622" t="str">
        <f t="array" ref="J239">INDEX(UtilityList!H$4:H$251,MATCH('Table 2.1b_percent'!$A239&amp;'Table 2.1b_percent'!$B239&amp;'Table 2.1b_percent'!$C239,UtilityList!$A$4:$A$251&amp;UtilityList!$B$4:$B$251&amp;UtilityList!$C$4:$C$251,0))</f>
        <v>PCE Eligible Inactive</v>
      </c>
      <c r="K239" s="709">
        <f t="array" ref="K239">INDEX(UtilityList!Q$4:Q$251,MATCH('Table 2.1b_percent'!$A239&amp;'Table 2.1b_percent'!$B239&amp;'Table 2.1b_percent'!$C239,UtilityList!$A$4:$A$251&amp;UtilityList!$B$4:$B$251&amp;UtilityList!$C$4:$C$251,0))</f>
        <v>0</v>
      </c>
      <c r="L239" s="627" t="str">
        <f t="array" ref="L239">INDEX(UtilityList!I$4:I$251,MATCH('Table 2.1b_percent'!$A239&amp;'Table 2.1b_percent'!$B239&amp;'Table 2.1b_percent'!$C239,UtilityList!$A$4:$A$251&amp;UtilityList!$B$4:$B$251&amp;UtilityList!$C$4:$C$251,0))</f>
        <v>VENEVE</v>
      </c>
      <c r="M239" s="452" t="str">
        <f t="array" ref="M239">INDEX(UtilityList!J$4:J$251,MATCH('Table 2.1b_percent'!$A239&amp;'Table 2.1b_percent'!$B239&amp;'Table 2.1b_percent'!$C239,UtilityList!$A$4:$A$251&amp;UtilityList!$B$4:$B$251&amp;UtilityList!$C$4:$C$251,0))</f>
        <v>Yukon-Koyukuk/Upper Tanana</v>
      </c>
      <c r="N239" s="452" t="str">
        <f t="array" ref="N239">INDEX(UtilityList!K$4:K$251,MATCH('Table 2.1b_percent'!$A239&amp;'Table 2.1b_percent'!$B239&amp;'Table 2.1b_percent'!$C239,UtilityList!$A$4:$A$251&amp;UtilityList!$B$4:$B$251&amp;UtilityList!$C$4:$C$251,0))</f>
        <v>Yukon-Koyukuk (CA)</v>
      </c>
      <c r="O239" s="452" t="str">
        <f t="array" ref="O239">INDEX(UtilityList!L$4:L$251,MATCH('Table 2.1b_percent'!$A239&amp;'Table 2.1b_percent'!$B239&amp;'Table 2.1b_percent'!$C239,UtilityList!$A$4:$A$251&amp;UtilityList!$B$4:$B$251&amp;UtilityList!$C$4:$C$251,0))</f>
        <v>Doyon</v>
      </c>
      <c r="P239" s="452" t="str">
        <f t="array" ref="P239">INDEX(UtilityList!M$4:M$251,MATCH('Table 2.1b_percent'!$A239&amp;'Table 2.1b_percent'!$B239&amp;'Table 2.1b_percent'!$C239,UtilityList!$A$4:$A$251&amp;UtilityList!$B$4:$B$251&amp;UtilityList!$C$4:$C$251,0))</f>
        <v>YU</v>
      </c>
    </row>
    <row r="240" spans="1:16" s="344" customFormat="1" ht="30" x14ac:dyDescent="0.25">
      <c r="A240" s="619" t="s">
        <v>348</v>
      </c>
      <c r="B240" s="352" t="s">
        <v>349</v>
      </c>
      <c r="C240" s="361" t="s">
        <v>349</v>
      </c>
      <c r="D240" s="625">
        <v>1</v>
      </c>
      <c r="E240" s="626">
        <v>0</v>
      </c>
      <c r="F240" s="626">
        <v>1</v>
      </c>
      <c r="G240" s="626">
        <v>0</v>
      </c>
      <c r="H240" s="626">
        <v>0</v>
      </c>
      <c r="I240" s="624" t="s">
        <v>602</v>
      </c>
      <c r="J240" s="622" t="str">
        <f t="array" ref="J240">INDEX(UtilityList!H$4:H$251,MATCH('Table 2.1b_percent'!$A240&amp;'Table 2.1b_percent'!$B240&amp;'Table 2.1b_percent'!$C240,UtilityList!$A$4:$A$251&amp;UtilityList!$B$4:$B$251&amp;UtilityList!$C$4:$C$251,0))</f>
        <v>PCE Eligible Inactive</v>
      </c>
      <c r="K240" s="709">
        <f t="array" ref="K240">INDEX(UtilityList!Q$4:Q$251,MATCH('Table 2.1b_percent'!$A240&amp;'Table 2.1b_percent'!$B240&amp;'Table 2.1b_percent'!$C240,UtilityList!$A$4:$A$251&amp;UtilityList!$B$4:$B$251&amp;UtilityList!$C$4:$C$251,0))</f>
        <v>0</v>
      </c>
      <c r="L240" s="627" t="str">
        <f t="array" ref="L240">INDEX(UtilityList!I$4:I$251,MATCH('Table 2.1b_percent'!$A240&amp;'Table 2.1b_percent'!$B240&amp;'Table 2.1b_percent'!$C240,UtilityList!$A$4:$A$251&amp;UtilityList!$B$4:$B$251&amp;UtilityList!$C$4:$C$251,0))</f>
        <v>VENEVE</v>
      </c>
      <c r="M240" s="452" t="str">
        <f t="array" ref="M240">INDEX(UtilityList!J$4:J$251,MATCH('Table 2.1b_percent'!$A240&amp;'Table 2.1b_percent'!$B240&amp;'Table 2.1b_percent'!$C240,UtilityList!$A$4:$A$251&amp;UtilityList!$B$4:$B$251&amp;UtilityList!$C$4:$C$251,0))</f>
        <v>Yukon-Koyukuk/Upper Tanana</v>
      </c>
      <c r="N240" s="452" t="str">
        <f t="array" ref="N240">INDEX(UtilityList!K$4:K$251,MATCH('Table 2.1b_percent'!$A240&amp;'Table 2.1b_percent'!$B240&amp;'Table 2.1b_percent'!$C240,UtilityList!$A$4:$A$251&amp;UtilityList!$B$4:$B$251&amp;UtilityList!$C$4:$C$251,0))</f>
        <v>Yukon-Koyukuk (CA)</v>
      </c>
      <c r="O240" s="452" t="str">
        <f t="array" ref="O240">INDEX(UtilityList!L$4:L$251,MATCH('Table 2.1b_percent'!$A240&amp;'Table 2.1b_percent'!$B240&amp;'Table 2.1b_percent'!$C240,UtilityList!$A$4:$A$251&amp;UtilityList!$B$4:$B$251&amp;UtilityList!$C$4:$C$251,0))</f>
        <v>Doyon</v>
      </c>
      <c r="P240" s="452" t="str">
        <f t="array" ref="P240">INDEX(UtilityList!M$4:M$251,MATCH('Table 2.1b_percent'!$A240&amp;'Table 2.1b_percent'!$B240&amp;'Table 2.1b_percent'!$C240,UtilityList!$A$4:$A$251&amp;UtilityList!$B$4:$B$251&amp;UtilityList!$C$4:$C$251,0))</f>
        <v>YU</v>
      </c>
    </row>
    <row r="241" spans="1:19" s="344" customFormat="1" ht="30" x14ac:dyDescent="0.25">
      <c r="A241" s="619" t="s">
        <v>350</v>
      </c>
      <c r="B241" s="361" t="s">
        <v>351</v>
      </c>
      <c r="C241" s="350" t="s">
        <v>351</v>
      </c>
      <c r="D241" s="625">
        <v>1</v>
      </c>
      <c r="E241" s="626">
        <v>0</v>
      </c>
      <c r="F241" s="626">
        <v>1</v>
      </c>
      <c r="G241" s="626">
        <v>0</v>
      </c>
      <c r="H241" s="626">
        <v>0</v>
      </c>
      <c r="I241" s="361" t="s">
        <v>718</v>
      </c>
      <c r="J241" s="622" t="str">
        <f t="array" ref="J241">INDEX(UtilityList!H$4:H$251,MATCH('Table 2.1b_percent'!$A241&amp;'Table 2.1b_percent'!$B241&amp;'Table 2.1b_percent'!$C241,UtilityList!$A$4:$A$251&amp;UtilityList!$B$4:$B$251&amp;UtilityList!$C$4:$C$251,0))</f>
        <v>PCE Eligible Active</v>
      </c>
      <c r="K241" s="709">
        <f t="array" ref="K241">INDEX(UtilityList!Q$4:Q$251,MATCH('Table 2.1b_percent'!$A241&amp;'Table 2.1b_percent'!$B241&amp;'Table 2.1b_percent'!$C241,UtilityList!$A$4:$A$251&amp;UtilityList!$B$4:$B$251&amp;UtilityList!$C$4:$C$251,0))</f>
        <v>0</v>
      </c>
      <c r="L241" s="627" t="str">
        <f t="array" ref="L241">INDEX(UtilityList!I$4:I$251,MATCH('Table 2.1b_percent'!$A241&amp;'Table 2.1b_percent'!$B241&amp;'Table 2.1b_percent'!$C241,UtilityList!$A$4:$A$251&amp;UtilityList!$B$4:$B$251&amp;UtilityList!$C$4:$C$251,0))</f>
        <v>WHITMU</v>
      </c>
      <c r="M241" s="452" t="str">
        <f t="array" ref="M241">INDEX(UtilityList!J$4:J$251,MATCH('Table 2.1b_percent'!$A241&amp;'Table 2.1b_percent'!$B241&amp;'Table 2.1b_percent'!$C241,UtilityList!$A$4:$A$251&amp;UtilityList!$B$4:$B$251&amp;UtilityList!$C$4:$C$251,0))</f>
        <v>Bering Straits</v>
      </c>
      <c r="N241" s="452" t="str">
        <f t="array" ref="N241">INDEX(UtilityList!K$4:K$251,MATCH('Table 2.1b_percent'!$A241&amp;'Table 2.1b_percent'!$B241&amp;'Table 2.1b_percent'!$C241,UtilityList!$A$4:$A$251&amp;UtilityList!$B$4:$B$251&amp;UtilityList!$C$4:$C$251,0))</f>
        <v>Nome (CA)</v>
      </c>
      <c r="O241" s="452" t="str">
        <f t="array" ref="O241">INDEX(UtilityList!L$4:L$251,MATCH('Table 2.1b_percent'!$A241&amp;'Table 2.1b_percent'!$B241&amp;'Table 2.1b_percent'!$C241,UtilityList!$A$4:$A$251&amp;UtilityList!$B$4:$B$251&amp;UtilityList!$C$4:$C$251,0))</f>
        <v>Bering Straits</v>
      </c>
      <c r="P241" s="452" t="str">
        <f t="array" ref="P241">INDEX(UtilityList!M$4:M$251,MATCH('Table 2.1b_percent'!$A241&amp;'Table 2.1b_percent'!$B241&amp;'Table 2.1b_percent'!$C241,UtilityList!$A$4:$A$251&amp;UtilityList!$B$4:$B$251&amp;UtilityList!$C$4:$C$251,0))</f>
        <v>AN</v>
      </c>
    </row>
    <row r="242" spans="1:19" s="344" customFormat="1" x14ac:dyDescent="0.25">
      <c r="A242" s="619" t="s">
        <v>352</v>
      </c>
      <c r="B242" s="361" t="s">
        <v>353</v>
      </c>
      <c r="C242" s="350" t="s">
        <v>353</v>
      </c>
      <c r="D242" s="625">
        <v>1</v>
      </c>
      <c r="E242" s="626">
        <v>0</v>
      </c>
      <c r="F242" s="626">
        <v>1</v>
      </c>
      <c r="G242" s="626">
        <v>0</v>
      </c>
      <c r="H242" s="626">
        <v>0</v>
      </c>
      <c r="I242" s="361" t="s">
        <v>648</v>
      </c>
      <c r="J242" s="622" t="str">
        <f t="array" ref="J242">INDEX(UtilityList!H$4:H$251,MATCH('Table 2.1b_percent'!$A242&amp;'Table 2.1b_percent'!$B242&amp;'Table 2.1b_percent'!$C242,UtilityList!$A$4:$A$251&amp;UtilityList!$B$4:$B$251&amp;UtilityList!$C$4:$C$251,0))</f>
        <v>PCE Ineligible</v>
      </c>
      <c r="K242" s="709">
        <f t="array" ref="K242">INDEX(UtilityList!Q$4:Q$251,MATCH('Table 2.1b_percent'!$A242&amp;'Table 2.1b_percent'!$B242&amp;'Table 2.1b_percent'!$C242,UtilityList!$A$4:$A$251&amp;UtilityList!$B$4:$B$251&amp;UtilityList!$C$4:$C$251,0))</f>
        <v>0</v>
      </c>
      <c r="L242" s="627" t="str">
        <f t="array" ref="L242">INDEX(UtilityList!I$4:I$251,MATCH('Table 2.1b_percent'!$A242&amp;'Table 2.1b_percent'!$B242&amp;'Table 2.1b_percent'!$C242,UtilityList!$A$4:$A$251&amp;UtilityList!$B$4:$B$251&amp;UtilityList!$C$4:$C$251,0))</f>
        <v>WRANGELL</v>
      </c>
      <c r="M242" s="452" t="str">
        <f t="array" ref="M242">INDEX(UtilityList!J$4:J$251,MATCH('Table 2.1b_percent'!$A242&amp;'Table 2.1b_percent'!$B242&amp;'Table 2.1b_percent'!$C242,UtilityList!$A$4:$A$251&amp;UtilityList!$B$4:$B$251&amp;UtilityList!$C$4:$C$251,0))</f>
        <v>Southeast</v>
      </c>
      <c r="N242" s="452" t="str">
        <f t="array" ref="N242">INDEX(UtilityList!K$4:K$251,MATCH('Table 2.1b_percent'!$A242&amp;'Table 2.1b_percent'!$B242&amp;'Table 2.1b_percent'!$C242,UtilityList!$A$4:$A$251&amp;UtilityList!$B$4:$B$251&amp;UtilityList!$C$4:$C$251,0))</f>
        <v>Wrangell</v>
      </c>
      <c r="O242" s="452" t="str">
        <f t="array" ref="O242">INDEX(UtilityList!L$4:L$251,MATCH('Table 2.1b_percent'!$A242&amp;'Table 2.1b_percent'!$B242&amp;'Table 2.1b_percent'!$C242,UtilityList!$A$4:$A$251&amp;UtilityList!$B$4:$B$251&amp;UtilityList!$C$4:$C$251,0))</f>
        <v>Sealaska</v>
      </c>
      <c r="P242" s="452" t="str">
        <f t="array" ref="P242">INDEX(UtilityList!M$4:M$251,MATCH('Table 2.1b_percent'!$A242&amp;'Table 2.1b_percent'!$B242&amp;'Table 2.1b_percent'!$C242,UtilityList!$A$4:$A$251&amp;UtilityList!$B$4:$B$251&amp;UtilityList!$C$4:$C$251,0))</f>
        <v>SE</v>
      </c>
    </row>
    <row r="243" spans="1:19" s="344" customFormat="1" x14ac:dyDescent="0.25">
      <c r="A243" s="619" t="s">
        <v>354</v>
      </c>
      <c r="B243" s="361" t="s">
        <v>355</v>
      </c>
      <c r="C243" s="350" t="s">
        <v>355</v>
      </c>
      <c r="D243" s="625">
        <v>1</v>
      </c>
      <c r="E243" s="626">
        <v>0</v>
      </c>
      <c r="F243" s="626">
        <v>1</v>
      </c>
      <c r="G243" s="626">
        <v>0</v>
      </c>
      <c r="H243" s="626">
        <v>0</v>
      </c>
      <c r="I243" s="361" t="s">
        <v>648</v>
      </c>
      <c r="J243" s="622" t="str">
        <f t="array" ref="J243">INDEX(UtilityList!H$4:H$251,MATCH('Table 2.1b_percent'!$A243&amp;'Table 2.1b_percent'!$B243&amp;'Table 2.1b_percent'!$C243,UtilityList!$A$4:$A$251&amp;UtilityList!$B$4:$B$251&amp;UtilityList!$C$4:$C$251,0))</f>
        <v>PCE Eligible Active</v>
      </c>
      <c r="K243" s="709">
        <f t="array" ref="K243">INDEX(UtilityList!Q$4:Q$251,MATCH('Table 2.1b_percent'!$A243&amp;'Table 2.1b_percent'!$B243&amp;'Table 2.1b_percent'!$C243,UtilityList!$A$4:$A$251&amp;UtilityList!$B$4:$B$251&amp;UtilityList!$C$4:$C$251,0))</f>
        <v>0</v>
      </c>
      <c r="L243" s="627" t="str">
        <f t="array" ref="L243">INDEX(UtilityList!I$4:I$251,MATCH('Table 2.1b_percent'!$A243&amp;'Table 2.1b_percent'!$B243&amp;'Table 2.1b_percent'!$C243,UtilityList!$A$4:$A$251&amp;UtilityList!$B$4:$B$251&amp;UtilityList!$C$4:$C$251,0))</f>
        <v>YAKUP</v>
      </c>
      <c r="M243" s="452" t="str">
        <f t="array" ref="M243">INDEX(UtilityList!J$4:J$251,MATCH('Table 2.1b_percent'!$A243&amp;'Table 2.1b_percent'!$B243&amp;'Table 2.1b_percent'!$C243,UtilityList!$A$4:$A$251&amp;UtilityList!$B$4:$B$251&amp;UtilityList!$C$4:$C$251,0))</f>
        <v>Southeast</v>
      </c>
      <c r="N243" s="452" t="str">
        <f t="array" ref="N243">INDEX(UtilityList!K$4:K$251,MATCH('Table 2.1b_percent'!$A243&amp;'Table 2.1b_percent'!$B243&amp;'Table 2.1b_percent'!$C243,UtilityList!$A$4:$A$251&amp;UtilityList!$B$4:$B$251&amp;UtilityList!$C$4:$C$251,0))</f>
        <v>Yakutat</v>
      </c>
      <c r="O243" s="452" t="str">
        <f t="array" ref="O243">INDEX(UtilityList!L$4:L$251,MATCH('Table 2.1b_percent'!$A243&amp;'Table 2.1b_percent'!$B243&amp;'Table 2.1b_percent'!$C243,UtilityList!$A$4:$A$251&amp;UtilityList!$B$4:$B$251&amp;UtilityList!$C$4:$C$251,0))</f>
        <v>Sealaska</v>
      </c>
      <c r="P243" s="452" t="str">
        <f t="array" ref="P243">INDEX(UtilityList!M$4:M$251,MATCH('Table 2.1b_percent'!$A243&amp;'Table 2.1b_percent'!$B243&amp;'Table 2.1b_percent'!$C243,UtilityList!$A$4:$A$251&amp;UtilityList!$B$4:$B$251&amp;UtilityList!$C$4:$C$251,0))</f>
        <v>SE</v>
      </c>
    </row>
    <row r="244" spans="1:19" s="285" customFormat="1" x14ac:dyDescent="0.25">
      <c r="A244" s="270"/>
      <c r="B244" s="270"/>
      <c r="C244" s="237"/>
      <c r="D244" s="276"/>
      <c r="E244" s="378"/>
      <c r="F244" s="378"/>
      <c r="G244" s="378"/>
      <c r="H244" s="378"/>
      <c r="I244" s="378"/>
      <c r="J244" s="379"/>
      <c r="K244" s="379"/>
      <c r="L244" s="226"/>
      <c r="M244" s="279"/>
      <c r="N244" s="272"/>
      <c r="O244" s="272"/>
      <c r="P244" s="272"/>
      <c r="Q244" s="272"/>
      <c r="R244" s="272"/>
      <c r="S244" s="272"/>
    </row>
    <row r="245" spans="1:19" s="285" customFormat="1" x14ac:dyDescent="0.25">
      <c r="A245" s="270"/>
      <c r="B245" s="270"/>
      <c r="C245" s="237"/>
      <c r="D245" s="276"/>
      <c r="E245" s="378"/>
      <c r="F245" s="378"/>
      <c r="G245" s="378"/>
      <c r="H245" s="378"/>
      <c r="I245" s="378"/>
      <c r="J245" s="380"/>
      <c r="K245" s="380"/>
      <c r="L245" s="381"/>
      <c r="M245" s="279"/>
      <c r="N245" s="272"/>
      <c r="O245" s="272"/>
      <c r="P245" s="272"/>
      <c r="Q245" s="272"/>
      <c r="R245" s="272"/>
      <c r="S245" s="272"/>
    </row>
    <row r="246" spans="1:19" s="285" customFormat="1" x14ac:dyDescent="0.25">
      <c r="A246" s="270"/>
      <c r="B246" s="270"/>
      <c r="C246" s="237"/>
      <c r="D246" s="276"/>
      <c r="E246" s="378"/>
      <c r="F246" s="378"/>
      <c r="G246" s="378"/>
      <c r="H246" s="378"/>
      <c r="I246" s="378"/>
      <c r="J246" s="379"/>
      <c r="K246" s="379"/>
      <c r="L246" s="226"/>
      <c r="M246" s="279"/>
      <c r="N246" s="272"/>
      <c r="O246" s="272"/>
      <c r="P246" s="272"/>
      <c r="Q246" s="272"/>
      <c r="R246" s="272"/>
      <c r="S246" s="272"/>
    </row>
  </sheetData>
  <autoFilter ref="A3:P243"/>
  <sortState ref="A4:P243">
    <sortCondition ref="A4:A243"/>
    <sortCondition ref="C4:C243"/>
    <sortCondition ref="B4:B243"/>
  </sortState>
  <mergeCells count="2">
    <mergeCell ref="A1:M1"/>
    <mergeCell ref="A2:P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249977111117893"/>
    <pageSetUpPr fitToPage="1"/>
  </sheetPr>
  <dimension ref="A1:R302"/>
  <sheetViews>
    <sheetView showGridLines="0" zoomScaleNormal="100" workbookViewId="0">
      <pane xSplit="2" ySplit="11" topLeftCell="K12" activePane="bottomRight" state="frozen"/>
      <selection pane="topRight" activeCell="C1" sqref="C1"/>
      <selection pane="bottomLeft" activeCell="A5" sqref="A5"/>
      <selection pane="bottomRight" activeCell="B198" sqref="B198"/>
    </sheetView>
  </sheetViews>
  <sheetFormatPr defaultRowHeight="12.75" x14ac:dyDescent="0.2"/>
  <cols>
    <col min="1" max="1" width="39.85546875" style="103" customWidth="1"/>
    <col min="2" max="2" width="26.140625" style="121" bestFit="1" customWidth="1"/>
    <col min="3" max="3" width="18.140625" style="15" bestFit="1" customWidth="1"/>
    <col min="4" max="4" width="22.140625" style="15" bestFit="1" customWidth="1"/>
    <col min="5" max="5" width="13.140625" style="144" bestFit="1" customWidth="1"/>
    <col min="6" max="6" width="17.85546875" style="15" bestFit="1" customWidth="1"/>
    <col min="7" max="7" width="22.42578125" style="177" bestFit="1" customWidth="1"/>
    <col min="8" max="8" width="19" style="15" bestFit="1" customWidth="1"/>
    <col min="9" max="9" width="22.140625" style="177" bestFit="1" customWidth="1"/>
    <col min="10" max="10" width="19.7109375" style="15" bestFit="1" customWidth="1"/>
    <col min="11" max="11" width="19" style="16" bestFit="1" customWidth="1"/>
    <col min="12" max="12" width="7" style="144" bestFit="1" customWidth="1"/>
    <col min="13" max="13" width="43.85546875" style="152" customWidth="1"/>
    <col min="14" max="14" width="28.28515625" style="1" bestFit="1" customWidth="1"/>
    <col min="15" max="15" width="27.7109375" style="1" bestFit="1" customWidth="1"/>
    <col min="16" max="16" width="14.42578125" style="1" bestFit="1" customWidth="1"/>
    <col min="17" max="17" width="12.7109375" style="1" bestFit="1" customWidth="1"/>
    <col min="18" max="16384" width="9.140625" style="1"/>
  </cols>
  <sheetData>
    <row r="1" spans="1:18" s="205" customFormat="1" x14ac:dyDescent="0.2">
      <c r="A1" s="881" t="s">
        <v>712</v>
      </c>
      <c r="B1" s="881"/>
      <c r="C1" s="881"/>
      <c r="D1" s="881"/>
      <c r="E1" s="881"/>
      <c r="F1" s="881"/>
      <c r="G1" s="881"/>
      <c r="H1" s="881"/>
      <c r="I1" s="881"/>
      <c r="J1" s="881"/>
      <c r="K1" s="881"/>
      <c r="L1" s="881"/>
      <c r="M1" s="881"/>
    </row>
    <row r="2" spans="1:18" s="205" customFormat="1" x14ac:dyDescent="0.25">
      <c r="A2" s="882" t="s">
        <v>603</v>
      </c>
      <c r="B2" s="882"/>
      <c r="C2" s="882"/>
      <c r="D2" s="882"/>
      <c r="E2" s="882"/>
      <c r="F2" s="882"/>
      <c r="G2" s="882"/>
      <c r="H2" s="882"/>
      <c r="I2" s="882"/>
      <c r="J2" s="882"/>
      <c r="K2" s="882"/>
      <c r="L2" s="882"/>
      <c r="M2" s="882"/>
    </row>
    <row r="3" spans="1:18" s="205" customFormat="1" x14ac:dyDescent="0.2">
      <c r="A3" s="881" t="s">
        <v>713</v>
      </c>
      <c r="B3" s="881"/>
      <c r="C3" s="881"/>
      <c r="D3" s="881"/>
      <c r="E3" s="881"/>
      <c r="F3" s="881"/>
      <c r="G3" s="881"/>
      <c r="H3" s="881"/>
      <c r="I3" s="881"/>
      <c r="J3" s="881"/>
      <c r="K3" s="881"/>
      <c r="L3" s="881"/>
      <c r="M3" s="881"/>
    </row>
    <row r="4" spans="1:18" s="205" customFormat="1" x14ac:dyDescent="0.25">
      <c r="A4" s="880" t="s">
        <v>1034</v>
      </c>
      <c r="B4" s="880"/>
      <c r="C4" s="880"/>
      <c r="D4" s="880"/>
      <c r="E4" s="880"/>
      <c r="F4" s="880"/>
      <c r="G4" s="880"/>
      <c r="H4" s="880"/>
      <c r="I4" s="880"/>
      <c r="J4" s="880"/>
      <c r="K4" s="880"/>
      <c r="L4" s="880"/>
      <c r="M4" s="880"/>
      <c r="N4" s="203"/>
      <c r="O4" s="203"/>
      <c r="P4" s="203"/>
      <c r="Q4" s="203"/>
      <c r="R4" s="203"/>
    </row>
    <row r="5" spans="1:18" s="205" customFormat="1" x14ac:dyDescent="0.25">
      <c r="A5" s="358" t="s">
        <v>631</v>
      </c>
      <c r="B5" s="334"/>
      <c r="C5" s="334"/>
      <c r="D5" s="334"/>
      <c r="E5" s="334"/>
      <c r="F5" s="334"/>
      <c r="G5" s="334"/>
      <c r="H5" s="334"/>
      <c r="I5" s="334"/>
      <c r="J5" s="334"/>
      <c r="K5" s="334"/>
      <c r="L5" s="334"/>
      <c r="M5" s="334"/>
      <c r="N5" s="203"/>
      <c r="O5" s="203"/>
      <c r="P5" s="203"/>
      <c r="Q5" s="203"/>
      <c r="R5" s="203"/>
    </row>
    <row r="6" spans="1:18" s="205" customFormat="1" ht="12.75" customHeight="1" x14ac:dyDescent="0.25">
      <c r="A6" s="741" t="s">
        <v>1042</v>
      </c>
      <c r="B6" s="741"/>
      <c r="C6" s="741"/>
      <c r="D6" s="741"/>
      <c r="E6" s="741"/>
      <c r="F6" s="741"/>
      <c r="G6" s="741"/>
      <c r="H6" s="741"/>
      <c r="I6" s="741"/>
      <c r="J6" s="741"/>
      <c r="K6" s="741"/>
      <c r="L6" s="741"/>
      <c r="M6" s="741"/>
      <c r="N6" s="203"/>
      <c r="O6" s="203"/>
      <c r="P6" s="203"/>
      <c r="Q6" s="203"/>
      <c r="R6" s="203"/>
    </row>
    <row r="7" spans="1:18" s="205" customFormat="1" ht="28.5" customHeight="1" x14ac:dyDescent="0.25">
      <c r="A7" s="880" t="s">
        <v>1043</v>
      </c>
      <c r="B7" s="884"/>
      <c r="C7" s="884"/>
      <c r="D7" s="884"/>
      <c r="E7" s="884"/>
      <c r="F7" s="884"/>
      <c r="G7" s="884"/>
      <c r="H7" s="884"/>
      <c r="I7" s="884"/>
      <c r="J7" s="884"/>
      <c r="K7" s="884"/>
      <c r="L7" s="884"/>
      <c r="M7" s="884"/>
      <c r="N7" s="884"/>
      <c r="O7" s="884"/>
      <c r="P7" s="884"/>
      <c r="Q7" s="884"/>
      <c r="R7" s="203"/>
    </row>
    <row r="8" spans="1:18" s="205" customFormat="1" x14ac:dyDescent="0.25">
      <c r="A8" s="222" t="s">
        <v>1036</v>
      </c>
      <c r="B8" s="222"/>
      <c r="C8" s="222"/>
      <c r="D8" s="222"/>
      <c r="E8" s="222"/>
      <c r="F8" s="222"/>
      <c r="G8" s="222"/>
      <c r="H8" s="222"/>
      <c r="I8" s="222"/>
      <c r="J8" s="222"/>
      <c r="K8" s="222"/>
      <c r="L8" s="222"/>
      <c r="M8" s="222"/>
      <c r="N8" s="203"/>
      <c r="O8" s="203"/>
      <c r="P8" s="203"/>
      <c r="Q8" s="203"/>
      <c r="R8" s="203"/>
    </row>
    <row r="9" spans="1:18" s="249" customFormat="1" ht="32.25" customHeight="1" thickBot="1" x14ac:dyDescent="0.3">
      <c r="A9" s="883" t="s">
        <v>1140</v>
      </c>
      <c r="B9" s="883"/>
      <c r="C9" s="883"/>
      <c r="D9" s="883"/>
      <c r="E9" s="883"/>
      <c r="F9" s="883"/>
      <c r="G9" s="883"/>
      <c r="H9" s="883"/>
      <c r="I9" s="883"/>
      <c r="J9" s="883"/>
      <c r="K9" s="883"/>
      <c r="L9" s="883"/>
      <c r="M9" s="883"/>
      <c r="N9" s="883"/>
      <c r="O9" s="883"/>
      <c r="P9" s="883"/>
      <c r="Q9" s="883"/>
      <c r="R9" s="203"/>
    </row>
    <row r="10" spans="1:18" s="204" customFormat="1" ht="15.75" thickBot="1" x14ac:dyDescent="0.3">
      <c r="A10" s="243"/>
      <c r="B10" s="244"/>
      <c r="C10" s="875" t="s">
        <v>7</v>
      </c>
      <c r="D10" s="878"/>
      <c r="E10" s="879"/>
      <c r="F10" s="245"/>
      <c r="G10" s="875" t="s">
        <v>7</v>
      </c>
      <c r="H10" s="876"/>
      <c r="I10" s="876"/>
      <c r="J10" s="876"/>
      <c r="K10" s="877"/>
      <c r="L10" s="246"/>
      <c r="M10" s="247"/>
      <c r="N10" s="248"/>
      <c r="O10" s="248"/>
      <c r="P10" s="248"/>
      <c r="Q10" s="248"/>
    </row>
    <row r="11" spans="1:18" s="63" customFormat="1" ht="39.75" thickBot="1" x14ac:dyDescent="0.3">
      <c r="A11" s="127" t="s">
        <v>0</v>
      </c>
      <c r="B11" s="77" t="s">
        <v>604</v>
      </c>
      <c r="C11" s="125" t="s">
        <v>711</v>
      </c>
      <c r="D11" s="125" t="s">
        <v>605</v>
      </c>
      <c r="E11" s="96" t="s">
        <v>606</v>
      </c>
      <c r="F11" s="96" t="s">
        <v>607</v>
      </c>
      <c r="G11" s="176" t="s">
        <v>608</v>
      </c>
      <c r="H11" s="96" t="s">
        <v>609</v>
      </c>
      <c r="I11" s="176" t="s">
        <v>610</v>
      </c>
      <c r="J11" s="96" t="s">
        <v>645</v>
      </c>
      <c r="K11" s="197" t="s">
        <v>1035</v>
      </c>
      <c r="L11" s="142" t="s">
        <v>714</v>
      </c>
      <c r="M11" s="155" t="s">
        <v>20</v>
      </c>
      <c r="N11" s="242" t="s">
        <v>5</v>
      </c>
      <c r="O11" s="242" t="s">
        <v>6</v>
      </c>
      <c r="P11" s="242" t="s">
        <v>552</v>
      </c>
      <c r="Q11" s="241" t="s">
        <v>553</v>
      </c>
      <c r="R11" s="204"/>
    </row>
    <row r="12" spans="1:18" s="344" customFormat="1" ht="15" x14ac:dyDescent="0.25">
      <c r="A12" s="150" t="s">
        <v>29</v>
      </c>
      <c r="B12" s="150" t="s">
        <v>30</v>
      </c>
      <c r="C12" s="359">
        <v>1885.1849999999999</v>
      </c>
      <c r="D12" s="359">
        <v>0</v>
      </c>
      <c r="E12" s="359">
        <v>0</v>
      </c>
      <c r="F12" s="359">
        <v>1885.1849999999999</v>
      </c>
      <c r="G12" s="359">
        <v>1496.384</v>
      </c>
      <c r="H12" s="359">
        <v>0</v>
      </c>
      <c r="I12" s="359">
        <v>200.84899999999999</v>
      </c>
      <c r="J12" s="359">
        <v>33.651000000000003</v>
      </c>
      <c r="K12" s="359">
        <v>154.30099999999993</v>
      </c>
      <c r="L12" s="143" t="s">
        <v>356</v>
      </c>
      <c r="M12" s="384">
        <f t="array" ref="M12">INDEX(UtilityList!Q$4:Q$251,MATCH('Table 2.2a'!$A12&amp;'Table 2.2a'!$B12,UtilityList!$A$4:$A$251&amp;UtilityList!$C$4:$C$251,0))</f>
        <v>0</v>
      </c>
      <c r="N12" s="175" t="str">
        <f t="array" ref="N12">IFERROR((INDEX(UtilityList!J$4:J$251,MATCH('Table 2.2a'!$A12&amp;'Table 2.2a'!$B12,UtilityList!$A$4:$A$251&amp;UtilityList!$C$4:$C$251,0))),INDEX(UtilityList!J$4:J$251,MATCH('Table 2.2a'!$A12,UtilityList!$A$4:$A$251,0)))</f>
        <v>Lower Yukon-Kuskokwim</v>
      </c>
      <c r="O12" s="175" t="str">
        <f t="array" ref="O12">IFERROR((INDEX(UtilityList!K$4:K$251,MATCH('Table 2.2a'!$A12&amp;'Table 2.2a'!$B12,UtilityList!$A$4:$A$251&amp;UtilityList!$C$4:$C$251,0))),INDEX(UtilityList!K$4:K$251,MATCH('Table 2.2a'!$A12,UtilityList!$A$4:$A$251,0)))</f>
        <v>Bethel (CA)</v>
      </c>
      <c r="P12" s="175" t="str">
        <f t="array" ref="P12">IFERROR((INDEX(UtilityList!L$4:L$251,MATCH('Table 2.2a'!$A12&amp;'Table 2.2a'!$B12,UtilityList!$A$4:$A$251&amp;UtilityList!$C$4:$C$251,0))),INDEX(UtilityList!L$4:L$251,MATCH('Table 2.2a'!$A12,UtilityList!$A$4:$A$251,0)))</f>
        <v>Calista</v>
      </c>
      <c r="Q12" s="175" t="str">
        <f t="array" ref="Q12">IFERROR((INDEX(UtilityList!M$4:M$251,MATCH('Table 2.2a'!$A12&amp;'Table 2.2a'!$B12,UtilityList!$A$4:$A$251&amp;UtilityList!$C$4:$C$251,0))),INDEX(UtilityList!M$4:M$251,MATCH('Table 2.2a'!$A12,UtilityList!$A$4:$A$251,0)))</f>
        <v>SW</v>
      </c>
    </row>
    <row r="13" spans="1:18" s="344" customFormat="1" ht="15" x14ac:dyDescent="0.25">
      <c r="A13" s="628" t="s">
        <v>31</v>
      </c>
      <c r="B13" s="628" t="s">
        <v>32</v>
      </c>
      <c r="C13" s="629">
        <v>1059.51</v>
      </c>
      <c r="D13" s="629">
        <v>0</v>
      </c>
      <c r="E13" s="629">
        <v>0</v>
      </c>
      <c r="F13" s="629">
        <v>1059.51</v>
      </c>
      <c r="G13" s="629">
        <v>839.88300000000004</v>
      </c>
      <c r="H13" s="629">
        <v>0</v>
      </c>
      <c r="I13" s="629">
        <v>15.861000000000001</v>
      </c>
      <c r="J13" s="629">
        <v>29.978999999999999</v>
      </c>
      <c r="K13" s="629">
        <v>173.78699999999992</v>
      </c>
      <c r="L13" s="630" t="s">
        <v>356</v>
      </c>
      <c r="M13" s="627">
        <f t="array" ref="M13">INDEX(UtilityList!Q$4:Q$251,MATCH('Table 2.2a'!$A13&amp;'Table 2.2a'!$B13,UtilityList!$A$4:$A$251&amp;UtilityList!$C$4:$C$251,0))</f>
        <v>0</v>
      </c>
      <c r="N13" s="452" t="str">
        <f t="array" ref="N13">IFERROR((INDEX(UtilityList!J$4:J$251,MATCH('Table 2.2a'!$A13&amp;'Table 2.2a'!$B13,UtilityList!$A$4:$A$251&amp;UtilityList!$C$4:$C$251,0))),INDEX(UtilityList!J$4:J$251,MATCH('Table 2.2a'!$A13,UtilityList!$A$4:$A$251,0)))</f>
        <v>Lower Yukon-Kuskokwim</v>
      </c>
      <c r="O13" s="452" t="str">
        <f t="array" ref="O13">IFERROR((INDEX(UtilityList!K$4:K$251,MATCH('Table 2.2a'!$A13&amp;'Table 2.2a'!$B13,UtilityList!$A$4:$A$251&amp;UtilityList!$C$4:$C$251,0))),INDEX(UtilityList!K$4:K$251,MATCH('Table 2.2a'!$A13,UtilityList!$A$4:$A$251,0)))</f>
        <v>Bethel (CA)</v>
      </c>
      <c r="P13" s="452" t="str">
        <f t="array" ref="P13">IFERROR((INDEX(UtilityList!L$4:L$251,MATCH('Table 2.2a'!$A13&amp;'Table 2.2a'!$B13,UtilityList!$A$4:$A$251&amp;UtilityList!$C$4:$C$251,0))),INDEX(UtilityList!L$4:L$251,MATCH('Table 2.2a'!$A13,UtilityList!$A$4:$A$251,0)))</f>
        <v>Calista</v>
      </c>
      <c r="Q13" s="452" t="str">
        <f t="array" ref="Q13">IFERROR((INDEX(UtilityList!M$4:M$251,MATCH('Table 2.2a'!$A13&amp;'Table 2.2a'!$B13,UtilityList!$A$4:$A$251&amp;UtilityList!$C$4:$C$251,0))),INDEX(UtilityList!M$4:M$251,MATCH('Table 2.2a'!$A13,UtilityList!$A$4:$A$251,0)))</f>
        <v>SW</v>
      </c>
    </row>
    <row r="14" spans="1:18" s="344" customFormat="1" ht="11.25" customHeight="1" x14ac:dyDescent="0.25">
      <c r="A14" s="628" t="s">
        <v>33</v>
      </c>
      <c r="B14" s="628" t="s">
        <v>34</v>
      </c>
      <c r="C14" s="629">
        <v>543.48599999999999</v>
      </c>
      <c r="D14" s="629">
        <v>0</v>
      </c>
      <c r="E14" s="629">
        <v>0</v>
      </c>
      <c r="F14" s="629">
        <v>543.48599999999999</v>
      </c>
      <c r="G14" s="629">
        <v>496.745</v>
      </c>
      <c r="H14" s="629">
        <v>0</v>
      </c>
      <c r="I14" s="629">
        <v>0</v>
      </c>
      <c r="J14" s="629">
        <v>11.804399999999999</v>
      </c>
      <c r="K14" s="629">
        <v>34.936599999999999</v>
      </c>
      <c r="L14" s="630" t="s">
        <v>356</v>
      </c>
      <c r="M14" s="627">
        <f t="array" ref="M14">INDEX(UtilityList!Q$4:Q$251,MATCH('Table 2.2a'!$A14&amp;'Table 2.2a'!$B14,UtilityList!$A$4:$A$251&amp;UtilityList!$C$4:$C$251,0))</f>
        <v>0</v>
      </c>
      <c r="N14" s="452" t="str">
        <f t="array" ref="N14">IFERROR((INDEX(UtilityList!J$4:J$251,MATCH('Table 2.2a'!$A14&amp;'Table 2.2a'!$B14,UtilityList!$A$4:$A$251&amp;UtilityList!$C$4:$C$251,0))),INDEX(UtilityList!J$4:J$251,MATCH('Table 2.2a'!$A14,UtilityList!$A$4:$A$251,0)))</f>
        <v>Aleutians</v>
      </c>
      <c r="O14" s="452" t="str">
        <f t="array" ref="O14">IFERROR((INDEX(UtilityList!K$4:K$251,MATCH('Table 2.2a'!$A14&amp;'Table 2.2a'!$B14,UtilityList!$A$4:$A$251&amp;UtilityList!$C$4:$C$251,0))),INDEX(UtilityList!K$4:K$251,MATCH('Table 2.2a'!$A14,UtilityList!$A$4:$A$251,0)))</f>
        <v>Aleutians East</v>
      </c>
      <c r="P14" s="452" t="str">
        <f t="array" ref="P14">IFERROR((INDEX(UtilityList!L$4:L$251,MATCH('Table 2.2a'!$A14&amp;'Table 2.2a'!$B14,UtilityList!$A$4:$A$251&amp;UtilityList!$C$4:$C$251,0))),INDEX(UtilityList!L$4:L$251,MATCH('Table 2.2a'!$A14,UtilityList!$A$4:$A$251,0)))</f>
        <v>Aleut</v>
      </c>
      <c r="Q14" s="452" t="str">
        <f t="array" ref="Q14">IFERROR((INDEX(UtilityList!M$4:M$251,MATCH('Table 2.2a'!$A14&amp;'Table 2.2a'!$B14,UtilityList!$A$4:$A$251&amp;UtilityList!$C$4:$C$251,0))),INDEX(UtilityList!M$4:M$251,MATCH('Table 2.2a'!$A14,UtilityList!$A$4:$A$251,0)))</f>
        <v>SW</v>
      </c>
    </row>
    <row r="15" spans="1:18" s="126" customFormat="1" ht="15" x14ac:dyDescent="0.25">
      <c r="A15" s="361" t="s">
        <v>523</v>
      </c>
      <c r="B15" s="361" t="s">
        <v>36</v>
      </c>
      <c r="C15" s="631">
        <v>127810</v>
      </c>
      <c r="D15" s="632">
        <v>257713</v>
      </c>
      <c r="E15" s="632">
        <v>0</v>
      </c>
      <c r="F15" s="631">
        <v>385523</v>
      </c>
      <c r="G15" s="631">
        <v>364710</v>
      </c>
      <c r="H15" s="632">
        <v>0</v>
      </c>
      <c r="I15" s="631">
        <v>0</v>
      </c>
      <c r="J15" s="632">
        <v>4121</v>
      </c>
      <c r="K15" s="631">
        <v>16692</v>
      </c>
      <c r="L15" s="598" t="s">
        <v>558</v>
      </c>
      <c r="M15" s="627">
        <f t="array" ref="M15">INDEX(UtilityList!Q$4:Q$251,MATCH('Table 2.2a'!$A15&amp;'Table 2.2a'!$B15,UtilityList!$A$4:$A$251&amp;UtilityList!$C$4:$C$251,0))</f>
        <v>0</v>
      </c>
      <c r="N15" s="452" t="str">
        <f t="array" ref="N15">IFERROR((INDEX(UtilityList!J$4:J$251,MATCH('Table 2.2a'!$A15&amp;'Table 2.2a'!$B15,UtilityList!$A$4:$A$251&amp;UtilityList!$C$4:$C$251,0))),INDEX(UtilityList!J$4:J$251,MATCH('Table 2.2a'!$A15,UtilityList!$A$4:$A$251,0)))</f>
        <v>Southeast</v>
      </c>
      <c r="O15" s="452" t="str">
        <f t="array" ref="O15">IFERROR((INDEX(UtilityList!K$4:K$251,MATCH('Table 2.2a'!$A15&amp;'Table 2.2a'!$B15,UtilityList!$A$4:$A$251&amp;UtilityList!$C$4:$C$251,0))),INDEX(UtilityList!K$4:K$251,MATCH('Table 2.2a'!$A15,UtilityList!$A$4:$A$251,0)))</f>
        <v>Juneau</v>
      </c>
      <c r="P15" s="452" t="str">
        <f t="array" ref="P15">IFERROR((INDEX(UtilityList!L$4:L$251,MATCH('Table 2.2a'!$A15&amp;'Table 2.2a'!$B15,UtilityList!$A$4:$A$251&amp;UtilityList!$C$4:$C$251,0))),INDEX(UtilityList!L$4:L$251,MATCH('Table 2.2a'!$A15,UtilityList!$A$4:$A$251,0)))</f>
        <v>Sealaska</v>
      </c>
      <c r="Q15" s="452" t="str">
        <f t="array" ref="Q15">IFERROR((INDEX(UtilityList!M$4:M$251,MATCH('Table 2.2a'!$A15&amp;'Table 2.2a'!$B15,UtilityList!$A$4:$A$251&amp;UtilityList!$C$4:$C$251,0))),INDEX(UtilityList!M$4:M$251,MATCH('Table 2.2a'!$A15,UtilityList!$A$4:$A$251,0)))</f>
        <v>SE</v>
      </c>
      <c r="R15" s="344"/>
    </row>
    <row r="16" spans="1:18" s="126" customFormat="1" ht="45" x14ac:dyDescent="0.25">
      <c r="A16" s="452" t="s">
        <v>642</v>
      </c>
      <c r="B16" s="361"/>
      <c r="C16" s="631">
        <v>1394</v>
      </c>
      <c r="D16" s="632">
        <v>0</v>
      </c>
      <c r="E16" s="632">
        <v>0</v>
      </c>
      <c r="F16" s="631">
        <v>1394</v>
      </c>
      <c r="G16" s="631">
        <v>0</v>
      </c>
      <c r="H16" s="632">
        <v>1394</v>
      </c>
      <c r="I16" s="631">
        <v>0</v>
      </c>
      <c r="J16" s="632"/>
      <c r="K16" s="631"/>
      <c r="L16" s="598" t="s">
        <v>558</v>
      </c>
      <c r="M16" s="627" t="str">
        <f t="array" ref="M16">INDEX(UtilityList!Q$4:Q$251,MATCH('Table 2.2a'!$A16&amp;'Table 2.2a'!$B16,UtilityList!$A$4:$A$251&amp;UtilityList!$C$4:$C$251,0))</f>
        <v>Plant is also know as Delta Wind. Alaska Environmental LLC is an independent power producer that sells all its power to GVEA.</v>
      </c>
      <c r="N16" s="452" t="str">
        <f t="array" ref="N16">IFERROR((INDEX(UtilityList!J$4:J$251,MATCH('Table 2.2a'!$A16&amp;'Table 2.2a'!$B16,UtilityList!$A$4:$A$251&amp;UtilityList!$C$4:$C$251,0))),INDEX(UtilityList!J$4:J$251,MATCH('Table 2.2a'!$A16,UtilityList!$A$4:$A$251,0)))</f>
        <v>Railbelt</v>
      </c>
      <c r="O16" s="452" t="str">
        <f t="array" ref="O16">IFERROR((INDEX(UtilityList!K$4:K$251,MATCH('Table 2.2a'!$A16&amp;'Table 2.2a'!$B16,UtilityList!$A$4:$A$251&amp;UtilityList!$C$4:$C$251,0))),INDEX(UtilityList!K$4:K$251,MATCH('Table 2.2a'!$A16,UtilityList!$A$4:$A$251,0)))</f>
        <v>Southeast Fairbanks (CA)</v>
      </c>
      <c r="P16" s="452" t="str">
        <f t="array" ref="P16">IFERROR((INDEX(UtilityList!L$4:L$251,MATCH('Table 2.2a'!$A16&amp;'Table 2.2a'!$B16,UtilityList!$A$4:$A$251&amp;UtilityList!$C$4:$C$251,0))),INDEX(UtilityList!L$4:L$251,MATCH('Table 2.2a'!$A16,UtilityList!$A$4:$A$251,0)))</f>
        <v>Doyon</v>
      </c>
      <c r="Q16" s="452" t="str">
        <f t="array" ref="Q16">IFERROR((INDEX(UtilityList!M$4:M$251,MATCH('Table 2.2a'!$A16&amp;'Table 2.2a'!$B16,UtilityList!$A$4:$A$251&amp;UtilityList!$C$4:$C$251,0))),INDEX(UtilityList!M$4:M$251,MATCH('Table 2.2a'!$A16,UtilityList!$A$4:$A$251,0)))</f>
        <v>YU</v>
      </c>
      <c r="R16" s="344"/>
    </row>
    <row r="17" spans="1:18" s="126" customFormat="1" ht="30" x14ac:dyDescent="0.25">
      <c r="A17" s="633" t="s">
        <v>43</v>
      </c>
      <c r="B17" s="633" t="s">
        <v>678</v>
      </c>
      <c r="C17" s="629">
        <v>689.40099999999995</v>
      </c>
      <c r="D17" s="629">
        <v>0</v>
      </c>
      <c r="E17" s="629">
        <v>0</v>
      </c>
      <c r="F17" s="629">
        <v>689.40099999999995</v>
      </c>
      <c r="G17" s="629">
        <v>601.46900000000005</v>
      </c>
      <c r="H17" s="629">
        <v>0</v>
      </c>
      <c r="I17" s="629">
        <v>0</v>
      </c>
      <c r="J17" s="629">
        <v>34.033000000000001</v>
      </c>
      <c r="K17" s="629">
        <v>53.898999999999887</v>
      </c>
      <c r="L17" s="634" t="s">
        <v>356</v>
      </c>
      <c r="M17" s="627" t="str">
        <f t="array" ref="M17">INDEX(UtilityList!Q$4:Q$251,MATCH('Table 2.2a'!$A17&amp;'Table 2.2a'!$B17,UtilityList!$A$4:$A$251&amp;UtilityList!$C$4:$C$251,0))</f>
        <v>Provides power to Alatna via intertie. Data includes Alatna's information.</v>
      </c>
      <c r="N17" s="452" t="str">
        <f t="array" ref="N17">IFERROR((INDEX(UtilityList!J$4:J$251,MATCH('Table 2.2a'!$A17&amp;'Table 2.2a'!$B17,UtilityList!$A$4:$A$251&amp;UtilityList!$C$4:$C$251,0))),INDEX(UtilityList!J$4:J$251,MATCH('Table 2.2a'!$A17,UtilityList!$A$4:$A$251,0)))</f>
        <v>Yukon-Koyukuk/Upper Tanana</v>
      </c>
      <c r="O17" s="452" t="str">
        <f t="array" ref="O17">IFERROR((INDEX(UtilityList!K$4:K$251,MATCH('Table 2.2a'!$A17&amp;'Table 2.2a'!$B17,UtilityList!$A$4:$A$251&amp;UtilityList!$C$4:$C$251,0))),INDEX(UtilityList!K$4:K$251,MATCH('Table 2.2a'!$A17,UtilityList!$A$4:$A$251,0)))</f>
        <v>Yukon-Koyukuk (CA)</v>
      </c>
      <c r="P17" s="452" t="str">
        <f t="array" ref="P17">IFERROR((INDEX(UtilityList!L$4:L$251,MATCH('Table 2.2a'!$A17&amp;'Table 2.2a'!$B17,UtilityList!$A$4:$A$251&amp;UtilityList!$C$4:$C$251,0))),INDEX(UtilityList!L$4:L$251,MATCH('Table 2.2a'!$A17,UtilityList!$A$4:$A$251,0)))</f>
        <v>Doyon</v>
      </c>
      <c r="Q17" s="452" t="str">
        <f t="array" ref="Q17">IFERROR((INDEX(UtilityList!M$4:M$251,MATCH('Table 2.2a'!$A17&amp;'Table 2.2a'!$B17,UtilityList!$A$4:$A$251&amp;UtilityList!$C$4:$C$251,0))),INDEX(UtilityList!M$4:M$251,MATCH('Table 2.2a'!$A17,UtilityList!$A$4:$A$251,0)))</f>
        <v>YU</v>
      </c>
      <c r="R17" s="344"/>
    </row>
    <row r="18" spans="1:18" s="126" customFormat="1" ht="30" x14ac:dyDescent="0.25">
      <c r="A18" s="633" t="s">
        <v>43</v>
      </c>
      <c r="B18" s="635" t="s">
        <v>680</v>
      </c>
      <c r="C18" s="629">
        <v>574.80799999999999</v>
      </c>
      <c r="D18" s="629">
        <v>0</v>
      </c>
      <c r="E18" s="629">
        <v>0</v>
      </c>
      <c r="F18" s="629">
        <v>574.80799999999999</v>
      </c>
      <c r="G18" s="629">
        <v>529.15</v>
      </c>
      <c r="H18" s="629">
        <v>0</v>
      </c>
      <c r="I18" s="629">
        <v>0</v>
      </c>
      <c r="J18" s="629">
        <v>0.96299999999999997</v>
      </c>
      <c r="K18" s="629">
        <v>44.69500000000005</v>
      </c>
      <c r="L18" s="634" t="s">
        <v>356</v>
      </c>
      <c r="M18" s="627" t="str">
        <f t="array" ref="M18">INDEX(UtilityList!Q$4:Q$251,MATCH('Table 2.2a'!$A18&amp;'Table 2.2a'!$B18,UtilityList!$A$4:$A$251&amp;UtilityList!$C$4:$C$251,0))</f>
        <v>Provides power to Evansville via intertie. Data includes Evansville's information.</v>
      </c>
      <c r="N18" s="452" t="str">
        <f t="array" ref="N18">IFERROR((INDEX(UtilityList!J$4:J$251,MATCH('Table 2.2a'!$A18&amp;'Table 2.2a'!$B18,UtilityList!$A$4:$A$251&amp;UtilityList!$C$4:$C$251,0))),INDEX(UtilityList!J$4:J$251,MATCH('Table 2.2a'!$A18,UtilityList!$A$4:$A$251,0)))</f>
        <v>Yukon-Koyukuk/Upper Tanana</v>
      </c>
      <c r="O18" s="452" t="str">
        <f t="array" ref="O18">IFERROR((INDEX(UtilityList!K$4:K$251,MATCH('Table 2.2a'!$A18&amp;'Table 2.2a'!$B18,UtilityList!$A$4:$A$251&amp;UtilityList!$C$4:$C$251,0))),INDEX(UtilityList!K$4:K$251,MATCH('Table 2.2a'!$A18,UtilityList!$A$4:$A$251,0)))</f>
        <v>Yukon-Koyukuk (CA)</v>
      </c>
      <c r="P18" s="452" t="str">
        <f t="array" ref="P18">IFERROR((INDEX(UtilityList!L$4:L$251,MATCH('Table 2.2a'!$A18&amp;'Table 2.2a'!$B18,UtilityList!$A$4:$A$251&amp;UtilityList!$C$4:$C$251,0))),INDEX(UtilityList!L$4:L$251,MATCH('Table 2.2a'!$A18,UtilityList!$A$4:$A$251,0)))</f>
        <v>Doyon</v>
      </c>
      <c r="Q18" s="452" t="str">
        <f t="array" ref="Q18">IFERROR((INDEX(UtilityList!M$4:M$251,MATCH('Table 2.2a'!$A18&amp;'Table 2.2a'!$B18,UtilityList!$A$4:$A$251&amp;UtilityList!$C$4:$C$251,0))),INDEX(UtilityList!M$4:M$251,MATCH('Table 2.2a'!$A18,UtilityList!$A$4:$A$251,0)))</f>
        <v>YU</v>
      </c>
      <c r="R18" s="344"/>
    </row>
    <row r="19" spans="1:18" s="126" customFormat="1" ht="15" x14ac:dyDescent="0.25">
      <c r="A19" s="633" t="s">
        <v>43</v>
      </c>
      <c r="B19" s="633" t="s">
        <v>46</v>
      </c>
      <c r="C19" s="629">
        <v>0.88300000000000001</v>
      </c>
      <c r="D19" s="629">
        <v>0</v>
      </c>
      <c r="E19" s="629">
        <v>0</v>
      </c>
      <c r="F19" s="629">
        <v>0.88300000000000001</v>
      </c>
      <c r="G19" s="629">
        <v>348.16399999999999</v>
      </c>
      <c r="H19" s="629">
        <v>0</v>
      </c>
      <c r="I19" s="629">
        <v>0</v>
      </c>
      <c r="J19" s="629">
        <v>3.0310000000000001</v>
      </c>
      <c r="K19" s="629">
        <v>-350.31200000000001</v>
      </c>
      <c r="L19" s="634" t="s">
        <v>356</v>
      </c>
      <c r="M19" s="627" t="str">
        <f t="array" ref="M19">INDEX(UtilityList!Q$4:Q$251,MATCH('Table 2.2a'!$A19&amp;'Table 2.2a'!$B19,UtilityList!$A$4:$A$251&amp;UtilityList!$C$4:$C$251,0))</f>
        <v>Receives power from Slana via intertie.</v>
      </c>
      <c r="N19" s="452" t="str">
        <f t="array" ref="N19">IFERROR((INDEX(UtilityList!J$4:J$251,MATCH('Table 2.2a'!$A19&amp;'Table 2.2a'!$B19,UtilityList!$A$4:$A$251&amp;UtilityList!$C$4:$C$251,0))),INDEX(UtilityList!J$4:J$251,MATCH('Table 2.2a'!$A19,UtilityList!$A$4:$A$251,0)))</f>
        <v>Copper River/Chugach</v>
      </c>
      <c r="O19" s="452" t="str">
        <f t="array" ref="O19">IFERROR((INDEX(UtilityList!K$4:K$251,MATCH('Table 2.2a'!$A19&amp;'Table 2.2a'!$B19,UtilityList!$A$4:$A$251&amp;UtilityList!$C$4:$C$251,0))),INDEX(UtilityList!K$4:K$251,MATCH('Table 2.2a'!$A19,UtilityList!$A$4:$A$251,0)))</f>
        <v>Valdez-Cordova (CA)</v>
      </c>
      <c r="P19" s="452" t="str">
        <f t="array" ref="P19">IFERROR((INDEX(UtilityList!L$4:L$251,MATCH('Table 2.2a'!$A19&amp;'Table 2.2a'!$B19,UtilityList!$A$4:$A$251&amp;UtilityList!$C$4:$C$251,0))),INDEX(UtilityList!L$4:L$251,MATCH('Table 2.2a'!$A19,UtilityList!$A$4:$A$251,0)))</f>
        <v>Ahtna</v>
      </c>
      <c r="Q19" s="452" t="str">
        <f t="array" ref="Q19">IFERROR((INDEX(UtilityList!M$4:M$251,MATCH('Table 2.2a'!$A19&amp;'Table 2.2a'!$B19,UtilityList!$A$4:$A$251&amp;UtilityList!$C$4:$C$251,0))),INDEX(UtilityList!M$4:M$251,MATCH('Table 2.2a'!$A19,UtilityList!$A$4:$A$251,0)))</f>
        <v>YU</v>
      </c>
      <c r="R19" s="344"/>
    </row>
    <row r="20" spans="1:18" s="187" customFormat="1" ht="30" x14ac:dyDescent="0.25">
      <c r="A20" s="633" t="s">
        <v>43</v>
      </c>
      <c r="B20" s="633" t="s">
        <v>47</v>
      </c>
      <c r="C20" s="629">
        <v>638.52700000000004</v>
      </c>
      <c r="D20" s="629">
        <v>184</v>
      </c>
      <c r="E20" s="629">
        <v>0</v>
      </c>
      <c r="F20" s="629">
        <v>822.52700000000004</v>
      </c>
      <c r="G20" s="629">
        <v>786.92399999999998</v>
      </c>
      <c r="H20" s="629">
        <v>0</v>
      </c>
      <c r="I20" s="629">
        <v>0</v>
      </c>
      <c r="J20" s="629">
        <v>5.944</v>
      </c>
      <c r="K20" s="629">
        <v>29.659000000000106</v>
      </c>
      <c r="L20" s="634" t="s">
        <v>356</v>
      </c>
      <c r="M20" s="627" t="str">
        <f t="array" ref="M20">INDEX(UtilityList!Q$4:Q$251,MATCH('Table 2.2a'!$A20&amp;'Table 2.2a'!$B20,UtilityList!$A$4:$A$251&amp;UtilityList!$C$4:$C$251,0))</f>
        <v>Part of the Alaska Power Company's grid on Prince of Wales Island.</v>
      </c>
      <c r="N20" s="452" t="str">
        <f t="array" ref="N20">IFERROR((INDEX(UtilityList!J$4:J$251,MATCH('Table 2.2a'!$A20&amp;'Table 2.2a'!$B20,UtilityList!$A$4:$A$251&amp;UtilityList!$C$4:$C$251,0))),INDEX(UtilityList!J$4:J$251,MATCH('Table 2.2a'!$A20,UtilityList!$A$4:$A$251,0)))</f>
        <v>Southeast</v>
      </c>
      <c r="O20" s="452" t="str">
        <f t="array" ref="O20">IFERROR((INDEX(UtilityList!K$4:K$251,MATCH('Table 2.2a'!$A20&amp;'Table 2.2a'!$B20,UtilityList!$A$4:$A$251&amp;UtilityList!$C$4:$C$251,0))),INDEX(UtilityList!K$4:K$251,MATCH('Table 2.2a'!$A20,UtilityList!$A$4:$A$251,0)))</f>
        <v>Prince of Wales-Hyder (CA)</v>
      </c>
      <c r="P20" s="452" t="str">
        <f t="array" ref="P20">IFERROR((INDEX(UtilityList!L$4:L$251,MATCH('Table 2.2a'!$A20&amp;'Table 2.2a'!$B20,UtilityList!$A$4:$A$251&amp;UtilityList!$C$4:$C$251,0))),INDEX(UtilityList!L$4:L$251,MATCH('Table 2.2a'!$A20,UtilityList!$A$4:$A$251,0)))</f>
        <v>Sealaska</v>
      </c>
      <c r="Q20" s="452" t="str">
        <f t="array" ref="Q20">IFERROR((INDEX(UtilityList!M$4:M$251,MATCH('Table 2.2a'!$A20&amp;'Table 2.2a'!$B20,UtilityList!$A$4:$A$251&amp;UtilityList!$C$4:$C$251,0))),INDEX(UtilityList!M$4:M$251,MATCH('Table 2.2a'!$A20,UtilityList!$A$4:$A$251,0)))</f>
        <v>SE</v>
      </c>
      <c r="R20" s="204"/>
    </row>
    <row r="21" spans="1:18" s="187" customFormat="1" ht="30" x14ac:dyDescent="0.25">
      <c r="A21" s="633" t="s">
        <v>43</v>
      </c>
      <c r="B21" s="633" t="s">
        <v>48</v>
      </c>
      <c r="C21" s="629">
        <v>4261.6710000000003</v>
      </c>
      <c r="D21" s="629">
        <v>24056.244999999999</v>
      </c>
      <c r="E21" s="629">
        <v>0</v>
      </c>
      <c r="F21" s="629">
        <v>28317.915999999997</v>
      </c>
      <c r="G21" s="629">
        <v>11700</v>
      </c>
      <c r="H21" s="629">
        <v>0</v>
      </c>
      <c r="I21" s="629">
        <v>0</v>
      </c>
      <c r="J21" s="629">
        <v>196.40299999999999</v>
      </c>
      <c r="K21" s="629">
        <v>16421.512999999999</v>
      </c>
      <c r="L21" s="634" t="s">
        <v>356</v>
      </c>
      <c r="M21" s="627" t="str">
        <f t="array" ref="M21">INDEX(UtilityList!Q$4:Q$251,MATCH('Table 2.2a'!$A21&amp;'Table 2.2a'!$B21,UtilityList!$A$4:$A$251&amp;UtilityList!$C$4:$C$251,0))</f>
        <v>Provides power to Hollis, Klawock, Thorne Bay/Kasaan and Hydaburg via intertie.</v>
      </c>
      <c r="N21" s="452" t="str">
        <f t="array" ref="N21">IFERROR((INDEX(UtilityList!J$4:J$251,MATCH('Table 2.2a'!$A21&amp;'Table 2.2a'!$B21,UtilityList!$A$4:$A$251&amp;UtilityList!$C$4:$C$251,0))),INDEX(UtilityList!J$4:J$251,MATCH('Table 2.2a'!$A21,UtilityList!$A$4:$A$251,0)))</f>
        <v>Southeast</v>
      </c>
      <c r="O21" s="452" t="str">
        <f t="array" ref="O21">IFERROR((INDEX(UtilityList!K$4:K$251,MATCH('Table 2.2a'!$A21&amp;'Table 2.2a'!$B21,UtilityList!$A$4:$A$251&amp;UtilityList!$C$4:$C$251,0))),INDEX(UtilityList!K$4:K$251,MATCH('Table 2.2a'!$A21,UtilityList!$A$4:$A$251,0)))</f>
        <v>Prince of Wales-Hyder (CA)</v>
      </c>
      <c r="P21" s="452" t="str">
        <f t="array" ref="P21">IFERROR((INDEX(UtilityList!L$4:L$251,MATCH('Table 2.2a'!$A21&amp;'Table 2.2a'!$B21,UtilityList!$A$4:$A$251&amp;UtilityList!$C$4:$C$251,0))),INDEX(UtilityList!L$4:L$251,MATCH('Table 2.2a'!$A21,UtilityList!$A$4:$A$251,0)))</f>
        <v>Sealaska</v>
      </c>
      <c r="Q21" s="452" t="str">
        <f t="array" ref="Q21">IFERROR((INDEX(UtilityList!M$4:M$251,MATCH('Table 2.2a'!$A21&amp;'Table 2.2a'!$B21,UtilityList!$A$4:$A$251&amp;UtilityList!$C$4:$C$251,0))),INDEX(UtilityList!M$4:M$251,MATCH('Table 2.2a'!$A21,UtilityList!$A$4:$A$251,0)))</f>
        <v>SE</v>
      </c>
      <c r="R21" s="204"/>
    </row>
    <row r="22" spans="1:18" s="187" customFormat="1" ht="60" x14ac:dyDescent="0.25">
      <c r="A22" s="633" t="s">
        <v>43</v>
      </c>
      <c r="B22" s="633" t="s">
        <v>684</v>
      </c>
      <c r="C22" s="629">
        <v>0</v>
      </c>
      <c r="D22" s="629">
        <v>0</v>
      </c>
      <c r="E22" s="629">
        <v>0</v>
      </c>
      <c r="F22" s="629">
        <v>0</v>
      </c>
      <c r="G22" s="629">
        <v>348.18599999999998</v>
      </c>
      <c r="H22" s="629">
        <v>0</v>
      </c>
      <c r="I22" s="629">
        <v>0</v>
      </c>
      <c r="J22" s="629">
        <v>0.6</v>
      </c>
      <c r="K22" s="629">
        <v>-348.786</v>
      </c>
      <c r="L22" s="634" t="s">
        <v>356</v>
      </c>
      <c r="M22" s="627" t="str">
        <f t="array" ref="M22">INDEX(UtilityList!Q$4:Q$251,MATCH('Table 2.2a'!$A22&amp;'Table 2.2a'!$B22,UtilityList!$A$4:$A$251&amp;UtilityList!$C$4:$C$251,0))</f>
        <v>Receives power form Tok via intertie. Dot Lake's data includes Dot Lake Village's information. For fuel use and cost information, please refer to Tok.</v>
      </c>
      <c r="N22" s="452" t="str">
        <f t="array" ref="N22">IFERROR((INDEX(UtilityList!J$4:J$251,MATCH('Table 2.2a'!$A22&amp;'Table 2.2a'!$B22,UtilityList!$A$4:$A$251&amp;UtilityList!$C$4:$C$251,0))),INDEX(UtilityList!J$4:J$251,MATCH('Table 2.2a'!$A22,UtilityList!$A$4:$A$251,0)))</f>
        <v>Yukon-Koyukuk/Upper Tanana</v>
      </c>
      <c r="O22" s="452" t="str">
        <f t="array" ref="O22">IFERROR((INDEX(UtilityList!K$4:K$251,MATCH('Table 2.2a'!$A22&amp;'Table 2.2a'!$B22,UtilityList!$A$4:$A$251&amp;UtilityList!$C$4:$C$251,0))),INDEX(UtilityList!K$4:K$251,MATCH('Table 2.2a'!$A22,UtilityList!$A$4:$A$251,0)))</f>
        <v>Southeast Fairbanks (CA)</v>
      </c>
      <c r="P22" s="452" t="str">
        <f t="array" ref="P22">IFERROR((INDEX(UtilityList!L$4:L$251,MATCH('Table 2.2a'!$A22&amp;'Table 2.2a'!$B22,UtilityList!$A$4:$A$251&amp;UtilityList!$C$4:$C$251,0))),INDEX(UtilityList!L$4:L$251,MATCH('Table 2.2a'!$A22,UtilityList!$A$4:$A$251,0)))</f>
        <v>Doyon</v>
      </c>
      <c r="Q22" s="452" t="str">
        <f t="array" ref="Q22">IFERROR((INDEX(UtilityList!M$4:M$251,MATCH('Table 2.2a'!$A22&amp;'Table 2.2a'!$B22,UtilityList!$A$4:$A$251&amp;UtilityList!$C$4:$C$251,0))),INDEX(UtilityList!M$4:M$251,MATCH('Table 2.2a'!$A22,UtilityList!$A$4:$A$251,0)))</f>
        <v>YU</v>
      </c>
      <c r="R22" s="204"/>
    </row>
    <row r="23" spans="1:18" s="126" customFormat="1" ht="30" x14ac:dyDescent="0.25">
      <c r="A23" s="633" t="s">
        <v>43</v>
      </c>
      <c r="B23" s="633" t="s">
        <v>686</v>
      </c>
      <c r="C23" s="629">
        <v>761.59900000000005</v>
      </c>
      <c r="D23" s="629">
        <v>0</v>
      </c>
      <c r="E23" s="629">
        <v>0</v>
      </c>
      <c r="F23" s="629">
        <v>761.59900000000005</v>
      </c>
      <c r="G23" s="629">
        <v>669.57</v>
      </c>
      <c r="H23" s="629">
        <v>0</v>
      </c>
      <c r="I23" s="629">
        <v>0</v>
      </c>
      <c r="J23" s="629">
        <v>11.856999999999999</v>
      </c>
      <c r="K23" s="629">
        <v>80.172000000000025</v>
      </c>
      <c r="L23" s="634" t="s">
        <v>356</v>
      </c>
      <c r="M23" s="627" t="str">
        <f t="array" ref="M23">INDEX(UtilityList!Q$4:Q$251,MATCH('Table 2.2a'!$A23&amp;'Table 2.2a'!$B23,UtilityList!$A$4:$A$251&amp;UtilityList!$C$4:$C$251,0))</f>
        <v>Provides power to Eagle Village via intertie. Data includes Eagle Village's information.</v>
      </c>
      <c r="N23" s="452" t="str">
        <f t="array" ref="N23">IFERROR((INDEX(UtilityList!J$4:J$251,MATCH('Table 2.2a'!$A23&amp;'Table 2.2a'!$B23,UtilityList!$A$4:$A$251&amp;UtilityList!$C$4:$C$251,0))),INDEX(UtilityList!J$4:J$251,MATCH('Table 2.2a'!$A23,UtilityList!$A$4:$A$251,0)))</f>
        <v>Yukon-Koyukuk/Upper Tanana</v>
      </c>
      <c r="O23" s="452" t="str">
        <f t="array" ref="O23">IFERROR((INDEX(UtilityList!K$4:K$251,MATCH('Table 2.2a'!$A23&amp;'Table 2.2a'!$B23,UtilityList!$A$4:$A$251&amp;UtilityList!$C$4:$C$251,0))),INDEX(UtilityList!K$4:K$251,MATCH('Table 2.2a'!$A23,UtilityList!$A$4:$A$251,0)))</f>
        <v>Southeast Fairbanks (CA)</v>
      </c>
      <c r="P23" s="452" t="str">
        <f t="array" ref="P23">IFERROR((INDEX(UtilityList!L$4:L$251,MATCH('Table 2.2a'!$A23&amp;'Table 2.2a'!$B23,UtilityList!$A$4:$A$251&amp;UtilityList!$C$4:$C$251,0))),INDEX(UtilityList!L$4:L$251,MATCH('Table 2.2a'!$A23,UtilityList!$A$4:$A$251,0)))</f>
        <v>Doyon</v>
      </c>
      <c r="Q23" s="452" t="str">
        <f t="array" ref="Q23">IFERROR((INDEX(UtilityList!M$4:M$251,MATCH('Table 2.2a'!$A23&amp;'Table 2.2a'!$B23,UtilityList!$A$4:$A$251&amp;UtilityList!$C$4:$C$251,0))),INDEX(UtilityList!M$4:M$251,MATCH('Table 2.2a'!$A23,UtilityList!$A$4:$A$251,0)))</f>
        <v>YU</v>
      </c>
      <c r="R23" s="204"/>
    </row>
    <row r="24" spans="1:18" s="126" customFormat="1" ht="45" x14ac:dyDescent="0.25">
      <c r="A24" s="633" t="s">
        <v>43</v>
      </c>
      <c r="B24" s="633" t="s">
        <v>50</v>
      </c>
      <c r="C24" s="629">
        <v>485.2</v>
      </c>
      <c r="D24" s="629">
        <v>14356.633</v>
      </c>
      <c r="E24" s="629">
        <v>0</v>
      </c>
      <c r="F24" s="629">
        <v>14841.833000000001</v>
      </c>
      <c r="G24" s="629">
        <v>12800</v>
      </c>
      <c r="H24" s="629">
        <v>0</v>
      </c>
      <c r="I24" s="629">
        <v>0</v>
      </c>
      <c r="J24" s="629">
        <v>308.72000000000003</v>
      </c>
      <c r="K24" s="629">
        <v>1733.1130000000012</v>
      </c>
      <c r="L24" s="634" t="s">
        <v>356</v>
      </c>
      <c r="M24" s="627" t="str">
        <f t="array" ref="M24">INDEX(UtilityList!Q$4:Q$251,MATCH('Table 2.2a'!$A24&amp;'Table 2.2a'!$B24,UtilityList!$A$4:$A$251&amp;UtilityList!$C$4:$C$251,0))</f>
        <v>Plant is also referred to as Lutak. Part of the Alaska Power Company's grid in the Upper Lynn Canal service area.</v>
      </c>
      <c r="N24" s="452" t="str">
        <f t="array" ref="N24">IFERROR((INDEX(UtilityList!J$4:J$251,MATCH('Table 2.2a'!$A24&amp;'Table 2.2a'!$B24,UtilityList!$A$4:$A$251&amp;UtilityList!$C$4:$C$251,0))),INDEX(UtilityList!J$4:J$251,MATCH('Table 2.2a'!$A24,UtilityList!$A$4:$A$251,0)))</f>
        <v>Southeast</v>
      </c>
      <c r="O24" s="452" t="str">
        <f t="array" ref="O24">IFERROR((INDEX(UtilityList!K$4:K$251,MATCH('Table 2.2a'!$A24&amp;'Table 2.2a'!$B24,UtilityList!$A$4:$A$251&amp;UtilityList!$C$4:$C$251,0))),INDEX(UtilityList!K$4:K$251,MATCH('Table 2.2a'!$A24,UtilityList!$A$4:$A$251,0)))</f>
        <v>Haines</v>
      </c>
      <c r="P24" s="452" t="str">
        <f t="array" ref="P24">IFERROR((INDEX(UtilityList!L$4:L$251,MATCH('Table 2.2a'!$A24&amp;'Table 2.2a'!$B24,UtilityList!$A$4:$A$251&amp;UtilityList!$C$4:$C$251,0))),INDEX(UtilityList!L$4:L$251,MATCH('Table 2.2a'!$A24,UtilityList!$A$4:$A$251,0)))</f>
        <v>Sealaska</v>
      </c>
      <c r="Q24" s="452" t="str">
        <f t="array" ref="Q24">IFERROR((INDEX(UtilityList!M$4:M$251,MATCH('Table 2.2a'!$A24&amp;'Table 2.2a'!$B24,UtilityList!$A$4:$A$251&amp;UtilityList!$C$4:$C$251,0))),INDEX(UtilityList!M$4:M$251,MATCH('Table 2.2a'!$A24,UtilityList!$A$4:$A$251,0)))</f>
        <v>SE</v>
      </c>
      <c r="R24" s="204"/>
    </row>
    <row r="25" spans="1:18" s="187" customFormat="1" ht="15" x14ac:dyDescent="0.25">
      <c r="A25" s="633" t="s">
        <v>43</v>
      </c>
      <c r="B25" s="633" t="s">
        <v>51</v>
      </c>
      <c r="C25" s="629">
        <v>85.533000000000001</v>
      </c>
      <c r="D25" s="629">
        <v>0</v>
      </c>
      <c r="E25" s="629">
        <v>0</v>
      </c>
      <c r="F25" s="629">
        <v>85.533000000000001</v>
      </c>
      <c r="G25" s="629">
        <v>71.555000000000007</v>
      </c>
      <c r="H25" s="629">
        <v>0</v>
      </c>
      <c r="I25" s="629">
        <v>0</v>
      </c>
      <c r="J25" s="629">
        <v>2.2330000000000001</v>
      </c>
      <c r="K25" s="629">
        <v>11.74499999999999</v>
      </c>
      <c r="L25" s="634" t="s">
        <v>356</v>
      </c>
      <c r="M25" s="627">
        <f t="array" ref="M25">INDEX(UtilityList!Q$4:Q$251,MATCH('Table 2.2a'!$A25&amp;'Table 2.2a'!$B25,UtilityList!$A$4:$A$251&amp;UtilityList!$C$4:$C$251,0))</f>
        <v>0</v>
      </c>
      <c r="N25" s="452" t="str">
        <f t="array" ref="N25">IFERROR((INDEX(UtilityList!J$4:J$251,MATCH('Table 2.2a'!$A25&amp;'Table 2.2a'!$B25,UtilityList!$A$4:$A$251&amp;UtilityList!$C$4:$C$251,0))),INDEX(UtilityList!J$4:J$251,MATCH('Table 2.2a'!$A25,UtilityList!$A$4:$A$251,0)))</f>
        <v>Yukon-Koyukuk/Upper Tanana</v>
      </c>
      <c r="O25" s="452" t="str">
        <f t="array" ref="O25">IFERROR((INDEX(UtilityList!K$4:K$251,MATCH('Table 2.2a'!$A25&amp;'Table 2.2a'!$B25,UtilityList!$A$4:$A$251&amp;UtilityList!$C$4:$C$251,0))),INDEX(UtilityList!K$4:K$251,MATCH('Table 2.2a'!$A25,UtilityList!$A$4:$A$251,0)))</f>
        <v>Southeast Fairbanks (CA)</v>
      </c>
      <c r="P25" s="452" t="str">
        <f t="array" ref="P25">IFERROR((INDEX(UtilityList!L$4:L$251,MATCH('Table 2.2a'!$A25&amp;'Table 2.2a'!$B25,UtilityList!$A$4:$A$251&amp;UtilityList!$C$4:$C$251,0))),INDEX(UtilityList!L$4:L$251,MATCH('Table 2.2a'!$A25,UtilityList!$A$4:$A$251,0)))</f>
        <v>Doyon</v>
      </c>
      <c r="Q25" s="452" t="str">
        <f t="array" ref="Q25">IFERROR((INDEX(UtilityList!M$4:M$251,MATCH('Table 2.2a'!$A25&amp;'Table 2.2a'!$B25,UtilityList!$A$4:$A$251&amp;UtilityList!$C$4:$C$251,0))),INDEX(UtilityList!M$4:M$251,MATCH('Table 2.2a'!$A25,UtilityList!$A$4:$A$251,0)))</f>
        <v>YU</v>
      </c>
      <c r="R25" s="204"/>
    </row>
    <row r="26" spans="1:18" s="126" customFormat="1" ht="45" x14ac:dyDescent="0.25">
      <c r="A26" s="633" t="s">
        <v>43</v>
      </c>
      <c r="B26" s="633" t="s">
        <v>52</v>
      </c>
      <c r="C26" s="629">
        <v>0</v>
      </c>
      <c r="D26" s="629">
        <v>0</v>
      </c>
      <c r="E26" s="629">
        <v>0</v>
      </c>
      <c r="F26" s="629">
        <v>0</v>
      </c>
      <c r="G26" s="629">
        <v>899.01</v>
      </c>
      <c r="H26" s="629">
        <v>0</v>
      </c>
      <c r="I26" s="629">
        <v>0</v>
      </c>
      <c r="J26" s="629">
        <v>12.348000000000001</v>
      </c>
      <c r="K26" s="629">
        <v>-911.35799999999995</v>
      </c>
      <c r="L26" s="634" t="s">
        <v>356</v>
      </c>
      <c r="M26" s="627" t="str">
        <f t="array" ref="M26">INDEX(UtilityList!Q$4:Q$251,MATCH('Table 2.2a'!$A26&amp;'Table 2.2a'!$B26,UtilityList!$A$4:$A$251&amp;UtilityList!$C$4:$C$251,0))</f>
        <v>Part of the Alaska Power Company's grid on Prince of Wales Island. Receives power from Craig. Refer to Craig for fuel use and cost.</v>
      </c>
      <c r="N26" s="452" t="str">
        <f t="array" ref="N26">IFERROR((INDEX(UtilityList!J$4:J$251,MATCH('Table 2.2a'!$A26&amp;'Table 2.2a'!$B26,UtilityList!$A$4:$A$251&amp;UtilityList!$C$4:$C$251,0))),INDEX(UtilityList!J$4:J$251,MATCH('Table 2.2a'!$A26,UtilityList!$A$4:$A$251,0)))</f>
        <v>Southeast</v>
      </c>
      <c r="O26" s="452" t="str">
        <f t="array" ref="O26">IFERROR((INDEX(UtilityList!K$4:K$251,MATCH('Table 2.2a'!$A26&amp;'Table 2.2a'!$B26,UtilityList!$A$4:$A$251&amp;UtilityList!$C$4:$C$251,0))),INDEX(UtilityList!K$4:K$251,MATCH('Table 2.2a'!$A26,UtilityList!$A$4:$A$251,0)))</f>
        <v>Prince of Wales-Hyder (CA)</v>
      </c>
      <c r="P26" s="452" t="str">
        <f t="array" ref="P26">IFERROR((INDEX(UtilityList!L$4:L$251,MATCH('Table 2.2a'!$A26&amp;'Table 2.2a'!$B26,UtilityList!$A$4:$A$251&amp;UtilityList!$C$4:$C$251,0))),INDEX(UtilityList!L$4:L$251,MATCH('Table 2.2a'!$A26,UtilityList!$A$4:$A$251,0)))</f>
        <v>Sealaska</v>
      </c>
      <c r="Q26" s="452" t="str">
        <f t="array" ref="Q26">IFERROR((INDEX(UtilityList!M$4:M$251,MATCH('Table 2.2a'!$A26&amp;'Table 2.2a'!$B26,UtilityList!$A$4:$A$251&amp;UtilityList!$C$4:$C$251,0))),INDEX(UtilityList!M$4:M$251,MATCH('Table 2.2a'!$A26,UtilityList!$A$4:$A$251,0)))</f>
        <v>SE</v>
      </c>
      <c r="R26" s="204"/>
    </row>
    <row r="27" spans="1:18" s="126" customFormat="1" ht="45" x14ac:dyDescent="0.25">
      <c r="A27" s="633" t="s">
        <v>43</v>
      </c>
      <c r="B27" s="633" t="s">
        <v>53</v>
      </c>
      <c r="C27" s="629">
        <v>0</v>
      </c>
      <c r="D27" s="629">
        <v>0</v>
      </c>
      <c r="E27" s="629">
        <v>0</v>
      </c>
      <c r="F27" s="629">
        <v>0</v>
      </c>
      <c r="G27" s="629">
        <v>1374.1569999999999</v>
      </c>
      <c r="H27" s="629">
        <v>0</v>
      </c>
      <c r="I27" s="629">
        <v>0</v>
      </c>
      <c r="J27" s="629">
        <v>23.92</v>
      </c>
      <c r="K27" s="629">
        <v>-1398.077</v>
      </c>
      <c r="L27" s="634" t="s">
        <v>356</v>
      </c>
      <c r="M27" s="627" t="str">
        <f t="array" ref="M27">INDEX(UtilityList!Q$4:Q$251,MATCH('Table 2.2a'!$A27&amp;'Table 2.2a'!$B27,UtilityList!$A$4:$A$251&amp;UtilityList!$C$4:$C$251,0))</f>
        <v>Part of the Alaska Power Company's grid on Prince of Wales Island. Receives power from Craig. Refer to Craig for fuel use and cost.</v>
      </c>
      <c r="N27" s="452" t="str">
        <f t="array" ref="N27">IFERROR((INDEX(UtilityList!J$4:J$251,MATCH('Table 2.2a'!$A27&amp;'Table 2.2a'!$B27,UtilityList!$A$4:$A$251&amp;UtilityList!$C$4:$C$251,0))),INDEX(UtilityList!J$4:J$251,MATCH('Table 2.2a'!$A27,UtilityList!$A$4:$A$251,0)))</f>
        <v>Southeast</v>
      </c>
      <c r="O27" s="452" t="str">
        <f t="array" ref="O27">IFERROR((INDEX(UtilityList!K$4:K$251,MATCH('Table 2.2a'!$A27&amp;'Table 2.2a'!$B27,UtilityList!$A$4:$A$251&amp;UtilityList!$C$4:$C$251,0))),INDEX(UtilityList!K$4:K$251,MATCH('Table 2.2a'!$A27,UtilityList!$A$4:$A$251,0)))</f>
        <v>Prince of Wales-Hyder (CA)</v>
      </c>
      <c r="P27" s="452" t="str">
        <f t="array" ref="P27">IFERROR((INDEX(UtilityList!L$4:L$251,MATCH('Table 2.2a'!$A27&amp;'Table 2.2a'!$B27,UtilityList!$A$4:$A$251&amp;UtilityList!$C$4:$C$251,0))),INDEX(UtilityList!L$4:L$251,MATCH('Table 2.2a'!$A27,UtilityList!$A$4:$A$251,0)))</f>
        <v>Sealaska</v>
      </c>
      <c r="Q27" s="452" t="str">
        <f t="array" ref="Q27">IFERROR((INDEX(UtilityList!M$4:M$251,MATCH('Table 2.2a'!$A27&amp;'Table 2.2a'!$B27,UtilityList!$A$4:$A$251&amp;UtilityList!$C$4:$C$251,0))),INDEX(UtilityList!M$4:M$251,MATCH('Table 2.2a'!$A27,UtilityList!$A$4:$A$251,0)))</f>
        <v>SE</v>
      </c>
      <c r="R27" s="204"/>
    </row>
    <row r="28" spans="1:18" s="126" customFormat="1" ht="45" x14ac:dyDescent="0.25">
      <c r="A28" s="633" t="s">
        <v>43</v>
      </c>
      <c r="B28" s="633" t="s">
        <v>54</v>
      </c>
      <c r="C28" s="629">
        <v>0</v>
      </c>
      <c r="D28" s="629">
        <v>0</v>
      </c>
      <c r="E28" s="629">
        <v>0</v>
      </c>
      <c r="F28" s="629">
        <v>0</v>
      </c>
      <c r="G28" s="629">
        <v>8326.3209999999999</v>
      </c>
      <c r="H28" s="629">
        <v>0</v>
      </c>
      <c r="I28" s="629">
        <v>0</v>
      </c>
      <c r="J28" s="629">
        <v>27.4</v>
      </c>
      <c r="K28" s="629">
        <v>-8353.7209999999995</v>
      </c>
      <c r="L28" s="634" t="s">
        <v>356</v>
      </c>
      <c r="M28" s="627" t="str">
        <f t="array" ref="M28">INDEX(UtilityList!Q$4:Q$251,MATCH('Table 2.2a'!$A28&amp;'Table 2.2a'!$B28,UtilityList!$A$4:$A$251&amp;UtilityList!$C$4:$C$251,0))</f>
        <v>Part of the Alaska Power Company's grid on Prince of Wales Island. Receives power from Craig. Refer to Craig for fuel use and cost.</v>
      </c>
      <c r="N28" s="452" t="str">
        <f t="array" ref="N28">IFERROR((INDEX(UtilityList!J$4:J$251,MATCH('Table 2.2a'!$A28&amp;'Table 2.2a'!$B28,UtilityList!$A$4:$A$251&amp;UtilityList!$C$4:$C$251,0))),INDEX(UtilityList!J$4:J$251,MATCH('Table 2.2a'!$A28,UtilityList!$A$4:$A$251,0)))</f>
        <v>Southeast</v>
      </c>
      <c r="O28" s="452" t="str">
        <f t="array" ref="O28">IFERROR((INDEX(UtilityList!K$4:K$251,MATCH('Table 2.2a'!$A28&amp;'Table 2.2a'!$B28,UtilityList!$A$4:$A$251&amp;UtilityList!$C$4:$C$251,0))),INDEX(UtilityList!K$4:K$251,MATCH('Table 2.2a'!$A28,UtilityList!$A$4:$A$251,0)))</f>
        <v>Prince of Wales-Hyder (CA)</v>
      </c>
      <c r="P28" s="452" t="str">
        <f t="array" ref="P28">IFERROR((INDEX(UtilityList!L$4:L$251,MATCH('Table 2.2a'!$A28&amp;'Table 2.2a'!$B28,UtilityList!$A$4:$A$251&amp;UtilityList!$C$4:$C$251,0))),INDEX(UtilityList!L$4:L$251,MATCH('Table 2.2a'!$A28,UtilityList!$A$4:$A$251,0)))</f>
        <v>Sealaska</v>
      </c>
      <c r="Q28" s="452" t="str">
        <f t="array" ref="Q28">IFERROR((INDEX(UtilityList!M$4:M$251,MATCH('Table 2.2a'!$A28&amp;'Table 2.2a'!$B28,UtilityList!$A$4:$A$251&amp;UtilityList!$C$4:$C$251,0))),INDEX(UtilityList!M$4:M$251,MATCH('Table 2.2a'!$A28,UtilityList!$A$4:$A$251,0)))</f>
        <v>SE</v>
      </c>
      <c r="R28" s="344"/>
    </row>
    <row r="29" spans="1:18" s="187" customFormat="1" ht="15" x14ac:dyDescent="0.25">
      <c r="A29" s="633" t="s">
        <v>43</v>
      </c>
      <c r="B29" s="633" t="s">
        <v>55</v>
      </c>
      <c r="C29" s="629">
        <v>239.607</v>
      </c>
      <c r="D29" s="629">
        <v>0</v>
      </c>
      <c r="E29" s="629">
        <v>0</v>
      </c>
      <c r="F29" s="629">
        <v>239.607</v>
      </c>
      <c r="G29" s="629">
        <v>355.76</v>
      </c>
      <c r="H29" s="629">
        <v>0</v>
      </c>
      <c r="I29" s="629">
        <v>0</v>
      </c>
      <c r="J29" s="629">
        <v>2.4990000000000001</v>
      </c>
      <c r="K29" s="629">
        <v>-118.65200000000002</v>
      </c>
      <c r="L29" s="634" t="s">
        <v>356</v>
      </c>
      <c r="M29" s="627">
        <f t="array" ref="M29">INDEX(UtilityList!Q$4:Q$251,MATCH('Table 2.2a'!$A29&amp;'Table 2.2a'!$B29,UtilityList!$A$4:$A$251&amp;UtilityList!$C$4:$C$251,0))</f>
        <v>0</v>
      </c>
      <c r="N29" s="452" t="str">
        <f t="array" ref="N29">IFERROR((INDEX(UtilityList!J$4:J$251,MATCH('Table 2.2a'!$A29&amp;'Table 2.2a'!$B29,UtilityList!$A$4:$A$251&amp;UtilityList!$C$4:$C$251,0))),INDEX(UtilityList!J$4:J$251,MATCH('Table 2.2a'!$A29,UtilityList!$A$4:$A$251,0)))</f>
        <v>Copper River/Chugach</v>
      </c>
      <c r="O29" s="452" t="str">
        <f t="array" ref="O29">IFERROR((INDEX(UtilityList!K$4:K$251,MATCH('Table 2.2a'!$A29&amp;'Table 2.2a'!$B29,UtilityList!$A$4:$A$251&amp;UtilityList!$C$4:$C$251,0))),INDEX(UtilityList!K$4:K$251,MATCH('Table 2.2a'!$A29,UtilityList!$A$4:$A$251,0)))</f>
        <v>Valdez-Cordova (CA)</v>
      </c>
      <c r="P29" s="452" t="str">
        <f t="array" ref="P29">IFERROR((INDEX(UtilityList!L$4:L$251,MATCH('Table 2.2a'!$A29&amp;'Table 2.2a'!$B29,UtilityList!$A$4:$A$251&amp;UtilityList!$C$4:$C$251,0))),INDEX(UtilityList!L$4:L$251,MATCH('Table 2.2a'!$A29,UtilityList!$A$4:$A$251,0)))</f>
        <v>Ahtna</v>
      </c>
      <c r="Q29" s="452" t="str">
        <f t="array" ref="Q29">IFERROR((INDEX(UtilityList!M$4:M$251,MATCH('Table 2.2a'!$A29&amp;'Table 2.2a'!$B29,UtilityList!$A$4:$A$251&amp;UtilityList!$C$4:$C$251,0))),INDEX(UtilityList!M$4:M$251,MATCH('Table 2.2a'!$A29,UtilityList!$A$4:$A$251,0)))</f>
        <v>YU</v>
      </c>
      <c r="R29" s="344"/>
    </row>
    <row r="30" spans="1:18" s="126" customFormat="1" ht="15" x14ac:dyDescent="0.25">
      <c r="A30" s="633" t="s">
        <v>43</v>
      </c>
      <c r="B30" s="633" t="s">
        <v>56</v>
      </c>
      <c r="C30" s="629">
        <v>462.65199999999999</v>
      </c>
      <c r="D30" s="629">
        <v>0</v>
      </c>
      <c r="E30" s="629">
        <v>0</v>
      </c>
      <c r="F30" s="629">
        <v>462.65199999999999</v>
      </c>
      <c r="G30" s="629">
        <v>425.06099999999998</v>
      </c>
      <c r="H30" s="629">
        <v>0</v>
      </c>
      <c r="I30" s="629">
        <v>0</v>
      </c>
      <c r="J30" s="629">
        <v>12.744</v>
      </c>
      <c r="K30" s="629">
        <v>24.847000000000037</v>
      </c>
      <c r="L30" s="634" t="s">
        <v>356</v>
      </c>
      <c r="M30" s="627">
        <f t="array" ref="M30">INDEX(UtilityList!Q$4:Q$251,MATCH('Table 2.2a'!$A30&amp;'Table 2.2a'!$B30,UtilityList!$A$4:$A$251&amp;UtilityList!$C$4:$C$251,0))</f>
        <v>0</v>
      </c>
      <c r="N30" s="452" t="str">
        <f t="array" ref="N30">IFERROR((INDEX(UtilityList!J$4:J$251,MATCH('Table 2.2a'!$A30&amp;'Table 2.2a'!$B30,UtilityList!$A$4:$A$251&amp;UtilityList!$C$4:$C$251,0))),INDEX(UtilityList!J$4:J$251,MATCH('Table 2.2a'!$A30,UtilityList!$A$4:$A$251,0)))</f>
        <v>Southeast</v>
      </c>
      <c r="O30" s="452" t="str">
        <f t="array" ref="O30">IFERROR((INDEX(UtilityList!K$4:K$251,MATCH('Table 2.2a'!$A30&amp;'Table 2.2a'!$B30,UtilityList!$A$4:$A$251&amp;UtilityList!$C$4:$C$251,0))),INDEX(UtilityList!K$4:K$251,MATCH('Table 2.2a'!$A30,UtilityList!$A$4:$A$251,0)))</f>
        <v>Prince of Wales-Hyder (CA)</v>
      </c>
      <c r="P30" s="452" t="str">
        <f t="array" ref="P30">IFERROR((INDEX(UtilityList!L$4:L$251,MATCH('Table 2.2a'!$A30&amp;'Table 2.2a'!$B30,UtilityList!$A$4:$A$251&amp;UtilityList!$C$4:$C$251,0))),INDEX(UtilityList!L$4:L$251,MATCH('Table 2.2a'!$A30,UtilityList!$A$4:$A$251,0)))</f>
        <v>Sealaska</v>
      </c>
      <c r="Q30" s="452" t="str">
        <f t="array" ref="Q30">IFERROR((INDEX(UtilityList!M$4:M$251,MATCH('Table 2.2a'!$A30&amp;'Table 2.2a'!$B30,UtilityList!$A$4:$A$251&amp;UtilityList!$C$4:$C$251,0))),INDEX(UtilityList!M$4:M$251,MATCH('Table 2.2a'!$A30,UtilityList!$A$4:$A$251,0)))</f>
        <v>SE</v>
      </c>
      <c r="R30" s="344"/>
    </row>
    <row r="31" spans="1:18" s="187" customFormat="1" ht="45" x14ac:dyDescent="0.25">
      <c r="A31" s="633" t="s">
        <v>43</v>
      </c>
      <c r="B31" s="633" t="s">
        <v>683</v>
      </c>
      <c r="C31" s="629">
        <v>1298.1220000000001</v>
      </c>
      <c r="D31" s="629">
        <v>0</v>
      </c>
      <c r="E31" s="629">
        <v>0</v>
      </c>
      <c r="F31" s="629">
        <v>1298.1220000000001</v>
      </c>
      <c r="G31" s="629">
        <v>1185.671</v>
      </c>
      <c r="H31" s="629">
        <v>0</v>
      </c>
      <c r="I31" s="629">
        <v>0</v>
      </c>
      <c r="J31" s="629">
        <v>13.263273</v>
      </c>
      <c r="K31" s="629">
        <v>99.187726999999995</v>
      </c>
      <c r="L31" s="634" t="s">
        <v>356</v>
      </c>
      <c r="M31" s="627" t="str">
        <f t="array" ref="M31">INDEX(UtilityList!Q$4:Q$251,MATCH('Table 2.2a'!$A31&amp;'Table 2.2a'!$B31,UtilityList!$A$4:$A$251&amp;UtilityList!$C$4:$C$251,0))</f>
        <v>Provides power to Northway Village via intertie. Data includes Northway Village's information.</v>
      </c>
      <c r="N31" s="452" t="str">
        <f t="array" ref="N31">IFERROR((INDEX(UtilityList!J$4:J$251,MATCH('Table 2.2a'!$A31&amp;'Table 2.2a'!$B31,UtilityList!$A$4:$A$251&amp;UtilityList!$C$4:$C$251,0))),INDEX(UtilityList!J$4:J$251,MATCH('Table 2.2a'!$A31,UtilityList!$A$4:$A$251,0)))</f>
        <v>Yukon-Koyukuk/Upper Tanana</v>
      </c>
      <c r="O31" s="452" t="str">
        <f t="array" ref="O31">IFERROR((INDEX(UtilityList!K$4:K$251,MATCH('Table 2.2a'!$A31&amp;'Table 2.2a'!$B31,UtilityList!$A$4:$A$251&amp;UtilityList!$C$4:$C$251,0))),INDEX(UtilityList!K$4:K$251,MATCH('Table 2.2a'!$A31,UtilityList!$A$4:$A$251,0)))</f>
        <v>Southeast Fairbanks (CA)</v>
      </c>
      <c r="P31" s="452" t="str">
        <f t="array" ref="P31">IFERROR((INDEX(UtilityList!L$4:L$251,MATCH('Table 2.2a'!$A31&amp;'Table 2.2a'!$B31,UtilityList!$A$4:$A$251&amp;UtilityList!$C$4:$C$251,0))),INDEX(UtilityList!L$4:L$251,MATCH('Table 2.2a'!$A31,UtilityList!$A$4:$A$251,0)))</f>
        <v>Doyon</v>
      </c>
      <c r="Q31" s="452" t="str">
        <f t="array" ref="Q31">IFERROR((INDEX(UtilityList!M$4:M$251,MATCH('Table 2.2a'!$A31&amp;'Table 2.2a'!$B31,UtilityList!$A$4:$A$251&amp;UtilityList!$C$4:$C$251,0))),INDEX(UtilityList!M$4:M$251,MATCH('Table 2.2a'!$A31,UtilityList!$A$4:$A$251,0)))</f>
        <v>YU</v>
      </c>
      <c r="R31" s="126"/>
    </row>
    <row r="32" spans="1:18" s="187" customFormat="1" ht="30" x14ac:dyDescent="0.25">
      <c r="A32" s="633" t="s">
        <v>43</v>
      </c>
      <c r="B32" s="633" t="s">
        <v>60</v>
      </c>
      <c r="C32" s="629">
        <v>3209.04</v>
      </c>
      <c r="D32" s="629">
        <v>10065.152</v>
      </c>
      <c r="E32" s="629">
        <v>0</v>
      </c>
      <c r="F32" s="629">
        <v>13274.191999999999</v>
      </c>
      <c r="G32" s="629">
        <v>12200</v>
      </c>
      <c r="H32" s="629">
        <v>0</v>
      </c>
      <c r="I32" s="629">
        <v>0</v>
      </c>
      <c r="J32" s="629">
        <v>164.423</v>
      </c>
      <c r="K32" s="629">
        <v>909.76899999999841</v>
      </c>
      <c r="L32" s="634" t="s">
        <v>356</v>
      </c>
      <c r="M32" s="627" t="str">
        <f t="array" ref="M32">INDEX(UtilityList!Q$4:Q$251,MATCH('Table 2.2a'!$A32&amp;'Table 2.2a'!$B32,UtilityList!$A$4:$A$251&amp;UtilityList!$C$4:$C$251,0))</f>
        <v>Part of the Alaska Power Company's grid in the Upper Lynn Canal service area.</v>
      </c>
      <c r="N32" s="452" t="str">
        <f t="array" ref="N32">IFERROR((INDEX(UtilityList!J$4:J$251,MATCH('Table 2.2a'!$A32&amp;'Table 2.2a'!$B32,UtilityList!$A$4:$A$251&amp;UtilityList!$C$4:$C$251,0))),INDEX(UtilityList!J$4:J$251,MATCH('Table 2.2a'!$A32,UtilityList!$A$4:$A$251,0)))</f>
        <v>Southeast</v>
      </c>
      <c r="O32" s="452" t="str">
        <f t="array" ref="O32">IFERROR((INDEX(UtilityList!K$4:K$251,MATCH('Table 2.2a'!$A32&amp;'Table 2.2a'!$B32,UtilityList!$A$4:$A$251&amp;UtilityList!$C$4:$C$251,0))),INDEX(UtilityList!K$4:K$251,MATCH('Table 2.2a'!$A32,UtilityList!$A$4:$A$251,0)))</f>
        <v>Skagway</v>
      </c>
      <c r="P32" s="452" t="str">
        <f t="array" ref="P32">IFERROR((INDEX(UtilityList!L$4:L$251,MATCH('Table 2.2a'!$A32&amp;'Table 2.2a'!$B32,UtilityList!$A$4:$A$251&amp;UtilityList!$C$4:$C$251,0))),INDEX(UtilityList!L$4:L$251,MATCH('Table 2.2a'!$A32,UtilityList!$A$4:$A$251,0)))</f>
        <v>Sealaska</v>
      </c>
      <c r="Q32" s="452" t="str">
        <f t="array" ref="Q32">IFERROR((INDEX(UtilityList!M$4:M$251,MATCH('Table 2.2a'!$A32&amp;'Table 2.2a'!$B32,UtilityList!$A$4:$A$251&amp;UtilityList!$C$4:$C$251,0))),INDEX(UtilityList!M$4:M$251,MATCH('Table 2.2a'!$A32,UtilityList!$A$4:$A$251,0)))</f>
        <v>SE</v>
      </c>
      <c r="R32" s="126"/>
    </row>
    <row r="33" spans="1:18" s="187" customFormat="1" ht="30" x14ac:dyDescent="0.25">
      <c r="A33" s="633" t="s">
        <v>43</v>
      </c>
      <c r="B33" s="633" t="s">
        <v>995</v>
      </c>
      <c r="C33" s="629">
        <v>1170.4259999999999</v>
      </c>
      <c r="D33" s="629">
        <v>0</v>
      </c>
      <c r="E33" s="629">
        <v>0</v>
      </c>
      <c r="F33" s="629">
        <v>1170.4259999999999</v>
      </c>
      <c r="G33" s="629">
        <v>530.19299999999998</v>
      </c>
      <c r="H33" s="629">
        <v>0</v>
      </c>
      <c r="I33" s="629">
        <v>0</v>
      </c>
      <c r="J33" s="629">
        <v>19.968</v>
      </c>
      <c r="K33" s="629">
        <v>620.26499999999999</v>
      </c>
      <c r="L33" s="634" t="s">
        <v>356</v>
      </c>
      <c r="M33" s="627" t="str">
        <f t="array" ref="M33">INDEX(UtilityList!Q$4:Q$251,MATCH('Table 2.2a'!$A33&amp;'Table 2.2a'!$B33,UtilityList!$A$4:$A$251&amp;UtilityList!$C$4:$C$251,0))</f>
        <v>Provides power to Chistochina via intertie. Includes Chistochina's fuel use and fuel cost.</v>
      </c>
      <c r="N33" s="452" t="str">
        <f t="array" ref="N33">IFERROR((INDEX(UtilityList!J$4:J$251,MATCH('Table 2.2a'!$A33&amp;'Table 2.2a'!$B33,UtilityList!$A$4:$A$251&amp;UtilityList!$C$4:$C$251,0))),INDEX(UtilityList!J$4:J$251,MATCH('Table 2.2a'!$A33,UtilityList!$A$4:$A$251,0)))</f>
        <v>Copper River/Chugach</v>
      </c>
      <c r="O33" s="452" t="str">
        <f t="array" ref="O33">IFERROR((INDEX(UtilityList!K$4:K$251,MATCH('Table 2.2a'!$A33&amp;'Table 2.2a'!$B33,UtilityList!$A$4:$A$251&amp;UtilityList!$C$4:$C$251,0))),INDEX(UtilityList!K$4:K$251,MATCH('Table 2.2a'!$A33,UtilityList!$A$4:$A$251,0)))</f>
        <v>Valdez-Cordova (CA)</v>
      </c>
      <c r="P33" s="452" t="str">
        <f t="array" ref="P33">IFERROR((INDEX(UtilityList!L$4:L$251,MATCH('Table 2.2a'!$A33&amp;'Table 2.2a'!$B33,UtilityList!$A$4:$A$251&amp;UtilityList!$C$4:$C$251,0))),INDEX(UtilityList!L$4:L$251,MATCH('Table 2.2a'!$A33,UtilityList!$A$4:$A$251,0)))</f>
        <v>Ahtna</v>
      </c>
      <c r="Q33" s="452" t="str">
        <f t="array" ref="Q33">IFERROR((INDEX(UtilityList!M$4:M$251,MATCH('Table 2.2a'!$A33&amp;'Table 2.2a'!$B33,UtilityList!$A$4:$A$251&amp;UtilityList!$C$4:$C$251,0))),INDEX(UtilityList!M$4:M$251,MATCH('Table 2.2a'!$A33,UtilityList!$A$4:$A$251,0)))</f>
        <v>YU</v>
      </c>
      <c r="R33" s="126"/>
    </row>
    <row r="34" spans="1:18" s="126" customFormat="1" ht="30" x14ac:dyDescent="0.25">
      <c r="A34" s="633" t="s">
        <v>43</v>
      </c>
      <c r="B34" s="633" t="s">
        <v>62</v>
      </c>
      <c r="C34" s="629">
        <v>0</v>
      </c>
      <c r="D34" s="629">
        <v>0</v>
      </c>
      <c r="E34" s="629">
        <v>0</v>
      </c>
      <c r="F34" s="629">
        <v>0</v>
      </c>
      <c r="G34" s="629">
        <v>332.661</v>
      </c>
      <c r="H34" s="629">
        <v>0</v>
      </c>
      <c r="I34" s="629">
        <v>0</v>
      </c>
      <c r="J34" s="629">
        <v>0</v>
      </c>
      <c r="K34" s="629">
        <v>-332.661</v>
      </c>
      <c r="L34" s="634" t="s">
        <v>356</v>
      </c>
      <c r="M34" s="627" t="str">
        <f t="array" ref="M34">INDEX(UtilityList!Q$4:Q$251,MATCH('Table 2.2a'!$A34&amp;'Table 2.2a'!$B34,UtilityList!$A$4:$A$251&amp;UtilityList!$C$4:$C$251,0))</f>
        <v>Receives power from Tok via intertie. For fuel use and cost information please refer to Tok.</v>
      </c>
      <c r="N34" s="452" t="str">
        <f t="array" ref="N34">IFERROR((INDEX(UtilityList!J$4:J$251,MATCH('Table 2.2a'!$A34&amp;'Table 2.2a'!$B34,UtilityList!$A$4:$A$251&amp;UtilityList!$C$4:$C$251,0))),INDEX(UtilityList!J$4:J$251,MATCH('Table 2.2a'!$A34,UtilityList!$A$4:$A$251,0)))</f>
        <v>Yukon-Koyukuk/Upper Tanana</v>
      </c>
      <c r="O34" s="452" t="str">
        <f t="array" ref="O34">IFERROR((INDEX(UtilityList!K$4:K$251,MATCH('Table 2.2a'!$A34&amp;'Table 2.2a'!$B34,UtilityList!$A$4:$A$251&amp;UtilityList!$C$4:$C$251,0))),INDEX(UtilityList!K$4:K$251,MATCH('Table 2.2a'!$A34,UtilityList!$A$4:$A$251,0)))</f>
        <v>Southeast Fairbanks (CA)</v>
      </c>
      <c r="P34" s="452" t="str">
        <f t="array" ref="P34">IFERROR((INDEX(UtilityList!L$4:L$251,MATCH('Table 2.2a'!$A34&amp;'Table 2.2a'!$B34,UtilityList!$A$4:$A$251&amp;UtilityList!$C$4:$C$251,0))),INDEX(UtilityList!L$4:L$251,MATCH('Table 2.2a'!$A34,UtilityList!$A$4:$A$251,0)))</f>
        <v>Dyon</v>
      </c>
      <c r="Q34" s="452" t="str">
        <f t="array" ref="Q34">IFERROR((INDEX(UtilityList!M$4:M$251,MATCH('Table 2.2a'!$A34&amp;'Table 2.2a'!$B34,UtilityList!$A$4:$A$251&amp;UtilityList!$C$4:$C$251,0))),INDEX(UtilityList!M$4:M$251,MATCH('Table 2.2a'!$A34,UtilityList!$A$4:$A$251,0)))</f>
        <v>YU</v>
      </c>
      <c r="R34" s="187"/>
    </row>
    <row r="35" spans="1:18" s="187" customFormat="1" ht="60" x14ac:dyDescent="0.25">
      <c r="A35" s="633" t="s">
        <v>43</v>
      </c>
      <c r="B35" s="633" t="s">
        <v>681</v>
      </c>
      <c r="C35" s="629">
        <v>0</v>
      </c>
      <c r="D35" s="629">
        <v>0</v>
      </c>
      <c r="E35" s="629" t="s">
        <v>710</v>
      </c>
      <c r="F35" s="629">
        <v>0</v>
      </c>
      <c r="G35" s="629">
        <v>3173.6709999999998</v>
      </c>
      <c r="H35" s="629" t="s">
        <v>710</v>
      </c>
      <c r="I35" s="629">
        <v>0</v>
      </c>
      <c r="J35" s="629">
        <v>82.466999999999999</v>
      </c>
      <c r="K35" s="629">
        <v>0</v>
      </c>
      <c r="L35" s="634" t="s">
        <v>356</v>
      </c>
      <c r="M35" s="627" t="str">
        <f t="array" ref="M35">INDEX(UtilityList!Q$4:Q$251,MATCH('Table 2.2a'!$A35&amp;'Table 2.2a'!$B35,UtilityList!$A$4:$A$251&amp;UtilityList!$C$4:$C$251,0))</f>
        <v>Part of the Alaska Power Company's grid on Prince of Wales Island. Receives power from Craig. Refer to Craig for fuel use and cost. Includes data for Kaasan.</v>
      </c>
      <c r="N35" s="452" t="str">
        <f t="array" ref="N35">IFERROR((INDEX(UtilityList!J$4:J$251,MATCH('Table 2.2a'!$A35&amp;'Table 2.2a'!$B35,UtilityList!$A$4:$A$251&amp;UtilityList!$C$4:$C$251,0))),INDEX(UtilityList!J$4:J$251,MATCH('Table 2.2a'!$A35,UtilityList!$A$4:$A$251,0)))</f>
        <v>Southeast</v>
      </c>
      <c r="O35" s="452" t="str">
        <f t="array" ref="O35">IFERROR((INDEX(UtilityList!K$4:K$251,MATCH('Table 2.2a'!$A35&amp;'Table 2.2a'!$B35,UtilityList!$A$4:$A$251&amp;UtilityList!$C$4:$C$251,0))),INDEX(UtilityList!K$4:K$251,MATCH('Table 2.2a'!$A35,UtilityList!$A$4:$A$251,0)))</f>
        <v>Prince of Wales-Hyder (CA)</v>
      </c>
      <c r="P35" s="452" t="str">
        <f t="array" ref="P35">IFERROR((INDEX(UtilityList!L$4:L$251,MATCH('Table 2.2a'!$A35&amp;'Table 2.2a'!$B35,UtilityList!$A$4:$A$251&amp;UtilityList!$C$4:$C$251,0))),INDEX(UtilityList!L$4:L$251,MATCH('Table 2.2a'!$A35,UtilityList!$A$4:$A$251,0)))</f>
        <v>Sealaska</v>
      </c>
      <c r="Q35" s="452" t="str">
        <f t="array" ref="Q35">IFERROR((INDEX(UtilityList!M$4:M$251,MATCH('Table 2.2a'!$A35&amp;'Table 2.2a'!$B35,UtilityList!$A$4:$A$251&amp;UtilityList!$C$4:$C$251,0))),INDEX(UtilityList!M$4:M$251,MATCH('Table 2.2a'!$A35,UtilityList!$A$4:$A$251,0)))</f>
        <v>SE</v>
      </c>
    </row>
    <row r="36" spans="1:18" s="187" customFormat="1" ht="60" x14ac:dyDescent="0.25">
      <c r="A36" s="633" t="s">
        <v>43</v>
      </c>
      <c r="B36" s="633" t="s">
        <v>685</v>
      </c>
      <c r="C36" s="629">
        <v>10600</v>
      </c>
      <c r="D36" s="629">
        <v>0</v>
      </c>
      <c r="E36" s="629">
        <v>0</v>
      </c>
      <c r="F36" s="629">
        <v>10600</v>
      </c>
      <c r="G36" s="629">
        <v>8520.2510000000002</v>
      </c>
      <c r="H36" s="629">
        <v>0</v>
      </c>
      <c r="I36" s="629">
        <v>0</v>
      </c>
      <c r="J36" s="629">
        <v>133.76</v>
      </c>
      <c r="K36" s="629">
        <v>1945.9889999999996</v>
      </c>
      <c r="L36" s="634" t="s">
        <v>356</v>
      </c>
      <c r="M36" s="627" t="str">
        <f t="array" ref="M36">INDEX(UtilityList!Q$4:Q$251,MATCH('Table 2.2a'!$A36&amp;'Table 2.2a'!$B36,UtilityList!$A$4:$A$251&amp;UtilityList!$C$4:$C$251,0))</f>
        <v>Provides power to Tanacross, Tetlin and Dot Lake via intertie. Includes Tanacross' information. Fuel use and cost also includes Tetlin's and Dot Lake's information.</v>
      </c>
      <c r="N36" s="452" t="str">
        <f t="array" ref="N36">IFERROR((INDEX(UtilityList!J$4:J$251,MATCH('Table 2.2a'!$A36&amp;'Table 2.2a'!$B36,UtilityList!$A$4:$A$251&amp;UtilityList!$C$4:$C$251,0))),INDEX(UtilityList!J$4:J$251,MATCH('Table 2.2a'!$A36,UtilityList!$A$4:$A$251,0)))</f>
        <v>Yukon-Koyukuk/Upper Tanana</v>
      </c>
      <c r="O36" s="452" t="str">
        <f t="array" ref="O36">IFERROR((INDEX(UtilityList!K$4:K$251,MATCH('Table 2.2a'!$A36&amp;'Table 2.2a'!$B36,UtilityList!$A$4:$A$251&amp;UtilityList!$C$4:$C$251,0))),INDEX(UtilityList!K$4:K$251,MATCH('Table 2.2a'!$A36,UtilityList!$A$4:$A$251,0)))</f>
        <v>Southeast Fairbanks (CA)</v>
      </c>
      <c r="P36" s="452" t="str">
        <f t="array" ref="P36">IFERROR((INDEX(UtilityList!L$4:L$251,MATCH('Table 2.2a'!$A36&amp;'Table 2.2a'!$B36,UtilityList!$A$4:$A$251&amp;UtilityList!$C$4:$C$251,0))),INDEX(UtilityList!L$4:L$251,MATCH('Table 2.2a'!$A36,UtilityList!$A$4:$A$251,0)))</f>
        <v>Doyon</v>
      </c>
      <c r="Q36" s="452" t="str">
        <f t="array" ref="Q36">IFERROR((INDEX(UtilityList!M$4:M$251,MATCH('Table 2.2a'!$A36&amp;'Table 2.2a'!$B36,UtilityList!$A$4:$A$251&amp;UtilityList!$C$4:$C$251,0))),INDEX(UtilityList!M$4:M$251,MATCH('Table 2.2a'!$A36,UtilityList!$A$4:$A$251,0)))</f>
        <v>YU</v>
      </c>
    </row>
    <row r="37" spans="1:18" s="344" customFormat="1" ht="15" x14ac:dyDescent="0.25">
      <c r="A37" s="633" t="s">
        <v>43</v>
      </c>
      <c r="B37" s="633" t="s">
        <v>65</v>
      </c>
      <c r="C37" s="629">
        <v>277.822</v>
      </c>
      <c r="D37" s="629">
        <v>0</v>
      </c>
      <c r="E37" s="629">
        <v>0</v>
      </c>
      <c r="F37" s="629">
        <v>277.822</v>
      </c>
      <c r="G37" s="629">
        <v>229.18770000000001</v>
      </c>
      <c r="H37" s="629">
        <v>0</v>
      </c>
      <c r="I37" s="629">
        <v>0</v>
      </c>
      <c r="J37" s="629">
        <v>10.78</v>
      </c>
      <c r="K37" s="629">
        <v>37.854299999999995</v>
      </c>
      <c r="L37" s="634" t="s">
        <v>356</v>
      </c>
      <c r="M37" s="627">
        <f t="array" ref="M37">INDEX(UtilityList!Q$4:Q$251,MATCH('Table 2.2a'!$A37&amp;'Table 2.2a'!$B37,UtilityList!$A$4:$A$251&amp;UtilityList!$C$4:$C$251,0))</f>
        <v>0</v>
      </c>
      <c r="N37" s="452" t="str">
        <f t="array" ref="N37">IFERROR((INDEX(UtilityList!J$4:J$251,MATCH('Table 2.2a'!$A37&amp;'Table 2.2a'!$B37,UtilityList!$A$4:$A$251&amp;UtilityList!$C$4:$C$251,0))),INDEX(UtilityList!J$4:J$251,MATCH('Table 2.2a'!$A37,UtilityList!$A$4:$A$251,0)))</f>
        <v>Southeast</v>
      </c>
      <c r="O37" s="452" t="str">
        <f t="array" ref="O37">IFERROR((INDEX(UtilityList!K$4:K$251,MATCH('Table 2.2a'!$A37&amp;'Table 2.2a'!$B37,UtilityList!$A$4:$A$251&amp;UtilityList!$C$4:$C$251,0))),INDEX(UtilityList!K$4:K$251,MATCH('Table 2.2a'!$A37,UtilityList!$A$4:$A$251,0)))</f>
        <v>Prince of Wales-Hyder (CA)</v>
      </c>
      <c r="P37" s="452" t="str">
        <f t="array" ref="P37">IFERROR((INDEX(UtilityList!L$4:L$251,MATCH('Table 2.2a'!$A37&amp;'Table 2.2a'!$B37,UtilityList!$A$4:$A$251&amp;UtilityList!$C$4:$C$251,0))),INDEX(UtilityList!L$4:L$251,MATCH('Table 2.2a'!$A37,UtilityList!$A$4:$A$251,0)))</f>
        <v>Sealaska</v>
      </c>
      <c r="Q37" s="452" t="str">
        <f t="array" ref="Q37">IFERROR((INDEX(UtilityList!M$4:M$251,MATCH('Table 2.2a'!$A37&amp;'Table 2.2a'!$B37,UtilityList!$A$4:$A$251&amp;UtilityList!$C$4:$C$251,0))),INDEX(UtilityList!M$4:M$251,MATCH('Table 2.2a'!$A37,UtilityList!$A$4:$A$251,0)))</f>
        <v>SE</v>
      </c>
      <c r="R37" s="126"/>
    </row>
    <row r="38" spans="1:18" s="187" customFormat="1" ht="15" x14ac:dyDescent="0.25">
      <c r="A38" s="628" t="s">
        <v>524</v>
      </c>
      <c r="B38" s="628" t="s">
        <v>66</v>
      </c>
      <c r="C38" s="629">
        <v>1972.1369999999999</v>
      </c>
      <c r="D38" s="629">
        <v>0</v>
      </c>
      <c r="E38" s="629">
        <v>0</v>
      </c>
      <c r="F38" s="629">
        <v>1972.1369999999999</v>
      </c>
      <c r="G38" s="629">
        <v>1930.223</v>
      </c>
      <c r="H38" s="629">
        <v>0</v>
      </c>
      <c r="I38" s="629">
        <v>0</v>
      </c>
      <c r="J38" s="629">
        <v>25.928999999999998</v>
      </c>
      <c r="K38" s="629">
        <v>15.9849999999999</v>
      </c>
      <c r="L38" s="630" t="s">
        <v>356</v>
      </c>
      <c r="M38" s="627">
        <f t="array" ref="M38">INDEX(UtilityList!Q$4:Q$251,MATCH('Table 2.2a'!$A38&amp;'Table 2.2a'!$B38,UtilityList!$A$4:$A$251&amp;UtilityList!$C$4:$C$251,0))</f>
        <v>0</v>
      </c>
      <c r="N38" s="452" t="str">
        <f t="array" ref="N38">IFERROR((INDEX(UtilityList!J$4:J$251,MATCH('Table 2.2a'!$A38&amp;'Table 2.2a'!$B38,UtilityList!$A$4:$A$251&amp;UtilityList!$C$4:$C$251,0))),INDEX(UtilityList!J$4:J$251,MATCH('Table 2.2a'!$A38,UtilityList!$A$4:$A$251,0)))</f>
        <v>Lower Yukon-Kuskokwim</v>
      </c>
      <c r="O38" s="452" t="str">
        <f t="array" ref="O38">IFERROR((INDEX(UtilityList!K$4:K$251,MATCH('Table 2.2a'!$A38&amp;'Table 2.2a'!$B38,UtilityList!$A$4:$A$251&amp;UtilityList!$C$4:$C$251,0))),INDEX(UtilityList!K$4:K$251,MATCH('Table 2.2a'!$A38,UtilityList!$A$4:$A$251,0)))</f>
        <v>Wade Hampton (CA)</v>
      </c>
      <c r="P38" s="452" t="str">
        <f t="array" ref="P38">IFERROR((INDEX(UtilityList!L$4:L$251,MATCH('Table 2.2a'!$A38&amp;'Table 2.2a'!$B38,UtilityList!$A$4:$A$251&amp;UtilityList!$C$4:$C$251,0))),INDEX(UtilityList!L$4:L$251,MATCH('Table 2.2a'!$A38,UtilityList!$A$4:$A$251,0)))</f>
        <v>Calista</v>
      </c>
      <c r="Q38" s="452" t="str">
        <f t="array" ref="Q38">IFERROR((INDEX(UtilityList!M$4:M$251,MATCH('Table 2.2a'!$A38&amp;'Table 2.2a'!$B38,UtilityList!$A$4:$A$251&amp;UtilityList!$C$4:$C$251,0))),INDEX(UtilityList!M$4:M$251,MATCH('Table 2.2a'!$A38,UtilityList!$A$4:$A$251,0)))</f>
        <v>YU</v>
      </c>
      <c r="R38" s="126"/>
    </row>
    <row r="39" spans="1:18" s="187" customFormat="1" ht="15" x14ac:dyDescent="0.25">
      <c r="A39" s="633" t="s">
        <v>524</v>
      </c>
      <c r="B39" s="633" t="s">
        <v>67</v>
      </c>
      <c r="C39" s="629">
        <v>1308.8409999999999</v>
      </c>
      <c r="D39" s="629">
        <v>0</v>
      </c>
      <c r="E39" s="629">
        <v>0</v>
      </c>
      <c r="F39" s="629">
        <v>1308.8409999999999</v>
      </c>
      <c r="G39" s="629">
        <v>1243.0719999999999</v>
      </c>
      <c r="H39" s="629">
        <v>0</v>
      </c>
      <c r="I39" s="629">
        <v>0</v>
      </c>
      <c r="J39" s="629">
        <v>31.067</v>
      </c>
      <c r="K39" s="629">
        <v>34.701999999999998</v>
      </c>
      <c r="L39" s="634" t="s">
        <v>356</v>
      </c>
      <c r="M39" s="627">
        <f t="array" ref="M39">INDEX(UtilityList!Q$4:Q$251,MATCH('Table 2.2a'!$A39&amp;'Table 2.2a'!$B39,UtilityList!$A$4:$A$251&amp;UtilityList!$C$4:$C$251,0))</f>
        <v>0</v>
      </c>
      <c r="N39" s="452" t="str">
        <f t="array" ref="N39">IFERROR((INDEX(UtilityList!J$4:J$251,MATCH('Table 2.2a'!$A39&amp;'Table 2.2a'!$B39,UtilityList!$A$4:$A$251&amp;UtilityList!$C$4:$C$251,0))),INDEX(UtilityList!J$4:J$251,MATCH('Table 2.2a'!$A39,UtilityList!$A$4:$A$251,0)))</f>
        <v>Northwest Arctic</v>
      </c>
      <c r="O39" s="452" t="str">
        <f t="array" ref="O39">IFERROR((INDEX(UtilityList!K$4:K$251,MATCH('Table 2.2a'!$A39&amp;'Table 2.2a'!$B39,UtilityList!$A$4:$A$251&amp;UtilityList!$C$4:$C$251,0))),INDEX(UtilityList!K$4:K$251,MATCH('Table 2.2a'!$A39,UtilityList!$A$4:$A$251,0)))</f>
        <v>Northwest Arctic</v>
      </c>
      <c r="P39" s="452" t="str">
        <f t="array" ref="P39">IFERROR((INDEX(UtilityList!L$4:L$251,MATCH('Table 2.2a'!$A39&amp;'Table 2.2a'!$B39,UtilityList!$A$4:$A$251&amp;UtilityList!$C$4:$C$251,0))),INDEX(UtilityList!L$4:L$251,MATCH('Table 2.2a'!$A39,UtilityList!$A$4:$A$251,0)))</f>
        <v>NANA</v>
      </c>
      <c r="Q39" s="452" t="str">
        <f t="array" ref="Q39">IFERROR((INDEX(UtilityList!M$4:M$251,MATCH('Table 2.2a'!$A39&amp;'Table 2.2a'!$B39,UtilityList!$A$4:$A$251&amp;UtilityList!$C$4:$C$251,0))),INDEX(UtilityList!M$4:M$251,MATCH('Table 2.2a'!$A39,UtilityList!$A$4:$A$251,0)))</f>
        <v>AN</v>
      </c>
    </row>
    <row r="40" spans="1:18" s="344" customFormat="1" ht="15" x14ac:dyDescent="0.25">
      <c r="A40" s="633" t="s">
        <v>524</v>
      </c>
      <c r="B40" s="633" t="s">
        <v>68</v>
      </c>
      <c r="C40" s="629">
        <v>424.13600000000002</v>
      </c>
      <c r="D40" s="629">
        <v>0</v>
      </c>
      <c r="E40" s="629">
        <v>0</v>
      </c>
      <c r="F40" s="629">
        <v>424.13600000000002</v>
      </c>
      <c r="G40" s="629">
        <v>388.577</v>
      </c>
      <c r="H40" s="629">
        <v>0</v>
      </c>
      <c r="I40" s="629">
        <v>0</v>
      </c>
      <c r="J40" s="629">
        <v>18.716000000000001</v>
      </c>
      <c r="K40" s="629">
        <v>16.843000000000018</v>
      </c>
      <c r="L40" s="634" t="s">
        <v>356</v>
      </c>
      <c r="M40" s="627">
        <f t="array" ref="M40">INDEX(UtilityList!Q$4:Q$251,MATCH('Table 2.2a'!$A40&amp;'Table 2.2a'!$B40,UtilityList!$A$4:$A$251&amp;UtilityList!$C$4:$C$251,0))</f>
        <v>0</v>
      </c>
      <c r="N40" s="452" t="str">
        <f t="array" ref="N40">IFERROR((INDEX(UtilityList!J$4:J$251,MATCH('Table 2.2a'!$A40&amp;'Table 2.2a'!$B40,UtilityList!$A$4:$A$251&amp;UtilityList!$C$4:$C$251,0))),INDEX(UtilityList!J$4:J$251,MATCH('Table 2.2a'!$A40,UtilityList!$A$4:$A$251,0)))</f>
        <v>Yukon-Koyukuk/Upper Tanana</v>
      </c>
      <c r="O40" s="452" t="str">
        <f t="array" ref="O40">IFERROR((INDEX(UtilityList!K$4:K$251,MATCH('Table 2.2a'!$A40&amp;'Table 2.2a'!$B40,UtilityList!$A$4:$A$251&amp;UtilityList!$C$4:$C$251,0))),INDEX(UtilityList!K$4:K$251,MATCH('Table 2.2a'!$A40,UtilityList!$A$4:$A$251,0)))</f>
        <v>Yukon-Koyukuk (CA)</v>
      </c>
      <c r="P40" s="452" t="str">
        <f t="array" ref="P40">IFERROR((INDEX(UtilityList!L$4:L$251,MATCH('Table 2.2a'!$A40&amp;'Table 2.2a'!$B40,UtilityList!$A$4:$A$251&amp;UtilityList!$C$4:$C$251,0))),INDEX(UtilityList!L$4:L$251,MATCH('Table 2.2a'!$A40,UtilityList!$A$4:$A$251,0)))</f>
        <v>Doyon</v>
      </c>
      <c r="Q40" s="452" t="str">
        <f t="array" ref="Q40">IFERROR((INDEX(UtilityList!M$4:M$251,MATCH('Table 2.2a'!$A40&amp;'Table 2.2a'!$B40,UtilityList!$A$4:$A$251&amp;UtilityList!$C$4:$C$251,0))),INDEX(UtilityList!M$4:M$251,MATCH('Table 2.2a'!$A40,UtilityList!$A$4:$A$251,0)))</f>
        <v>YU</v>
      </c>
      <c r="R40" s="126"/>
    </row>
    <row r="41" spans="1:18" s="126" customFormat="1" ht="15" x14ac:dyDescent="0.25">
      <c r="A41" s="633" t="s">
        <v>524</v>
      </c>
      <c r="B41" s="633" t="s">
        <v>69</v>
      </c>
      <c r="C41" s="629">
        <v>1228.8620000000001</v>
      </c>
      <c r="D41" s="629">
        <v>0</v>
      </c>
      <c r="E41" s="629">
        <v>0</v>
      </c>
      <c r="F41" s="629">
        <v>1228.8620000000001</v>
      </c>
      <c r="G41" s="629">
        <v>1145.6420000000001</v>
      </c>
      <c r="H41" s="629">
        <v>0</v>
      </c>
      <c r="I41" s="629">
        <v>0</v>
      </c>
      <c r="J41" s="629">
        <v>52.53</v>
      </c>
      <c r="K41" s="629">
        <v>30.690000000000055</v>
      </c>
      <c r="L41" s="634" t="s">
        <v>356</v>
      </c>
      <c r="M41" s="627">
        <f t="array" ref="M41">INDEX(UtilityList!Q$4:Q$251,MATCH('Table 2.2a'!$A41&amp;'Table 2.2a'!$B41,UtilityList!$A$4:$A$251&amp;UtilityList!$C$4:$C$251,0))</f>
        <v>0</v>
      </c>
      <c r="N41" s="452" t="str">
        <f t="array" ref="N41">IFERROR((INDEX(UtilityList!J$4:J$251,MATCH('Table 2.2a'!$A41&amp;'Table 2.2a'!$B41,UtilityList!$A$4:$A$251&amp;UtilityList!$C$4:$C$251,0))),INDEX(UtilityList!J$4:J$251,MATCH('Table 2.2a'!$A41,UtilityList!$A$4:$A$251,0)))</f>
        <v>Bering Straits</v>
      </c>
      <c r="O41" s="452" t="str">
        <f t="array" ref="O41">IFERROR((INDEX(UtilityList!K$4:K$251,MATCH('Table 2.2a'!$A41&amp;'Table 2.2a'!$B41,UtilityList!$A$4:$A$251&amp;UtilityList!$C$4:$C$251,0))),INDEX(UtilityList!K$4:K$251,MATCH('Table 2.2a'!$A41,UtilityList!$A$4:$A$251,0)))</f>
        <v>Nome (CA)</v>
      </c>
      <c r="P41" s="452" t="str">
        <f t="array" ref="P41">IFERROR((INDEX(UtilityList!L$4:L$251,MATCH('Table 2.2a'!$A41&amp;'Table 2.2a'!$B41,UtilityList!$A$4:$A$251&amp;UtilityList!$C$4:$C$251,0))),INDEX(UtilityList!L$4:L$251,MATCH('Table 2.2a'!$A41,UtilityList!$A$4:$A$251,0)))</f>
        <v>Bering Straits</v>
      </c>
      <c r="Q41" s="452" t="str">
        <f t="array" ref="Q41">IFERROR((INDEX(UtilityList!M$4:M$251,MATCH('Table 2.2a'!$A41&amp;'Table 2.2a'!$B41,UtilityList!$A$4:$A$251&amp;UtilityList!$C$4:$C$251,0))),INDEX(UtilityList!M$4:M$251,MATCH('Table 2.2a'!$A41,UtilityList!$A$4:$A$251,0)))</f>
        <v>AN</v>
      </c>
    </row>
    <row r="42" spans="1:18" s="126" customFormat="1" ht="15" x14ac:dyDescent="0.25">
      <c r="A42" s="628" t="s">
        <v>524</v>
      </c>
      <c r="B42" s="628" t="s">
        <v>70</v>
      </c>
      <c r="C42" s="629">
        <v>2497.5189999999998</v>
      </c>
      <c r="D42" s="629">
        <v>0</v>
      </c>
      <c r="E42" s="629">
        <v>0</v>
      </c>
      <c r="F42" s="629">
        <v>2497.5189999999998</v>
      </c>
      <c r="G42" s="629">
        <v>2329.018</v>
      </c>
      <c r="H42" s="629">
        <v>0</v>
      </c>
      <c r="I42" s="629">
        <v>0</v>
      </c>
      <c r="J42" s="629">
        <v>98.623000000000005</v>
      </c>
      <c r="K42" s="629">
        <v>69.877999999999702</v>
      </c>
      <c r="L42" s="630" t="s">
        <v>356</v>
      </c>
      <c r="M42" s="627">
        <f t="array" ref="M42">INDEX(UtilityList!Q$4:Q$251,MATCH('Table 2.2a'!$A42&amp;'Table 2.2a'!$B42,UtilityList!$A$4:$A$251&amp;UtilityList!$C$4:$C$251,0))</f>
        <v>0</v>
      </c>
      <c r="N42" s="452" t="str">
        <f t="array" ref="N42">IFERROR((INDEX(UtilityList!J$4:J$251,MATCH('Table 2.2a'!$A42&amp;'Table 2.2a'!$B42,UtilityList!$A$4:$A$251&amp;UtilityList!$C$4:$C$251,0))),INDEX(UtilityList!J$4:J$251,MATCH('Table 2.2a'!$A42,UtilityList!$A$4:$A$251,0)))</f>
        <v>Lower Yukon-Kuskokwim</v>
      </c>
      <c r="O42" s="452" t="str">
        <f t="array" ref="O42">IFERROR((INDEX(UtilityList!K$4:K$251,MATCH('Table 2.2a'!$A42&amp;'Table 2.2a'!$B42,UtilityList!$A$4:$A$251&amp;UtilityList!$C$4:$C$251,0))),INDEX(UtilityList!K$4:K$251,MATCH('Table 2.2a'!$A42,UtilityList!$A$4:$A$251,0)))</f>
        <v>Wade Hampton (CA)</v>
      </c>
      <c r="P42" s="452" t="str">
        <f t="array" ref="P42">IFERROR((INDEX(UtilityList!L$4:L$251,MATCH('Table 2.2a'!$A42&amp;'Table 2.2a'!$B42,UtilityList!$A$4:$A$251&amp;UtilityList!$C$4:$C$251,0))),INDEX(UtilityList!L$4:L$251,MATCH('Table 2.2a'!$A42,UtilityList!$A$4:$A$251,0)))</f>
        <v>Calista</v>
      </c>
      <c r="Q42" s="452" t="str">
        <f t="array" ref="Q42">IFERROR((INDEX(UtilityList!M$4:M$251,MATCH('Table 2.2a'!$A42&amp;'Table 2.2a'!$B42,UtilityList!$A$4:$A$251&amp;UtilityList!$C$4:$C$251,0))),INDEX(UtilityList!M$4:M$251,MATCH('Table 2.2a'!$A42,UtilityList!$A$4:$A$251,0)))</f>
        <v>YU</v>
      </c>
    </row>
    <row r="43" spans="1:18" s="344" customFormat="1" ht="15" x14ac:dyDescent="0.25">
      <c r="A43" s="628" t="s">
        <v>524</v>
      </c>
      <c r="B43" s="628" t="s">
        <v>71</v>
      </c>
      <c r="C43" s="629">
        <v>813.45299999999997</v>
      </c>
      <c r="D43" s="629">
        <v>0</v>
      </c>
      <c r="E43" s="629">
        <v>0</v>
      </c>
      <c r="F43" s="629">
        <v>813.45299999999997</v>
      </c>
      <c r="G43" s="629">
        <v>773.34199999999998</v>
      </c>
      <c r="H43" s="629">
        <v>0</v>
      </c>
      <c r="I43" s="629">
        <v>0</v>
      </c>
      <c r="J43" s="629">
        <v>12.875</v>
      </c>
      <c r="K43" s="629">
        <v>27.23599999999999</v>
      </c>
      <c r="L43" s="630" t="s">
        <v>356</v>
      </c>
      <c r="M43" s="627">
        <f t="array" ref="M43">INDEX(UtilityList!Q$4:Q$251,MATCH('Table 2.2a'!$A43&amp;'Table 2.2a'!$B43,UtilityList!$A$4:$A$251&amp;UtilityList!$C$4:$C$251,0))</f>
        <v>0</v>
      </c>
      <c r="N43" s="452" t="str">
        <f t="array" ref="N43">IFERROR((INDEX(UtilityList!J$4:J$251,MATCH('Table 2.2a'!$A43&amp;'Table 2.2a'!$B43,UtilityList!$A$4:$A$251&amp;UtilityList!$C$4:$C$251,0))),INDEX(UtilityList!J$4:J$251,MATCH('Table 2.2a'!$A43,UtilityList!$A$4:$A$251,0)))</f>
        <v>Lower Yukon-Kuskokwim</v>
      </c>
      <c r="O43" s="452" t="str">
        <f t="array" ref="O43">IFERROR((INDEX(UtilityList!K$4:K$251,MATCH('Table 2.2a'!$A43&amp;'Table 2.2a'!$B43,UtilityList!$A$4:$A$251&amp;UtilityList!$C$4:$C$251,0))),INDEX(UtilityList!K$4:K$251,MATCH('Table 2.2a'!$A43,UtilityList!$A$4:$A$251,0)))</f>
        <v>Bethel (CA)</v>
      </c>
      <c r="P43" s="452" t="str">
        <f t="array" ref="P43">IFERROR((INDEX(UtilityList!L$4:L$251,MATCH('Table 2.2a'!$A43&amp;'Table 2.2a'!$B43,UtilityList!$A$4:$A$251&amp;UtilityList!$C$4:$C$251,0))),INDEX(UtilityList!L$4:L$251,MATCH('Table 2.2a'!$A43,UtilityList!$A$4:$A$251,0)))</f>
        <v>Calista</v>
      </c>
      <c r="Q43" s="452" t="str">
        <f t="array" ref="Q43">IFERROR((INDEX(UtilityList!M$4:M$251,MATCH('Table 2.2a'!$A43&amp;'Table 2.2a'!$B43,UtilityList!$A$4:$A$251&amp;UtilityList!$C$4:$C$251,0))),INDEX(UtilityList!M$4:M$251,MATCH('Table 2.2a'!$A43,UtilityList!$A$4:$A$251,0)))</f>
        <v>SW</v>
      </c>
      <c r="R43" s="187"/>
    </row>
    <row r="44" spans="1:18" s="187" customFormat="1" ht="15" x14ac:dyDescent="0.25">
      <c r="A44" s="633" t="s">
        <v>524</v>
      </c>
      <c r="B44" s="633" t="s">
        <v>72</v>
      </c>
      <c r="C44" s="629">
        <v>1175.2929999999999</v>
      </c>
      <c r="D44" s="629">
        <v>0</v>
      </c>
      <c r="E44" s="629">
        <v>0</v>
      </c>
      <c r="F44" s="629">
        <v>1175.2929999999999</v>
      </c>
      <c r="G44" s="629">
        <v>1110.979</v>
      </c>
      <c r="H44" s="629">
        <v>0</v>
      </c>
      <c r="I44" s="629">
        <v>0</v>
      </c>
      <c r="J44" s="629">
        <v>15.848000000000001</v>
      </c>
      <c r="K44" s="629">
        <v>48.465999999999894</v>
      </c>
      <c r="L44" s="634" t="s">
        <v>356</v>
      </c>
      <c r="M44" s="627">
        <f t="array" ref="M44">INDEX(UtilityList!Q$4:Q$251,MATCH('Table 2.2a'!$A44&amp;'Table 2.2a'!$B44,UtilityList!$A$4:$A$251&amp;UtilityList!$C$4:$C$251,0))</f>
        <v>0</v>
      </c>
      <c r="N44" s="452" t="str">
        <f t="array" ref="N44">IFERROR((INDEX(UtilityList!J$4:J$251,MATCH('Table 2.2a'!$A44&amp;'Table 2.2a'!$B44,UtilityList!$A$4:$A$251&amp;UtilityList!$C$4:$C$251,0))),INDEX(UtilityList!J$4:J$251,MATCH('Table 2.2a'!$A44,UtilityList!$A$4:$A$251,0)))</f>
        <v>Bering Straits</v>
      </c>
      <c r="O44" s="452" t="str">
        <f t="array" ref="O44">IFERROR((INDEX(UtilityList!K$4:K$251,MATCH('Table 2.2a'!$A44&amp;'Table 2.2a'!$B44,UtilityList!$A$4:$A$251&amp;UtilityList!$C$4:$C$251,0))),INDEX(UtilityList!K$4:K$251,MATCH('Table 2.2a'!$A44,UtilityList!$A$4:$A$251,0)))</f>
        <v>Nome (CA)</v>
      </c>
      <c r="P44" s="452" t="str">
        <f t="array" ref="P44">IFERROR((INDEX(UtilityList!L$4:L$251,MATCH('Table 2.2a'!$A44&amp;'Table 2.2a'!$B44,UtilityList!$A$4:$A$251&amp;UtilityList!$C$4:$C$251,0))),INDEX(UtilityList!L$4:L$251,MATCH('Table 2.2a'!$A44,UtilityList!$A$4:$A$251,0)))</f>
        <v>Bering Straits</v>
      </c>
      <c r="Q44" s="452" t="str">
        <f t="array" ref="Q44">IFERROR((INDEX(UtilityList!M$4:M$251,MATCH('Table 2.2a'!$A44&amp;'Table 2.2a'!$B44,UtilityList!$A$4:$A$251&amp;UtilityList!$C$4:$C$251,0))),INDEX(UtilityList!M$4:M$251,MATCH('Table 2.2a'!$A44,UtilityList!$A$4:$A$251,0)))</f>
        <v>AN</v>
      </c>
      <c r="R44" s="154"/>
    </row>
    <row r="45" spans="1:18" s="126" customFormat="1" ht="15" x14ac:dyDescent="0.25">
      <c r="A45" s="628" t="s">
        <v>524</v>
      </c>
      <c r="B45" s="628" t="s">
        <v>73</v>
      </c>
      <c r="C45" s="629">
        <v>3220.0639999999999</v>
      </c>
      <c r="D45" s="629">
        <v>0</v>
      </c>
      <c r="E45" s="629">
        <v>0</v>
      </c>
      <c r="F45" s="629">
        <v>3220.0639999999999</v>
      </c>
      <c r="G45" s="629">
        <v>3057.674</v>
      </c>
      <c r="H45" s="629">
        <v>0</v>
      </c>
      <c r="I45" s="629">
        <v>0</v>
      </c>
      <c r="J45" s="629">
        <v>49.854999999999997</v>
      </c>
      <c r="K45" s="629">
        <v>112.53499999999985</v>
      </c>
      <c r="L45" s="630" t="s">
        <v>356</v>
      </c>
      <c r="M45" s="627">
        <f t="array" ref="M45">INDEX(UtilityList!Q$4:Q$251,MATCH('Table 2.2a'!$A45&amp;'Table 2.2a'!$B45,UtilityList!$A$4:$A$251&amp;UtilityList!$C$4:$C$251,0))</f>
        <v>0</v>
      </c>
      <c r="N45" s="452" t="str">
        <f t="array" ref="N45">IFERROR((INDEX(UtilityList!J$4:J$251,MATCH('Table 2.2a'!$A45&amp;'Table 2.2a'!$B45,UtilityList!$A$4:$A$251&amp;UtilityList!$C$4:$C$251,0))),INDEX(UtilityList!J$4:J$251,MATCH('Table 2.2a'!$A45,UtilityList!$A$4:$A$251,0)))</f>
        <v>Lower Yukon-Kuskokwim</v>
      </c>
      <c r="O45" s="452" t="str">
        <f t="array" ref="O45">IFERROR((INDEX(UtilityList!K$4:K$251,MATCH('Table 2.2a'!$A45&amp;'Table 2.2a'!$B45,UtilityList!$A$4:$A$251&amp;UtilityList!$C$4:$C$251,0))),INDEX(UtilityList!K$4:K$251,MATCH('Table 2.2a'!$A45,UtilityList!$A$4:$A$251,0)))</f>
        <v>Wade Hampton (CA)</v>
      </c>
      <c r="P45" s="452" t="str">
        <f t="array" ref="P45">IFERROR((INDEX(UtilityList!L$4:L$251,MATCH('Table 2.2a'!$A45&amp;'Table 2.2a'!$B45,UtilityList!$A$4:$A$251&amp;UtilityList!$C$4:$C$251,0))),INDEX(UtilityList!L$4:L$251,MATCH('Table 2.2a'!$A45,UtilityList!$A$4:$A$251,0)))</f>
        <v>Calista</v>
      </c>
      <c r="Q45" s="452" t="str">
        <f t="array" ref="Q45">IFERROR((INDEX(UtilityList!M$4:M$251,MATCH('Table 2.2a'!$A45&amp;'Table 2.2a'!$B45,UtilityList!$A$4:$A$251&amp;UtilityList!$C$4:$C$251,0))),INDEX(UtilityList!M$4:M$251,MATCH('Table 2.2a'!$A45,UtilityList!$A$4:$A$251,0)))</f>
        <v>YU</v>
      </c>
      <c r="R45" s="187"/>
    </row>
    <row r="46" spans="1:18" s="126" customFormat="1" ht="15" x14ac:dyDescent="0.25">
      <c r="A46" s="628" t="s">
        <v>524</v>
      </c>
      <c r="B46" s="628" t="s">
        <v>74</v>
      </c>
      <c r="C46" s="629">
        <v>1993.296</v>
      </c>
      <c r="D46" s="629">
        <v>0</v>
      </c>
      <c r="E46" s="629">
        <v>0</v>
      </c>
      <c r="F46" s="629">
        <v>1993.296</v>
      </c>
      <c r="G46" s="629">
        <v>1776.2619999999999</v>
      </c>
      <c r="H46" s="629">
        <v>0</v>
      </c>
      <c r="I46" s="629">
        <v>0</v>
      </c>
      <c r="J46" s="629">
        <v>110.211</v>
      </c>
      <c r="K46" s="629">
        <v>106.82300000000009</v>
      </c>
      <c r="L46" s="630" t="s">
        <v>356</v>
      </c>
      <c r="M46" s="627">
        <f t="array" ref="M46">INDEX(UtilityList!Q$4:Q$251,MATCH('Table 2.2a'!$A46&amp;'Table 2.2a'!$B46,UtilityList!$A$4:$A$251&amp;UtilityList!$C$4:$C$251,0))</f>
        <v>0</v>
      </c>
      <c r="N46" s="452" t="str">
        <f t="array" ref="N46">IFERROR((INDEX(UtilityList!J$4:J$251,MATCH('Table 2.2a'!$A46&amp;'Table 2.2a'!$B46,UtilityList!$A$4:$A$251&amp;UtilityList!$C$4:$C$251,0))),INDEX(UtilityList!J$4:J$251,MATCH('Table 2.2a'!$A46,UtilityList!$A$4:$A$251,0)))</f>
        <v>Bering Straits</v>
      </c>
      <c r="O46" s="452" t="str">
        <f t="array" ref="O46">IFERROR((INDEX(UtilityList!K$4:K$251,MATCH('Table 2.2a'!$A46&amp;'Table 2.2a'!$B46,UtilityList!$A$4:$A$251&amp;UtilityList!$C$4:$C$251,0))),INDEX(UtilityList!K$4:K$251,MATCH('Table 2.2a'!$A46,UtilityList!$A$4:$A$251,0)))</f>
        <v>Nome (CA)</v>
      </c>
      <c r="P46" s="452" t="str">
        <f t="array" ref="P46">IFERROR((INDEX(UtilityList!L$4:L$251,MATCH('Table 2.2a'!$A46&amp;'Table 2.2a'!$B46,UtilityList!$A$4:$A$251&amp;UtilityList!$C$4:$C$251,0))),INDEX(UtilityList!L$4:L$251,MATCH('Table 2.2a'!$A46,UtilityList!$A$4:$A$251,0)))</f>
        <v>Bering Straits</v>
      </c>
      <c r="Q46" s="452" t="str">
        <f t="array" ref="Q46">IFERROR((INDEX(UtilityList!M$4:M$251,MATCH('Table 2.2a'!$A46&amp;'Table 2.2a'!$B46,UtilityList!$A$4:$A$251&amp;UtilityList!$C$4:$C$251,0))),INDEX(UtilityList!M$4:M$251,MATCH('Table 2.2a'!$A46,UtilityList!$A$4:$A$251,0)))</f>
        <v>AN</v>
      </c>
      <c r="R46" s="187"/>
    </row>
    <row r="47" spans="1:18" s="126" customFormat="1" ht="15" x14ac:dyDescent="0.25">
      <c r="A47" s="633" t="s">
        <v>524</v>
      </c>
      <c r="B47" s="633" t="s">
        <v>75</v>
      </c>
      <c r="C47" s="629">
        <v>787.48400000000004</v>
      </c>
      <c r="D47" s="629">
        <v>0</v>
      </c>
      <c r="E47" s="629">
        <v>0</v>
      </c>
      <c r="F47" s="629">
        <v>787.48400000000004</v>
      </c>
      <c r="G47" s="629">
        <v>763.68319999999994</v>
      </c>
      <c r="H47" s="629">
        <v>0</v>
      </c>
      <c r="I47" s="629">
        <v>0</v>
      </c>
      <c r="J47" s="629">
        <v>14.411</v>
      </c>
      <c r="K47" s="629">
        <v>9.3898000000001502</v>
      </c>
      <c r="L47" s="634" t="s">
        <v>356</v>
      </c>
      <c r="M47" s="627">
        <f t="array" ref="M47">INDEX(UtilityList!Q$4:Q$251,MATCH('Table 2.2a'!$A47&amp;'Table 2.2a'!$B47,UtilityList!$A$4:$A$251&amp;UtilityList!$C$4:$C$251,0))</f>
        <v>0</v>
      </c>
      <c r="N47" s="452" t="str">
        <f t="array" ref="N47">IFERROR((INDEX(UtilityList!J$4:J$251,MATCH('Table 2.2a'!$A47&amp;'Table 2.2a'!$B47,UtilityList!$A$4:$A$251&amp;UtilityList!$C$4:$C$251,0))),INDEX(UtilityList!J$4:J$251,MATCH('Table 2.2a'!$A47,UtilityList!$A$4:$A$251,0)))</f>
        <v>Lower Yukon-Kuskokwim</v>
      </c>
      <c r="O47" s="452" t="str">
        <f t="array" ref="O47">IFERROR((INDEX(UtilityList!K$4:K$251,MATCH('Table 2.2a'!$A47&amp;'Table 2.2a'!$B47,UtilityList!$A$4:$A$251&amp;UtilityList!$C$4:$C$251,0))),INDEX(UtilityList!K$4:K$251,MATCH('Table 2.2a'!$A47,UtilityList!$A$4:$A$251,0)))</f>
        <v>Bethel (CA)</v>
      </c>
      <c r="P47" s="452" t="str">
        <f t="array" ref="P47">IFERROR((INDEX(UtilityList!L$4:L$251,MATCH('Table 2.2a'!$A47&amp;'Table 2.2a'!$B47,UtilityList!$A$4:$A$251&amp;UtilityList!$C$4:$C$251,0))),INDEX(UtilityList!L$4:L$251,MATCH('Table 2.2a'!$A47,UtilityList!$A$4:$A$251,0)))</f>
        <v>Calista</v>
      </c>
      <c r="Q47" s="452" t="str">
        <f t="array" ref="Q47">IFERROR((INDEX(UtilityList!M$4:M$251,MATCH('Table 2.2a'!$A47&amp;'Table 2.2a'!$B47,UtilityList!$A$4:$A$251&amp;UtilityList!$C$4:$C$251,0))),INDEX(UtilityList!M$4:M$251,MATCH('Table 2.2a'!$A47,UtilityList!$A$4:$A$251,0)))</f>
        <v>SW</v>
      </c>
      <c r="R47" s="187"/>
    </row>
    <row r="48" spans="1:18" s="126" customFormat="1" ht="15" x14ac:dyDescent="0.25">
      <c r="A48" s="633" t="s">
        <v>524</v>
      </c>
      <c r="B48" s="633" t="s">
        <v>76</v>
      </c>
      <c r="C48" s="629">
        <v>585.029</v>
      </c>
      <c r="D48" s="629">
        <v>0</v>
      </c>
      <c r="E48" s="629">
        <v>0</v>
      </c>
      <c r="F48" s="629">
        <v>585.029</v>
      </c>
      <c r="G48" s="629">
        <v>547.47400000000005</v>
      </c>
      <c r="H48" s="629">
        <v>0</v>
      </c>
      <c r="I48" s="629">
        <v>0</v>
      </c>
      <c r="J48" s="629">
        <v>15.981999999999999</v>
      </c>
      <c r="K48" s="629">
        <v>21.572999999999979</v>
      </c>
      <c r="L48" s="634" t="s">
        <v>356</v>
      </c>
      <c r="M48" s="627">
        <f t="array" ref="M48">INDEX(UtilityList!Q$4:Q$251,MATCH('Table 2.2a'!$A48&amp;'Table 2.2a'!$B48,UtilityList!$A$4:$A$251&amp;UtilityList!$C$4:$C$251,0))</f>
        <v>0</v>
      </c>
      <c r="N48" s="452" t="str">
        <f t="array" ref="N48">IFERROR((INDEX(UtilityList!J$4:J$251,MATCH('Table 2.2a'!$A48&amp;'Table 2.2a'!$B48,UtilityList!$A$4:$A$251&amp;UtilityList!$C$4:$C$251,0))),INDEX(UtilityList!J$4:J$251,MATCH('Table 2.2a'!$A48,UtilityList!$A$4:$A$251,0)))</f>
        <v>Yukon-Koyukuk/Upper Tanana</v>
      </c>
      <c r="O48" s="452" t="str">
        <f t="array" ref="O48">IFERROR((INDEX(UtilityList!K$4:K$251,MATCH('Table 2.2a'!$A48&amp;'Table 2.2a'!$B48,UtilityList!$A$4:$A$251&amp;UtilityList!$C$4:$C$251,0))),INDEX(UtilityList!K$4:K$251,MATCH('Table 2.2a'!$A48,UtilityList!$A$4:$A$251,0)))</f>
        <v>Yukon-Koyukuk (CA)</v>
      </c>
      <c r="P48" s="452" t="str">
        <f t="array" ref="P48">IFERROR((INDEX(UtilityList!L$4:L$251,MATCH('Table 2.2a'!$A48&amp;'Table 2.2a'!$B48,UtilityList!$A$4:$A$251&amp;UtilityList!$C$4:$C$251,0))),INDEX(UtilityList!L$4:L$251,MATCH('Table 2.2a'!$A48,UtilityList!$A$4:$A$251,0)))</f>
        <v>Doyon</v>
      </c>
      <c r="Q48" s="452" t="str">
        <f t="array" ref="Q48">IFERROR((INDEX(UtilityList!M$4:M$251,MATCH('Table 2.2a'!$A48&amp;'Table 2.2a'!$B48,UtilityList!$A$4:$A$251&amp;UtilityList!$C$4:$C$251,0))),INDEX(UtilityList!M$4:M$251,MATCH('Table 2.2a'!$A48,UtilityList!$A$4:$A$251,0)))</f>
        <v>YU</v>
      </c>
    </row>
    <row r="49" spans="1:18" s="344" customFormat="1" ht="15" x14ac:dyDescent="0.25">
      <c r="A49" s="633" t="s">
        <v>524</v>
      </c>
      <c r="B49" s="633" t="s">
        <v>77</v>
      </c>
      <c r="C49" s="629">
        <v>625.66</v>
      </c>
      <c r="D49" s="629">
        <v>0</v>
      </c>
      <c r="E49" s="629">
        <v>0</v>
      </c>
      <c r="F49" s="629">
        <v>625.66</v>
      </c>
      <c r="G49" s="629">
        <v>603.00599999999997</v>
      </c>
      <c r="H49" s="629">
        <v>0</v>
      </c>
      <c r="I49" s="629">
        <v>0</v>
      </c>
      <c r="J49" s="629">
        <v>31.288</v>
      </c>
      <c r="K49" s="629">
        <v>-8.6340000000000146</v>
      </c>
      <c r="L49" s="634" t="s">
        <v>356</v>
      </c>
      <c r="M49" s="627">
        <f t="array" ref="M49">INDEX(UtilityList!Q$4:Q$251,MATCH('Table 2.2a'!$A49&amp;'Table 2.2a'!$B49,UtilityList!$A$4:$A$251&amp;UtilityList!$C$4:$C$251,0))</f>
        <v>0</v>
      </c>
      <c r="N49" s="452" t="str">
        <f t="array" ref="N49">IFERROR((INDEX(UtilityList!J$4:J$251,MATCH('Table 2.2a'!$A49&amp;'Table 2.2a'!$B49,UtilityList!$A$4:$A$251&amp;UtilityList!$C$4:$C$251,0))),INDEX(UtilityList!J$4:J$251,MATCH('Table 2.2a'!$A49,UtilityList!$A$4:$A$251,0)))</f>
        <v>Yukon-Koyukuk/Upper Tanana</v>
      </c>
      <c r="O49" s="452" t="str">
        <f t="array" ref="O49">IFERROR((INDEX(UtilityList!K$4:K$251,MATCH('Table 2.2a'!$A49&amp;'Table 2.2a'!$B49,UtilityList!$A$4:$A$251&amp;UtilityList!$C$4:$C$251,0))),INDEX(UtilityList!K$4:K$251,MATCH('Table 2.2a'!$A49,UtilityList!$A$4:$A$251,0)))</f>
        <v>Yukon-Koyukuk (CA)</v>
      </c>
      <c r="P49" s="452" t="str">
        <f t="array" ref="P49">IFERROR((INDEX(UtilityList!L$4:L$251,MATCH('Table 2.2a'!$A49&amp;'Table 2.2a'!$B49,UtilityList!$A$4:$A$251&amp;UtilityList!$C$4:$C$251,0))),INDEX(UtilityList!L$4:L$251,MATCH('Table 2.2a'!$A49,UtilityList!$A$4:$A$251,0)))</f>
        <v>Doyon</v>
      </c>
      <c r="Q49" s="452" t="str">
        <f t="array" ref="Q49">IFERROR((INDEX(UtilityList!M$4:M$251,MATCH('Table 2.2a'!$A49&amp;'Table 2.2a'!$B49,UtilityList!$A$4:$A$251&amp;UtilityList!$C$4:$C$251,0))),INDEX(UtilityList!M$4:M$251,MATCH('Table 2.2a'!$A49,UtilityList!$A$4:$A$251,0)))</f>
        <v>YU</v>
      </c>
      <c r="R49" s="187"/>
    </row>
    <row r="50" spans="1:18" s="344" customFormat="1" ht="15" x14ac:dyDescent="0.25">
      <c r="A50" s="628" t="s">
        <v>524</v>
      </c>
      <c r="B50" s="628" t="s">
        <v>78</v>
      </c>
      <c r="C50" s="629">
        <v>3323.181</v>
      </c>
      <c r="D50" s="629">
        <v>0</v>
      </c>
      <c r="E50" s="629">
        <v>0</v>
      </c>
      <c r="F50" s="629">
        <v>3323.181</v>
      </c>
      <c r="G50" s="629">
        <v>2979.7249999999999</v>
      </c>
      <c r="H50" s="629">
        <v>0</v>
      </c>
      <c r="I50" s="629">
        <v>0</v>
      </c>
      <c r="J50" s="629">
        <v>68.617000000000004</v>
      </c>
      <c r="K50" s="629">
        <v>274.83899999999994</v>
      </c>
      <c r="L50" s="630" t="s">
        <v>356</v>
      </c>
      <c r="M50" s="627">
        <f t="array" ref="M50">INDEX(UtilityList!Q$4:Q$251,MATCH('Table 2.2a'!$A50&amp;'Table 2.2a'!$B50,UtilityList!$A$4:$A$251&amp;UtilityList!$C$4:$C$251,0))</f>
        <v>0</v>
      </c>
      <c r="N50" s="452" t="str">
        <f t="array" ref="N50">IFERROR((INDEX(UtilityList!J$4:J$251,MATCH('Table 2.2a'!$A50&amp;'Table 2.2a'!$B50,UtilityList!$A$4:$A$251&amp;UtilityList!$C$4:$C$251,0))),INDEX(UtilityList!J$4:J$251,MATCH('Table 2.2a'!$A50,UtilityList!$A$4:$A$251,0)))</f>
        <v>Lower Yukon-Kuskokwim</v>
      </c>
      <c r="O50" s="452" t="str">
        <f t="array" ref="O50">IFERROR((INDEX(UtilityList!K$4:K$251,MATCH('Table 2.2a'!$A50&amp;'Table 2.2a'!$B50,UtilityList!$A$4:$A$251&amp;UtilityList!$C$4:$C$251,0))),INDEX(UtilityList!K$4:K$251,MATCH('Table 2.2a'!$A50,UtilityList!$A$4:$A$251,0)))</f>
        <v>Wade Hampton (CA)</v>
      </c>
      <c r="P50" s="452" t="str">
        <f t="array" ref="P50">IFERROR((INDEX(UtilityList!L$4:L$251,MATCH('Table 2.2a'!$A50&amp;'Table 2.2a'!$B50,UtilityList!$A$4:$A$251&amp;UtilityList!$C$4:$C$251,0))),INDEX(UtilityList!L$4:L$251,MATCH('Table 2.2a'!$A50,UtilityList!$A$4:$A$251,0)))</f>
        <v>Calista</v>
      </c>
      <c r="Q50" s="452" t="str">
        <f t="array" ref="Q50">IFERROR((INDEX(UtilityList!M$4:M$251,MATCH('Table 2.2a'!$A50&amp;'Table 2.2a'!$B50,UtilityList!$A$4:$A$251&amp;UtilityList!$C$4:$C$251,0))),INDEX(UtilityList!M$4:M$251,MATCH('Table 2.2a'!$A50,UtilityList!$A$4:$A$251,0)))</f>
        <v>YU</v>
      </c>
      <c r="R50" s="187"/>
    </row>
    <row r="51" spans="1:18" s="126" customFormat="1" ht="15" x14ac:dyDescent="0.25">
      <c r="A51" s="628" t="s">
        <v>524</v>
      </c>
      <c r="B51" s="628" t="s">
        <v>79</v>
      </c>
      <c r="C51" s="629">
        <v>1031.0329999999999</v>
      </c>
      <c r="D51" s="629">
        <v>0</v>
      </c>
      <c r="E51" s="629">
        <v>0</v>
      </c>
      <c r="F51" s="629">
        <v>1031.0329999999999</v>
      </c>
      <c r="G51" s="629">
        <v>992.07500000000005</v>
      </c>
      <c r="H51" s="629">
        <v>0</v>
      </c>
      <c r="I51" s="629">
        <v>0</v>
      </c>
      <c r="J51" s="629">
        <v>25.233000000000001</v>
      </c>
      <c r="K51" s="629">
        <v>13.724999999999909</v>
      </c>
      <c r="L51" s="630" t="s">
        <v>356</v>
      </c>
      <c r="M51" s="627">
        <f t="array" ref="M51">INDEX(UtilityList!Q$4:Q$251,MATCH('Table 2.2a'!$A51&amp;'Table 2.2a'!$B51,UtilityList!$A$4:$A$251&amp;UtilityList!$C$4:$C$251,0))</f>
        <v>0</v>
      </c>
      <c r="N51" s="452" t="str">
        <f t="array" ref="N51">IFERROR((INDEX(UtilityList!J$4:J$251,MATCH('Table 2.2a'!$A51&amp;'Table 2.2a'!$B51,UtilityList!$A$4:$A$251&amp;UtilityList!$C$4:$C$251,0))),INDEX(UtilityList!J$4:J$251,MATCH('Table 2.2a'!$A51,UtilityList!$A$4:$A$251,0)))</f>
        <v>Yukon-Koyukuk/Upper Tanana</v>
      </c>
      <c r="O51" s="452" t="str">
        <f t="array" ref="O51">IFERROR((INDEX(UtilityList!K$4:K$251,MATCH('Table 2.2a'!$A51&amp;'Table 2.2a'!$B51,UtilityList!$A$4:$A$251&amp;UtilityList!$C$4:$C$251,0))),INDEX(UtilityList!K$4:K$251,MATCH('Table 2.2a'!$A51,UtilityList!$A$4:$A$251,0)))</f>
        <v>Yukon-Koyukuk (CA)</v>
      </c>
      <c r="P51" s="452" t="str">
        <f t="array" ref="P51">IFERROR((INDEX(UtilityList!L$4:L$251,MATCH('Table 2.2a'!$A51&amp;'Table 2.2a'!$B51,UtilityList!$A$4:$A$251&amp;UtilityList!$C$4:$C$251,0))),INDEX(UtilityList!L$4:L$251,MATCH('Table 2.2a'!$A51,UtilityList!$A$4:$A$251,0)))</f>
        <v>Doyon</v>
      </c>
      <c r="Q51" s="452" t="str">
        <f t="array" ref="Q51">IFERROR((INDEX(UtilityList!M$4:M$251,MATCH('Table 2.2a'!$A51&amp;'Table 2.2a'!$B51,UtilityList!$A$4:$A$251&amp;UtilityList!$C$4:$C$251,0))),INDEX(UtilityList!M$4:M$251,MATCH('Table 2.2a'!$A51,UtilityList!$A$4:$A$251,0)))</f>
        <v>YU</v>
      </c>
    </row>
    <row r="52" spans="1:18" s="126" customFormat="1" ht="45" x14ac:dyDescent="0.25">
      <c r="A52" s="628" t="s">
        <v>524</v>
      </c>
      <c r="B52" s="628" t="s">
        <v>997</v>
      </c>
      <c r="C52" s="629">
        <v>1508.9939999999999</v>
      </c>
      <c r="D52" s="629">
        <v>0</v>
      </c>
      <c r="E52" s="629">
        <v>0</v>
      </c>
      <c r="F52" s="629">
        <v>1508.9939999999999</v>
      </c>
      <c r="G52" s="629">
        <v>938.51840000000004</v>
      </c>
      <c r="H52" s="629">
        <v>0</v>
      </c>
      <c r="I52" s="629">
        <v>0</v>
      </c>
      <c r="J52" s="629">
        <v>36.787999999999997</v>
      </c>
      <c r="K52" s="629">
        <v>533.68759999999986</v>
      </c>
      <c r="L52" s="630" t="s">
        <v>356</v>
      </c>
      <c r="M52" s="627" t="str">
        <f t="array" ref="M52">INDEX(UtilityList!Q$4:Q$251,MATCH('Table 2.2a'!$A52&amp;'Table 2.2a'!$B52,UtilityList!$A$4:$A$251&amp;UtilityList!$C$4:$C$251,0))</f>
        <v>Provides power to Lower Kalskag via intertie. Fuel use and cost data includes information for Lower Kalskag.</v>
      </c>
      <c r="N52" s="452" t="str">
        <f t="array" ref="N52">IFERROR((INDEX(UtilityList!J$4:J$251,MATCH('Table 2.2a'!$A52&amp;'Table 2.2a'!$B52,UtilityList!$A$4:$A$251&amp;UtilityList!$C$4:$C$251,0))),INDEX(UtilityList!J$4:J$251,MATCH('Table 2.2a'!$A52,UtilityList!$A$4:$A$251,0)))</f>
        <v>Lower Yukon-Kuskokwim</v>
      </c>
      <c r="O52" s="452" t="str">
        <f t="array" ref="O52">IFERROR((INDEX(UtilityList!K$4:K$251,MATCH('Table 2.2a'!$A52&amp;'Table 2.2a'!$B52,UtilityList!$A$4:$A$251&amp;UtilityList!$C$4:$C$251,0))),INDEX(UtilityList!K$4:K$251,MATCH('Table 2.2a'!$A52,UtilityList!$A$4:$A$251,0)))</f>
        <v>Bethel (CA)</v>
      </c>
      <c r="P52" s="452" t="str">
        <f t="array" ref="P52">IFERROR((INDEX(UtilityList!L$4:L$251,MATCH('Table 2.2a'!$A52&amp;'Table 2.2a'!$B52,UtilityList!$A$4:$A$251&amp;UtilityList!$C$4:$C$251,0))),INDEX(UtilityList!L$4:L$251,MATCH('Table 2.2a'!$A52,UtilityList!$A$4:$A$251,0)))</f>
        <v>Calista</v>
      </c>
      <c r="Q52" s="452" t="str">
        <f t="array" ref="Q52">IFERROR((INDEX(UtilityList!M$4:M$251,MATCH('Table 2.2a'!$A52&amp;'Table 2.2a'!$B52,UtilityList!$A$4:$A$251&amp;UtilityList!$C$4:$C$251,0))),INDEX(UtilityList!M$4:M$251,MATCH('Table 2.2a'!$A52,UtilityList!$A$4:$A$251,0)))</f>
        <v>SW</v>
      </c>
      <c r="R52" s="187"/>
    </row>
    <row r="53" spans="1:18" s="126" customFormat="1" ht="15" x14ac:dyDescent="0.25">
      <c r="A53" s="633" t="s">
        <v>524</v>
      </c>
      <c r="B53" s="633" t="s">
        <v>80</v>
      </c>
      <c r="C53" s="629">
        <v>745.495</v>
      </c>
      <c r="D53" s="629">
        <v>0</v>
      </c>
      <c r="E53" s="629">
        <v>0</v>
      </c>
      <c r="F53" s="629">
        <v>745.495</v>
      </c>
      <c r="G53" s="629">
        <v>685.49699999999996</v>
      </c>
      <c r="H53" s="629">
        <v>0</v>
      </c>
      <c r="I53" s="629">
        <v>0</v>
      </c>
      <c r="J53" s="629">
        <v>18.457000000000001</v>
      </c>
      <c r="K53" s="629">
        <v>41.541000000000054</v>
      </c>
      <c r="L53" s="634" t="s">
        <v>356</v>
      </c>
      <c r="M53" s="627">
        <f t="array" ref="M53">INDEX(UtilityList!Q$4:Q$251,MATCH('Table 2.2a'!$A53&amp;'Table 2.2a'!$B53,UtilityList!$A$4:$A$251&amp;UtilityList!$C$4:$C$251,0))</f>
        <v>0</v>
      </c>
      <c r="N53" s="452" t="str">
        <f t="array" ref="N53">IFERROR((INDEX(UtilityList!J$4:J$251,MATCH('Table 2.2a'!$A53&amp;'Table 2.2a'!$B53,UtilityList!$A$4:$A$251&amp;UtilityList!$C$4:$C$251,0))),INDEX(UtilityList!J$4:J$251,MATCH('Table 2.2a'!$A53,UtilityList!$A$4:$A$251,0)))</f>
        <v>Yukon-Koyukuk/Upper Tanana</v>
      </c>
      <c r="O53" s="452" t="str">
        <f t="array" ref="O53">IFERROR((INDEX(UtilityList!K$4:K$251,MATCH('Table 2.2a'!$A53&amp;'Table 2.2a'!$B53,UtilityList!$A$4:$A$251&amp;UtilityList!$C$4:$C$251,0))),INDEX(UtilityList!K$4:K$251,MATCH('Table 2.2a'!$A53,UtilityList!$A$4:$A$251,0)))</f>
        <v>Yukon-Koyukuk (CA)</v>
      </c>
      <c r="P53" s="452" t="str">
        <f t="array" ref="P53">IFERROR((INDEX(UtilityList!L$4:L$251,MATCH('Table 2.2a'!$A53&amp;'Table 2.2a'!$B53,UtilityList!$A$4:$A$251&amp;UtilityList!$C$4:$C$251,0))),INDEX(UtilityList!L$4:L$251,MATCH('Table 2.2a'!$A53,UtilityList!$A$4:$A$251,0)))</f>
        <v>Doyon</v>
      </c>
      <c r="Q53" s="452" t="str">
        <f t="array" ref="Q53">IFERROR((INDEX(UtilityList!M$4:M$251,MATCH('Table 2.2a'!$A53&amp;'Table 2.2a'!$B53,UtilityList!$A$4:$A$251&amp;UtilityList!$C$4:$C$251,0))),INDEX(UtilityList!M$4:M$251,MATCH('Table 2.2a'!$A53,UtilityList!$A$4:$A$251,0)))</f>
        <v>YU</v>
      </c>
      <c r="R53" s="187"/>
    </row>
    <row r="54" spans="1:18" s="344" customFormat="1" ht="45" x14ac:dyDescent="0.25">
      <c r="A54" s="628" t="s">
        <v>524</v>
      </c>
      <c r="B54" s="628" t="s">
        <v>992</v>
      </c>
      <c r="C54" s="629">
        <v>2860.585</v>
      </c>
      <c r="D54" s="629">
        <v>0</v>
      </c>
      <c r="E54" s="629">
        <v>0</v>
      </c>
      <c r="F54" s="629">
        <v>2860.585</v>
      </c>
      <c r="G54" s="629">
        <v>1555.77</v>
      </c>
      <c r="H54" s="629">
        <v>0</v>
      </c>
      <c r="I54" s="629">
        <v>0</v>
      </c>
      <c r="J54" s="629">
        <v>77.314999999999998</v>
      </c>
      <c r="K54" s="629">
        <v>1227.5</v>
      </c>
      <c r="L54" s="630" t="s">
        <v>356</v>
      </c>
      <c r="M54" s="627" t="str">
        <f t="array" ref="M54">INDEX(UtilityList!Q$4:Q$251,MATCH('Table 2.2a'!$A54&amp;'Table 2.2a'!$B54,UtilityList!$A$4:$A$251&amp;UtilityList!$C$4:$C$251,0))</f>
        <v>Provides power to Nunapitchuk via intertie.  Fuel use and cost includes Nunapitchuk's information.</v>
      </c>
      <c r="N54" s="452" t="str">
        <f t="array" ref="N54">IFERROR((INDEX(UtilityList!J$4:J$251,MATCH('Table 2.2a'!$A54&amp;'Table 2.2a'!$B54,UtilityList!$A$4:$A$251&amp;UtilityList!$C$4:$C$251,0))),INDEX(UtilityList!J$4:J$251,MATCH('Table 2.2a'!$A54,UtilityList!$A$4:$A$251,0)))</f>
        <v>Lower Yukon-Kuskokwim</v>
      </c>
      <c r="O54" s="452" t="str">
        <f t="array" ref="O54">IFERROR((INDEX(UtilityList!K$4:K$251,MATCH('Table 2.2a'!$A54&amp;'Table 2.2a'!$B54,UtilityList!$A$4:$A$251&amp;UtilityList!$C$4:$C$251,0))),INDEX(UtilityList!K$4:K$251,MATCH('Table 2.2a'!$A54,UtilityList!$A$4:$A$251,0)))</f>
        <v>Bethel (CA)</v>
      </c>
      <c r="P54" s="452" t="str">
        <f t="array" ref="P54">IFERROR((INDEX(UtilityList!L$4:L$251,MATCH('Table 2.2a'!$A54&amp;'Table 2.2a'!$B54,UtilityList!$A$4:$A$251&amp;UtilityList!$C$4:$C$251,0))),INDEX(UtilityList!L$4:L$251,MATCH('Table 2.2a'!$A54,UtilityList!$A$4:$A$251,0)))</f>
        <v>Calista</v>
      </c>
      <c r="Q54" s="452" t="str">
        <f t="array" ref="Q54">IFERROR((INDEX(UtilityList!M$4:M$251,MATCH('Table 2.2a'!$A54&amp;'Table 2.2a'!$B54,UtilityList!$A$4:$A$251&amp;UtilityList!$C$4:$C$251,0))),INDEX(UtilityList!M$4:M$251,MATCH('Table 2.2a'!$A54,UtilityList!$A$4:$A$251,0)))</f>
        <v>SW</v>
      </c>
    </row>
    <row r="55" spans="1:18" s="344" customFormat="1" ht="15" x14ac:dyDescent="0.25">
      <c r="A55" s="628" t="s">
        <v>524</v>
      </c>
      <c r="B55" s="628" t="s">
        <v>82</v>
      </c>
      <c r="C55" s="629">
        <v>1555.614</v>
      </c>
      <c r="D55" s="629">
        <v>0</v>
      </c>
      <c r="E55" s="629">
        <v>0</v>
      </c>
      <c r="F55" s="629">
        <v>1555.614</v>
      </c>
      <c r="G55" s="629">
        <v>1437.2940000000001</v>
      </c>
      <c r="H55" s="629">
        <v>0</v>
      </c>
      <c r="I55" s="629">
        <v>0</v>
      </c>
      <c r="J55" s="629">
        <v>43.881999999999998</v>
      </c>
      <c r="K55" s="629">
        <v>74.437999999999874</v>
      </c>
      <c r="L55" s="630" t="s">
        <v>356</v>
      </c>
      <c r="M55" s="627">
        <f t="array" ref="M55">INDEX(UtilityList!Q$4:Q$251,MATCH('Table 2.2a'!$A55&amp;'Table 2.2a'!$B55,UtilityList!$A$4:$A$251&amp;UtilityList!$C$4:$C$251,0))</f>
        <v>0</v>
      </c>
      <c r="N55" s="452" t="str">
        <f t="array" ref="N55">IFERROR((INDEX(UtilityList!J$4:J$251,MATCH('Table 2.2a'!$A55&amp;'Table 2.2a'!$B55,UtilityList!$A$4:$A$251&amp;UtilityList!$C$4:$C$251,0))),INDEX(UtilityList!J$4:J$251,MATCH('Table 2.2a'!$A55,UtilityList!$A$4:$A$251,0)))</f>
        <v>Northwest Arctic</v>
      </c>
      <c r="O55" s="452" t="str">
        <f t="array" ref="O55">IFERROR((INDEX(UtilityList!K$4:K$251,MATCH('Table 2.2a'!$A55&amp;'Table 2.2a'!$B55,UtilityList!$A$4:$A$251&amp;UtilityList!$C$4:$C$251,0))),INDEX(UtilityList!K$4:K$251,MATCH('Table 2.2a'!$A55,UtilityList!$A$4:$A$251,0)))</f>
        <v>Northwest Arctic</v>
      </c>
      <c r="P55" s="452" t="str">
        <f t="array" ref="P55">IFERROR((INDEX(UtilityList!L$4:L$251,MATCH('Table 2.2a'!$A55&amp;'Table 2.2a'!$B55,UtilityList!$A$4:$A$251&amp;UtilityList!$C$4:$C$251,0))),INDEX(UtilityList!L$4:L$251,MATCH('Table 2.2a'!$A55,UtilityList!$A$4:$A$251,0)))</f>
        <v>NANA</v>
      </c>
      <c r="Q55" s="452" t="str">
        <f t="array" ref="Q55">IFERROR((INDEX(UtilityList!M$4:M$251,MATCH('Table 2.2a'!$A55&amp;'Table 2.2a'!$B55,UtilityList!$A$4:$A$251&amp;UtilityList!$C$4:$C$251,0))),INDEX(UtilityList!M$4:M$251,MATCH('Table 2.2a'!$A55,UtilityList!$A$4:$A$251,0)))</f>
        <v>AN</v>
      </c>
      <c r="R55" s="126"/>
    </row>
    <row r="56" spans="1:18" s="126" customFormat="1" ht="15" x14ac:dyDescent="0.25">
      <c r="A56" s="628" t="s">
        <v>524</v>
      </c>
      <c r="B56" s="628" t="s">
        <v>83</v>
      </c>
      <c r="C56" s="629">
        <v>1249.837</v>
      </c>
      <c r="D56" s="629">
        <v>0</v>
      </c>
      <c r="E56" s="629">
        <v>0</v>
      </c>
      <c r="F56" s="629">
        <v>1249.837</v>
      </c>
      <c r="G56" s="629">
        <v>1155.3879999999999</v>
      </c>
      <c r="H56" s="629">
        <v>0</v>
      </c>
      <c r="I56" s="629">
        <v>0</v>
      </c>
      <c r="J56" s="629">
        <v>37.752000000000002</v>
      </c>
      <c r="K56" s="629">
        <v>56.697000000000116</v>
      </c>
      <c r="L56" s="630" t="s">
        <v>356</v>
      </c>
      <c r="M56" s="627">
        <f t="array" ref="M56">INDEX(UtilityList!Q$4:Q$251,MATCH('Table 2.2a'!$A56&amp;'Table 2.2a'!$B56,UtilityList!$A$4:$A$251&amp;UtilityList!$C$4:$C$251,0))</f>
        <v>0</v>
      </c>
      <c r="N56" s="452" t="str">
        <f t="array" ref="N56">IFERROR((INDEX(UtilityList!J$4:J$251,MATCH('Table 2.2a'!$A56&amp;'Table 2.2a'!$B56,UtilityList!$A$4:$A$251&amp;UtilityList!$C$4:$C$251,0))),INDEX(UtilityList!J$4:J$251,MATCH('Table 2.2a'!$A56,UtilityList!$A$4:$A$251,0)))</f>
        <v>Northwest Arctic</v>
      </c>
      <c r="O56" s="452" t="str">
        <f t="array" ref="O56">IFERROR((INDEX(UtilityList!K$4:K$251,MATCH('Table 2.2a'!$A56&amp;'Table 2.2a'!$B56,UtilityList!$A$4:$A$251&amp;UtilityList!$C$4:$C$251,0))),INDEX(UtilityList!K$4:K$251,MATCH('Table 2.2a'!$A56,UtilityList!$A$4:$A$251,0)))</f>
        <v>Northwest Arctic</v>
      </c>
      <c r="P56" s="452" t="str">
        <f t="array" ref="P56">IFERROR((INDEX(UtilityList!L$4:L$251,MATCH('Table 2.2a'!$A56&amp;'Table 2.2a'!$B56,UtilityList!$A$4:$A$251&amp;UtilityList!$C$4:$C$251,0))),INDEX(UtilityList!L$4:L$251,MATCH('Table 2.2a'!$A56,UtilityList!$A$4:$A$251,0)))</f>
        <v>NANA</v>
      </c>
      <c r="Q56" s="452" t="str">
        <f t="array" ref="Q56">IFERROR((INDEX(UtilityList!M$4:M$251,MATCH('Table 2.2a'!$A56&amp;'Table 2.2a'!$B56,UtilityList!$A$4:$A$251&amp;UtilityList!$C$4:$C$251,0))),INDEX(UtilityList!M$4:M$251,MATCH('Table 2.2a'!$A56,UtilityList!$A$4:$A$251,0)))</f>
        <v>AN</v>
      </c>
    </row>
    <row r="57" spans="1:18" s="126" customFormat="1" ht="15" x14ac:dyDescent="0.25">
      <c r="A57" s="628" t="s">
        <v>524</v>
      </c>
      <c r="B57" s="628" t="s">
        <v>84</v>
      </c>
      <c r="C57" s="629">
        <v>2011.0719999999999</v>
      </c>
      <c r="D57" s="629">
        <v>0</v>
      </c>
      <c r="E57" s="629">
        <v>0</v>
      </c>
      <c r="F57" s="629">
        <v>2011.0719999999999</v>
      </c>
      <c r="G57" s="629">
        <v>1834.96</v>
      </c>
      <c r="H57" s="629">
        <v>0</v>
      </c>
      <c r="I57" s="629">
        <v>0</v>
      </c>
      <c r="J57" s="629">
        <v>44.615000000000002</v>
      </c>
      <c r="K57" s="629">
        <v>131.49699999999984</v>
      </c>
      <c r="L57" s="630" t="s">
        <v>356</v>
      </c>
      <c r="M57" s="627">
        <f t="array" ref="M57">INDEX(UtilityList!Q$4:Q$251,MATCH('Table 2.2a'!$A57&amp;'Table 2.2a'!$B57,UtilityList!$A$4:$A$251&amp;UtilityList!$C$4:$C$251,0))</f>
        <v>0</v>
      </c>
      <c r="N57" s="452" t="str">
        <f t="array" ref="N57">IFERROR((INDEX(UtilityList!J$4:J$251,MATCH('Table 2.2a'!$A57&amp;'Table 2.2a'!$B57,UtilityList!$A$4:$A$251&amp;UtilityList!$C$4:$C$251,0))),INDEX(UtilityList!J$4:J$251,MATCH('Table 2.2a'!$A57,UtilityList!$A$4:$A$251,0)))</f>
        <v>Lower Yukon-Kuskokwim</v>
      </c>
      <c r="O57" s="452" t="str">
        <f t="array" ref="O57">IFERROR((INDEX(UtilityList!K$4:K$251,MATCH('Table 2.2a'!$A57&amp;'Table 2.2a'!$B57,UtilityList!$A$4:$A$251&amp;UtilityList!$C$4:$C$251,0))),INDEX(UtilityList!K$4:K$251,MATCH('Table 2.2a'!$A57,UtilityList!$A$4:$A$251,0)))</f>
        <v>Wade Hampton (CA)</v>
      </c>
      <c r="P57" s="452" t="str">
        <f t="array" ref="P57">IFERROR((INDEX(UtilityList!L$4:L$251,MATCH('Table 2.2a'!$A57&amp;'Table 2.2a'!$B57,UtilityList!$A$4:$A$251&amp;UtilityList!$C$4:$C$251,0))),INDEX(UtilityList!L$4:L$251,MATCH('Table 2.2a'!$A57,UtilityList!$A$4:$A$251,0)))</f>
        <v>Calista</v>
      </c>
      <c r="Q57" s="452" t="str">
        <f t="array" ref="Q57">IFERROR((INDEX(UtilityList!M$4:M$251,MATCH('Table 2.2a'!$A57&amp;'Table 2.2a'!$B57,UtilityList!$A$4:$A$251&amp;UtilityList!$C$4:$C$251,0))),INDEX(UtilityList!M$4:M$251,MATCH('Table 2.2a'!$A57,UtilityList!$A$4:$A$251,0)))</f>
        <v>YU</v>
      </c>
      <c r="R57" s="344"/>
    </row>
    <row r="58" spans="1:18" s="126" customFormat="1" ht="15.75" customHeight="1" x14ac:dyDescent="0.25">
      <c r="A58" s="628" t="s">
        <v>524</v>
      </c>
      <c r="B58" s="628" t="s">
        <v>85</v>
      </c>
      <c r="C58" s="629">
        <v>1333.049</v>
      </c>
      <c r="D58" s="629">
        <v>0</v>
      </c>
      <c r="E58" s="629">
        <v>0</v>
      </c>
      <c r="F58" s="629">
        <v>1333.049</v>
      </c>
      <c r="G58" s="629">
        <v>1275.5889999999999</v>
      </c>
      <c r="H58" s="629">
        <v>0</v>
      </c>
      <c r="I58" s="629">
        <v>0</v>
      </c>
      <c r="J58" s="629">
        <v>17.131</v>
      </c>
      <c r="K58" s="629">
        <v>40.328999999999951</v>
      </c>
      <c r="L58" s="630" t="s">
        <v>356</v>
      </c>
      <c r="M58" s="627">
        <f t="array" ref="M58">INDEX(UtilityList!Q$4:Q$251,MATCH('Table 2.2a'!$A58&amp;'Table 2.2a'!$B58,UtilityList!$A$4:$A$251&amp;UtilityList!$C$4:$C$251,0))</f>
        <v>0</v>
      </c>
      <c r="N58" s="452" t="str">
        <f t="array" ref="N58">IFERROR((INDEX(UtilityList!J$4:J$251,MATCH('Table 2.2a'!$A58&amp;'Table 2.2a'!$B58,UtilityList!$A$4:$A$251&amp;UtilityList!$C$4:$C$251,0))),INDEX(UtilityList!J$4:J$251,MATCH('Table 2.2a'!$A58,UtilityList!$A$4:$A$251,0)))</f>
        <v>Bering Straits</v>
      </c>
      <c r="O58" s="452" t="str">
        <f t="array" ref="O58">IFERROR((INDEX(UtilityList!K$4:K$251,MATCH('Table 2.2a'!$A58&amp;'Table 2.2a'!$B58,UtilityList!$A$4:$A$251&amp;UtilityList!$C$4:$C$251,0))),INDEX(UtilityList!K$4:K$251,MATCH('Table 2.2a'!$A58,UtilityList!$A$4:$A$251,0)))</f>
        <v>Nome (CA)</v>
      </c>
      <c r="P58" s="452" t="str">
        <f t="array" ref="P58">IFERROR((INDEX(UtilityList!L$4:L$251,MATCH('Table 2.2a'!$A58&amp;'Table 2.2a'!$B58,UtilityList!$A$4:$A$251&amp;UtilityList!$C$4:$C$251,0))),INDEX(UtilityList!L$4:L$251,MATCH('Table 2.2a'!$A58,UtilityList!$A$4:$A$251,0)))</f>
        <v>Bering Straits</v>
      </c>
      <c r="Q58" s="452" t="str">
        <f t="array" ref="Q58">IFERROR((INDEX(UtilityList!M$4:M$251,MATCH('Table 2.2a'!$A58&amp;'Table 2.2a'!$B58,UtilityList!$A$4:$A$251&amp;UtilityList!$C$4:$C$251,0))),INDEX(UtilityList!M$4:M$251,MATCH('Table 2.2a'!$A58,UtilityList!$A$4:$A$251,0)))</f>
        <v>AN</v>
      </c>
      <c r="R58" s="187"/>
    </row>
    <row r="59" spans="1:18" s="126" customFormat="1" ht="46.5" customHeight="1" x14ac:dyDescent="0.25">
      <c r="A59" s="628" t="s">
        <v>524</v>
      </c>
      <c r="B59" s="628" t="s">
        <v>86</v>
      </c>
      <c r="C59" s="629">
        <v>0</v>
      </c>
      <c r="D59" s="629">
        <v>0</v>
      </c>
      <c r="E59" s="629">
        <v>0</v>
      </c>
      <c r="F59" s="629">
        <v>0</v>
      </c>
      <c r="G59" s="629">
        <v>534.44630000000006</v>
      </c>
      <c r="H59" s="629">
        <v>0</v>
      </c>
      <c r="I59" s="629">
        <v>0</v>
      </c>
      <c r="J59" s="629">
        <v>0</v>
      </c>
      <c r="K59" s="629">
        <v>-534.44630000000006</v>
      </c>
      <c r="L59" s="630" t="s">
        <v>356</v>
      </c>
      <c r="M59" s="627" t="str">
        <f t="array" ref="M59">INDEX(UtilityList!Q$4:Q$251,MATCH('Table 2.2a'!$A59&amp;'Table 2.2a'!$B59,UtilityList!$A$4:$A$251&amp;UtilityList!$C$4:$C$251,0))</f>
        <v>Receives power from (Upper) Kalskag via intertie. For fuel use and cost, please refer to (Upper) Kalskag.</v>
      </c>
      <c r="N59" s="452" t="str">
        <f t="array" ref="N59">IFERROR((INDEX(UtilityList!J$4:J$251,MATCH('Table 2.2a'!$A59&amp;'Table 2.2a'!$B59,UtilityList!$A$4:$A$251&amp;UtilityList!$C$4:$C$251,0))),INDEX(UtilityList!J$4:J$251,MATCH('Table 2.2a'!$A59,UtilityList!$A$4:$A$251,0)))</f>
        <v>Lower Yukon-Kuskokwim</v>
      </c>
      <c r="O59" s="452" t="str">
        <f t="array" ref="O59">IFERROR((INDEX(UtilityList!K$4:K$251,MATCH('Table 2.2a'!$A59&amp;'Table 2.2a'!$B59,UtilityList!$A$4:$A$251&amp;UtilityList!$C$4:$C$251,0))),INDEX(UtilityList!K$4:K$251,MATCH('Table 2.2a'!$A59,UtilityList!$A$4:$A$251,0)))</f>
        <v>Bethel (CA)</v>
      </c>
      <c r="P59" s="452" t="str">
        <f t="array" ref="P59">IFERROR((INDEX(UtilityList!L$4:L$251,MATCH('Table 2.2a'!$A59&amp;'Table 2.2a'!$B59,UtilityList!$A$4:$A$251&amp;UtilityList!$C$4:$C$251,0))),INDEX(UtilityList!L$4:L$251,MATCH('Table 2.2a'!$A59,UtilityList!$A$4:$A$251,0)))</f>
        <v>Calista</v>
      </c>
      <c r="Q59" s="452" t="str">
        <f t="array" ref="Q59">IFERROR((INDEX(UtilityList!M$4:M$251,MATCH('Table 2.2a'!$A59&amp;'Table 2.2a'!$B59,UtilityList!$A$4:$A$251&amp;UtilityList!$C$4:$C$251,0))),INDEX(UtilityList!M$4:M$251,MATCH('Table 2.2a'!$A59,UtilityList!$A$4:$A$251,0)))</f>
        <v>SW</v>
      </c>
    </row>
    <row r="60" spans="1:18" s="344" customFormat="1" ht="15" x14ac:dyDescent="0.25">
      <c r="A60" s="628" t="s">
        <v>524</v>
      </c>
      <c r="B60" s="628" t="s">
        <v>87</v>
      </c>
      <c r="C60" s="629">
        <v>1678.8440000000001</v>
      </c>
      <c r="D60" s="629">
        <v>0</v>
      </c>
      <c r="E60" s="629">
        <v>0</v>
      </c>
      <c r="F60" s="629">
        <v>1678.8440000000001</v>
      </c>
      <c r="G60" s="629">
        <v>1594.2470000000001</v>
      </c>
      <c r="H60" s="629">
        <v>0</v>
      </c>
      <c r="I60" s="629">
        <v>0</v>
      </c>
      <c r="J60" s="629">
        <v>34.667999999999999</v>
      </c>
      <c r="K60" s="629">
        <v>49.929000000000087</v>
      </c>
      <c r="L60" s="630" t="s">
        <v>356</v>
      </c>
      <c r="M60" s="627">
        <f t="array" ref="M60">INDEX(UtilityList!Q$4:Q$251,MATCH('Table 2.2a'!$A60&amp;'Table 2.2a'!$B60,UtilityList!$A$4:$A$251&amp;UtilityList!$C$4:$C$251,0))</f>
        <v>0</v>
      </c>
      <c r="N60" s="452" t="str">
        <f t="array" ref="N60">IFERROR((INDEX(UtilityList!J$4:J$251,MATCH('Table 2.2a'!$A60&amp;'Table 2.2a'!$B60,UtilityList!$A$4:$A$251&amp;UtilityList!$C$4:$C$251,0))),INDEX(UtilityList!J$4:J$251,MATCH('Table 2.2a'!$A60,UtilityList!$A$4:$A$251,0)))</f>
        <v>Lower Yukon-Kuskokwim</v>
      </c>
      <c r="O60" s="452" t="str">
        <f t="array" ref="O60">IFERROR((INDEX(UtilityList!K$4:K$251,MATCH('Table 2.2a'!$A60&amp;'Table 2.2a'!$B60,UtilityList!$A$4:$A$251&amp;UtilityList!$C$4:$C$251,0))),INDEX(UtilityList!K$4:K$251,MATCH('Table 2.2a'!$A60,UtilityList!$A$4:$A$251,0)))</f>
        <v>Wade Hampton (CA)</v>
      </c>
      <c r="P60" s="452" t="str">
        <f t="array" ref="P60">IFERROR((INDEX(UtilityList!L$4:L$251,MATCH('Table 2.2a'!$A60&amp;'Table 2.2a'!$B60,UtilityList!$A$4:$A$251&amp;UtilityList!$C$4:$C$251,0))),INDEX(UtilityList!L$4:L$251,MATCH('Table 2.2a'!$A60,UtilityList!$A$4:$A$251,0)))</f>
        <v>Calista</v>
      </c>
      <c r="Q60" s="452" t="str">
        <f t="array" ref="Q60">IFERROR((INDEX(UtilityList!M$4:M$251,MATCH('Table 2.2a'!$A60&amp;'Table 2.2a'!$B60,UtilityList!$A$4:$A$251&amp;UtilityList!$C$4:$C$251,0))),INDEX(UtilityList!M$4:M$251,MATCH('Table 2.2a'!$A60,UtilityList!$A$4:$A$251,0)))</f>
        <v>YU</v>
      </c>
      <c r="R60" s="126"/>
    </row>
    <row r="61" spans="1:18" s="344" customFormat="1" ht="15" x14ac:dyDescent="0.25">
      <c r="A61" s="633" t="s">
        <v>524</v>
      </c>
      <c r="B61" s="633" t="s">
        <v>88</v>
      </c>
      <c r="C61" s="629">
        <v>1028.9749999999999</v>
      </c>
      <c r="D61" s="629">
        <v>0</v>
      </c>
      <c r="E61" s="629">
        <v>0</v>
      </c>
      <c r="F61" s="629">
        <v>1028.9749999999999</v>
      </c>
      <c r="G61" s="629">
        <v>883.85259999999994</v>
      </c>
      <c r="H61" s="629">
        <v>0</v>
      </c>
      <c r="I61" s="629">
        <v>0</v>
      </c>
      <c r="J61" s="629">
        <v>81.438000000000002</v>
      </c>
      <c r="K61" s="629">
        <v>63.684399999999982</v>
      </c>
      <c r="L61" s="634" t="s">
        <v>356</v>
      </c>
      <c r="M61" s="627">
        <f t="array" ref="M61">INDEX(UtilityList!Q$4:Q$251,MATCH('Table 2.2a'!$A61&amp;'Table 2.2a'!$B61,UtilityList!$A$4:$A$251&amp;UtilityList!$C$4:$C$251,0))</f>
        <v>0</v>
      </c>
      <c r="N61" s="452" t="str">
        <f t="array" ref="N61">IFERROR((INDEX(UtilityList!J$4:J$251,MATCH('Table 2.2a'!$A61&amp;'Table 2.2a'!$B61,UtilityList!$A$4:$A$251&amp;UtilityList!$C$4:$C$251,0))),INDEX(UtilityList!J$4:J$251,MATCH('Table 2.2a'!$A61,UtilityList!$A$4:$A$251,0)))</f>
        <v>Lower Yukon-Kuskokwim</v>
      </c>
      <c r="O61" s="452" t="str">
        <f t="array" ref="O61">IFERROR((INDEX(UtilityList!K$4:K$251,MATCH('Table 2.2a'!$A61&amp;'Table 2.2a'!$B61,UtilityList!$A$4:$A$251&amp;UtilityList!$C$4:$C$251,0))),INDEX(UtilityList!K$4:K$251,MATCH('Table 2.2a'!$A61,UtilityList!$A$4:$A$251,0)))</f>
        <v>Bethel (CA)</v>
      </c>
      <c r="P61" s="452" t="str">
        <f t="array" ref="P61">IFERROR((INDEX(UtilityList!L$4:L$251,MATCH('Table 2.2a'!$A61&amp;'Table 2.2a'!$B61,UtilityList!$A$4:$A$251&amp;UtilityList!$C$4:$C$251,0))),INDEX(UtilityList!L$4:L$251,MATCH('Table 2.2a'!$A61,UtilityList!$A$4:$A$251,0)))</f>
        <v>Calista</v>
      </c>
      <c r="Q61" s="452" t="str">
        <f t="array" ref="Q61">IFERROR((INDEX(UtilityList!M$4:M$251,MATCH('Table 2.2a'!$A61&amp;'Table 2.2a'!$B61,UtilityList!$A$4:$A$251&amp;UtilityList!$C$4:$C$251,0))),INDEX(UtilityList!M$4:M$251,MATCH('Table 2.2a'!$A61,UtilityList!$A$4:$A$251,0)))</f>
        <v>SW</v>
      </c>
      <c r="R61" s="126"/>
    </row>
    <row r="62" spans="1:18" s="344" customFormat="1" ht="15" x14ac:dyDescent="0.25">
      <c r="A62" s="633" t="s">
        <v>524</v>
      </c>
      <c r="B62" s="633" t="s">
        <v>89</v>
      </c>
      <c r="C62" s="629">
        <v>671.86199999999997</v>
      </c>
      <c r="D62" s="629">
        <v>0</v>
      </c>
      <c r="E62" s="629">
        <v>0</v>
      </c>
      <c r="F62" s="629">
        <v>671.86199999999997</v>
      </c>
      <c r="G62" s="629">
        <v>619.30100000000004</v>
      </c>
      <c r="H62" s="629">
        <v>0</v>
      </c>
      <c r="I62" s="629">
        <v>0</v>
      </c>
      <c r="J62" s="629">
        <v>19.199000000000002</v>
      </c>
      <c r="K62" s="629">
        <v>33.361999999999966</v>
      </c>
      <c r="L62" s="634" t="s">
        <v>356</v>
      </c>
      <c r="M62" s="627">
        <f t="array" ref="M62">INDEX(UtilityList!Q$4:Q$251,MATCH('Table 2.2a'!$A62&amp;'Table 2.2a'!$B62,UtilityList!$A$4:$A$251&amp;UtilityList!$C$4:$C$251,0))</f>
        <v>0</v>
      </c>
      <c r="N62" s="452" t="str">
        <f t="array" ref="N62">IFERROR((INDEX(UtilityList!J$4:J$251,MATCH('Table 2.2a'!$A62&amp;'Table 2.2a'!$B62,UtilityList!$A$4:$A$251&amp;UtilityList!$C$4:$C$251,0))),INDEX(UtilityList!J$4:J$251,MATCH('Table 2.2a'!$A62,UtilityList!$A$4:$A$251,0)))</f>
        <v>Yukon-Koyukuk/Upper Tanana</v>
      </c>
      <c r="O62" s="452" t="str">
        <f t="array" ref="O62">IFERROR((INDEX(UtilityList!K$4:K$251,MATCH('Table 2.2a'!$A62&amp;'Table 2.2a'!$B62,UtilityList!$A$4:$A$251&amp;UtilityList!$C$4:$C$251,0))),INDEX(UtilityList!K$4:K$251,MATCH('Table 2.2a'!$A62,UtilityList!$A$4:$A$251,0)))</f>
        <v>Yukon-Koyukuk (CA)</v>
      </c>
      <c r="P62" s="452" t="str">
        <f t="array" ref="P62">IFERROR((INDEX(UtilityList!L$4:L$251,MATCH('Table 2.2a'!$A62&amp;'Table 2.2a'!$B62,UtilityList!$A$4:$A$251&amp;UtilityList!$C$4:$C$251,0))),INDEX(UtilityList!L$4:L$251,MATCH('Table 2.2a'!$A62,UtilityList!$A$4:$A$251,0)))</f>
        <v>Doyon</v>
      </c>
      <c r="Q62" s="452" t="str">
        <f t="array" ref="Q62">IFERROR((INDEX(UtilityList!M$4:M$251,MATCH('Table 2.2a'!$A62&amp;'Table 2.2a'!$B62,UtilityList!$A$4:$A$251&amp;UtilityList!$C$4:$C$251,0))),INDEX(UtilityList!M$4:M$251,MATCH('Table 2.2a'!$A62,UtilityList!$A$4:$A$251,0)))</f>
        <v>YU</v>
      </c>
      <c r="R62" s="126"/>
    </row>
    <row r="63" spans="1:18" s="126" customFormat="1" ht="15" x14ac:dyDescent="0.25">
      <c r="A63" s="628" t="s">
        <v>524</v>
      </c>
      <c r="B63" s="628" t="s">
        <v>90</v>
      </c>
      <c r="C63" s="629">
        <v>2838.9659999999999</v>
      </c>
      <c r="D63" s="629">
        <v>0</v>
      </c>
      <c r="E63" s="629">
        <v>0</v>
      </c>
      <c r="F63" s="629">
        <v>2838.9659999999999</v>
      </c>
      <c r="G63" s="629">
        <v>2690.21</v>
      </c>
      <c r="H63" s="629">
        <v>0</v>
      </c>
      <c r="I63" s="629">
        <v>0</v>
      </c>
      <c r="J63" s="629">
        <v>42.1</v>
      </c>
      <c r="K63" s="629">
        <v>106.65599999999995</v>
      </c>
      <c r="L63" s="630" t="s">
        <v>356</v>
      </c>
      <c r="M63" s="627">
        <f t="array" ref="M63">INDEX(UtilityList!Q$4:Q$251,MATCH('Table 2.2a'!$A63&amp;'Table 2.2a'!$B63,UtilityList!$A$4:$A$251&amp;UtilityList!$C$4:$C$251,0))</f>
        <v>0</v>
      </c>
      <c r="N63" s="452" t="str">
        <f t="array" ref="N63">IFERROR((INDEX(UtilityList!J$4:J$251,MATCH('Table 2.2a'!$A63&amp;'Table 2.2a'!$B63,UtilityList!$A$4:$A$251&amp;UtilityList!$C$4:$C$251,0))),INDEX(UtilityList!J$4:J$251,MATCH('Table 2.2a'!$A63,UtilityList!$A$4:$A$251,0)))</f>
        <v>Lower Yukon-Kuskokwim</v>
      </c>
      <c r="O63" s="452" t="str">
        <f t="array" ref="O63">IFERROR((INDEX(UtilityList!K$4:K$251,MATCH('Table 2.2a'!$A63&amp;'Table 2.2a'!$B63,UtilityList!$A$4:$A$251&amp;UtilityList!$C$4:$C$251,0))),INDEX(UtilityList!K$4:K$251,MATCH('Table 2.2a'!$A63,UtilityList!$A$4:$A$251,0)))</f>
        <v>Wade Hampton (CA)</v>
      </c>
      <c r="P63" s="452" t="str">
        <f t="array" ref="P63">IFERROR((INDEX(UtilityList!L$4:L$251,MATCH('Table 2.2a'!$A63&amp;'Table 2.2a'!$B63,UtilityList!$A$4:$A$251&amp;UtilityList!$C$4:$C$251,0))),INDEX(UtilityList!L$4:L$251,MATCH('Table 2.2a'!$A63,UtilityList!$A$4:$A$251,0)))</f>
        <v>Calista</v>
      </c>
      <c r="Q63" s="452" t="str">
        <f t="array" ref="Q63">IFERROR((INDEX(UtilityList!M$4:M$251,MATCH('Table 2.2a'!$A63&amp;'Table 2.2a'!$B63,UtilityList!$A$4:$A$251&amp;UtilityList!$C$4:$C$251,0))),INDEX(UtilityList!M$4:M$251,MATCH('Table 2.2a'!$A63,UtilityList!$A$4:$A$251,0)))</f>
        <v>YU</v>
      </c>
      <c r="R63" s="344"/>
    </row>
    <row r="64" spans="1:18" s="344" customFormat="1" ht="15" x14ac:dyDescent="0.25">
      <c r="A64" s="628" t="s">
        <v>524</v>
      </c>
      <c r="B64" s="628" t="s">
        <v>91</v>
      </c>
      <c r="C64" s="629">
        <v>1502.1579999999999</v>
      </c>
      <c r="D64" s="629">
        <v>0</v>
      </c>
      <c r="E64" s="629">
        <v>0</v>
      </c>
      <c r="F64" s="629">
        <v>1502.1579999999999</v>
      </c>
      <c r="G64" s="629">
        <v>1428.056</v>
      </c>
      <c r="H64" s="629">
        <v>0</v>
      </c>
      <c r="I64" s="629">
        <v>0</v>
      </c>
      <c r="J64" s="629">
        <v>35.78</v>
      </c>
      <c r="K64" s="629">
        <v>38.321999999999889</v>
      </c>
      <c r="L64" s="630" t="s">
        <v>356</v>
      </c>
      <c r="M64" s="627">
        <f t="array" ref="M64">INDEX(UtilityList!Q$4:Q$251,MATCH('Table 2.2a'!$A64&amp;'Table 2.2a'!$B64,UtilityList!$A$4:$A$251&amp;UtilityList!$C$4:$C$251,0))</f>
        <v>0</v>
      </c>
      <c r="N64" s="452" t="str">
        <f t="array" ref="N64">IFERROR((INDEX(UtilityList!J$4:J$251,MATCH('Table 2.2a'!$A64&amp;'Table 2.2a'!$B64,UtilityList!$A$4:$A$251&amp;UtilityList!$C$4:$C$251,0))),INDEX(UtilityList!J$4:J$251,MATCH('Table 2.2a'!$A64,UtilityList!$A$4:$A$251,0)))</f>
        <v>Bristol Bay</v>
      </c>
      <c r="O64" s="452" t="str">
        <f t="array" ref="O64">IFERROR((INDEX(UtilityList!K$4:K$251,MATCH('Table 2.2a'!$A64&amp;'Table 2.2a'!$B64,UtilityList!$A$4:$A$251&amp;UtilityList!$C$4:$C$251,0))),INDEX(UtilityList!K$4:K$251,MATCH('Table 2.2a'!$A64,UtilityList!$A$4:$A$251,0)))</f>
        <v>Dillingham (CA)</v>
      </c>
      <c r="P64" s="452" t="str">
        <f t="array" ref="P64">IFERROR((INDEX(UtilityList!L$4:L$251,MATCH('Table 2.2a'!$A64&amp;'Table 2.2a'!$B64,UtilityList!$A$4:$A$251&amp;UtilityList!$C$4:$C$251,0))),INDEX(UtilityList!L$4:L$251,MATCH('Table 2.2a'!$A64,UtilityList!$A$4:$A$251,0)))</f>
        <v>Bristol Bay</v>
      </c>
      <c r="Q64" s="452" t="str">
        <f t="array" ref="Q64">IFERROR((INDEX(UtilityList!M$4:M$251,MATCH('Table 2.2a'!$A64&amp;'Table 2.2a'!$B64,UtilityList!$A$4:$A$251&amp;UtilityList!$C$4:$C$251,0))),INDEX(UtilityList!M$4:M$251,MATCH('Table 2.2a'!$A64,UtilityList!$A$4:$A$251,0)))</f>
        <v>SW</v>
      </c>
    </row>
    <row r="65" spans="1:18" s="344" customFormat="1" ht="45" x14ac:dyDescent="0.25">
      <c r="A65" s="628" t="s">
        <v>524</v>
      </c>
      <c r="B65" s="628" t="s">
        <v>92</v>
      </c>
      <c r="C65" s="629">
        <v>0</v>
      </c>
      <c r="D65" s="629">
        <v>0</v>
      </c>
      <c r="E65" s="629">
        <v>0</v>
      </c>
      <c r="F65" s="629">
        <v>0</v>
      </c>
      <c r="G65" s="629">
        <v>598.20399999999995</v>
      </c>
      <c r="H65" s="629">
        <v>0</v>
      </c>
      <c r="I65" s="629">
        <v>0</v>
      </c>
      <c r="J65" s="629">
        <v>0</v>
      </c>
      <c r="K65" s="629">
        <v>-598.20399999999995</v>
      </c>
      <c r="L65" s="630" t="s">
        <v>356</v>
      </c>
      <c r="M65" s="627" t="str">
        <f t="array" ref="M65">INDEX(UtilityList!Q$4:Q$251,MATCH('Table 2.2a'!$A65&amp;'Table 2.2a'!$B65,UtilityList!$A$4:$A$251&amp;UtilityList!$C$4:$C$251,0))</f>
        <v>Receives power from Toksook Bay via intertie. For fuel use and cost, please refer to Toksook Bay.</v>
      </c>
      <c r="N65" s="452" t="str">
        <f t="array" ref="N65">IFERROR((INDEX(UtilityList!J$4:J$251,MATCH('Table 2.2a'!$A65&amp;'Table 2.2a'!$B65,UtilityList!$A$4:$A$251&amp;UtilityList!$C$4:$C$251,0))),INDEX(UtilityList!J$4:J$251,MATCH('Table 2.2a'!$A65,UtilityList!$A$4:$A$251,0)))</f>
        <v>Lower Yukon-Kuskokwim</v>
      </c>
      <c r="O65" s="452" t="str">
        <f t="array" ref="O65">IFERROR((INDEX(UtilityList!K$4:K$251,MATCH('Table 2.2a'!$A65&amp;'Table 2.2a'!$B65,UtilityList!$A$4:$A$251&amp;UtilityList!$C$4:$C$251,0))),INDEX(UtilityList!K$4:K$251,MATCH('Table 2.2a'!$A65,UtilityList!$A$4:$A$251,0)))</f>
        <v>Bethel (CA)</v>
      </c>
      <c r="P65" s="452" t="str">
        <f t="array" ref="P65">IFERROR((INDEX(UtilityList!L$4:L$251,MATCH('Table 2.2a'!$A65&amp;'Table 2.2a'!$B65,UtilityList!$A$4:$A$251&amp;UtilityList!$C$4:$C$251,0))),INDEX(UtilityList!L$4:L$251,MATCH('Table 2.2a'!$A65,UtilityList!$A$4:$A$251,0)))</f>
        <v>Calista</v>
      </c>
      <c r="Q65" s="452" t="str">
        <f t="array" ref="Q65">IFERROR((INDEX(UtilityList!M$4:M$251,MATCH('Table 2.2a'!$A65&amp;'Table 2.2a'!$B65,UtilityList!$A$4:$A$251&amp;UtilityList!$C$4:$C$251,0))),INDEX(UtilityList!M$4:M$251,MATCH('Table 2.2a'!$A65,UtilityList!$A$4:$A$251,0)))</f>
        <v>SW</v>
      </c>
      <c r="R65" s="126"/>
    </row>
    <row r="66" spans="1:18" s="344" customFormat="1" ht="15" x14ac:dyDescent="0.25">
      <c r="A66" s="628" t="s">
        <v>524</v>
      </c>
      <c r="B66" s="628" t="s">
        <v>93</v>
      </c>
      <c r="C66" s="629">
        <v>1840.098</v>
      </c>
      <c r="D66" s="629">
        <v>0</v>
      </c>
      <c r="E66" s="629">
        <v>0</v>
      </c>
      <c r="F66" s="629">
        <v>1840.098</v>
      </c>
      <c r="G66" s="629">
        <v>1745.8530000000001</v>
      </c>
      <c r="H66" s="629">
        <v>0</v>
      </c>
      <c r="I66" s="629">
        <v>0</v>
      </c>
      <c r="J66" s="629">
        <v>39.457999999999998</v>
      </c>
      <c r="K66" s="629">
        <v>54.786999999999807</v>
      </c>
      <c r="L66" s="630" t="s">
        <v>356</v>
      </c>
      <c r="M66" s="627">
        <f t="array" ref="M66">INDEX(UtilityList!Q$4:Q$251,MATCH('Table 2.2a'!$A66&amp;'Table 2.2a'!$B66,UtilityList!$A$4:$A$251&amp;UtilityList!$C$4:$C$251,0))</f>
        <v>0</v>
      </c>
      <c r="N66" s="452" t="str">
        <f t="array" ref="N66">IFERROR((INDEX(UtilityList!J$4:J$251,MATCH('Table 2.2a'!$A66&amp;'Table 2.2a'!$B66,UtilityList!$A$4:$A$251&amp;UtilityList!$C$4:$C$251,0))),INDEX(UtilityList!J$4:J$251,MATCH('Table 2.2a'!$A66,UtilityList!$A$4:$A$251,0)))</f>
        <v>Northwest Arctic</v>
      </c>
      <c r="O66" s="452" t="str">
        <f t="array" ref="O66">IFERROR((INDEX(UtilityList!K$4:K$251,MATCH('Table 2.2a'!$A66&amp;'Table 2.2a'!$B66,UtilityList!$A$4:$A$251&amp;UtilityList!$C$4:$C$251,0))),INDEX(UtilityList!K$4:K$251,MATCH('Table 2.2a'!$A66,UtilityList!$A$4:$A$251,0)))</f>
        <v>Northwest Arctic</v>
      </c>
      <c r="P66" s="452" t="str">
        <f t="array" ref="P66">IFERROR((INDEX(UtilityList!L$4:L$251,MATCH('Table 2.2a'!$A66&amp;'Table 2.2a'!$B66,UtilityList!$A$4:$A$251&amp;UtilityList!$C$4:$C$251,0))),INDEX(UtilityList!L$4:L$251,MATCH('Table 2.2a'!$A66,UtilityList!$A$4:$A$251,0)))</f>
        <v>NANA</v>
      </c>
      <c r="Q66" s="452" t="str">
        <f t="array" ref="Q66">IFERROR((INDEX(UtilityList!M$4:M$251,MATCH('Table 2.2a'!$A66&amp;'Table 2.2a'!$B66,UtilityList!$A$4:$A$251&amp;UtilityList!$C$4:$C$251,0))),INDEX(UtilityList!M$4:M$251,MATCH('Table 2.2a'!$A66,UtilityList!$A$4:$A$251,0)))</f>
        <v>AN</v>
      </c>
      <c r="R66" s="126"/>
    </row>
    <row r="67" spans="1:18" s="344" customFormat="1" ht="15" x14ac:dyDescent="0.25">
      <c r="A67" s="628" t="s">
        <v>524</v>
      </c>
      <c r="B67" s="628" t="s">
        <v>94</v>
      </c>
      <c r="C67" s="629">
        <v>2034.1279999999999</v>
      </c>
      <c r="D67" s="629">
        <v>0</v>
      </c>
      <c r="E67" s="629">
        <v>0</v>
      </c>
      <c r="F67" s="629">
        <v>2034.1279999999999</v>
      </c>
      <c r="G67" s="629">
        <v>1942.9290000000001</v>
      </c>
      <c r="H67" s="629">
        <v>0</v>
      </c>
      <c r="I67" s="629">
        <v>0</v>
      </c>
      <c r="J67" s="629">
        <v>32.654000000000003</v>
      </c>
      <c r="K67" s="629">
        <v>58.544999999999845</v>
      </c>
      <c r="L67" s="630" t="s">
        <v>356</v>
      </c>
      <c r="M67" s="627">
        <f t="array" ref="M67">INDEX(UtilityList!Q$4:Q$251,MATCH('Table 2.2a'!$A67&amp;'Table 2.2a'!$B67,UtilityList!$A$4:$A$251&amp;UtilityList!$C$4:$C$251,0))</f>
        <v>0</v>
      </c>
      <c r="N67" s="452" t="str">
        <f t="array" ref="N67">IFERROR((INDEX(UtilityList!J$4:J$251,MATCH('Table 2.2a'!$A67&amp;'Table 2.2a'!$B67,UtilityList!$A$4:$A$251&amp;UtilityList!$C$4:$C$251,0))),INDEX(UtilityList!J$4:J$251,MATCH('Table 2.2a'!$A67,UtilityList!$A$4:$A$251,0)))</f>
        <v>Northwest Arctic</v>
      </c>
      <c r="O67" s="452" t="str">
        <f t="array" ref="O67">IFERROR((INDEX(UtilityList!K$4:K$251,MATCH('Table 2.2a'!$A67&amp;'Table 2.2a'!$B67,UtilityList!$A$4:$A$251&amp;UtilityList!$C$4:$C$251,0))),INDEX(UtilityList!K$4:K$251,MATCH('Table 2.2a'!$A67,UtilityList!$A$4:$A$251,0)))</f>
        <v>Northwest Arctic</v>
      </c>
      <c r="P67" s="452" t="str">
        <f t="array" ref="P67">IFERROR((INDEX(UtilityList!L$4:L$251,MATCH('Table 2.2a'!$A67&amp;'Table 2.2a'!$B67,UtilityList!$A$4:$A$251&amp;UtilityList!$C$4:$C$251,0))),INDEX(UtilityList!L$4:L$251,MATCH('Table 2.2a'!$A67,UtilityList!$A$4:$A$251,0)))</f>
        <v>NANA</v>
      </c>
      <c r="Q67" s="452" t="str">
        <f t="array" ref="Q67">IFERROR((INDEX(UtilityList!M$4:M$251,MATCH('Table 2.2a'!$A67&amp;'Table 2.2a'!$B67,UtilityList!$A$4:$A$251&amp;UtilityList!$C$4:$C$251,0))),INDEX(UtilityList!M$4:M$251,MATCH('Table 2.2a'!$A67,UtilityList!$A$4:$A$251,0)))</f>
        <v>AN</v>
      </c>
      <c r="R67" s="126"/>
    </row>
    <row r="68" spans="1:18" s="344" customFormat="1" ht="15" x14ac:dyDescent="0.25">
      <c r="A68" s="628" t="s">
        <v>524</v>
      </c>
      <c r="B68" s="628" t="s">
        <v>95</v>
      </c>
      <c r="C68" s="629">
        <v>1129.4480000000001</v>
      </c>
      <c r="D68" s="629">
        <v>0</v>
      </c>
      <c r="E68" s="629">
        <v>0</v>
      </c>
      <c r="F68" s="629">
        <v>1129.4480000000001</v>
      </c>
      <c r="G68" s="629">
        <v>1114.4349999999999</v>
      </c>
      <c r="H68" s="629">
        <v>0</v>
      </c>
      <c r="I68" s="629">
        <v>0</v>
      </c>
      <c r="J68" s="629">
        <v>19.234000000000002</v>
      </c>
      <c r="K68" s="629">
        <v>-4.2209999999997763</v>
      </c>
      <c r="L68" s="630" t="s">
        <v>356</v>
      </c>
      <c r="M68" s="627">
        <f t="array" ref="M68">INDEX(UtilityList!Q$4:Q$251,MATCH('Table 2.2a'!$A68&amp;'Table 2.2a'!$B68,UtilityList!$A$4:$A$251&amp;UtilityList!$C$4:$C$251,0))</f>
        <v>0</v>
      </c>
      <c r="N68" s="452" t="str">
        <f t="array" ref="N68">IFERROR((INDEX(UtilityList!J$4:J$251,MATCH('Table 2.2a'!$A68&amp;'Table 2.2a'!$B68,UtilityList!$A$4:$A$251&amp;UtilityList!$C$4:$C$251,0))),INDEX(UtilityList!J$4:J$251,MATCH('Table 2.2a'!$A68,UtilityList!$A$4:$A$251,0)))</f>
        <v>Yukon-Koyukuk/Upper Tanana</v>
      </c>
      <c r="O68" s="452" t="str">
        <f t="array" ref="O68">IFERROR((INDEX(UtilityList!K$4:K$251,MATCH('Table 2.2a'!$A68&amp;'Table 2.2a'!$B68,UtilityList!$A$4:$A$251&amp;UtilityList!$C$4:$C$251,0))),INDEX(UtilityList!K$4:K$251,MATCH('Table 2.2a'!$A68,UtilityList!$A$4:$A$251,0)))</f>
        <v>Yukon-Koyukuk (CA)</v>
      </c>
      <c r="P68" s="452" t="str">
        <f t="array" ref="P68">IFERROR((INDEX(UtilityList!L$4:L$251,MATCH('Table 2.2a'!$A68&amp;'Table 2.2a'!$B68,UtilityList!$A$4:$A$251&amp;UtilityList!$C$4:$C$251,0))),INDEX(UtilityList!L$4:L$251,MATCH('Table 2.2a'!$A68,UtilityList!$A$4:$A$251,0)))</f>
        <v>Doyon</v>
      </c>
      <c r="Q68" s="452" t="str">
        <f t="array" ref="Q68">IFERROR((INDEX(UtilityList!M$4:M$251,MATCH('Table 2.2a'!$A68&amp;'Table 2.2a'!$B68,UtilityList!$A$4:$A$251&amp;UtilityList!$C$4:$C$251,0))),INDEX(UtilityList!M$4:M$251,MATCH('Table 2.2a'!$A68,UtilityList!$A$4:$A$251,0)))</f>
        <v>YU</v>
      </c>
    </row>
    <row r="69" spans="1:18" s="344" customFormat="1" ht="39.75" customHeight="1" x14ac:dyDescent="0.25">
      <c r="A69" s="628" t="s">
        <v>524</v>
      </c>
      <c r="B69" s="628" t="s">
        <v>96</v>
      </c>
      <c r="C69" s="629">
        <v>0</v>
      </c>
      <c r="D69" s="629">
        <v>0</v>
      </c>
      <c r="E69" s="629">
        <v>0</v>
      </c>
      <c r="F69" s="629">
        <v>0</v>
      </c>
      <c r="G69" s="629">
        <v>1178.837</v>
      </c>
      <c r="H69" s="629">
        <v>0</v>
      </c>
      <c r="I69" s="629">
        <v>0</v>
      </c>
      <c r="J69" s="629">
        <v>0</v>
      </c>
      <c r="K69" s="629">
        <v>-1178.837</v>
      </c>
      <c r="L69" s="630" t="s">
        <v>356</v>
      </c>
      <c r="M69" s="627" t="str">
        <f t="array" ref="M69">INDEX(UtilityList!Q$4:Q$251,MATCH('Table 2.2a'!$A69&amp;'Table 2.2a'!$B69,UtilityList!$A$4:$A$251&amp;UtilityList!$C$4:$C$251,0))</f>
        <v>Receives power from Kasigluk. Please refer to Kasigluk for fuel use and cost.</v>
      </c>
      <c r="N69" s="452" t="str">
        <f t="array" ref="N69">IFERROR((INDEX(UtilityList!J$4:J$251,MATCH('Table 2.2a'!$A69&amp;'Table 2.2a'!$B69,UtilityList!$A$4:$A$251&amp;UtilityList!$C$4:$C$251,0))),INDEX(UtilityList!J$4:J$251,MATCH('Table 2.2a'!$A69,UtilityList!$A$4:$A$251,0)))</f>
        <v>Lower Yukon-Kuskokwim</v>
      </c>
      <c r="O69" s="452" t="str">
        <f t="array" ref="O69">IFERROR((INDEX(UtilityList!K$4:K$251,MATCH('Table 2.2a'!$A69&amp;'Table 2.2a'!$B69,UtilityList!$A$4:$A$251&amp;UtilityList!$C$4:$C$251,0))),INDEX(UtilityList!K$4:K$251,MATCH('Table 2.2a'!$A69,UtilityList!$A$4:$A$251,0)))</f>
        <v>Bethel (CA)</v>
      </c>
      <c r="P69" s="452" t="str">
        <f t="array" ref="P69">IFERROR((INDEX(UtilityList!L$4:L$251,MATCH('Table 2.2a'!$A69&amp;'Table 2.2a'!$B69,UtilityList!$A$4:$A$251&amp;UtilityList!$C$4:$C$251,0))),INDEX(UtilityList!L$4:L$251,MATCH('Table 2.2a'!$A69,UtilityList!$A$4:$A$251,0)))</f>
        <v>Calista</v>
      </c>
      <c r="Q69" s="452" t="str">
        <f t="array" ref="Q69">IFERROR((INDEX(UtilityList!M$4:M$251,MATCH('Table 2.2a'!$A69&amp;'Table 2.2a'!$B69,UtilityList!$A$4:$A$251&amp;UtilityList!$C$4:$C$251,0))),INDEX(UtilityList!M$4:M$251,MATCH('Table 2.2a'!$A69,UtilityList!$A$4:$A$251,0)))</f>
        <v>SW</v>
      </c>
    </row>
    <row r="70" spans="1:18" s="344" customFormat="1" ht="15" x14ac:dyDescent="0.25">
      <c r="A70" s="628" t="s">
        <v>524</v>
      </c>
      <c r="B70" s="628" t="s">
        <v>97</v>
      </c>
      <c r="C70" s="629">
        <v>818.77</v>
      </c>
      <c r="D70" s="629">
        <v>0</v>
      </c>
      <c r="E70" s="629">
        <v>0</v>
      </c>
      <c r="F70" s="629">
        <v>818.77</v>
      </c>
      <c r="G70" s="629">
        <v>755.64800000000002</v>
      </c>
      <c r="H70" s="629">
        <v>0</v>
      </c>
      <c r="I70" s="629">
        <v>0</v>
      </c>
      <c r="J70" s="629">
        <v>30.751000000000001</v>
      </c>
      <c r="K70" s="629">
        <v>32.370999999999981</v>
      </c>
      <c r="L70" s="630" t="s">
        <v>356</v>
      </c>
      <c r="M70" s="627">
        <f t="array" ref="M70">INDEX(UtilityList!Q$4:Q$251,MATCH('Table 2.2a'!$A70&amp;'Table 2.2a'!$B70,UtilityList!$A$4:$A$251&amp;UtilityList!$C$4:$C$251,0))</f>
        <v>0</v>
      </c>
      <c r="N70" s="452" t="str">
        <f t="array" ref="N70">IFERROR((INDEX(UtilityList!J$4:J$251,MATCH('Table 2.2a'!$A70&amp;'Table 2.2a'!$B70,UtilityList!$A$4:$A$251&amp;UtilityList!$C$4:$C$251,0))),INDEX(UtilityList!J$4:J$251,MATCH('Table 2.2a'!$A70,UtilityList!$A$4:$A$251,0)))</f>
        <v>Kodiak</v>
      </c>
      <c r="O70" s="452" t="str">
        <f t="array" ref="O70">IFERROR((INDEX(UtilityList!K$4:K$251,MATCH('Table 2.2a'!$A70&amp;'Table 2.2a'!$B70,UtilityList!$A$4:$A$251&amp;UtilityList!$C$4:$C$251,0))),INDEX(UtilityList!K$4:K$251,MATCH('Table 2.2a'!$A70,UtilityList!$A$4:$A$251,0)))</f>
        <v>Kodiak Island</v>
      </c>
      <c r="P70" s="452" t="str">
        <f t="array" ref="P70">IFERROR((INDEX(UtilityList!L$4:L$251,MATCH('Table 2.2a'!$A70&amp;'Table 2.2a'!$B70,UtilityList!$A$4:$A$251&amp;UtilityList!$C$4:$C$251,0))),INDEX(UtilityList!L$4:L$251,MATCH('Table 2.2a'!$A70,UtilityList!$A$4:$A$251,0)))</f>
        <v>Koniag</v>
      </c>
      <c r="Q70" s="452" t="str">
        <f t="array" ref="Q70">IFERROR((INDEX(UtilityList!M$4:M$251,MATCH('Table 2.2a'!$A70&amp;'Table 2.2a'!$B70,UtilityList!$A$4:$A$251&amp;UtilityList!$C$4:$C$251,0))),INDEX(UtilityList!M$4:M$251,MATCH('Table 2.2a'!$A70,UtilityList!$A$4:$A$251,0)))</f>
        <v>SC</v>
      </c>
      <c r="R70" s="126"/>
    </row>
    <row r="71" spans="1:18" s="344" customFormat="1" ht="15" x14ac:dyDescent="0.25">
      <c r="A71" s="628" t="s">
        <v>524</v>
      </c>
      <c r="B71" s="628" t="s">
        <v>98</v>
      </c>
      <c r="C71" s="629">
        <v>1770.3009999999999</v>
      </c>
      <c r="D71" s="629">
        <v>0</v>
      </c>
      <c r="E71" s="629">
        <v>0</v>
      </c>
      <c r="F71" s="629">
        <v>1770.3009999999999</v>
      </c>
      <c r="G71" s="629">
        <v>1685.4670000000001</v>
      </c>
      <c r="H71" s="629">
        <v>0</v>
      </c>
      <c r="I71" s="629">
        <v>0</v>
      </c>
      <c r="J71" s="629">
        <v>19.63</v>
      </c>
      <c r="K71" s="629">
        <v>65.203999999999724</v>
      </c>
      <c r="L71" s="630" t="s">
        <v>356</v>
      </c>
      <c r="M71" s="627">
        <f t="array" ref="M71">INDEX(UtilityList!Q$4:Q$251,MATCH('Table 2.2a'!$A71&amp;'Table 2.2a'!$B71,UtilityList!$A$4:$A$251&amp;UtilityList!$C$4:$C$251,0))</f>
        <v>0</v>
      </c>
      <c r="N71" s="452" t="str">
        <f t="array" ref="N71">IFERROR((INDEX(UtilityList!J$4:J$251,MATCH('Table 2.2a'!$A71&amp;'Table 2.2a'!$B71,UtilityList!$A$4:$A$251&amp;UtilityList!$C$4:$C$251,0))),INDEX(UtilityList!J$4:J$251,MATCH('Table 2.2a'!$A71,UtilityList!$A$4:$A$251,0)))</f>
        <v>Lower Yukon-Kuskokwim</v>
      </c>
      <c r="O71" s="452" t="str">
        <f t="array" ref="O71">IFERROR((INDEX(UtilityList!K$4:K$251,MATCH('Table 2.2a'!$A71&amp;'Table 2.2a'!$B71,UtilityList!$A$4:$A$251&amp;UtilityList!$C$4:$C$251,0))),INDEX(UtilityList!K$4:K$251,MATCH('Table 2.2a'!$A71,UtilityList!$A$4:$A$251,0)))</f>
        <v>Wade Hampton (CA)</v>
      </c>
      <c r="P71" s="452" t="str">
        <f t="array" ref="P71">IFERROR((INDEX(UtilityList!L$4:L$251,MATCH('Table 2.2a'!$A71&amp;'Table 2.2a'!$B71,UtilityList!$A$4:$A$251&amp;UtilityList!$C$4:$C$251,0))),INDEX(UtilityList!L$4:L$251,MATCH('Table 2.2a'!$A71,UtilityList!$A$4:$A$251,0)))</f>
        <v>Calista</v>
      </c>
      <c r="Q71" s="452" t="str">
        <f t="array" ref="Q71">IFERROR((INDEX(UtilityList!M$4:M$251,MATCH('Table 2.2a'!$A71&amp;'Table 2.2a'!$B71,UtilityList!$A$4:$A$251&amp;UtilityList!$C$4:$C$251,0))),INDEX(UtilityList!M$4:M$251,MATCH('Table 2.2a'!$A71,UtilityList!$A$4:$A$251,0)))</f>
        <v>YU</v>
      </c>
      <c r="R71" s="126"/>
    </row>
    <row r="72" spans="1:18" s="344" customFormat="1" ht="45" x14ac:dyDescent="0.25">
      <c r="A72" s="628" t="s">
        <v>524</v>
      </c>
      <c r="B72" s="628" t="s">
        <v>99</v>
      </c>
      <c r="C72" s="629">
        <v>0</v>
      </c>
      <c r="D72" s="629">
        <v>0</v>
      </c>
      <c r="E72" s="629">
        <v>0</v>
      </c>
      <c r="F72" s="629">
        <v>0</v>
      </c>
      <c r="G72" s="629">
        <v>380.28699999999998</v>
      </c>
      <c r="H72" s="629">
        <v>0</v>
      </c>
      <c r="I72" s="629">
        <v>0</v>
      </c>
      <c r="J72" s="629">
        <v>0</v>
      </c>
      <c r="K72" s="629">
        <v>-380.28699999999998</v>
      </c>
      <c r="L72" s="630" t="s">
        <v>356</v>
      </c>
      <c r="M72" s="627" t="str">
        <f t="array" ref="M72">INDEX(UtilityList!Q$4:Q$251,MATCH('Table 2.2a'!$A72&amp;'Table 2.2a'!$B72,UtilityList!$A$4:$A$251&amp;UtilityList!$C$4:$C$251,0))</f>
        <v>Receives power from Saint Mary's via intertie. For fuel use and cost, please refer to Saint Mary's.</v>
      </c>
      <c r="N72" s="452" t="str">
        <f t="array" ref="N72">IFERROR((INDEX(UtilityList!J$4:J$251,MATCH('Table 2.2a'!$A72&amp;'Table 2.2a'!$B72,UtilityList!$A$4:$A$251&amp;UtilityList!$C$4:$C$251,0))),INDEX(UtilityList!J$4:J$251,MATCH('Table 2.2a'!$A72,UtilityList!$A$4:$A$251,0)))</f>
        <v>Lower Yukon-Kuskokwim</v>
      </c>
      <c r="O72" s="452" t="str">
        <f t="array" ref="O72">IFERROR((INDEX(UtilityList!K$4:K$251,MATCH('Table 2.2a'!$A72&amp;'Table 2.2a'!$B72,UtilityList!$A$4:$A$251&amp;UtilityList!$C$4:$C$251,0))),INDEX(UtilityList!K$4:K$251,MATCH('Table 2.2a'!$A72,UtilityList!$A$4:$A$251,0)))</f>
        <v>Wade Hampton (CA)</v>
      </c>
      <c r="P72" s="452" t="str">
        <f t="array" ref="P72">IFERROR((INDEX(UtilityList!L$4:L$251,MATCH('Table 2.2a'!$A72&amp;'Table 2.2a'!$B72,UtilityList!$A$4:$A$251&amp;UtilityList!$C$4:$C$251,0))),INDEX(UtilityList!L$4:L$251,MATCH('Table 2.2a'!$A72,UtilityList!$A$4:$A$251,0)))</f>
        <v>Calista</v>
      </c>
      <c r="Q72" s="452" t="str">
        <f t="array" ref="Q72">IFERROR((INDEX(UtilityList!M$4:M$251,MATCH('Table 2.2a'!$A72&amp;'Table 2.2a'!$B72,UtilityList!$A$4:$A$251&amp;UtilityList!$C$4:$C$251,0))),INDEX(UtilityList!M$4:M$251,MATCH('Table 2.2a'!$A72,UtilityList!$A$4:$A$251,0)))</f>
        <v>YU</v>
      </c>
      <c r="R72" s="126"/>
    </row>
    <row r="73" spans="1:18" s="154" customFormat="1" ht="15" x14ac:dyDescent="0.25">
      <c r="A73" s="628" t="s">
        <v>524</v>
      </c>
      <c r="B73" s="628" t="s">
        <v>100</v>
      </c>
      <c r="C73" s="629">
        <v>1867.1579999999999</v>
      </c>
      <c r="D73" s="629">
        <v>0</v>
      </c>
      <c r="E73" s="629">
        <v>0</v>
      </c>
      <c r="F73" s="629">
        <v>1867.1579999999999</v>
      </c>
      <c r="G73" s="629">
        <v>1734.3879999999999</v>
      </c>
      <c r="H73" s="629">
        <v>0</v>
      </c>
      <c r="I73" s="629">
        <v>0</v>
      </c>
      <c r="J73" s="629">
        <v>42.753</v>
      </c>
      <c r="K73" s="629">
        <v>90.017000000000053</v>
      </c>
      <c r="L73" s="630" t="s">
        <v>356</v>
      </c>
      <c r="M73" s="627">
        <f t="array" ref="M73">INDEX(UtilityList!Q$4:Q$251,MATCH('Table 2.2a'!$A73&amp;'Table 2.2a'!$B73,UtilityList!$A$4:$A$251&amp;UtilityList!$C$4:$C$251,0))</f>
        <v>0</v>
      </c>
      <c r="N73" s="452" t="str">
        <f t="array" ref="N73">IFERROR((INDEX(UtilityList!J$4:J$251,MATCH('Table 2.2a'!$A73&amp;'Table 2.2a'!$B73,UtilityList!$A$4:$A$251&amp;UtilityList!$C$4:$C$251,0))),INDEX(UtilityList!J$4:J$251,MATCH('Table 2.2a'!$A73,UtilityList!$A$4:$A$251,0)))</f>
        <v>Lower Yukon-Kuskokwim</v>
      </c>
      <c r="O73" s="452" t="str">
        <f t="array" ref="O73">IFERROR((INDEX(UtilityList!K$4:K$251,MATCH('Table 2.2a'!$A73&amp;'Table 2.2a'!$B73,UtilityList!$A$4:$A$251&amp;UtilityList!$C$4:$C$251,0))),INDEX(UtilityList!K$4:K$251,MATCH('Table 2.2a'!$A73,UtilityList!$A$4:$A$251,0)))</f>
        <v>Bethel (CA)</v>
      </c>
      <c r="P73" s="452" t="str">
        <f t="array" ref="P73">IFERROR((INDEX(UtilityList!L$4:L$251,MATCH('Table 2.2a'!$A73&amp;'Table 2.2a'!$B73,UtilityList!$A$4:$A$251&amp;UtilityList!$C$4:$C$251,0))),INDEX(UtilityList!L$4:L$251,MATCH('Table 2.2a'!$A73,UtilityList!$A$4:$A$251,0)))</f>
        <v>Calista</v>
      </c>
      <c r="Q73" s="452" t="str">
        <f t="array" ref="Q73">IFERROR((INDEX(UtilityList!M$4:M$251,MATCH('Table 2.2a'!$A73&amp;'Table 2.2a'!$B73,UtilityList!$A$4:$A$251&amp;UtilityList!$C$4:$C$251,0))),INDEX(UtilityList!M$4:M$251,MATCH('Table 2.2a'!$A73,UtilityList!$A$4:$A$251,0)))</f>
        <v>SW</v>
      </c>
      <c r="R73" s="126"/>
    </row>
    <row r="74" spans="1:18" s="344" customFormat="1" ht="15" x14ac:dyDescent="0.25">
      <c r="A74" s="633" t="s">
        <v>524</v>
      </c>
      <c r="B74" s="633" t="s">
        <v>101</v>
      </c>
      <c r="C74" s="629">
        <v>1141.538</v>
      </c>
      <c r="D74" s="629">
        <v>0</v>
      </c>
      <c r="E74" s="629">
        <v>0</v>
      </c>
      <c r="F74" s="629">
        <v>1141.538</v>
      </c>
      <c r="G74" s="629">
        <v>1082.431</v>
      </c>
      <c r="H74" s="629">
        <v>0</v>
      </c>
      <c r="I74" s="629">
        <v>0</v>
      </c>
      <c r="J74" s="629">
        <v>17.751999999999999</v>
      </c>
      <c r="K74" s="629">
        <v>41.355000000000018</v>
      </c>
      <c r="L74" s="634" t="s">
        <v>356</v>
      </c>
      <c r="M74" s="627">
        <f t="array" ref="M74">INDEX(UtilityList!Q$4:Q$251,MATCH('Table 2.2a'!$A74&amp;'Table 2.2a'!$B74,UtilityList!$A$4:$A$251&amp;UtilityList!$C$4:$C$251,0))</f>
        <v>0</v>
      </c>
      <c r="N74" s="452" t="str">
        <f t="array" ref="N74">IFERROR((INDEX(UtilityList!J$4:J$251,MATCH('Table 2.2a'!$A74&amp;'Table 2.2a'!$B74,UtilityList!$A$4:$A$251&amp;UtilityList!$C$4:$C$251,0))),INDEX(UtilityList!J$4:J$251,MATCH('Table 2.2a'!$A74,UtilityList!$A$4:$A$251,0)))</f>
        <v>Lower Yukon-Kuskokwim</v>
      </c>
      <c r="O74" s="452" t="str">
        <f t="array" ref="O74">IFERROR((INDEX(UtilityList!K$4:K$251,MATCH('Table 2.2a'!$A74&amp;'Table 2.2a'!$B74,UtilityList!$A$4:$A$251&amp;UtilityList!$C$4:$C$251,0))),INDEX(UtilityList!K$4:K$251,MATCH('Table 2.2a'!$A74,UtilityList!$A$4:$A$251,0)))</f>
        <v>Wade Hampton (CA)</v>
      </c>
      <c r="P74" s="452" t="str">
        <f t="array" ref="P74">IFERROR((INDEX(UtilityList!L$4:L$251,MATCH('Table 2.2a'!$A74&amp;'Table 2.2a'!$B74,UtilityList!$A$4:$A$251&amp;UtilityList!$C$4:$C$251,0))),INDEX(UtilityList!L$4:L$251,MATCH('Table 2.2a'!$A74,UtilityList!$A$4:$A$251,0)))</f>
        <v>Calista</v>
      </c>
      <c r="Q74" s="452" t="str">
        <f t="array" ref="Q74">IFERROR((INDEX(UtilityList!M$4:M$251,MATCH('Table 2.2a'!$A74&amp;'Table 2.2a'!$B74,UtilityList!$A$4:$A$251&amp;UtilityList!$C$4:$C$251,0))),INDEX(UtilityList!M$4:M$251,MATCH('Table 2.2a'!$A74,UtilityList!$A$4:$A$251,0)))</f>
        <v>YU</v>
      </c>
    </row>
    <row r="75" spans="1:18" s="344" customFormat="1" ht="45" x14ac:dyDescent="0.25">
      <c r="A75" s="628" t="s">
        <v>524</v>
      </c>
      <c r="B75" s="628" t="s">
        <v>993</v>
      </c>
      <c r="C75" s="629">
        <v>3220.2829999999999</v>
      </c>
      <c r="D75" s="629">
        <v>0</v>
      </c>
      <c r="E75" s="629">
        <v>0</v>
      </c>
      <c r="F75" s="629">
        <v>3220.2829999999999</v>
      </c>
      <c r="G75" s="629">
        <v>2703.038</v>
      </c>
      <c r="H75" s="629">
        <v>0</v>
      </c>
      <c r="I75" s="629">
        <v>0</v>
      </c>
      <c r="J75" s="629">
        <v>47.848999999999997</v>
      </c>
      <c r="K75" s="629">
        <v>469.39599999999973</v>
      </c>
      <c r="L75" s="630" t="s">
        <v>356</v>
      </c>
      <c r="M75" s="627" t="str">
        <f t="array" ref="M75">INDEX(UtilityList!Q$4:Q$251,MATCH('Table 2.2a'!$A75&amp;'Table 2.2a'!$B75,UtilityList!$A$4:$A$251&amp;UtilityList!$C$4:$C$251,0))</f>
        <v>Provides power to Andreafsky and Pitkas Point via intertie. Includes Andreafsky's information. Fuel use and cost also includes Pitkas Point.</v>
      </c>
      <c r="N75" s="452" t="str">
        <f t="array" ref="N75">IFERROR((INDEX(UtilityList!J$4:J$251,MATCH('Table 2.2a'!$A75&amp;'Table 2.2a'!$B75,UtilityList!$A$4:$A$251&amp;UtilityList!$C$4:$C$251,0))),INDEX(UtilityList!J$4:J$251,MATCH('Table 2.2a'!$A75,UtilityList!$A$4:$A$251,0)))</f>
        <v>Lower Yukon-Kuskokwim</v>
      </c>
      <c r="O75" s="452" t="str">
        <f t="array" ref="O75">IFERROR((INDEX(UtilityList!K$4:K$251,MATCH('Table 2.2a'!$A75&amp;'Table 2.2a'!$B75,UtilityList!$A$4:$A$251&amp;UtilityList!$C$4:$C$251,0))),INDEX(UtilityList!K$4:K$251,MATCH('Table 2.2a'!$A75,UtilityList!$A$4:$A$251,0)))</f>
        <v>Wade Hampton (CA)</v>
      </c>
      <c r="P75" s="452" t="str">
        <f t="array" ref="P75">IFERROR((INDEX(UtilityList!L$4:L$251,MATCH('Table 2.2a'!$A75&amp;'Table 2.2a'!$B75,UtilityList!$A$4:$A$251&amp;UtilityList!$C$4:$C$251,0))),INDEX(UtilityList!L$4:L$251,MATCH('Table 2.2a'!$A75,UtilityList!$A$4:$A$251,0)))</f>
        <v>Calista</v>
      </c>
      <c r="Q75" s="452" t="str">
        <f t="array" ref="Q75">IFERROR((INDEX(UtilityList!M$4:M$251,MATCH('Table 2.2a'!$A75&amp;'Table 2.2a'!$B75,UtilityList!$A$4:$A$251&amp;UtilityList!$C$4:$C$251,0))),INDEX(UtilityList!M$4:M$251,MATCH('Table 2.2a'!$A75,UtilityList!$A$4:$A$251,0)))</f>
        <v>YU</v>
      </c>
    </row>
    <row r="76" spans="1:18" s="344" customFormat="1" ht="15" x14ac:dyDescent="0.25">
      <c r="A76" s="628" t="s">
        <v>524</v>
      </c>
      <c r="B76" s="628" t="s">
        <v>102</v>
      </c>
      <c r="C76" s="629">
        <v>1780.7739999999999</v>
      </c>
      <c r="D76" s="629">
        <v>0</v>
      </c>
      <c r="E76" s="629">
        <v>0</v>
      </c>
      <c r="F76" s="629">
        <v>1780.7739999999999</v>
      </c>
      <c r="G76" s="629">
        <v>1683.181</v>
      </c>
      <c r="H76" s="629">
        <v>0</v>
      </c>
      <c r="I76" s="629">
        <v>0</v>
      </c>
      <c r="J76" s="629">
        <v>45.811999999999998</v>
      </c>
      <c r="K76" s="629">
        <v>51.780999999999949</v>
      </c>
      <c r="L76" s="630" t="s">
        <v>356</v>
      </c>
      <c r="M76" s="627">
        <f t="array" ref="M76">INDEX(UtilityList!Q$4:Q$251,MATCH('Table 2.2a'!$A76&amp;'Table 2.2a'!$B76,UtilityList!$A$4:$A$251&amp;UtilityList!$C$4:$C$251,0))</f>
        <v>0</v>
      </c>
      <c r="N76" s="452" t="str">
        <f t="array" ref="N76">IFERROR((INDEX(UtilityList!J$4:J$251,MATCH('Table 2.2a'!$A76&amp;'Table 2.2a'!$B76,UtilityList!$A$4:$A$251&amp;UtilityList!$C$4:$C$251,0))),INDEX(UtilityList!J$4:J$251,MATCH('Table 2.2a'!$A76,UtilityList!$A$4:$A$251,0)))</f>
        <v>Bering Straits</v>
      </c>
      <c r="O76" s="452" t="str">
        <f t="array" ref="O76">IFERROR((INDEX(UtilityList!K$4:K$251,MATCH('Table 2.2a'!$A76&amp;'Table 2.2a'!$B76,UtilityList!$A$4:$A$251&amp;UtilityList!$C$4:$C$251,0))),INDEX(UtilityList!K$4:K$251,MATCH('Table 2.2a'!$A76,UtilityList!$A$4:$A$251,0)))</f>
        <v>Nome (CA)</v>
      </c>
      <c r="P76" s="452" t="str">
        <f t="array" ref="P76">IFERROR((INDEX(UtilityList!L$4:L$251,MATCH('Table 2.2a'!$A76&amp;'Table 2.2a'!$B76,UtilityList!$A$4:$A$251&amp;UtilityList!$C$4:$C$251,0))),INDEX(UtilityList!L$4:L$251,MATCH('Table 2.2a'!$A76,UtilityList!$A$4:$A$251,0)))</f>
        <v>Bering Straits</v>
      </c>
      <c r="Q76" s="452" t="str">
        <f t="array" ref="Q76">IFERROR((INDEX(UtilityList!M$4:M$251,MATCH('Table 2.2a'!$A76&amp;'Table 2.2a'!$B76,UtilityList!$A$4:$A$251&amp;UtilityList!$C$4:$C$251,0))),INDEX(UtilityList!M$4:M$251,MATCH('Table 2.2a'!$A76,UtilityList!$A$4:$A$251,0)))</f>
        <v>AN</v>
      </c>
    </row>
    <row r="77" spans="1:18" s="344" customFormat="1" ht="15" x14ac:dyDescent="0.25">
      <c r="A77" s="628" t="s">
        <v>524</v>
      </c>
      <c r="B77" s="628" t="s">
        <v>103</v>
      </c>
      <c r="C77" s="629">
        <v>2147.4499999999998</v>
      </c>
      <c r="D77" s="629">
        <v>0</v>
      </c>
      <c r="E77" s="629">
        <v>0</v>
      </c>
      <c r="F77" s="629">
        <v>2147.4499999999998</v>
      </c>
      <c r="G77" s="629">
        <v>2100.087</v>
      </c>
      <c r="H77" s="629">
        <v>0</v>
      </c>
      <c r="I77" s="629">
        <v>0</v>
      </c>
      <c r="J77" s="629">
        <v>33.889000000000003</v>
      </c>
      <c r="K77" s="629">
        <v>13.473999999999705</v>
      </c>
      <c r="L77" s="630" t="s">
        <v>356</v>
      </c>
      <c r="M77" s="627">
        <f t="array" ref="M77">INDEX(UtilityList!Q$4:Q$251,MATCH('Table 2.2a'!$A77&amp;'Table 2.2a'!$B77,UtilityList!$A$4:$A$251&amp;UtilityList!$C$4:$C$251,0))</f>
        <v>0</v>
      </c>
      <c r="N77" s="452" t="str">
        <f t="array" ref="N77">IFERROR((INDEX(UtilityList!J$4:J$251,MATCH('Table 2.2a'!$A77&amp;'Table 2.2a'!$B77,UtilityList!$A$4:$A$251&amp;UtilityList!$C$4:$C$251,0))),INDEX(UtilityList!J$4:J$251,MATCH('Table 2.2a'!$A77,UtilityList!$A$4:$A$251,0)))</f>
        <v>Bering Straits</v>
      </c>
      <c r="O77" s="452" t="str">
        <f t="array" ref="O77">IFERROR((INDEX(UtilityList!K$4:K$251,MATCH('Table 2.2a'!$A77&amp;'Table 2.2a'!$B77,UtilityList!$A$4:$A$251&amp;UtilityList!$C$4:$C$251,0))),INDEX(UtilityList!K$4:K$251,MATCH('Table 2.2a'!$A77,UtilityList!$A$4:$A$251,0)))</f>
        <v>Nome (CA)</v>
      </c>
      <c r="P77" s="452" t="str">
        <f t="array" ref="P77">IFERROR((INDEX(UtilityList!L$4:L$251,MATCH('Table 2.2a'!$A77&amp;'Table 2.2a'!$B77,UtilityList!$A$4:$A$251&amp;UtilityList!$C$4:$C$251,0))),INDEX(UtilityList!L$4:L$251,MATCH('Table 2.2a'!$A77,UtilityList!$A$4:$A$251,0)))</f>
        <v>Bering Straits</v>
      </c>
      <c r="Q77" s="452" t="str">
        <f t="array" ref="Q77">IFERROR((INDEX(UtilityList!M$4:M$251,MATCH('Table 2.2a'!$A77&amp;'Table 2.2a'!$B77,UtilityList!$A$4:$A$251&amp;UtilityList!$C$4:$C$251,0))),INDEX(UtilityList!M$4:M$251,MATCH('Table 2.2a'!$A77,UtilityList!$A$4:$A$251,0)))</f>
        <v>AN</v>
      </c>
      <c r="R77" s="126"/>
    </row>
    <row r="78" spans="1:18" s="344" customFormat="1" ht="15" x14ac:dyDescent="0.25">
      <c r="A78" s="628" t="s">
        <v>524</v>
      </c>
      <c r="B78" s="628" t="s">
        <v>104</v>
      </c>
      <c r="C78" s="629">
        <v>1766.952</v>
      </c>
      <c r="D78" s="629">
        <v>0</v>
      </c>
      <c r="E78" s="629">
        <v>0</v>
      </c>
      <c r="F78" s="629">
        <v>1766.952</v>
      </c>
      <c r="G78" s="629">
        <v>1678.3109999999999</v>
      </c>
      <c r="H78" s="629">
        <v>0</v>
      </c>
      <c r="I78" s="629">
        <v>0</v>
      </c>
      <c r="J78" s="629">
        <v>31.4</v>
      </c>
      <c r="K78" s="629">
        <v>57.240999999999985</v>
      </c>
      <c r="L78" s="630" t="s">
        <v>356</v>
      </c>
      <c r="M78" s="627">
        <f t="array" ref="M78">INDEX(UtilityList!Q$4:Q$251,MATCH('Table 2.2a'!$A78&amp;'Table 2.2a'!$B78,UtilityList!$A$4:$A$251&amp;UtilityList!$C$4:$C$251,0))</f>
        <v>0</v>
      </c>
      <c r="N78" s="452" t="str">
        <f t="array" ref="N78">IFERROR((INDEX(UtilityList!J$4:J$251,MATCH('Table 2.2a'!$A78&amp;'Table 2.2a'!$B78,UtilityList!$A$4:$A$251&amp;UtilityList!$C$4:$C$251,0))),INDEX(UtilityList!J$4:J$251,MATCH('Table 2.2a'!$A78,UtilityList!$A$4:$A$251,0)))</f>
        <v>Lower Yukon-Kuskokwim</v>
      </c>
      <c r="O78" s="452" t="str">
        <f t="array" ref="O78">IFERROR((INDEX(UtilityList!K$4:K$251,MATCH('Table 2.2a'!$A78&amp;'Table 2.2a'!$B78,UtilityList!$A$4:$A$251&amp;UtilityList!$C$4:$C$251,0))),INDEX(UtilityList!K$4:K$251,MATCH('Table 2.2a'!$A78,UtilityList!$A$4:$A$251,0)))</f>
        <v>Wade Hampton (CA)</v>
      </c>
      <c r="P78" s="452" t="str">
        <f t="array" ref="P78">IFERROR((INDEX(UtilityList!L$4:L$251,MATCH('Table 2.2a'!$A78&amp;'Table 2.2a'!$B78,UtilityList!$A$4:$A$251&amp;UtilityList!$C$4:$C$251,0))),INDEX(UtilityList!L$4:L$251,MATCH('Table 2.2a'!$A78,UtilityList!$A$4:$A$251,0)))</f>
        <v>Calista</v>
      </c>
      <c r="Q78" s="452" t="str">
        <f t="array" ref="Q78">IFERROR((INDEX(UtilityList!M$4:M$251,MATCH('Table 2.2a'!$A78&amp;'Table 2.2a'!$B78,UtilityList!$A$4:$A$251&amp;UtilityList!$C$4:$C$251,0))),INDEX(UtilityList!M$4:M$251,MATCH('Table 2.2a'!$A78,UtilityList!$A$4:$A$251,0)))</f>
        <v>YU</v>
      </c>
    </row>
    <row r="79" spans="1:18" s="344" customFormat="1" ht="15" x14ac:dyDescent="0.25">
      <c r="A79" s="628" t="s">
        <v>524</v>
      </c>
      <c r="B79" s="628" t="s">
        <v>105</v>
      </c>
      <c r="C79" s="629">
        <v>2905.4459999999999</v>
      </c>
      <c r="D79" s="629">
        <v>0</v>
      </c>
      <c r="E79" s="629">
        <v>0</v>
      </c>
      <c r="F79" s="629">
        <v>2905.4459999999999</v>
      </c>
      <c r="G79" s="629">
        <v>2726.2159999999999</v>
      </c>
      <c r="H79" s="629">
        <v>0</v>
      </c>
      <c r="I79" s="629">
        <v>0</v>
      </c>
      <c r="J79" s="629">
        <v>51.783999999999999</v>
      </c>
      <c r="K79" s="629">
        <v>127.44599999999991</v>
      </c>
      <c r="L79" s="630" t="s">
        <v>356</v>
      </c>
      <c r="M79" s="627">
        <f t="array" ref="M79">INDEX(UtilityList!Q$4:Q$251,MATCH('Table 2.2a'!$A79&amp;'Table 2.2a'!$B79,UtilityList!$A$4:$A$251&amp;UtilityList!$C$4:$C$251,0))</f>
        <v>0</v>
      </c>
      <c r="N79" s="452" t="str">
        <f t="array" ref="N79">IFERROR((INDEX(UtilityList!J$4:J$251,MATCH('Table 2.2a'!$A79&amp;'Table 2.2a'!$B79,UtilityList!$A$4:$A$251&amp;UtilityList!$C$4:$C$251,0))),INDEX(UtilityList!J$4:J$251,MATCH('Table 2.2a'!$A79,UtilityList!$A$4:$A$251,0)))</f>
        <v>Northwest Arctic</v>
      </c>
      <c r="O79" s="452" t="str">
        <f t="array" ref="O79">IFERROR((INDEX(UtilityList!K$4:K$251,MATCH('Table 2.2a'!$A79&amp;'Table 2.2a'!$B79,UtilityList!$A$4:$A$251&amp;UtilityList!$C$4:$C$251,0))),INDEX(UtilityList!K$4:K$251,MATCH('Table 2.2a'!$A79,UtilityList!$A$4:$A$251,0)))</f>
        <v>Northwest Arctic</v>
      </c>
      <c r="P79" s="452" t="str">
        <f t="array" ref="P79">IFERROR((INDEX(UtilityList!L$4:L$251,MATCH('Table 2.2a'!$A79&amp;'Table 2.2a'!$B79,UtilityList!$A$4:$A$251&amp;UtilityList!$C$4:$C$251,0))),INDEX(UtilityList!L$4:L$251,MATCH('Table 2.2a'!$A79,UtilityList!$A$4:$A$251,0)))</f>
        <v>NANA</v>
      </c>
      <c r="Q79" s="452" t="str">
        <f t="array" ref="Q79">IFERROR((INDEX(UtilityList!M$4:M$251,MATCH('Table 2.2a'!$A79&amp;'Table 2.2a'!$B79,UtilityList!$A$4:$A$251&amp;UtilityList!$C$4:$C$251,0))),INDEX(UtilityList!M$4:M$251,MATCH('Table 2.2a'!$A79,UtilityList!$A$4:$A$251,0)))</f>
        <v>AN</v>
      </c>
    </row>
    <row r="80" spans="1:18" s="344" customFormat="1" ht="15" x14ac:dyDescent="0.25">
      <c r="A80" s="633" t="s">
        <v>524</v>
      </c>
      <c r="B80" s="633" t="s">
        <v>106</v>
      </c>
      <c r="C80" s="629">
        <v>381.26600000000002</v>
      </c>
      <c r="D80" s="629">
        <v>0</v>
      </c>
      <c r="E80" s="629">
        <v>0</v>
      </c>
      <c r="F80" s="629">
        <v>381.26600000000002</v>
      </c>
      <c r="G80" s="629">
        <v>345.48500000000001</v>
      </c>
      <c r="H80" s="629">
        <v>0</v>
      </c>
      <c r="I80" s="629">
        <v>0</v>
      </c>
      <c r="J80" s="629">
        <v>12.250999999999999</v>
      </c>
      <c r="K80" s="629">
        <v>23.53000000000003</v>
      </c>
      <c r="L80" s="634" t="s">
        <v>356</v>
      </c>
      <c r="M80" s="627">
        <f t="array" ref="M80">INDEX(UtilityList!Q$4:Q$251,MATCH('Table 2.2a'!$A80&amp;'Table 2.2a'!$B80,UtilityList!$A$4:$A$251&amp;UtilityList!$C$4:$C$251,0))</f>
        <v>0</v>
      </c>
      <c r="N80" s="452" t="str">
        <f t="array" ref="N80">IFERROR((INDEX(UtilityList!J$4:J$251,MATCH('Table 2.2a'!$A80&amp;'Table 2.2a'!$B80,UtilityList!$A$4:$A$251&amp;UtilityList!$C$4:$C$251,0))),INDEX(UtilityList!J$4:J$251,MATCH('Table 2.2a'!$A80,UtilityList!$A$4:$A$251,0)))</f>
        <v>Yukon-Koyukuk/Upper Tanana</v>
      </c>
      <c r="O80" s="452" t="str">
        <f t="array" ref="O80">IFERROR((INDEX(UtilityList!K$4:K$251,MATCH('Table 2.2a'!$A80&amp;'Table 2.2a'!$B80,UtilityList!$A$4:$A$251&amp;UtilityList!$C$4:$C$251,0))),INDEX(UtilityList!K$4:K$251,MATCH('Table 2.2a'!$A80,UtilityList!$A$4:$A$251,0)))</f>
        <v>Yukon-Koyukuk (CA)</v>
      </c>
      <c r="P80" s="452" t="str">
        <f t="array" ref="P80">IFERROR((INDEX(UtilityList!L$4:L$251,MATCH('Table 2.2a'!$A80&amp;'Table 2.2a'!$B80,UtilityList!$A$4:$A$251&amp;UtilityList!$C$4:$C$251,0))),INDEX(UtilityList!L$4:L$251,MATCH('Table 2.2a'!$A80,UtilityList!$A$4:$A$251,0)))</f>
        <v>Doyon</v>
      </c>
      <c r="Q80" s="452" t="str">
        <f t="array" ref="Q80">IFERROR((INDEX(UtilityList!M$4:M$251,MATCH('Table 2.2a'!$A80&amp;'Table 2.2a'!$B80,UtilityList!$A$4:$A$251&amp;UtilityList!$C$4:$C$251,0))),INDEX(UtilityList!M$4:M$251,MATCH('Table 2.2a'!$A80,UtilityList!$A$4:$A$251,0)))</f>
        <v>YU</v>
      </c>
    </row>
    <row r="81" spans="1:18" s="344" customFormat="1" ht="15" x14ac:dyDescent="0.25">
      <c r="A81" s="633" t="s">
        <v>524</v>
      </c>
      <c r="B81" s="633" t="s">
        <v>107</v>
      </c>
      <c r="C81" s="629">
        <v>925.98400000000004</v>
      </c>
      <c r="D81" s="629">
        <v>0</v>
      </c>
      <c r="E81" s="629">
        <v>0</v>
      </c>
      <c r="F81" s="629">
        <v>925.98400000000004</v>
      </c>
      <c r="G81" s="629">
        <v>886.01400000000001</v>
      </c>
      <c r="H81" s="629">
        <v>0</v>
      </c>
      <c r="I81" s="629">
        <v>0</v>
      </c>
      <c r="J81" s="629">
        <v>22.062999999999999</v>
      </c>
      <c r="K81" s="629">
        <v>17.907000000000039</v>
      </c>
      <c r="L81" s="634" t="s">
        <v>356</v>
      </c>
      <c r="M81" s="627">
        <f t="array" ref="M81">INDEX(UtilityList!Q$4:Q$251,MATCH('Table 2.2a'!$A81&amp;'Table 2.2a'!$B81,UtilityList!$A$4:$A$251&amp;UtilityList!$C$4:$C$251,0))</f>
        <v>0</v>
      </c>
      <c r="N81" s="452" t="str">
        <f t="array" ref="N81">IFERROR((INDEX(UtilityList!J$4:J$251,MATCH('Table 2.2a'!$A81&amp;'Table 2.2a'!$B81,UtilityList!$A$4:$A$251&amp;UtilityList!$C$4:$C$251,0))),INDEX(UtilityList!J$4:J$251,MATCH('Table 2.2a'!$A81,UtilityList!$A$4:$A$251,0)))</f>
        <v>Bering Straits</v>
      </c>
      <c r="O81" s="452" t="str">
        <f t="array" ref="O81">IFERROR((INDEX(UtilityList!K$4:K$251,MATCH('Table 2.2a'!$A81&amp;'Table 2.2a'!$B81,UtilityList!$A$4:$A$251&amp;UtilityList!$C$4:$C$251,0))),INDEX(UtilityList!K$4:K$251,MATCH('Table 2.2a'!$A81,UtilityList!$A$4:$A$251,0)))</f>
        <v>Nome (CA)</v>
      </c>
      <c r="P81" s="452" t="str">
        <f t="array" ref="P81">IFERROR((INDEX(UtilityList!L$4:L$251,MATCH('Table 2.2a'!$A81&amp;'Table 2.2a'!$B81,UtilityList!$A$4:$A$251&amp;UtilityList!$C$4:$C$251,0))),INDEX(UtilityList!L$4:L$251,MATCH('Table 2.2a'!$A81,UtilityList!$A$4:$A$251,0)))</f>
        <v>Bering Straits</v>
      </c>
      <c r="Q81" s="452" t="str">
        <f t="array" ref="Q81">IFERROR((INDEX(UtilityList!M$4:M$251,MATCH('Table 2.2a'!$A81&amp;'Table 2.2a'!$B81,UtilityList!$A$4:$A$251&amp;UtilityList!$C$4:$C$251,0))),INDEX(UtilityList!M$4:M$251,MATCH('Table 2.2a'!$A81,UtilityList!$A$4:$A$251,0)))</f>
        <v>AN</v>
      </c>
    </row>
    <row r="82" spans="1:18" s="344" customFormat="1" ht="15" x14ac:dyDescent="0.25">
      <c r="A82" s="628" t="s">
        <v>524</v>
      </c>
      <c r="B82" s="628" t="s">
        <v>108</v>
      </c>
      <c r="C82" s="629">
        <v>1640.7529999999999</v>
      </c>
      <c r="D82" s="629">
        <v>0</v>
      </c>
      <c r="E82" s="629">
        <v>0</v>
      </c>
      <c r="F82" s="629">
        <v>1640.7529999999999</v>
      </c>
      <c r="G82" s="629">
        <v>1580.479</v>
      </c>
      <c r="H82" s="629">
        <v>0</v>
      </c>
      <c r="I82" s="629">
        <v>0</v>
      </c>
      <c r="J82" s="629">
        <v>46.843000000000004</v>
      </c>
      <c r="K82" s="629">
        <v>13.430999999999813</v>
      </c>
      <c r="L82" s="630" t="s">
        <v>356</v>
      </c>
      <c r="M82" s="627">
        <f t="array" ref="M82">INDEX(UtilityList!Q$4:Q$251,MATCH('Table 2.2a'!$A82&amp;'Table 2.2a'!$B82,UtilityList!$A$4:$A$251&amp;UtilityList!$C$4:$C$251,0))</f>
        <v>0</v>
      </c>
      <c r="N82" s="452" t="str">
        <f t="array" ref="N82">IFERROR((INDEX(UtilityList!J$4:J$251,MATCH('Table 2.2a'!$A82&amp;'Table 2.2a'!$B82,UtilityList!$A$4:$A$251&amp;UtilityList!$C$4:$C$251,0))),INDEX(UtilityList!J$4:J$251,MATCH('Table 2.2a'!$A82,UtilityList!$A$4:$A$251,0)))</f>
        <v>Bering Straits</v>
      </c>
      <c r="O82" s="452" t="str">
        <f t="array" ref="O82">IFERROR((INDEX(UtilityList!K$4:K$251,MATCH('Table 2.2a'!$A82&amp;'Table 2.2a'!$B82,UtilityList!$A$4:$A$251&amp;UtilityList!$C$4:$C$251,0))),INDEX(UtilityList!K$4:K$251,MATCH('Table 2.2a'!$A82,UtilityList!$A$4:$A$251,0)))</f>
        <v>Nome (CA)</v>
      </c>
      <c r="P82" s="452" t="str">
        <f t="array" ref="P82">IFERROR((INDEX(UtilityList!L$4:L$251,MATCH('Table 2.2a'!$A82&amp;'Table 2.2a'!$B82,UtilityList!$A$4:$A$251&amp;UtilityList!$C$4:$C$251,0))),INDEX(UtilityList!L$4:L$251,MATCH('Table 2.2a'!$A82,UtilityList!$A$4:$A$251,0)))</f>
        <v>Bering Straits</v>
      </c>
      <c r="Q82" s="452" t="str">
        <f t="array" ref="Q82">IFERROR((INDEX(UtilityList!M$4:M$251,MATCH('Table 2.2a'!$A82&amp;'Table 2.2a'!$B82,UtilityList!$A$4:$A$251&amp;UtilityList!$C$4:$C$251,0))),INDEX(UtilityList!M$4:M$251,MATCH('Table 2.2a'!$A82,UtilityList!$A$4:$A$251,0)))</f>
        <v>AN</v>
      </c>
    </row>
    <row r="83" spans="1:18" s="344" customFormat="1" ht="33" customHeight="1" x14ac:dyDescent="0.25">
      <c r="A83" s="628" t="s">
        <v>524</v>
      </c>
      <c r="B83" s="628" t="s">
        <v>994</v>
      </c>
      <c r="C83" s="629">
        <v>1569.4739999999999</v>
      </c>
      <c r="D83" s="629">
        <v>0</v>
      </c>
      <c r="E83" s="629">
        <v>0</v>
      </c>
      <c r="F83" s="629">
        <v>1569.4739999999999</v>
      </c>
      <c r="G83" s="629">
        <v>1504.5219999999999</v>
      </c>
      <c r="H83" s="629">
        <v>0</v>
      </c>
      <c r="I83" s="629">
        <v>0</v>
      </c>
      <c r="J83" s="629">
        <v>42.13</v>
      </c>
      <c r="K83" s="629">
        <v>22.821999999999889</v>
      </c>
      <c r="L83" s="630" t="s">
        <v>356</v>
      </c>
      <c r="M83" s="627" t="str">
        <f t="array" ref="M83">INDEX(UtilityList!Q$4:Q$251,MATCH('Table 2.2a'!$A83&amp;'Table 2.2a'!$B83,UtilityList!$A$4:$A$251&amp;UtilityList!$C$4:$C$251,0))</f>
        <v>Provides power to Kobuk via intertie. Fuel use and cost includes Kobuk's information.</v>
      </c>
      <c r="N83" s="452" t="str">
        <f t="array" ref="N83">IFERROR((INDEX(UtilityList!J$4:J$251,MATCH('Table 2.2a'!$A83&amp;'Table 2.2a'!$B83,UtilityList!$A$4:$A$251&amp;UtilityList!$C$4:$C$251,0))),INDEX(UtilityList!J$4:J$251,MATCH('Table 2.2a'!$A83,UtilityList!$A$4:$A$251,0)))</f>
        <v>Northwest Arctic</v>
      </c>
      <c r="O83" s="452" t="str">
        <f t="array" ref="O83">IFERROR((INDEX(UtilityList!K$4:K$251,MATCH('Table 2.2a'!$A83&amp;'Table 2.2a'!$B83,UtilityList!$A$4:$A$251&amp;UtilityList!$C$4:$C$251,0))),INDEX(UtilityList!K$4:K$251,MATCH('Table 2.2a'!$A83,UtilityList!$A$4:$A$251,0)))</f>
        <v>Northwest Arctic</v>
      </c>
      <c r="P83" s="452" t="str">
        <f t="array" ref="P83">IFERROR((INDEX(UtilityList!L$4:L$251,MATCH('Table 2.2a'!$A83&amp;'Table 2.2a'!$B83,UtilityList!$A$4:$A$251&amp;UtilityList!$C$4:$C$251,0))),INDEX(UtilityList!L$4:L$251,MATCH('Table 2.2a'!$A83,UtilityList!$A$4:$A$251,0)))</f>
        <v>NANA</v>
      </c>
      <c r="Q83" s="452" t="str">
        <f t="array" ref="Q83">IFERROR((INDEX(UtilityList!M$4:M$251,MATCH('Table 2.2a'!$A83&amp;'Table 2.2a'!$B83,UtilityList!$A$4:$A$251&amp;UtilityList!$C$4:$C$251,0))),INDEX(UtilityList!M$4:M$251,MATCH('Table 2.2a'!$A83,UtilityList!$A$4:$A$251,0)))</f>
        <v>AN</v>
      </c>
    </row>
    <row r="84" spans="1:18" s="344" customFormat="1" ht="15" x14ac:dyDescent="0.25">
      <c r="A84" s="633" t="s">
        <v>524</v>
      </c>
      <c r="B84" s="633" t="s">
        <v>110</v>
      </c>
      <c r="C84" s="629">
        <v>1387.5519999999999</v>
      </c>
      <c r="D84" s="629">
        <v>0</v>
      </c>
      <c r="E84" s="629">
        <v>0</v>
      </c>
      <c r="F84" s="629">
        <v>1387.5519999999999</v>
      </c>
      <c r="G84" s="629">
        <v>1347.883</v>
      </c>
      <c r="H84" s="629">
        <v>0</v>
      </c>
      <c r="I84" s="629">
        <v>0</v>
      </c>
      <c r="J84" s="629">
        <v>33.317</v>
      </c>
      <c r="K84" s="629">
        <v>6.3519999999998618</v>
      </c>
      <c r="L84" s="634" t="s">
        <v>356</v>
      </c>
      <c r="M84" s="627">
        <f t="array" ref="M84">INDEX(UtilityList!Q$4:Q$251,MATCH('Table 2.2a'!$A84&amp;'Table 2.2a'!$B84,UtilityList!$A$4:$A$251&amp;UtilityList!$C$4:$C$251,0))</f>
        <v>0</v>
      </c>
      <c r="N84" s="452" t="str">
        <f t="array" ref="N84">IFERROR((INDEX(UtilityList!J$4:J$251,MATCH('Table 2.2a'!$A84&amp;'Table 2.2a'!$B84,UtilityList!$A$4:$A$251&amp;UtilityList!$C$4:$C$251,0))),INDEX(UtilityList!J$4:J$251,MATCH('Table 2.2a'!$A84,UtilityList!$A$4:$A$251,0)))</f>
        <v>Bering Straits</v>
      </c>
      <c r="O84" s="452" t="str">
        <f t="array" ref="O84">IFERROR((INDEX(UtilityList!K$4:K$251,MATCH('Table 2.2a'!$A84&amp;'Table 2.2a'!$B84,UtilityList!$A$4:$A$251&amp;UtilityList!$C$4:$C$251,0))),INDEX(UtilityList!K$4:K$251,MATCH('Table 2.2a'!$A84,UtilityList!$A$4:$A$251,0)))</f>
        <v>Nome (CA)</v>
      </c>
      <c r="P84" s="452" t="str">
        <f t="array" ref="P84">IFERROR((INDEX(UtilityList!L$4:L$251,MATCH('Table 2.2a'!$A84&amp;'Table 2.2a'!$B84,UtilityList!$A$4:$A$251&amp;UtilityList!$C$4:$C$251,0))),INDEX(UtilityList!L$4:L$251,MATCH('Table 2.2a'!$A84,UtilityList!$A$4:$A$251,0)))</f>
        <v>Bering Straits</v>
      </c>
      <c r="Q84" s="452" t="str">
        <f t="array" ref="Q84">IFERROR((INDEX(UtilityList!M$4:M$251,MATCH('Table 2.2a'!$A84&amp;'Table 2.2a'!$B84,UtilityList!$A$4:$A$251&amp;UtilityList!$C$4:$C$251,0))),INDEX(UtilityList!M$4:M$251,MATCH('Table 2.2a'!$A84,UtilityList!$A$4:$A$251,0)))</f>
        <v>AN</v>
      </c>
    </row>
    <row r="85" spans="1:18" s="344" customFormat="1" ht="15" x14ac:dyDescent="0.25">
      <c r="A85" s="633" t="s">
        <v>524</v>
      </c>
      <c r="B85" s="633" t="s">
        <v>111</v>
      </c>
      <c r="C85" s="629">
        <v>882.36800000000005</v>
      </c>
      <c r="D85" s="629">
        <v>0</v>
      </c>
      <c r="E85" s="629">
        <v>0</v>
      </c>
      <c r="F85" s="629">
        <v>882.36800000000005</v>
      </c>
      <c r="G85" s="629">
        <v>789.30899999999997</v>
      </c>
      <c r="H85" s="629">
        <v>0</v>
      </c>
      <c r="I85" s="629">
        <v>0</v>
      </c>
      <c r="J85" s="629">
        <v>44.378999999999998</v>
      </c>
      <c r="K85" s="629">
        <v>48.680000000000064</v>
      </c>
      <c r="L85" s="634" t="s">
        <v>356</v>
      </c>
      <c r="M85" s="627">
        <f t="array" ref="M85">INDEX(UtilityList!Q$4:Q$251,MATCH('Table 2.2a'!$A85&amp;'Table 2.2a'!$B85,UtilityList!$A$4:$A$251&amp;UtilityList!$C$4:$C$251,0))</f>
        <v>0</v>
      </c>
      <c r="N85" s="452" t="str">
        <f t="array" ref="N85">IFERROR((INDEX(UtilityList!J$4:J$251,MATCH('Table 2.2a'!$A85&amp;'Table 2.2a'!$B85,UtilityList!$A$4:$A$251&amp;UtilityList!$C$4:$C$251,0))),INDEX(UtilityList!J$4:J$251,MATCH('Table 2.2a'!$A85,UtilityList!$A$4:$A$251,0)))</f>
        <v>Bering Straits</v>
      </c>
      <c r="O85" s="452" t="str">
        <f t="array" ref="O85">IFERROR((INDEX(UtilityList!K$4:K$251,MATCH('Table 2.2a'!$A85&amp;'Table 2.2a'!$B85,UtilityList!$A$4:$A$251&amp;UtilityList!$C$4:$C$251,0))),INDEX(UtilityList!K$4:K$251,MATCH('Table 2.2a'!$A85,UtilityList!$A$4:$A$251,0)))</f>
        <v>Nome (CA)</v>
      </c>
      <c r="P85" s="452" t="str">
        <f t="array" ref="P85">IFERROR((INDEX(UtilityList!L$4:L$251,MATCH('Table 2.2a'!$A85&amp;'Table 2.2a'!$B85,UtilityList!$A$4:$A$251&amp;UtilityList!$C$4:$C$251,0))),INDEX(UtilityList!L$4:L$251,MATCH('Table 2.2a'!$A85,UtilityList!$A$4:$A$251,0)))</f>
        <v>Bering Straits</v>
      </c>
      <c r="Q85" s="452" t="str">
        <f t="array" ref="Q85">IFERROR((INDEX(UtilityList!M$4:M$251,MATCH('Table 2.2a'!$A85&amp;'Table 2.2a'!$B85,UtilityList!$A$4:$A$251&amp;UtilityList!$C$4:$C$251,0))),INDEX(UtilityList!M$4:M$251,MATCH('Table 2.2a'!$A85,UtilityList!$A$4:$A$251,0)))</f>
        <v>AN</v>
      </c>
    </row>
    <row r="86" spans="1:18" s="344" customFormat="1" ht="15" x14ac:dyDescent="0.25">
      <c r="A86" s="628" t="s">
        <v>524</v>
      </c>
      <c r="B86" s="628" t="s">
        <v>112</v>
      </c>
      <c r="C86" s="629">
        <v>3079.3789999999999</v>
      </c>
      <c r="D86" s="629">
        <v>0</v>
      </c>
      <c r="E86" s="629">
        <v>0</v>
      </c>
      <c r="F86" s="629">
        <v>3079.3789999999999</v>
      </c>
      <c r="G86" s="629">
        <v>2936.0189999999998</v>
      </c>
      <c r="H86" s="629">
        <v>0</v>
      </c>
      <c r="I86" s="629">
        <v>0</v>
      </c>
      <c r="J86" s="629">
        <v>34.622999999999998</v>
      </c>
      <c r="K86" s="629">
        <v>108.73700000000008</v>
      </c>
      <c r="L86" s="630" t="s">
        <v>356</v>
      </c>
      <c r="M86" s="627">
        <f t="array" ref="M86">INDEX(UtilityList!Q$4:Q$251,MATCH('Table 2.2a'!$A86&amp;'Table 2.2a'!$B86,UtilityList!$A$4:$A$251&amp;UtilityList!$C$4:$C$251,0))</f>
        <v>0</v>
      </c>
      <c r="N86" s="452" t="str">
        <f t="array" ref="N86">IFERROR((INDEX(UtilityList!J$4:J$251,MATCH('Table 2.2a'!$A86&amp;'Table 2.2a'!$B86,UtilityList!$A$4:$A$251&amp;UtilityList!$C$4:$C$251,0))),INDEX(UtilityList!J$4:J$251,MATCH('Table 2.2a'!$A86,UtilityList!$A$4:$A$251,0)))</f>
        <v>Bristol Bay</v>
      </c>
      <c r="O86" s="452" t="str">
        <f t="array" ref="O86">IFERROR((INDEX(UtilityList!K$4:K$251,MATCH('Table 2.2a'!$A86&amp;'Table 2.2a'!$B86,UtilityList!$A$4:$A$251&amp;UtilityList!$C$4:$C$251,0))),INDEX(UtilityList!K$4:K$251,MATCH('Table 2.2a'!$A86,UtilityList!$A$4:$A$251,0)))</f>
        <v>Dillingham (CA)</v>
      </c>
      <c r="P86" s="452" t="str">
        <f t="array" ref="P86">IFERROR((INDEX(UtilityList!L$4:L$251,MATCH('Table 2.2a'!$A86&amp;'Table 2.2a'!$B86,UtilityList!$A$4:$A$251&amp;UtilityList!$C$4:$C$251,0))),INDEX(UtilityList!L$4:L$251,MATCH('Table 2.2a'!$A86,UtilityList!$A$4:$A$251,0)))</f>
        <v>Bristol Bay</v>
      </c>
      <c r="Q86" s="452" t="str">
        <f t="array" ref="Q86">IFERROR((INDEX(UtilityList!M$4:M$251,MATCH('Table 2.2a'!$A86&amp;'Table 2.2a'!$B86,UtilityList!$A$4:$A$251&amp;UtilityList!$C$4:$C$251,0))),INDEX(UtilityList!M$4:M$251,MATCH('Table 2.2a'!$A86,UtilityList!$A$4:$A$251,0)))</f>
        <v>SW</v>
      </c>
    </row>
    <row r="87" spans="1:18" s="344" customFormat="1" ht="58.5" customHeight="1" x14ac:dyDescent="0.25">
      <c r="A87" s="628" t="s">
        <v>524</v>
      </c>
      <c r="B87" s="628" t="s">
        <v>996</v>
      </c>
      <c r="C87" s="629">
        <v>3292.5120000000002</v>
      </c>
      <c r="D87" s="629">
        <v>0</v>
      </c>
      <c r="E87" s="629">
        <v>0</v>
      </c>
      <c r="F87" s="629">
        <v>3292.5120000000002</v>
      </c>
      <c r="G87" s="629">
        <v>1527.193</v>
      </c>
      <c r="H87" s="629">
        <v>0</v>
      </c>
      <c r="I87" s="629">
        <v>0</v>
      </c>
      <c r="J87" s="629">
        <v>140.43100000000001</v>
      </c>
      <c r="K87" s="629">
        <v>1624.8880000000001</v>
      </c>
      <c r="L87" s="630" t="s">
        <v>356</v>
      </c>
      <c r="M87" s="627" t="str">
        <f t="array" ref="M87">INDEX(UtilityList!Q$4:Q$251,MATCH('Table 2.2a'!$A87&amp;'Table 2.2a'!$B87,UtilityList!$A$4:$A$251&amp;UtilityList!$C$4:$C$251,0))</f>
        <v>Provides power to Nightmute and Tununak via intertie. Fuel use and cost includes Nightmute's and Tununak's information.</v>
      </c>
      <c r="N87" s="452" t="str">
        <f t="array" ref="N87">IFERROR((INDEX(UtilityList!J$4:J$251,MATCH('Table 2.2a'!$A87&amp;'Table 2.2a'!$B87,UtilityList!$A$4:$A$251&amp;UtilityList!$C$4:$C$251,0))),INDEX(UtilityList!J$4:J$251,MATCH('Table 2.2a'!$A87,UtilityList!$A$4:$A$251,0)))</f>
        <v>Lower Yukon-Kuskokwim</v>
      </c>
      <c r="O87" s="452" t="str">
        <f t="array" ref="O87">IFERROR((INDEX(UtilityList!K$4:K$251,MATCH('Table 2.2a'!$A87&amp;'Table 2.2a'!$B87,UtilityList!$A$4:$A$251&amp;UtilityList!$C$4:$C$251,0))),INDEX(UtilityList!K$4:K$251,MATCH('Table 2.2a'!$A87,UtilityList!$A$4:$A$251,0)))</f>
        <v>Bethel (CA)</v>
      </c>
      <c r="P87" s="452" t="str">
        <f t="array" ref="P87">IFERROR((INDEX(UtilityList!L$4:L$251,MATCH('Table 2.2a'!$A87&amp;'Table 2.2a'!$B87,UtilityList!$A$4:$A$251&amp;UtilityList!$C$4:$C$251,0))),INDEX(UtilityList!L$4:L$251,MATCH('Table 2.2a'!$A87,UtilityList!$A$4:$A$251,0)))</f>
        <v>Calista</v>
      </c>
      <c r="Q87" s="452" t="str">
        <f t="array" ref="Q87">IFERROR((INDEX(UtilityList!M$4:M$251,MATCH('Table 2.2a'!$A87&amp;'Table 2.2a'!$B87,UtilityList!$A$4:$A$251&amp;UtilityList!$C$4:$C$251,0))),INDEX(UtilityList!M$4:M$251,MATCH('Table 2.2a'!$A87,UtilityList!$A$4:$A$251,0)))</f>
        <v>SW</v>
      </c>
    </row>
    <row r="88" spans="1:18" s="344" customFormat="1" ht="45" x14ac:dyDescent="0.25">
      <c r="A88" s="628" t="s">
        <v>524</v>
      </c>
      <c r="B88" s="628" t="s">
        <v>114</v>
      </c>
      <c r="C88" s="629">
        <v>0</v>
      </c>
      <c r="D88" s="629">
        <v>0</v>
      </c>
      <c r="E88" s="629">
        <v>0</v>
      </c>
      <c r="F88" s="629">
        <v>0</v>
      </c>
      <c r="G88" s="629">
        <v>831.00099999999998</v>
      </c>
      <c r="H88" s="629">
        <v>0</v>
      </c>
      <c r="I88" s="629">
        <v>0</v>
      </c>
      <c r="J88" s="629">
        <v>0</v>
      </c>
      <c r="K88" s="629">
        <v>-831.00099999999998</v>
      </c>
      <c r="L88" s="630" t="s">
        <v>356</v>
      </c>
      <c r="M88" s="627" t="str">
        <f t="array" ref="M88">INDEX(UtilityList!Q$4:Q$251,MATCH('Table 2.2a'!$A88&amp;'Table 2.2a'!$B88,UtilityList!$A$4:$A$251&amp;UtilityList!$C$4:$C$251,0))</f>
        <v>Receives power from Toksook Bay via intertie. For fuel use and cost, please refer to Toksook Bay.</v>
      </c>
      <c r="N88" s="452" t="str">
        <f t="array" ref="N88">IFERROR((INDEX(UtilityList!J$4:J$251,MATCH('Table 2.2a'!$A88&amp;'Table 2.2a'!$B88,UtilityList!$A$4:$A$251&amp;UtilityList!$C$4:$C$251,0))),INDEX(UtilityList!J$4:J$251,MATCH('Table 2.2a'!$A88,UtilityList!$A$4:$A$251,0)))</f>
        <v>Lower Yukon-Kuskokwim</v>
      </c>
      <c r="O88" s="452" t="str">
        <f t="array" ref="O88">IFERROR((INDEX(UtilityList!K$4:K$251,MATCH('Table 2.2a'!$A88&amp;'Table 2.2a'!$B88,UtilityList!$A$4:$A$251&amp;UtilityList!$C$4:$C$251,0))),INDEX(UtilityList!K$4:K$251,MATCH('Table 2.2a'!$A88,UtilityList!$A$4:$A$251,0)))</f>
        <v>Bethel (CA)</v>
      </c>
      <c r="P88" s="452" t="str">
        <f t="array" ref="P88">IFERROR((INDEX(UtilityList!L$4:L$251,MATCH('Table 2.2a'!$A88&amp;'Table 2.2a'!$B88,UtilityList!$A$4:$A$251&amp;UtilityList!$C$4:$C$251,0))),INDEX(UtilityList!L$4:L$251,MATCH('Table 2.2a'!$A88,UtilityList!$A$4:$A$251,0)))</f>
        <v>Calista</v>
      </c>
      <c r="Q88" s="452" t="str">
        <f t="array" ref="Q88">IFERROR((INDEX(UtilityList!M$4:M$251,MATCH('Table 2.2a'!$A88&amp;'Table 2.2a'!$B88,UtilityList!$A$4:$A$251&amp;UtilityList!$C$4:$C$251,0))),INDEX(UtilityList!M$4:M$251,MATCH('Table 2.2a'!$A88,UtilityList!$A$4:$A$251,0)))</f>
        <v>SW</v>
      </c>
      <c r="R88" s="154"/>
    </row>
    <row r="89" spans="1:18" s="344" customFormat="1" ht="15" x14ac:dyDescent="0.25">
      <c r="A89" s="628" t="s">
        <v>524</v>
      </c>
      <c r="B89" s="628" t="s">
        <v>116</v>
      </c>
      <c r="C89" s="629">
        <v>617.13199999999995</v>
      </c>
      <c r="D89" s="629">
        <v>0</v>
      </c>
      <c r="E89" s="629">
        <v>0</v>
      </c>
      <c r="F89" s="629">
        <v>617.13199999999995</v>
      </c>
      <c r="G89" s="629">
        <v>535.40700000000004</v>
      </c>
      <c r="H89" s="629">
        <v>0</v>
      </c>
      <c r="I89" s="629">
        <v>0</v>
      </c>
      <c r="J89" s="629">
        <v>35.036999999999999</v>
      </c>
      <c r="K89" s="629">
        <v>46.687999999999874</v>
      </c>
      <c r="L89" s="630" t="s">
        <v>356</v>
      </c>
      <c r="M89" s="627">
        <f t="array" ref="M89">INDEX(UtilityList!Q$4:Q$251,MATCH('Table 2.2a'!$A89&amp;'Table 2.2a'!$B89,UtilityList!$A$4:$A$251&amp;UtilityList!$C$4:$C$251,0))</f>
        <v>0</v>
      </c>
      <c r="N89" s="452" t="str">
        <f t="array" ref="N89">IFERROR((INDEX(UtilityList!J$4:J$251,MATCH('Table 2.2a'!$A89&amp;'Table 2.2a'!$B89,UtilityList!$A$4:$A$251&amp;UtilityList!$C$4:$C$251,0))),INDEX(UtilityList!J$4:J$251,MATCH('Table 2.2a'!$A89,UtilityList!$A$4:$A$251,0)))</f>
        <v>Bering Straits</v>
      </c>
      <c r="O89" s="452" t="str">
        <f t="array" ref="O89">IFERROR((INDEX(UtilityList!K$4:K$251,MATCH('Table 2.2a'!$A89&amp;'Table 2.2a'!$B89,UtilityList!$A$4:$A$251&amp;UtilityList!$C$4:$C$251,0))),INDEX(UtilityList!K$4:K$251,MATCH('Table 2.2a'!$A89,UtilityList!$A$4:$A$251,0)))</f>
        <v>Nome (CA)</v>
      </c>
      <c r="P89" s="452" t="str">
        <f t="array" ref="P89">IFERROR((INDEX(UtilityList!L$4:L$251,MATCH('Table 2.2a'!$A89&amp;'Table 2.2a'!$B89,UtilityList!$A$4:$A$251&amp;UtilityList!$C$4:$C$251,0))),INDEX(UtilityList!L$4:L$251,MATCH('Table 2.2a'!$A89,UtilityList!$A$4:$A$251,0)))</f>
        <v>Bering Straits</v>
      </c>
      <c r="Q89" s="452" t="str">
        <f t="array" ref="Q89">IFERROR((INDEX(UtilityList!M$4:M$251,MATCH('Table 2.2a'!$A89&amp;'Table 2.2a'!$B89,UtilityList!$A$4:$A$251&amp;UtilityList!$C$4:$C$251,0))),INDEX(UtilityList!M$4:M$251,MATCH('Table 2.2a'!$A89,UtilityList!$A$4:$A$251,0)))</f>
        <v>AN</v>
      </c>
    </row>
    <row r="90" spans="1:18" s="344" customFormat="1" ht="15" x14ac:dyDescent="0.25">
      <c r="A90" s="628" t="s">
        <v>117</v>
      </c>
      <c r="B90" s="628" t="s">
        <v>118</v>
      </c>
      <c r="C90" s="629">
        <v>255.88900000000001</v>
      </c>
      <c r="D90" s="629">
        <v>0</v>
      </c>
      <c r="E90" s="629">
        <v>0</v>
      </c>
      <c r="F90" s="629">
        <v>255.88900000000001</v>
      </c>
      <c r="G90" s="629">
        <v>216.018</v>
      </c>
      <c r="H90" s="629">
        <v>0</v>
      </c>
      <c r="I90" s="629">
        <v>6.5330000000000004</v>
      </c>
      <c r="J90" s="629">
        <v>3.2810000000000001</v>
      </c>
      <c r="K90" s="629">
        <v>30.057000000000016</v>
      </c>
      <c r="L90" s="630" t="s">
        <v>356</v>
      </c>
      <c r="M90" s="627">
        <f t="array" ref="M90">INDEX(UtilityList!Q$4:Q$251,MATCH('Table 2.2a'!$A90&amp;'Table 2.2a'!$B90,UtilityList!$A$4:$A$251&amp;UtilityList!$C$4:$C$251,0))</f>
        <v>0</v>
      </c>
      <c r="N90" s="452" t="str">
        <f t="array" ref="N90">IFERROR((INDEX(UtilityList!J$4:J$251,MATCH('Table 2.2a'!$A90&amp;'Table 2.2a'!$B90,UtilityList!$A$4:$A$251&amp;UtilityList!$C$4:$C$251,0))),INDEX(UtilityList!J$4:J$251,MATCH('Table 2.2a'!$A90,UtilityList!$A$4:$A$251,0)))</f>
        <v>Kodiak</v>
      </c>
      <c r="O90" s="452" t="str">
        <f t="array" ref="O90">IFERROR((INDEX(UtilityList!K$4:K$251,MATCH('Table 2.2a'!$A90&amp;'Table 2.2a'!$B90,UtilityList!$A$4:$A$251&amp;UtilityList!$C$4:$C$251,0))),INDEX(UtilityList!K$4:K$251,MATCH('Table 2.2a'!$A90,UtilityList!$A$4:$A$251,0)))</f>
        <v>Kodiak Island</v>
      </c>
      <c r="P90" s="452" t="str">
        <f t="array" ref="P90">IFERROR((INDEX(UtilityList!L$4:L$251,MATCH('Table 2.2a'!$A90&amp;'Table 2.2a'!$B90,UtilityList!$A$4:$A$251&amp;UtilityList!$C$4:$C$251,0))),INDEX(UtilityList!L$4:L$251,MATCH('Table 2.2a'!$A90,UtilityList!$A$4:$A$251,0)))</f>
        <v>Koniag</v>
      </c>
      <c r="Q90" s="452" t="str">
        <f t="array" ref="Q90">IFERROR((INDEX(UtilityList!M$4:M$251,MATCH('Table 2.2a'!$A90&amp;'Table 2.2a'!$B90,UtilityList!$A$4:$A$251&amp;UtilityList!$C$4:$C$251,0))),INDEX(UtilityList!M$4:M$251,MATCH('Table 2.2a'!$A90,UtilityList!$A$4:$A$251,0)))</f>
        <v>SC</v>
      </c>
    </row>
    <row r="91" spans="1:18" s="344" customFormat="1" ht="15" x14ac:dyDescent="0.25">
      <c r="A91" s="361" t="s">
        <v>119</v>
      </c>
      <c r="B91" s="361" t="s">
        <v>121</v>
      </c>
      <c r="C91" s="631">
        <v>1239809</v>
      </c>
      <c r="D91" s="632">
        <v>78661</v>
      </c>
      <c r="E91" s="632">
        <v>0</v>
      </c>
      <c r="F91" s="631">
        <v>1318470</v>
      </c>
      <c r="G91" s="631">
        <v>1111643</v>
      </c>
      <c r="H91" s="632">
        <v>185375</v>
      </c>
      <c r="I91" s="631">
        <v>0</v>
      </c>
      <c r="J91" s="632"/>
      <c r="K91" s="631">
        <v>21452</v>
      </c>
      <c r="L91" s="598" t="s">
        <v>558</v>
      </c>
      <c r="M91" s="627">
        <f t="array" ref="M91">INDEX(UtilityList!Q$4:Q$251,MATCH('Table 2.2a'!$A91&amp;'Table 2.2a'!$B91,UtilityList!$A$4:$A$251&amp;UtilityList!$C$4:$C$251,0))</f>
        <v>0</v>
      </c>
      <c r="N91" s="452" t="str">
        <f t="array" ref="N91">IFERROR((INDEX(UtilityList!J$4:J$251,MATCH('Table 2.2a'!$A91&amp;'Table 2.2a'!$B91,UtilityList!$A$4:$A$251&amp;UtilityList!$C$4:$C$251,0))),INDEX(UtilityList!J$4:J$251,MATCH('Table 2.2a'!$A91,UtilityList!$A$4:$A$251,0)))</f>
        <v>Railbelt</v>
      </c>
      <c r="O91" s="452" t="str">
        <f t="array" ref="O91">IFERROR((INDEX(UtilityList!K$4:K$251,MATCH('Table 2.2a'!$A91&amp;'Table 2.2a'!$B91,UtilityList!$A$4:$A$251&amp;UtilityList!$C$4:$C$251,0))),INDEX(UtilityList!K$4:K$251,MATCH('Table 2.2a'!$A91,UtilityList!$A$4:$A$251,0)))</f>
        <v>Anchorage</v>
      </c>
      <c r="P91" s="452" t="str">
        <f t="array" ref="P91">IFERROR((INDEX(UtilityList!L$4:L$251,MATCH('Table 2.2a'!$A91&amp;'Table 2.2a'!$B91,UtilityList!$A$4:$A$251&amp;UtilityList!$C$4:$C$251,0))),INDEX(UtilityList!L$4:L$251,MATCH('Table 2.2a'!$A91,UtilityList!$A$4:$A$251,0)))</f>
        <v>Cook Inlet</v>
      </c>
      <c r="Q91" s="452" t="str">
        <f t="array" ref="Q91">IFERROR((INDEX(UtilityList!M$4:M$251,MATCH('Table 2.2a'!$A91&amp;'Table 2.2a'!$B91,UtilityList!$A$4:$A$251&amp;UtilityList!$C$4:$C$251,0))),INDEX(UtilityList!M$4:M$251,MATCH('Table 2.2a'!$A91,UtilityList!$A$4:$A$251,0)))</f>
        <v>SC</v>
      </c>
    </row>
    <row r="92" spans="1:18" s="344" customFormat="1" ht="15" x14ac:dyDescent="0.25">
      <c r="A92" s="628" t="s">
        <v>123</v>
      </c>
      <c r="B92" s="628" t="s">
        <v>124</v>
      </c>
      <c r="C92" s="629">
        <v>2652.7</v>
      </c>
      <c r="D92" s="629">
        <v>0</v>
      </c>
      <c r="E92" s="629">
        <v>0</v>
      </c>
      <c r="F92" s="629">
        <v>2652.7</v>
      </c>
      <c r="G92" s="629">
        <v>2143.616</v>
      </c>
      <c r="H92" s="629">
        <v>0</v>
      </c>
      <c r="I92" s="629">
        <v>90.988</v>
      </c>
      <c r="J92" s="629">
        <v>34.101999999999997</v>
      </c>
      <c r="K92" s="629">
        <v>383.99400000000014</v>
      </c>
      <c r="L92" s="630" t="s">
        <v>356</v>
      </c>
      <c r="M92" s="627">
        <f t="array" ref="M92">INDEX(UtilityList!Q$4:Q$251,MATCH('Table 2.2a'!$A92&amp;'Table 2.2a'!$B92,UtilityList!$A$4:$A$251&amp;UtilityList!$C$4:$C$251,0))</f>
        <v>0</v>
      </c>
      <c r="N92" s="452" t="str">
        <f t="array" ref="N92">IFERROR((INDEX(UtilityList!J$4:J$251,MATCH('Table 2.2a'!$A92&amp;'Table 2.2a'!$B92,UtilityList!$A$4:$A$251&amp;UtilityList!$C$4:$C$251,0))),INDEX(UtilityList!J$4:J$251,MATCH('Table 2.2a'!$A92,UtilityList!$A$4:$A$251,0)))</f>
        <v>Lower Yukon-Kuskokwim</v>
      </c>
      <c r="O92" s="452" t="str">
        <f t="array" ref="O92">IFERROR((INDEX(UtilityList!K$4:K$251,MATCH('Table 2.2a'!$A92&amp;'Table 2.2a'!$B92,UtilityList!$A$4:$A$251&amp;UtilityList!$C$4:$C$251,0))),INDEX(UtilityList!K$4:K$251,MATCH('Table 2.2a'!$A92,UtilityList!$A$4:$A$251,0)))</f>
        <v>Bethel (CA)</v>
      </c>
      <c r="P92" s="452" t="str">
        <f t="array" ref="P92">IFERROR((INDEX(UtilityList!L$4:L$251,MATCH('Table 2.2a'!$A92&amp;'Table 2.2a'!$B92,UtilityList!$A$4:$A$251&amp;UtilityList!$C$4:$C$251,0))),INDEX(UtilityList!L$4:L$251,MATCH('Table 2.2a'!$A92,UtilityList!$A$4:$A$251,0)))</f>
        <v>Calista</v>
      </c>
      <c r="Q92" s="452" t="str">
        <f t="array" ref="Q92">IFERROR((INDEX(UtilityList!M$4:M$251,MATCH('Table 2.2a'!$A92&amp;'Table 2.2a'!$B92,UtilityList!$A$4:$A$251&amp;UtilityList!$C$4:$C$251,0))),INDEX(UtilityList!M$4:M$251,MATCH('Table 2.2a'!$A92,UtilityList!$A$4:$A$251,0)))</f>
        <v>SW</v>
      </c>
    </row>
    <row r="93" spans="1:18" s="344" customFormat="1" ht="15" x14ac:dyDescent="0.25">
      <c r="A93" s="628" t="s">
        <v>127</v>
      </c>
      <c r="B93" s="628" t="s">
        <v>128</v>
      </c>
      <c r="C93" s="629">
        <v>471.62599999999998</v>
      </c>
      <c r="D93" s="629">
        <v>0</v>
      </c>
      <c r="E93" s="629">
        <v>0</v>
      </c>
      <c r="F93" s="629">
        <v>471.62599999999998</v>
      </c>
      <c r="G93" s="629">
        <v>389.31799999999998</v>
      </c>
      <c r="H93" s="629">
        <v>0</v>
      </c>
      <c r="I93" s="629">
        <v>3.823</v>
      </c>
      <c r="J93" s="629">
        <v>27.303999999999998</v>
      </c>
      <c r="K93" s="629">
        <v>51.18100000000004</v>
      </c>
      <c r="L93" s="630" t="s">
        <v>356</v>
      </c>
      <c r="M93" s="627">
        <f t="array" ref="M93">INDEX(UtilityList!Q$4:Q$251,MATCH('Table 2.2a'!$A93&amp;'Table 2.2a'!$B93,UtilityList!$A$4:$A$251&amp;UtilityList!$C$4:$C$251,0))</f>
        <v>0</v>
      </c>
      <c r="N93" s="452" t="str">
        <f t="array" ref="N93">IFERROR((INDEX(UtilityList!J$4:J$251,MATCH('Table 2.2a'!$A93&amp;'Table 2.2a'!$B93,UtilityList!$A$4:$A$251&amp;UtilityList!$C$4:$C$251,0))),INDEX(UtilityList!J$4:J$251,MATCH('Table 2.2a'!$A93,UtilityList!$A$4:$A$251,0)))</f>
        <v>Aleutians</v>
      </c>
      <c r="O93" s="452" t="str">
        <f t="array" ref="O93">IFERROR((INDEX(UtilityList!K$4:K$251,MATCH('Table 2.2a'!$A93&amp;'Table 2.2a'!$B93,UtilityList!$A$4:$A$251&amp;UtilityList!$C$4:$C$251,0))),INDEX(UtilityList!K$4:K$251,MATCH('Table 2.2a'!$A93,UtilityList!$A$4:$A$251,0)))</f>
        <v>Aleutians West (CA)</v>
      </c>
      <c r="P93" s="452" t="str">
        <f t="array" ref="P93">IFERROR((INDEX(UtilityList!L$4:L$251,MATCH('Table 2.2a'!$A93&amp;'Table 2.2a'!$B93,UtilityList!$A$4:$A$251&amp;UtilityList!$C$4:$C$251,0))),INDEX(UtilityList!L$4:L$251,MATCH('Table 2.2a'!$A93,UtilityList!$A$4:$A$251,0)))</f>
        <v>Aleut</v>
      </c>
      <c r="Q93" s="452" t="str">
        <f t="array" ref="Q93">IFERROR((INDEX(UtilityList!M$4:M$251,MATCH('Table 2.2a'!$A93&amp;'Table 2.2a'!$B93,UtilityList!$A$4:$A$251&amp;UtilityList!$C$4:$C$251,0))),INDEX(UtilityList!M$4:M$251,MATCH('Table 2.2a'!$A93,UtilityList!$A$4:$A$251,0)))</f>
        <v>SW</v>
      </c>
    </row>
    <row r="94" spans="1:18" s="344" customFormat="1" ht="15" x14ac:dyDescent="0.25">
      <c r="A94" s="628" t="s">
        <v>129</v>
      </c>
      <c r="B94" s="628" t="s">
        <v>130</v>
      </c>
      <c r="C94" s="629">
        <v>818.66300000000001</v>
      </c>
      <c r="D94" s="629">
        <v>0</v>
      </c>
      <c r="E94" s="629">
        <v>0</v>
      </c>
      <c r="F94" s="629">
        <v>818.66300000000001</v>
      </c>
      <c r="G94" s="629">
        <v>568.09500000000003</v>
      </c>
      <c r="H94" s="629">
        <v>0</v>
      </c>
      <c r="I94" s="629">
        <v>129.51900000000001</v>
      </c>
      <c r="J94" s="629">
        <v>21.849</v>
      </c>
      <c r="K94" s="629">
        <v>99.199999999999932</v>
      </c>
      <c r="L94" s="630" t="s">
        <v>356</v>
      </c>
      <c r="M94" s="627">
        <f t="array" ref="M94">INDEX(UtilityList!Q$4:Q$251,MATCH('Table 2.2a'!$A94&amp;'Table 2.2a'!$B94,UtilityList!$A$4:$A$251&amp;UtilityList!$C$4:$C$251,0))</f>
        <v>0</v>
      </c>
      <c r="N94" s="452" t="str">
        <f t="array" ref="N94">IFERROR((INDEX(UtilityList!J$4:J$251,MATCH('Table 2.2a'!$A94&amp;'Table 2.2a'!$B94,UtilityList!$A$4:$A$251&amp;UtilityList!$C$4:$C$251,0))),INDEX(UtilityList!J$4:J$251,MATCH('Table 2.2a'!$A94,UtilityList!$A$4:$A$251,0)))</f>
        <v>Lower Yukon-Kuskokwim</v>
      </c>
      <c r="O94" s="452" t="str">
        <f t="array" ref="O94">IFERROR((INDEX(UtilityList!K$4:K$251,MATCH('Table 2.2a'!$A94&amp;'Table 2.2a'!$B94,UtilityList!$A$4:$A$251&amp;UtilityList!$C$4:$C$251,0))),INDEX(UtilityList!K$4:K$251,MATCH('Table 2.2a'!$A94,UtilityList!$A$4:$A$251,0)))</f>
        <v>Bethel (CA)</v>
      </c>
      <c r="P94" s="452" t="str">
        <f t="array" ref="P94">IFERROR((INDEX(UtilityList!L$4:L$251,MATCH('Table 2.2a'!$A94&amp;'Table 2.2a'!$B94,UtilityList!$A$4:$A$251&amp;UtilityList!$C$4:$C$251,0))),INDEX(UtilityList!L$4:L$251,MATCH('Table 2.2a'!$A94,UtilityList!$A$4:$A$251,0)))</f>
        <v>Calista</v>
      </c>
      <c r="Q94" s="452" t="str">
        <f t="array" ref="Q94">IFERROR((INDEX(UtilityList!M$4:M$251,MATCH('Table 2.2a'!$A94&amp;'Table 2.2a'!$B94,UtilityList!$A$4:$A$251&amp;UtilityList!$C$4:$C$251,0))),INDEX(UtilityList!M$4:M$251,MATCH('Table 2.2a'!$A94,UtilityList!$A$4:$A$251,0)))</f>
        <v>SW</v>
      </c>
    </row>
    <row r="95" spans="1:18" s="344" customFormat="1" ht="15" x14ac:dyDescent="0.25">
      <c r="A95" s="361" t="s">
        <v>570</v>
      </c>
      <c r="B95" s="361" t="s">
        <v>133</v>
      </c>
      <c r="C95" s="631">
        <v>51204</v>
      </c>
      <c r="D95" s="631">
        <v>0</v>
      </c>
      <c r="E95" s="631">
        <v>0</v>
      </c>
      <c r="F95" s="631">
        <v>51204</v>
      </c>
      <c r="G95" s="631">
        <v>50052</v>
      </c>
      <c r="H95" s="631">
        <v>0</v>
      </c>
      <c r="I95" s="631">
        <v>0</v>
      </c>
      <c r="J95" s="631">
        <v>0</v>
      </c>
      <c r="K95" s="631">
        <v>1152</v>
      </c>
      <c r="L95" s="598" t="s">
        <v>558</v>
      </c>
      <c r="M95" s="627">
        <f t="array" ref="M95">INDEX(UtilityList!Q$4:Q$251,MATCH('Table 2.2a'!$A95&amp;'Table 2.2a'!$B95,UtilityList!$A$4:$A$251&amp;UtilityList!$C$4:$C$251,0))</f>
        <v>0</v>
      </c>
      <c r="N95" s="452" t="str">
        <f t="array" ref="N95">IFERROR((INDEX(UtilityList!J$4:J$251,MATCH('Table 2.2a'!$A95&amp;'Table 2.2a'!$B95,UtilityList!$A$4:$A$251&amp;UtilityList!$C$4:$C$251,0))),INDEX(UtilityList!J$4:J$251,MATCH('Table 2.2a'!$A95,UtilityList!$A$4:$A$251,0)))</f>
        <v>North Slope</v>
      </c>
      <c r="O95" s="452" t="str">
        <f t="array" ref="O95">IFERROR((INDEX(UtilityList!K$4:K$251,MATCH('Table 2.2a'!$A95&amp;'Table 2.2a'!$B95,UtilityList!$A$4:$A$251&amp;UtilityList!$C$4:$C$251,0))),INDEX(UtilityList!K$4:K$251,MATCH('Table 2.2a'!$A95,UtilityList!$A$4:$A$251,0)))</f>
        <v>North Slope</v>
      </c>
      <c r="P95" s="452" t="str">
        <f t="array" ref="P95">IFERROR((INDEX(UtilityList!L$4:L$251,MATCH('Table 2.2a'!$A95&amp;'Table 2.2a'!$B95,UtilityList!$A$4:$A$251&amp;UtilityList!$C$4:$C$251,0))),INDEX(UtilityList!L$4:L$251,MATCH('Table 2.2a'!$A95,UtilityList!$A$4:$A$251,0)))</f>
        <v>Arctic Slope</v>
      </c>
      <c r="Q95" s="452" t="str">
        <f t="array" ref="Q95">IFERROR((INDEX(UtilityList!M$4:M$251,MATCH('Table 2.2a'!$A95&amp;'Table 2.2a'!$B95,UtilityList!$A$4:$A$251&amp;UtilityList!$C$4:$C$251,0))),INDEX(UtilityList!M$4:M$251,MATCH('Table 2.2a'!$A95,UtilityList!$A$4:$A$251,0)))</f>
        <v>AN</v>
      </c>
    </row>
    <row r="96" spans="1:18" s="344" customFormat="1" ht="15" x14ac:dyDescent="0.25">
      <c r="A96" s="628" t="s">
        <v>134</v>
      </c>
      <c r="B96" s="628" t="s">
        <v>135</v>
      </c>
      <c r="C96" s="629">
        <v>318.02999999999997</v>
      </c>
      <c r="D96" s="629">
        <v>0</v>
      </c>
      <c r="E96" s="629">
        <v>0</v>
      </c>
      <c r="F96" s="629">
        <v>318.02999999999997</v>
      </c>
      <c r="G96" s="629">
        <v>296.57600000000002</v>
      </c>
      <c r="H96" s="629">
        <v>0</v>
      </c>
      <c r="I96" s="629">
        <v>0</v>
      </c>
      <c r="J96" s="629">
        <v>0</v>
      </c>
      <c r="K96" s="629">
        <v>21.453999999999951</v>
      </c>
      <c r="L96" s="630" t="s">
        <v>356</v>
      </c>
      <c r="M96" s="627">
        <f t="array" ref="M96">INDEX(UtilityList!Q$4:Q$251,MATCH('Table 2.2a'!$A96&amp;'Table 2.2a'!$B96,UtilityList!$A$4:$A$251&amp;UtilityList!$C$4:$C$251,0))</f>
        <v>0</v>
      </c>
      <c r="N96" s="452" t="str">
        <f t="array" ref="N96">IFERROR((INDEX(UtilityList!J$4:J$251,MATCH('Table 2.2a'!$A96&amp;'Table 2.2a'!$B96,UtilityList!$A$4:$A$251&amp;UtilityList!$C$4:$C$251,0))),INDEX(UtilityList!J$4:J$251,MATCH('Table 2.2a'!$A96,UtilityList!$A$4:$A$251,0)))</f>
        <v>Yukon-Koyukuk/Upper Tanana</v>
      </c>
      <c r="O96" s="452" t="str">
        <f t="array" ref="O96">IFERROR((INDEX(UtilityList!K$4:K$251,MATCH('Table 2.2a'!$A96&amp;'Table 2.2a'!$B96,UtilityList!$A$4:$A$251&amp;UtilityList!$C$4:$C$251,0))),INDEX(UtilityList!K$4:K$251,MATCH('Table 2.2a'!$A96,UtilityList!$A$4:$A$251,0)))</f>
        <v>Yukon-Koyukuk (CA)</v>
      </c>
      <c r="P96" s="452" t="str">
        <f t="array" ref="P96">IFERROR((INDEX(UtilityList!L$4:L$251,MATCH('Table 2.2a'!$A96&amp;'Table 2.2a'!$B96,UtilityList!$A$4:$A$251&amp;UtilityList!$C$4:$C$251,0))),INDEX(UtilityList!L$4:L$251,MATCH('Table 2.2a'!$A96,UtilityList!$A$4:$A$251,0)))</f>
        <v>Doyon</v>
      </c>
      <c r="Q96" s="452" t="str">
        <f t="array" ref="Q96">IFERROR((INDEX(UtilityList!M$4:M$251,MATCH('Table 2.2a'!$A96&amp;'Table 2.2a'!$B96,UtilityList!$A$4:$A$251&amp;UtilityList!$C$4:$C$251,0))),INDEX(UtilityList!M$4:M$251,MATCH('Table 2.2a'!$A96,UtilityList!$A$4:$A$251,0)))</f>
        <v>YU</v>
      </c>
    </row>
    <row r="97" spans="1:17" s="344" customFormat="1" ht="48.75" customHeight="1" x14ac:dyDescent="0.25">
      <c r="A97" s="628" t="s">
        <v>502</v>
      </c>
      <c r="B97" s="628" t="s">
        <v>679</v>
      </c>
      <c r="C97" s="629">
        <v>42400</v>
      </c>
      <c r="D97" s="629">
        <v>0</v>
      </c>
      <c r="E97" s="629">
        <v>0</v>
      </c>
      <c r="F97" s="629">
        <v>42400</v>
      </c>
      <c r="G97" s="629">
        <v>39500</v>
      </c>
      <c r="H97" s="629">
        <v>0</v>
      </c>
      <c r="I97" s="629">
        <v>0</v>
      </c>
      <c r="J97" s="629">
        <v>635.6</v>
      </c>
      <c r="K97" s="629">
        <v>2264.4000000000015</v>
      </c>
      <c r="L97" s="630" t="s">
        <v>356</v>
      </c>
      <c r="M97" s="627" t="str">
        <f t="array" ref="M97">INDEX(UtilityList!Q$4:Q$251,MATCH('Table 2.2a'!$A97&amp;'Table 2.2a'!$B97,UtilityList!$A$4:$A$251&amp;UtilityList!$C$4:$C$251,0))</f>
        <v>Provides power to Oscarville and sells power to Napakiak Ircinraq via intertie. Data includes Oscarville's information.</v>
      </c>
      <c r="N97" s="452" t="str">
        <f t="array" ref="N97">IFERROR((INDEX(UtilityList!J$4:J$251,MATCH('Table 2.2a'!$A97&amp;'Table 2.2a'!$B97,UtilityList!$A$4:$A$251&amp;UtilityList!$C$4:$C$251,0))),INDEX(UtilityList!J$4:J$251,MATCH('Table 2.2a'!$A97,UtilityList!$A$4:$A$251,0)))</f>
        <v>Lower Yukon-Kuskokwim</v>
      </c>
      <c r="O97" s="452" t="str">
        <f t="array" ref="O97">IFERROR((INDEX(UtilityList!K$4:K$251,MATCH('Table 2.2a'!$A97&amp;'Table 2.2a'!$B97,UtilityList!$A$4:$A$251&amp;UtilityList!$C$4:$C$251,0))),INDEX(UtilityList!K$4:K$251,MATCH('Table 2.2a'!$A97,UtilityList!$A$4:$A$251,0)))</f>
        <v>Bethel (CA)</v>
      </c>
      <c r="P97" s="452" t="str">
        <f t="array" ref="P97">IFERROR((INDEX(UtilityList!L$4:L$251,MATCH('Table 2.2a'!$A97&amp;'Table 2.2a'!$B97,UtilityList!$A$4:$A$251&amp;UtilityList!$C$4:$C$251,0))),INDEX(UtilityList!L$4:L$251,MATCH('Table 2.2a'!$A97,UtilityList!$A$4:$A$251,0)))</f>
        <v>Calista</v>
      </c>
      <c r="Q97" s="452" t="str">
        <f t="array" ref="Q97">IFERROR((INDEX(UtilityList!M$4:M$251,MATCH('Table 2.2a'!$A97&amp;'Table 2.2a'!$B97,UtilityList!$A$4:$A$251&amp;UtilityList!$C$4:$C$251,0))),INDEX(UtilityList!M$4:M$251,MATCH('Table 2.2a'!$A97,UtilityList!$A$4:$A$251,0)))</f>
        <v>SW</v>
      </c>
    </row>
    <row r="98" spans="1:17" s="344" customFormat="1" ht="15" x14ac:dyDescent="0.25">
      <c r="A98" s="628" t="s">
        <v>139</v>
      </c>
      <c r="B98" s="628" t="s">
        <v>140</v>
      </c>
      <c r="C98" s="629">
        <v>1625.82</v>
      </c>
      <c r="D98" s="629">
        <v>0</v>
      </c>
      <c r="E98" s="629">
        <v>0</v>
      </c>
      <c r="F98" s="629">
        <v>1625.82</v>
      </c>
      <c r="G98" s="629">
        <v>1319.34</v>
      </c>
      <c r="H98" s="629">
        <v>0</v>
      </c>
      <c r="I98" s="629">
        <v>8.4719999999999995</v>
      </c>
      <c r="J98" s="629">
        <v>33.616</v>
      </c>
      <c r="K98" s="629">
        <v>264.39200000000005</v>
      </c>
      <c r="L98" s="630" t="s">
        <v>356</v>
      </c>
      <c r="M98" s="627">
        <f t="array" ref="M98">INDEX(UtilityList!Q$4:Q$251,MATCH('Table 2.2a'!$A98&amp;'Table 2.2a'!$B98,UtilityList!$A$4:$A$251&amp;UtilityList!$C$4:$C$251,0))</f>
        <v>0</v>
      </c>
      <c r="N98" s="452" t="str">
        <f t="array" ref="N98">IFERROR((INDEX(UtilityList!J$4:J$251,MATCH('Table 2.2a'!$A98&amp;'Table 2.2a'!$B98,UtilityList!$A$4:$A$251&amp;UtilityList!$C$4:$C$251,0))),INDEX(UtilityList!J$4:J$251,MATCH('Table 2.2a'!$A98,UtilityList!$A$4:$A$251,0)))</f>
        <v>Northwest Arctic</v>
      </c>
      <c r="O98" s="452" t="str">
        <f t="array" ref="O98">IFERROR((INDEX(UtilityList!K$4:K$251,MATCH('Table 2.2a'!$A98&amp;'Table 2.2a'!$B98,UtilityList!$A$4:$A$251&amp;UtilityList!$C$4:$C$251,0))),INDEX(UtilityList!K$4:K$251,MATCH('Table 2.2a'!$A98,UtilityList!$A$4:$A$251,0)))</f>
        <v>Northwest Arctic</v>
      </c>
      <c r="P98" s="452" t="str">
        <f t="array" ref="P98">IFERROR((INDEX(UtilityList!L$4:L$251,MATCH('Table 2.2a'!$A98&amp;'Table 2.2a'!$B98,UtilityList!$A$4:$A$251&amp;UtilityList!$C$4:$C$251,0))),INDEX(UtilityList!L$4:L$251,MATCH('Table 2.2a'!$A98,UtilityList!$A$4:$A$251,0)))</f>
        <v>NANA</v>
      </c>
      <c r="Q98" s="452" t="str">
        <f t="array" ref="Q98">IFERROR((INDEX(UtilityList!M$4:M$251,MATCH('Table 2.2a'!$A98&amp;'Table 2.2a'!$B98,UtilityList!$A$4:$A$251&amp;UtilityList!$C$4:$C$251,0))),INDEX(UtilityList!M$4:M$251,MATCH('Table 2.2a'!$A98,UtilityList!$A$4:$A$251,0)))</f>
        <v>AN</v>
      </c>
    </row>
    <row r="99" spans="1:17" s="344" customFormat="1" ht="15" x14ac:dyDescent="0.25">
      <c r="A99" s="628" t="s">
        <v>141</v>
      </c>
      <c r="B99" s="628" t="s">
        <v>142</v>
      </c>
      <c r="C99" s="629">
        <v>331.57</v>
      </c>
      <c r="D99" s="629">
        <v>0</v>
      </c>
      <c r="E99" s="629">
        <v>0</v>
      </c>
      <c r="F99" s="629">
        <v>331.57</v>
      </c>
      <c r="G99" s="629">
        <v>213.59899999999999</v>
      </c>
      <c r="H99" s="629">
        <v>0</v>
      </c>
      <c r="I99" s="629">
        <v>63.825000000000003</v>
      </c>
      <c r="J99" s="629">
        <v>27.405000000000001</v>
      </c>
      <c r="K99" s="629">
        <v>26.741000000000042</v>
      </c>
      <c r="L99" s="630" t="s">
        <v>356</v>
      </c>
      <c r="M99" s="627">
        <f t="array" ref="M99">INDEX(UtilityList!Q$4:Q$251,MATCH('Table 2.2a'!$A99&amp;'Table 2.2a'!$B99,UtilityList!$A$4:$A$251&amp;UtilityList!$C$4:$C$251,0))</f>
        <v>0</v>
      </c>
      <c r="N99" s="452" t="str">
        <f t="array" ref="N99">IFERROR((INDEX(UtilityList!J$4:J$251,MATCH('Table 2.2a'!$A99&amp;'Table 2.2a'!$B99,UtilityList!$A$4:$A$251&amp;UtilityList!$C$4:$C$251,0))),INDEX(UtilityList!J$4:J$251,MATCH('Table 2.2a'!$A99,UtilityList!$A$4:$A$251,0)))</f>
        <v>Yukon-Koyukuk/Upper Tanana</v>
      </c>
      <c r="O99" s="452" t="str">
        <f t="array" ref="O99">IFERROR((INDEX(UtilityList!K$4:K$251,MATCH('Table 2.2a'!$A99&amp;'Table 2.2a'!$B99,UtilityList!$A$4:$A$251&amp;UtilityList!$C$4:$C$251,0))),INDEX(UtilityList!K$4:K$251,MATCH('Table 2.2a'!$A99,UtilityList!$A$4:$A$251,0)))</f>
        <v>Yukon-Koyukuk (CA)</v>
      </c>
      <c r="P99" s="452" t="str">
        <f t="array" ref="P99">IFERROR((INDEX(UtilityList!L$4:L$251,MATCH('Table 2.2a'!$A99&amp;'Table 2.2a'!$B99,UtilityList!$A$4:$A$251&amp;UtilityList!$C$4:$C$251,0))),INDEX(UtilityList!L$4:L$251,MATCH('Table 2.2a'!$A99,UtilityList!$A$4:$A$251,0)))</f>
        <v>Doyon</v>
      </c>
      <c r="Q99" s="452" t="str">
        <f t="array" ref="Q99">IFERROR((INDEX(UtilityList!M$4:M$251,MATCH('Table 2.2a'!$A99&amp;'Table 2.2a'!$B99,UtilityList!$A$4:$A$251&amp;UtilityList!$C$4:$C$251,0))),INDEX(UtilityList!M$4:M$251,MATCH('Table 2.2a'!$A99,UtilityList!$A$4:$A$251,0)))</f>
        <v>YU</v>
      </c>
    </row>
    <row r="100" spans="1:17" s="344" customFormat="1" ht="15" x14ac:dyDescent="0.25">
      <c r="A100" s="628" t="s">
        <v>143</v>
      </c>
      <c r="B100" s="628" t="s">
        <v>144</v>
      </c>
      <c r="C100" s="629">
        <v>320.69499999999999</v>
      </c>
      <c r="D100" s="629">
        <v>0</v>
      </c>
      <c r="E100" s="629">
        <v>0</v>
      </c>
      <c r="F100" s="629">
        <v>320.69499999999999</v>
      </c>
      <c r="G100" s="629">
        <v>291.11799999999999</v>
      </c>
      <c r="H100" s="629">
        <v>0</v>
      </c>
      <c r="I100" s="629">
        <v>0</v>
      </c>
      <c r="J100" s="629">
        <v>12.419</v>
      </c>
      <c r="K100" s="629">
        <v>17.158000000000015</v>
      </c>
      <c r="L100" s="630" t="s">
        <v>356</v>
      </c>
      <c r="M100" s="627">
        <f t="array" ref="M100">INDEX(UtilityList!Q$4:Q$251,MATCH('Table 2.2a'!$A100&amp;'Table 2.2a'!$B100,UtilityList!$A$4:$A$251&amp;UtilityList!$C$4:$C$251,0))</f>
        <v>0</v>
      </c>
      <c r="N100" s="452" t="str">
        <f t="array" ref="N100">IFERROR((INDEX(UtilityList!J$4:J$251,MATCH('Table 2.2a'!$A100&amp;'Table 2.2a'!$B100,UtilityList!$A$4:$A$251&amp;UtilityList!$C$4:$C$251,0))),INDEX(UtilityList!J$4:J$251,MATCH('Table 2.2a'!$A100,UtilityList!$A$4:$A$251,0)))</f>
        <v>Copper River/Chugach</v>
      </c>
      <c r="O100" s="452" t="str">
        <f t="array" ref="O100">IFERROR((INDEX(UtilityList!K$4:K$251,MATCH('Table 2.2a'!$A100&amp;'Table 2.2a'!$B100,UtilityList!$A$4:$A$251&amp;UtilityList!$C$4:$C$251,0))),INDEX(UtilityList!K$4:K$251,MATCH('Table 2.2a'!$A100,UtilityList!$A$4:$A$251,0)))</f>
        <v>Valdez-Cordova (CA)</v>
      </c>
      <c r="P100" s="452" t="str">
        <f t="array" ref="P100">IFERROR((INDEX(UtilityList!L$4:L$251,MATCH('Table 2.2a'!$A100&amp;'Table 2.2a'!$B100,UtilityList!$A$4:$A$251&amp;UtilityList!$C$4:$C$251,0))),INDEX(UtilityList!L$4:L$251,MATCH('Table 2.2a'!$A100,UtilityList!$A$4:$A$251,0)))</f>
        <v>Chugach</v>
      </c>
      <c r="Q100" s="452" t="str">
        <f t="array" ref="Q100">IFERROR((INDEX(UtilityList!M$4:M$251,MATCH('Table 2.2a'!$A100&amp;'Table 2.2a'!$B100,UtilityList!$A$4:$A$251&amp;UtilityList!$C$4:$C$251,0))),INDEX(UtilityList!M$4:M$251,MATCH('Table 2.2a'!$A100,UtilityList!$A$4:$A$251,0)))</f>
        <v>SC</v>
      </c>
    </row>
    <row r="101" spans="1:17" s="344" customFormat="1" ht="15" x14ac:dyDescent="0.25">
      <c r="A101" s="628" t="s">
        <v>145</v>
      </c>
      <c r="B101" s="628" t="s">
        <v>146</v>
      </c>
      <c r="C101" s="629">
        <v>523.89400000000001</v>
      </c>
      <c r="D101" s="629">
        <v>0</v>
      </c>
      <c r="E101" s="629">
        <v>0</v>
      </c>
      <c r="F101" s="629">
        <v>523.89400000000001</v>
      </c>
      <c r="G101" s="629">
        <v>451.17399999999998</v>
      </c>
      <c r="H101" s="629">
        <v>0</v>
      </c>
      <c r="I101" s="629">
        <v>10.177</v>
      </c>
      <c r="J101" s="629">
        <v>17.363</v>
      </c>
      <c r="K101" s="629">
        <v>45.180000000000007</v>
      </c>
      <c r="L101" s="630" t="s">
        <v>356</v>
      </c>
      <c r="M101" s="627">
        <f t="array" ref="M101">INDEX(UtilityList!Q$4:Q$251,MATCH('Table 2.2a'!$A101&amp;'Table 2.2a'!$B101,UtilityList!$A$4:$A$251&amp;UtilityList!$C$4:$C$251,0))</f>
        <v>0</v>
      </c>
      <c r="N101" s="452" t="str">
        <f t="array" ref="N101">IFERROR((INDEX(UtilityList!J$4:J$251,MATCH('Table 2.2a'!$A101&amp;'Table 2.2a'!$B101,UtilityList!$A$4:$A$251&amp;UtilityList!$C$4:$C$251,0))),INDEX(UtilityList!J$4:J$251,MATCH('Table 2.2a'!$A101,UtilityList!$A$4:$A$251,0)))</f>
        <v>Bristol Bay</v>
      </c>
      <c r="O101" s="452" t="str">
        <f t="array" ref="O101">IFERROR((INDEX(UtilityList!K$4:K$251,MATCH('Table 2.2a'!$A101&amp;'Table 2.2a'!$B101,UtilityList!$A$4:$A$251&amp;UtilityList!$C$4:$C$251,0))),INDEX(UtilityList!K$4:K$251,MATCH('Table 2.2a'!$A101,UtilityList!$A$4:$A$251,0)))</f>
        <v>Lake and Peninsula</v>
      </c>
      <c r="P101" s="452" t="str">
        <f t="array" ref="P101">IFERROR((INDEX(UtilityList!L$4:L$251,MATCH('Table 2.2a'!$A101&amp;'Table 2.2a'!$B101,UtilityList!$A$4:$A$251&amp;UtilityList!$C$4:$C$251,0))),INDEX(UtilityList!L$4:L$251,MATCH('Table 2.2a'!$A101,UtilityList!$A$4:$A$251,0)))</f>
        <v>Bristol Bay</v>
      </c>
      <c r="Q101" s="452" t="str">
        <f t="array" ref="Q101">IFERROR((INDEX(UtilityList!M$4:M$251,MATCH('Table 2.2a'!$A101&amp;'Table 2.2a'!$B101,UtilityList!$A$4:$A$251&amp;UtilityList!$C$4:$C$251,0))),INDEX(UtilityList!M$4:M$251,MATCH('Table 2.2a'!$A101,UtilityList!$A$4:$A$251,0)))</f>
        <v>SW</v>
      </c>
    </row>
    <row r="102" spans="1:17" s="344" customFormat="1" ht="15" x14ac:dyDescent="0.25">
      <c r="A102" s="628" t="s">
        <v>147</v>
      </c>
      <c r="B102" s="628" t="s">
        <v>148</v>
      </c>
      <c r="C102" s="629">
        <v>206.178</v>
      </c>
      <c r="D102" s="629">
        <v>0</v>
      </c>
      <c r="E102" s="629">
        <v>0</v>
      </c>
      <c r="F102" s="629">
        <v>206.178</v>
      </c>
      <c r="G102" s="629">
        <v>180.084</v>
      </c>
      <c r="H102" s="629">
        <v>0</v>
      </c>
      <c r="I102" s="629">
        <v>8.0980000000000008</v>
      </c>
      <c r="J102" s="629">
        <v>7.1349999999999998</v>
      </c>
      <c r="K102" s="629">
        <v>10.86099999999999</v>
      </c>
      <c r="L102" s="630" t="s">
        <v>356</v>
      </c>
      <c r="M102" s="627">
        <f t="array" ref="M102">INDEX(UtilityList!Q$4:Q$251,MATCH('Table 2.2a'!$A102&amp;'Table 2.2a'!$B102,UtilityList!$A$4:$A$251&amp;UtilityList!$C$4:$C$251,0))</f>
        <v>0</v>
      </c>
      <c r="N102" s="452" t="str">
        <f t="array" ref="N102">IFERROR((INDEX(UtilityList!J$4:J$251,MATCH('Table 2.2a'!$A102&amp;'Table 2.2a'!$B102,UtilityList!$A$4:$A$251&amp;UtilityList!$C$4:$C$251,0))),INDEX(UtilityList!J$4:J$251,MATCH('Table 2.2a'!$A102,UtilityList!$A$4:$A$251,0)))</f>
        <v>Bristol Bay</v>
      </c>
      <c r="O102" s="452" t="str">
        <f t="array" ref="O102">IFERROR((INDEX(UtilityList!K$4:K$251,MATCH('Table 2.2a'!$A102&amp;'Table 2.2a'!$B102,UtilityList!$A$4:$A$251&amp;UtilityList!$C$4:$C$251,0))),INDEX(UtilityList!K$4:K$251,MATCH('Table 2.2a'!$A102,UtilityList!$A$4:$A$251,0)))</f>
        <v>Lake and Peninsula</v>
      </c>
      <c r="P102" s="452" t="str">
        <f t="array" ref="P102">IFERROR((INDEX(UtilityList!L$4:L$251,MATCH('Table 2.2a'!$A102&amp;'Table 2.2a'!$B102,UtilityList!$A$4:$A$251&amp;UtilityList!$C$4:$C$251,0))),INDEX(UtilityList!L$4:L$251,MATCH('Table 2.2a'!$A102,UtilityList!$A$4:$A$251,0)))</f>
        <v>Bristol Bay</v>
      </c>
      <c r="Q102" s="452" t="str">
        <f t="array" ref="Q102">IFERROR((INDEX(UtilityList!M$4:M$251,MATCH('Table 2.2a'!$A102&amp;'Table 2.2a'!$B102,UtilityList!$A$4:$A$251&amp;UtilityList!$C$4:$C$251,0))),INDEX(UtilityList!M$4:M$251,MATCH('Table 2.2a'!$A102,UtilityList!$A$4:$A$251,0)))</f>
        <v>SW</v>
      </c>
    </row>
    <row r="103" spans="1:17" s="344" customFormat="1" ht="15" x14ac:dyDescent="0.25">
      <c r="A103" s="628" t="s">
        <v>149</v>
      </c>
      <c r="B103" s="628" t="s">
        <v>150</v>
      </c>
      <c r="C103" s="629">
        <v>901.33100000000002</v>
      </c>
      <c r="D103" s="629">
        <v>0</v>
      </c>
      <c r="E103" s="629">
        <v>0</v>
      </c>
      <c r="F103" s="629">
        <v>901.33100000000002</v>
      </c>
      <c r="G103" s="629">
        <v>785.64300000000003</v>
      </c>
      <c r="H103" s="629">
        <v>0</v>
      </c>
      <c r="I103" s="629">
        <v>0</v>
      </c>
      <c r="J103" s="629">
        <v>33.249000000000002</v>
      </c>
      <c r="K103" s="629">
        <v>82.438999999999965</v>
      </c>
      <c r="L103" s="630" t="s">
        <v>356</v>
      </c>
      <c r="M103" s="627">
        <f t="array" ref="M103">INDEX(UtilityList!Q$4:Q$251,MATCH('Table 2.2a'!$A103&amp;'Table 2.2a'!$B103,UtilityList!$A$4:$A$251&amp;UtilityList!$C$4:$C$251,0))</f>
        <v>0</v>
      </c>
      <c r="N103" s="452" t="str">
        <f t="array" ref="N103">IFERROR((INDEX(UtilityList!J$4:J$251,MATCH('Table 2.2a'!$A103&amp;'Table 2.2a'!$B103,UtilityList!$A$4:$A$251&amp;UtilityList!$C$4:$C$251,0))),INDEX(UtilityList!J$4:J$251,MATCH('Table 2.2a'!$A103,UtilityList!$A$4:$A$251,0)))</f>
        <v>Bristol Bay</v>
      </c>
      <c r="O103" s="452" t="str">
        <f t="array" ref="O103">IFERROR((INDEX(UtilityList!K$4:K$251,MATCH('Table 2.2a'!$A103&amp;'Table 2.2a'!$B103,UtilityList!$A$4:$A$251&amp;UtilityList!$C$4:$C$251,0))),INDEX(UtilityList!K$4:K$251,MATCH('Table 2.2a'!$A103,UtilityList!$A$4:$A$251,0)))</f>
        <v>Lake and Peninsula</v>
      </c>
      <c r="P103" s="452" t="str">
        <f t="array" ref="P103">IFERROR((INDEX(UtilityList!L$4:L$251,MATCH('Table 2.2a'!$A103&amp;'Table 2.2a'!$B103,UtilityList!$A$4:$A$251&amp;UtilityList!$C$4:$C$251,0))),INDEX(UtilityList!L$4:L$251,MATCH('Table 2.2a'!$A103,UtilityList!$A$4:$A$251,0)))</f>
        <v>Bristol Bay</v>
      </c>
      <c r="Q103" s="452" t="str">
        <f t="array" ref="Q103">IFERROR((INDEX(UtilityList!M$4:M$251,MATCH('Table 2.2a'!$A103&amp;'Table 2.2a'!$B103,UtilityList!$A$4:$A$251&amp;UtilityList!$C$4:$C$251,0))),INDEX(UtilityList!M$4:M$251,MATCH('Table 2.2a'!$A103,UtilityList!$A$4:$A$251,0)))</f>
        <v>SW</v>
      </c>
    </row>
    <row r="104" spans="1:17" s="344" customFormat="1" ht="15" x14ac:dyDescent="0.25">
      <c r="A104" s="628" t="s">
        <v>151</v>
      </c>
      <c r="B104" s="628" t="s">
        <v>152</v>
      </c>
      <c r="C104" s="629">
        <v>559.928</v>
      </c>
      <c r="D104" s="629">
        <v>0</v>
      </c>
      <c r="E104" s="629">
        <v>0</v>
      </c>
      <c r="F104" s="629">
        <v>559.928</v>
      </c>
      <c r="G104" s="629">
        <v>479.84199999999998</v>
      </c>
      <c r="H104" s="629">
        <v>0</v>
      </c>
      <c r="I104" s="629">
        <v>6.9</v>
      </c>
      <c r="J104" s="629">
        <v>40.692</v>
      </c>
      <c r="K104" s="629">
        <v>32.494000000000028</v>
      </c>
      <c r="L104" s="630" t="s">
        <v>356</v>
      </c>
      <c r="M104" s="627">
        <f t="array" ref="M104">INDEX(UtilityList!Q$4:Q$251,MATCH('Table 2.2a'!$A104&amp;'Table 2.2a'!$B104,UtilityList!$A$4:$A$251&amp;UtilityList!$C$4:$C$251,0))</f>
        <v>0</v>
      </c>
      <c r="N104" s="452" t="str">
        <f t="array" ref="N104">IFERROR((INDEX(UtilityList!J$4:J$251,MATCH('Table 2.2a'!$A104&amp;'Table 2.2a'!$B104,UtilityList!$A$4:$A$251&amp;UtilityList!$C$4:$C$251,0))),INDEX(UtilityList!J$4:J$251,MATCH('Table 2.2a'!$A104,UtilityList!$A$4:$A$251,0)))</f>
        <v>Copper River/Chugach</v>
      </c>
      <c r="O104" s="452" t="str">
        <f t="array" ref="O104">IFERROR((INDEX(UtilityList!K$4:K$251,MATCH('Table 2.2a'!$A104&amp;'Table 2.2a'!$B104,UtilityList!$A$4:$A$251&amp;UtilityList!$C$4:$C$251,0))),INDEX(UtilityList!K$4:K$251,MATCH('Table 2.2a'!$A104,UtilityList!$A$4:$A$251,0)))</f>
        <v>Valdez-Cordova (CA)</v>
      </c>
      <c r="P104" s="452" t="str">
        <f t="array" ref="P104">IFERROR((INDEX(UtilityList!L$4:L$251,MATCH('Table 2.2a'!$A104&amp;'Table 2.2a'!$B104,UtilityList!$A$4:$A$251&amp;UtilityList!$C$4:$C$251,0))),INDEX(UtilityList!L$4:L$251,MATCH('Table 2.2a'!$A104,UtilityList!$A$4:$A$251,0)))</f>
        <v>Ahtna</v>
      </c>
      <c r="Q104" s="452" t="str">
        <f t="array" ref="Q104">IFERROR((INDEX(UtilityList!M$4:M$251,MATCH('Table 2.2a'!$A104&amp;'Table 2.2a'!$B104,UtilityList!$A$4:$A$251&amp;UtilityList!$C$4:$C$251,0))),INDEX(UtilityList!M$4:M$251,MATCH('Table 2.2a'!$A104,UtilityList!$A$4:$A$251,0)))</f>
        <v>SC</v>
      </c>
    </row>
    <row r="105" spans="1:17" s="344" customFormat="1" ht="15" x14ac:dyDescent="0.25">
      <c r="A105" s="352" t="s">
        <v>153</v>
      </c>
      <c r="B105" s="361"/>
      <c r="C105" s="631">
        <v>2408041</v>
      </c>
      <c r="D105" s="631">
        <v>440254</v>
      </c>
      <c r="E105" s="631">
        <v>7532</v>
      </c>
      <c r="F105" s="631">
        <v>2855827</v>
      </c>
      <c r="G105" s="631">
        <v>1166336</v>
      </c>
      <c r="H105" s="631">
        <v>1538076</v>
      </c>
      <c r="I105" s="631">
        <v>0</v>
      </c>
      <c r="J105" s="631">
        <v>6158</v>
      </c>
      <c r="K105" s="631">
        <v>145257</v>
      </c>
      <c r="L105" s="598" t="s">
        <v>558</v>
      </c>
      <c r="M105" s="627">
        <f t="array" ref="M105">INDEX(UtilityList!Q$4:Q$251,MATCH('Table 2.2a'!$A105&amp;'Table 2.2a'!$B105,UtilityList!$A$4:$A$251&amp;UtilityList!$C$4:$C$251,0))</f>
        <v>0</v>
      </c>
      <c r="N105" s="452" t="str">
        <f t="array" ref="N105">IFERROR((INDEX(UtilityList!J$4:J$251,MATCH('Table 2.2a'!$A105&amp;'Table 2.2a'!$B105,UtilityList!$A$4:$A$251&amp;UtilityList!$C$4:$C$251,0))),INDEX(UtilityList!J$4:J$251,MATCH('Table 2.2a'!$A105,UtilityList!$A$4:$A$251,0)))</f>
        <v>Railbelt</v>
      </c>
      <c r="O105" s="452" t="str">
        <f t="array" ref="O105">IFERROR((INDEX(UtilityList!K$4:K$251,MATCH('Table 2.2a'!$A105&amp;'Table 2.2a'!$B105,UtilityList!$A$4:$A$251&amp;UtilityList!$C$4:$C$251,0))),INDEX(UtilityList!K$4:K$251,MATCH('Table 2.2a'!$A105,UtilityList!$A$4:$A$251,0)))</f>
        <v>Anchorage</v>
      </c>
      <c r="P105" s="452" t="str">
        <f t="array" ref="P105">IFERROR((INDEX(UtilityList!L$4:L$251,MATCH('Table 2.2a'!$A105&amp;'Table 2.2a'!$B105,UtilityList!$A$4:$A$251&amp;UtilityList!$C$4:$C$251,0))),INDEX(UtilityList!L$4:L$251,MATCH('Table 2.2a'!$A105,UtilityList!$A$4:$A$251,0)))</f>
        <v>Cook Inlet</v>
      </c>
      <c r="Q105" s="452" t="str">
        <f t="array" ref="Q105">IFERROR((INDEX(UtilityList!M$4:M$251,MATCH('Table 2.2a'!$A105&amp;'Table 2.2a'!$B105,UtilityList!$A$4:$A$251&amp;UtilityList!$C$4:$C$251,0))),INDEX(UtilityList!M$4:M$251,MATCH('Table 2.2a'!$A105,UtilityList!$A$4:$A$251,0)))</f>
        <v>SC</v>
      </c>
    </row>
    <row r="106" spans="1:17" s="344" customFormat="1" ht="15" x14ac:dyDescent="0.25">
      <c r="A106" s="628" t="s">
        <v>160</v>
      </c>
      <c r="B106" s="628" t="s">
        <v>161</v>
      </c>
      <c r="C106" s="629">
        <v>394.12</v>
      </c>
      <c r="D106" s="629">
        <v>0</v>
      </c>
      <c r="E106" s="629">
        <v>0</v>
      </c>
      <c r="F106" s="629">
        <v>394.12</v>
      </c>
      <c r="G106" s="629">
        <v>358.94200000000001</v>
      </c>
      <c r="H106" s="629">
        <v>0</v>
      </c>
      <c r="I106" s="629">
        <v>0</v>
      </c>
      <c r="J106" s="629">
        <v>4.6100000000000003</v>
      </c>
      <c r="K106" s="629">
        <v>30.567999999999984</v>
      </c>
      <c r="L106" s="630" t="s">
        <v>356</v>
      </c>
      <c r="M106" s="627">
        <f t="array" ref="M106">INDEX(UtilityList!Q$4:Q$251,MATCH('Table 2.2a'!$A106&amp;'Table 2.2a'!$B106,UtilityList!$A$4:$A$251&amp;UtilityList!$C$4:$C$251,0))</f>
        <v>0</v>
      </c>
      <c r="N106" s="452" t="str">
        <f t="array" ref="N106">IFERROR((INDEX(UtilityList!J$4:J$251,MATCH('Table 2.2a'!$A106&amp;'Table 2.2a'!$B106,UtilityList!$A$4:$A$251&amp;UtilityList!$C$4:$C$251,0))),INDEX(UtilityList!J$4:J$251,MATCH('Table 2.2a'!$A106,UtilityList!$A$4:$A$251,0)))</f>
        <v>Yukon-Koyukuk/Upper Tanana</v>
      </c>
      <c r="O106" s="452" t="str">
        <f t="array" ref="O106">IFERROR((INDEX(UtilityList!K$4:K$251,MATCH('Table 2.2a'!$A106&amp;'Table 2.2a'!$B106,UtilityList!$A$4:$A$251&amp;UtilityList!$C$4:$C$251,0))),INDEX(UtilityList!K$4:K$251,MATCH('Table 2.2a'!$A106,UtilityList!$A$4:$A$251,0)))</f>
        <v>Yukon-Koyukuk (CA)</v>
      </c>
      <c r="P106" s="452" t="str">
        <f t="array" ref="P106">IFERROR((INDEX(UtilityList!L$4:L$251,MATCH('Table 2.2a'!$A106&amp;'Table 2.2a'!$B106,UtilityList!$A$4:$A$251&amp;UtilityList!$C$4:$C$251,0))),INDEX(UtilityList!L$4:L$251,MATCH('Table 2.2a'!$A106,UtilityList!$A$4:$A$251,0)))</f>
        <v>Doyon</v>
      </c>
      <c r="Q106" s="452" t="str">
        <f t="array" ref="Q106">IFERROR((INDEX(UtilityList!M$4:M$251,MATCH('Table 2.2a'!$A106&amp;'Table 2.2a'!$B106,UtilityList!$A$4:$A$251&amp;UtilityList!$C$4:$C$251,0))),INDEX(UtilityList!M$4:M$251,MATCH('Table 2.2a'!$A106,UtilityList!$A$4:$A$251,0)))</f>
        <v>YU</v>
      </c>
    </row>
    <row r="107" spans="1:17" s="344" customFormat="1" ht="15" x14ac:dyDescent="0.25">
      <c r="A107" s="352" t="s">
        <v>164</v>
      </c>
      <c r="B107" s="361" t="s">
        <v>167</v>
      </c>
      <c r="C107" s="631">
        <v>86113</v>
      </c>
      <c r="D107" s="631">
        <v>0</v>
      </c>
      <c r="E107" s="631">
        <v>0</v>
      </c>
      <c r="F107" s="631">
        <v>86113</v>
      </c>
      <c r="G107" s="631">
        <v>80421</v>
      </c>
      <c r="H107" s="631">
        <v>0</v>
      </c>
      <c r="I107" s="631">
        <v>0</v>
      </c>
      <c r="J107" s="632">
        <v>205</v>
      </c>
      <c r="K107" s="631">
        <v>5487</v>
      </c>
      <c r="L107" s="598" t="s">
        <v>558</v>
      </c>
      <c r="M107" s="627">
        <f t="array" ref="M107">INDEX(UtilityList!Q$4:Q$251,MATCH('Table 2.2a'!$A107&amp;'Table 2.2a'!$B107,UtilityList!$A$4:$A$251&amp;UtilityList!$C$4:$C$251,0))</f>
        <v>0</v>
      </c>
      <c r="N107" s="452" t="str">
        <f t="array" ref="N107">IFERROR((INDEX(UtilityList!J$4:J$251,MATCH('Table 2.2a'!$A107&amp;'Table 2.2a'!$B107,UtilityList!$A$4:$A$251&amp;UtilityList!$C$4:$C$251,0))),INDEX(UtilityList!J$4:J$251,MATCH('Table 2.2a'!$A107,UtilityList!$A$4:$A$251,0)))</f>
        <v>Copper River/Chugach</v>
      </c>
      <c r="O107" s="452" t="str">
        <f t="array" ref="O107">IFERROR((INDEX(UtilityList!K$4:K$251,MATCH('Table 2.2a'!$A107&amp;'Table 2.2a'!$B107,UtilityList!$A$4:$A$251&amp;UtilityList!$C$4:$C$251,0))),INDEX(UtilityList!K$4:K$251,MATCH('Table 2.2a'!$A107,UtilityList!$A$4:$A$251,0)))</f>
        <v>Valdez-Cordova (CA)</v>
      </c>
      <c r="P107" s="452" t="str">
        <f t="array" ref="P107">IFERROR((INDEX(UtilityList!L$4:L$251,MATCH('Table 2.2a'!$A107&amp;'Table 2.2a'!$B107,UtilityList!$A$4:$A$251&amp;UtilityList!$C$4:$C$251,0))),INDEX(UtilityList!L$4:L$251,MATCH('Table 2.2a'!$A107,UtilityList!$A$4:$A$251,0)))</f>
        <v>Chugach</v>
      </c>
      <c r="Q107" s="452" t="str">
        <f t="array" ref="Q107">IFERROR((INDEX(UtilityList!M$4:M$251,MATCH('Table 2.2a'!$A107&amp;'Table 2.2a'!$B107,UtilityList!$A$4:$A$251&amp;UtilityList!$C$4:$C$251,0))),INDEX(UtilityList!M$4:M$251,MATCH('Table 2.2a'!$A107,UtilityList!$A$4:$A$251,0)))</f>
        <v>SC</v>
      </c>
    </row>
    <row r="108" spans="1:17" s="344" customFormat="1" ht="15" x14ac:dyDescent="0.25">
      <c r="A108" s="628" t="s">
        <v>533</v>
      </c>
      <c r="B108" s="628" t="s">
        <v>1092</v>
      </c>
      <c r="C108" s="629">
        <v>26900</v>
      </c>
      <c r="D108" s="629">
        <v>0</v>
      </c>
      <c r="E108" s="629">
        <v>0</v>
      </c>
      <c r="F108" s="629">
        <v>26900</v>
      </c>
      <c r="G108" s="629">
        <v>25700</v>
      </c>
      <c r="H108" s="629">
        <v>0</v>
      </c>
      <c r="I108" s="629">
        <v>0</v>
      </c>
      <c r="J108" s="629">
        <v>518.41800000000001</v>
      </c>
      <c r="K108" s="629">
        <v>681.58199999999852</v>
      </c>
      <c r="L108" s="630" t="s">
        <v>356</v>
      </c>
      <c r="M108" s="627" t="str">
        <f t="array" ref="M108">INDEX(UtilityList!Q$4:Q$251,MATCH('Table 2.2a'!$A108&amp;'Table 2.2a'!$B108,UtilityList!$A$4:$A$251&amp;UtilityList!$C$4:$C$251,0))</f>
        <v>New plant</v>
      </c>
      <c r="N108" s="452" t="str">
        <f t="array" ref="N108">IFERROR((INDEX(UtilityList!J$4:J$251,MATCH('Table 2.2a'!$A108&amp;'Table 2.2a'!$B108,UtilityList!$A$4:$A$251&amp;UtilityList!$C$4:$C$251,0))),INDEX(UtilityList!J$4:J$251,MATCH('Table 2.2a'!$A108,UtilityList!$A$4:$A$251,0)))</f>
        <v>Copper River/Chugach</v>
      </c>
      <c r="O108" s="452" t="str">
        <f t="array" ref="O108">IFERROR((INDEX(UtilityList!K$4:K$251,MATCH('Table 2.2a'!$A108&amp;'Table 2.2a'!$B108,UtilityList!$A$4:$A$251&amp;UtilityList!$C$4:$C$251,0))),INDEX(UtilityList!K$4:K$251,MATCH('Table 2.2a'!$A108,UtilityList!$A$4:$A$251,0)))</f>
        <v>Valdez-Cordova (CA)</v>
      </c>
      <c r="P108" s="452" t="str">
        <f t="array" ref="P108">IFERROR((INDEX(UtilityList!L$4:L$251,MATCH('Table 2.2a'!$A108&amp;'Table 2.2a'!$B108,UtilityList!$A$4:$A$251&amp;UtilityList!$C$4:$C$251,0))),INDEX(UtilityList!L$4:L$251,MATCH('Table 2.2a'!$A108,UtilityList!$A$4:$A$251,0)))</f>
        <v>Chugach</v>
      </c>
      <c r="Q108" s="452" t="str">
        <f t="array" ref="Q108">IFERROR((INDEX(UtilityList!M$4:M$251,MATCH('Table 2.2a'!$A108&amp;'Table 2.2a'!$B108,UtilityList!$A$4:$A$251&amp;UtilityList!$C$4:$C$251,0))),INDEX(UtilityList!M$4:M$251,MATCH('Table 2.2a'!$A108,UtilityList!$A$4:$A$251,0)))</f>
        <v>SC</v>
      </c>
    </row>
    <row r="109" spans="1:17" s="344" customFormat="1" ht="15" x14ac:dyDescent="0.25">
      <c r="A109" s="633" t="s">
        <v>640</v>
      </c>
      <c r="B109" s="633" t="s">
        <v>170</v>
      </c>
      <c r="C109" s="629">
        <v>477.29399999999998</v>
      </c>
      <c r="D109" s="629">
        <v>0</v>
      </c>
      <c r="E109" s="629">
        <v>0</v>
      </c>
      <c r="F109" s="629">
        <v>477.29399999999998</v>
      </c>
      <c r="G109" s="629">
        <v>429.26499999999999</v>
      </c>
      <c r="H109" s="629">
        <v>0</v>
      </c>
      <c r="I109" s="629">
        <v>17.303999999999998</v>
      </c>
      <c r="J109" s="629">
        <v>38.558110999999997</v>
      </c>
      <c r="K109" s="629">
        <v>-7.833110999999974</v>
      </c>
      <c r="L109" s="634" t="s">
        <v>356</v>
      </c>
      <c r="M109" s="627">
        <f t="array" ref="M109">INDEX(UtilityList!Q$4:Q$251,MATCH('Table 2.2a'!$A109&amp;'Table 2.2a'!$B109,UtilityList!$A$4:$A$251&amp;UtilityList!$C$4:$C$251,0))</f>
        <v>0</v>
      </c>
      <c r="N109" s="452" t="str">
        <f t="array" ref="N109">IFERROR((INDEX(UtilityList!J$4:J$251,MATCH('Table 2.2a'!$A109&amp;'Table 2.2a'!$B109,UtilityList!$A$4:$A$251&amp;UtilityList!$C$4:$C$251,0))),INDEX(UtilityList!J$4:J$251,MATCH('Table 2.2a'!$A109,UtilityList!$A$4:$A$251,0)))</f>
        <v>Bering Straits</v>
      </c>
      <c r="O109" s="452" t="str">
        <f t="array" ref="O109">IFERROR((INDEX(UtilityList!K$4:K$251,MATCH('Table 2.2a'!$A109&amp;'Table 2.2a'!$B109,UtilityList!$A$4:$A$251&amp;UtilityList!$C$4:$C$251,0))),INDEX(UtilityList!K$4:K$251,MATCH('Table 2.2a'!$A109,UtilityList!$A$4:$A$251,0)))</f>
        <v>Nome (CA)</v>
      </c>
      <c r="P109" s="452" t="str">
        <f t="array" ref="P109">IFERROR((INDEX(UtilityList!L$4:L$251,MATCH('Table 2.2a'!$A109&amp;'Table 2.2a'!$B109,UtilityList!$A$4:$A$251&amp;UtilityList!$C$4:$C$251,0))),INDEX(UtilityList!L$4:L$251,MATCH('Table 2.2a'!$A109,UtilityList!$A$4:$A$251,0)))</f>
        <v>Bering Straits</v>
      </c>
      <c r="Q109" s="452" t="str">
        <f t="array" ref="Q109">IFERROR((INDEX(UtilityList!M$4:M$251,MATCH('Table 2.2a'!$A109&amp;'Table 2.2a'!$B109,UtilityList!$A$4:$A$251&amp;UtilityList!$C$4:$C$251,0))),INDEX(UtilityList!M$4:M$251,MATCH('Table 2.2a'!$A109,UtilityList!$A$4:$A$251,0)))</f>
        <v>AN</v>
      </c>
    </row>
    <row r="110" spans="1:17" s="344" customFormat="1" ht="15" x14ac:dyDescent="0.25">
      <c r="A110" s="628" t="s">
        <v>171</v>
      </c>
      <c r="B110" s="628" t="s">
        <v>172</v>
      </c>
      <c r="C110" s="629">
        <v>282.25</v>
      </c>
      <c r="D110" s="629">
        <v>0</v>
      </c>
      <c r="E110" s="629">
        <v>0</v>
      </c>
      <c r="F110" s="629">
        <v>282.25</v>
      </c>
      <c r="G110" s="629">
        <v>254.024</v>
      </c>
      <c r="H110" s="629">
        <v>0</v>
      </c>
      <c r="I110" s="629">
        <v>0</v>
      </c>
      <c r="J110" s="629">
        <v>0.505</v>
      </c>
      <c r="K110" s="629">
        <v>27.721000000000004</v>
      </c>
      <c r="L110" s="630" t="s">
        <v>356</v>
      </c>
      <c r="M110" s="627">
        <f t="array" ref="M110">INDEX(UtilityList!Q$4:Q$251,MATCH('Table 2.2a'!$A110&amp;'Table 2.2a'!$B110,UtilityList!$A$4:$A$251&amp;UtilityList!$C$4:$C$251,0))</f>
        <v>0</v>
      </c>
      <c r="N110" s="452" t="str">
        <f t="array" ref="N110">IFERROR((INDEX(UtilityList!J$4:J$251,MATCH('Table 2.2a'!$A110&amp;'Table 2.2a'!$B110,UtilityList!$A$4:$A$251&amp;UtilityList!$C$4:$C$251,0))),INDEX(UtilityList!J$4:J$251,MATCH('Table 2.2a'!$A110,UtilityList!$A$4:$A$251,0)))</f>
        <v>Bristol Bay</v>
      </c>
      <c r="O110" s="452" t="str">
        <f t="array" ref="O110">IFERROR((INDEX(UtilityList!K$4:K$251,MATCH('Table 2.2a'!$A110&amp;'Table 2.2a'!$B110,UtilityList!$A$4:$A$251&amp;UtilityList!$C$4:$C$251,0))),INDEX(UtilityList!K$4:K$251,MATCH('Table 2.2a'!$A110,UtilityList!$A$4:$A$251,0)))</f>
        <v>Lake and Peninsula</v>
      </c>
      <c r="P110" s="452" t="str">
        <f t="array" ref="P110">IFERROR((INDEX(UtilityList!L$4:L$251,MATCH('Table 2.2a'!$A110&amp;'Table 2.2a'!$B110,UtilityList!$A$4:$A$251&amp;UtilityList!$C$4:$C$251,0))),INDEX(UtilityList!L$4:L$251,MATCH('Table 2.2a'!$A110,UtilityList!$A$4:$A$251,0)))</f>
        <v>Bristol Bay</v>
      </c>
      <c r="Q110" s="452" t="str">
        <f t="array" ref="Q110">IFERROR((INDEX(UtilityList!M$4:M$251,MATCH('Table 2.2a'!$A110&amp;'Table 2.2a'!$B110,UtilityList!$A$4:$A$251&amp;UtilityList!$C$4:$C$251,0))),INDEX(UtilityList!M$4:M$251,MATCH('Table 2.2a'!$A110,UtilityList!$A$4:$A$251,0)))</f>
        <v>SW</v>
      </c>
    </row>
    <row r="111" spans="1:17" s="344" customFormat="1" ht="15" x14ac:dyDescent="0.25">
      <c r="A111" s="633" t="s">
        <v>524</v>
      </c>
      <c r="B111" s="633" t="s">
        <v>173</v>
      </c>
      <c r="C111" s="629">
        <v>283.988</v>
      </c>
      <c r="D111" s="629">
        <v>0</v>
      </c>
      <c r="E111" s="629">
        <v>0</v>
      </c>
      <c r="F111" s="629">
        <v>283.988</v>
      </c>
      <c r="G111" s="629">
        <v>252.3349</v>
      </c>
      <c r="H111" s="629">
        <v>0</v>
      </c>
      <c r="I111" s="629">
        <v>0</v>
      </c>
      <c r="J111" s="629">
        <v>22.472455</v>
      </c>
      <c r="K111" s="629">
        <v>9.18064499999997</v>
      </c>
      <c r="L111" s="634" t="s">
        <v>356</v>
      </c>
      <c r="M111" s="627">
        <f t="array" ref="M111">INDEX(UtilityList!Q$4:Q$251,MATCH('Table 2.2a'!$A111&amp;'Table 2.2a'!$B111,UtilityList!$A$4:$A$251&amp;UtilityList!$C$4:$C$251,0))</f>
        <v>0</v>
      </c>
      <c r="N111" s="452" t="str">
        <f t="array" ref="N111">IFERROR((INDEX(UtilityList!J$4:J$251,MATCH('Table 2.2a'!$A111&amp;'Table 2.2a'!$B111,UtilityList!$A$4:$A$251&amp;UtilityList!$C$4:$C$251,0))),INDEX(UtilityList!J$4:J$251,MATCH('Table 2.2a'!$A111,UtilityList!$A$4:$A$251,0)))</f>
        <v>Bristol Bay</v>
      </c>
      <c r="O111" s="452" t="str">
        <f t="array" ref="O111">IFERROR((INDEX(UtilityList!K$4:K$251,MATCH('Table 2.2a'!$A111&amp;'Table 2.2a'!$B111,UtilityList!$A$4:$A$251&amp;UtilityList!$C$4:$C$251,0))),INDEX(UtilityList!K$4:K$251,MATCH('Table 2.2a'!$A111,UtilityList!$A$4:$A$251,0)))</f>
        <v>Dillingham (CA)</v>
      </c>
      <c r="P111" s="452" t="str">
        <f t="array" ref="P111">IFERROR((INDEX(UtilityList!L$4:L$251,MATCH('Table 2.2a'!$A111&amp;'Table 2.2a'!$B111,UtilityList!$A$4:$A$251&amp;UtilityList!$C$4:$C$251,0))),INDEX(UtilityList!L$4:L$251,MATCH('Table 2.2a'!$A111,UtilityList!$A$4:$A$251,0)))</f>
        <v>Bristol Bay</v>
      </c>
      <c r="Q111" s="452" t="str">
        <f t="array" ref="Q111">IFERROR((INDEX(UtilityList!M$4:M$251,MATCH('Table 2.2a'!$A111&amp;'Table 2.2a'!$B111,UtilityList!$A$4:$A$251&amp;UtilityList!$C$4:$C$251,0))),INDEX(UtilityList!M$4:M$251,MATCH('Table 2.2a'!$A111,UtilityList!$A$4:$A$251,0)))</f>
        <v>SW</v>
      </c>
    </row>
    <row r="112" spans="1:17" s="344" customFormat="1" ht="15" x14ac:dyDescent="0.25">
      <c r="A112" s="628" t="s">
        <v>174</v>
      </c>
      <c r="B112" s="628" t="s">
        <v>175</v>
      </c>
      <c r="C112" s="629">
        <v>297.58</v>
      </c>
      <c r="D112" s="629">
        <v>0</v>
      </c>
      <c r="E112" s="629">
        <v>0</v>
      </c>
      <c r="F112" s="629">
        <v>297.58</v>
      </c>
      <c r="G112" s="629">
        <v>248.28299999999999</v>
      </c>
      <c r="H112" s="629">
        <v>0</v>
      </c>
      <c r="I112" s="629">
        <v>0</v>
      </c>
      <c r="J112" s="629">
        <v>20.122799999999998</v>
      </c>
      <c r="K112" s="629">
        <v>29.174199999999985</v>
      </c>
      <c r="L112" s="630" t="s">
        <v>356</v>
      </c>
      <c r="M112" s="627">
        <f t="array" ref="M112">INDEX(UtilityList!Q$4:Q$251,MATCH('Table 2.2a'!$A112&amp;'Table 2.2a'!$B112,UtilityList!$A$4:$A$251&amp;UtilityList!$C$4:$C$251,0))</f>
        <v>0</v>
      </c>
      <c r="N112" s="452" t="str">
        <f t="array" ref="N112">IFERROR((INDEX(UtilityList!J$4:J$251,MATCH('Table 2.2a'!$A112&amp;'Table 2.2a'!$B112,UtilityList!$A$4:$A$251&amp;UtilityList!$C$4:$C$251,0))),INDEX(UtilityList!J$4:J$251,MATCH('Table 2.2a'!$A112,UtilityList!$A$4:$A$251,0)))</f>
        <v>Southeast</v>
      </c>
      <c r="O112" s="452" t="str">
        <f t="array" ref="O112">IFERROR((INDEX(UtilityList!K$4:K$251,MATCH('Table 2.2a'!$A112&amp;'Table 2.2a'!$B112,UtilityList!$A$4:$A$251&amp;UtilityList!$C$4:$C$251,0))),INDEX(UtilityList!K$4:K$251,MATCH('Table 2.2a'!$A112,UtilityList!$A$4:$A$251,0)))</f>
        <v>Hoonah-Angoon (CA)</v>
      </c>
      <c r="P112" s="452" t="str">
        <f t="array" ref="P112">IFERROR((INDEX(UtilityList!L$4:L$251,MATCH('Table 2.2a'!$A112&amp;'Table 2.2a'!$B112,UtilityList!$A$4:$A$251&amp;UtilityList!$C$4:$C$251,0))),INDEX(UtilityList!L$4:L$251,MATCH('Table 2.2a'!$A112,UtilityList!$A$4:$A$251,0)))</f>
        <v>Sealaska</v>
      </c>
      <c r="Q112" s="452" t="str">
        <f t="array" ref="Q112">IFERROR((INDEX(UtilityList!M$4:M$251,MATCH('Table 2.2a'!$A112&amp;'Table 2.2a'!$B112,UtilityList!$A$4:$A$251&amp;UtilityList!$C$4:$C$251,0))),INDEX(UtilityList!M$4:M$251,MATCH('Table 2.2a'!$A112,UtilityList!$A$4:$A$251,0)))</f>
        <v>SE</v>
      </c>
    </row>
    <row r="113" spans="1:18" s="344" customFormat="1" ht="15" x14ac:dyDescent="0.25">
      <c r="A113" s="628" t="s">
        <v>176</v>
      </c>
      <c r="B113" s="628" t="s">
        <v>177</v>
      </c>
      <c r="C113" s="629">
        <v>500.54599999999999</v>
      </c>
      <c r="D113" s="629">
        <v>0</v>
      </c>
      <c r="E113" s="629">
        <v>0</v>
      </c>
      <c r="F113" s="629">
        <v>500.54599999999999</v>
      </c>
      <c r="G113" s="629">
        <v>388.81599999999997</v>
      </c>
      <c r="H113" s="629">
        <v>0</v>
      </c>
      <c r="I113" s="629">
        <v>0</v>
      </c>
      <c r="J113" s="629">
        <v>39.195</v>
      </c>
      <c r="K113" s="629">
        <v>72.535000000000025</v>
      </c>
      <c r="L113" s="630" t="s">
        <v>356</v>
      </c>
      <c r="M113" s="627">
        <f t="array" ref="M113">INDEX(UtilityList!Q$4:Q$251,MATCH('Table 2.2a'!$A113&amp;'Table 2.2a'!$B113,UtilityList!$A$4:$A$251&amp;UtilityList!$C$4:$C$251,0))</f>
        <v>0</v>
      </c>
      <c r="N113" s="452" t="str">
        <f t="array" ref="N113">IFERROR((INDEX(UtilityList!J$4:J$251,MATCH('Table 2.2a'!$A113&amp;'Table 2.2a'!$B113,UtilityList!$A$4:$A$251&amp;UtilityList!$C$4:$C$251,0))),INDEX(UtilityList!J$4:J$251,MATCH('Table 2.2a'!$A113,UtilityList!$A$4:$A$251,0)))</f>
        <v>Aleutians</v>
      </c>
      <c r="O113" s="452" t="str">
        <f t="array" ref="O113">IFERROR((INDEX(UtilityList!K$4:K$251,MATCH('Table 2.2a'!$A113&amp;'Table 2.2a'!$B113,UtilityList!$A$4:$A$251&amp;UtilityList!$C$4:$C$251,0))),INDEX(UtilityList!K$4:K$251,MATCH('Table 2.2a'!$A113,UtilityList!$A$4:$A$251,0)))</f>
        <v>Aleutians East</v>
      </c>
      <c r="P113" s="452" t="str">
        <f t="array" ref="P113">IFERROR((INDEX(UtilityList!L$4:L$251,MATCH('Table 2.2a'!$A113&amp;'Table 2.2a'!$B113,UtilityList!$A$4:$A$251&amp;UtilityList!$C$4:$C$251,0))),INDEX(UtilityList!L$4:L$251,MATCH('Table 2.2a'!$A113,UtilityList!$A$4:$A$251,0)))</f>
        <v>Aleut</v>
      </c>
      <c r="Q113" s="452" t="str">
        <f t="array" ref="Q113">IFERROR((INDEX(UtilityList!M$4:M$251,MATCH('Table 2.2a'!$A113&amp;'Table 2.2a'!$B113,UtilityList!$A$4:$A$251&amp;UtilityList!$C$4:$C$251,0))),INDEX(UtilityList!M$4:M$251,MATCH('Table 2.2a'!$A113,UtilityList!$A$4:$A$251,0)))</f>
        <v>SW</v>
      </c>
    </row>
    <row r="114" spans="1:18" s="344" customFormat="1" ht="15" x14ac:dyDescent="0.25">
      <c r="A114" s="628" t="s">
        <v>178</v>
      </c>
      <c r="B114" s="628" t="s">
        <v>179</v>
      </c>
      <c r="C114" s="629">
        <v>2725.4110000000001</v>
      </c>
      <c r="D114" s="629">
        <v>0</v>
      </c>
      <c r="E114" s="629">
        <v>0</v>
      </c>
      <c r="F114" s="629">
        <v>2725.4110000000001</v>
      </c>
      <c r="G114" s="629">
        <v>2394.9050000000002</v>
      </c>
      <c r="H114" s="629">
        <v>0</v>
      </c>
      <c r="I114" s="629">
        <v>0</v>
      </c>
      <c r="J114" s="629">
        <v>158.48967000000002</v>
      </c>
      <c r="K114" s="629">
        <v>172.01632999999993</v>
      </c>
      <c r="L114" s="630" t="s">
        <v>356</v>
      </c>
      <c r="M114" s="627">
        <f t="array" ref="M114">INDEX(UtilityList!Q$4:Q$251,MATCH('Table 2.2a'!$A114&amp;'Table 2.2a'!$B114,UtilityList!$A$4:$A$251&amp;UtilityList!$C$4:$C$251,0))</f>
        <v>0</v>
      </c>
      <c r="N114" s="452" t="str">
        <f t="array" ref="N114">IFERROR((INDEX(UtilityList!J$4:J$251,MATCH('Table 2.2a'!$A114&amp;'Table 2.2a'!$B114,UtilityList!$A$4:$A$251&amp;UtilityList!$C$4:$C$251,0))),INDEX(UtilityList!J$4:J$251,MATCH('Table 2.2a'!$A114,UtilityList!$A$4:$A$251,0)))</f>
        <v>Aleutians</v>
      </c>
      <c r="O114" s="452" t="str">
        <f t="array" ref="O114">IFERROR((INDEX(UtilityList!K$4:K$251,MATCH('Table 2.2a'!$A114&amp;'Table 2.2a'!$B114,UtilityList!$A$4:$A$251&amp;UtilityList!$C$4:$C$251,0))),INDEX(UtilityList!K$4:K$251,MATCH('Table 2.2a'!$A114,UtilityList!$A$4:$A$251,0)))</f>
        <v>Aleutians East</v>
      </c>
      <c r="P114" s="452" t="str">
        <f t="array" ref="P114">IFERROR((INDEX(UtilityList!L$4:L$251,MATCH('Table 2.2a'!$A114&amp;'Table 2.2a'!$B114,UtilityList!$A$4:$A$251&amp;UtilityList!$C$4:$C$251,0))),INDEX(UtilityList!L$4:L$251,MATCH('Table 2.2a'!$A114,UtilityList!$A$4:$A$251,0)))</f>
        <v>Aleut</v>
      </c>
      <c r="Q114" s="452" t="str">
        <f t="array" ref="Q114">IFERROR((INDEX(UtilityList!M$4:M$251,MATCH('Table 2.2a'!$A114&amp;'Table 2.2a'!$B114,UtilityList!$A$4:$A$251&amp;UtilityList!$C$4:$C$251,0))),INDEX(UtilityList!M$4:M$251,MATCH('Table 2.2a'!$A114,UtilityList!$A$4:$A$251,0)))</f>
        <v>SW</v>
      </c>
    </row>
    <row r="115" spans="1:18" s="344" customFormat="1" ht="15" x14ac:dyDescent="0.25">
      <c r="A115" s="628" t="s">
        <v>182</v>
      </c>
      <c r="B115" s="628" t="s">
        <v>183</v>
      </c>
      <c r="C115" s="629">
        <v>493.85399999999998</v>
      </c>
      <c r="D115" s="629">
        <v>0</v>
      </c>
      <c r="E115" s="629">
        <v>0</v>
      </c>
      <c r="F115" s="629">
        <v>493.85399999999998</v>
      </c>
      <c r="G115" s="629">
        <v>439.48500000000001</v>
      </c>
      <c r="H115" s="629">
        <v>0</v>
      </c>
      <c r="I115" s="629">
        <v>0</v>
      </c>
      <c r="J115" s="629">
        <v>19.251000000000001</v>
      </c>
      <c r="K115" s="629">
        <v>35.117999999999995</v>
      </c>
      <c r="L115" s="630" t="s">
        <v>356</v>
      </c>
      <c r="M115" s="627">
        <f t="array" ref="M115">INDEX(UtilityList!Q$4:Q$251,MATCH('Table 2.2a'!$A115&amp;'Table 2.2a'!$B115,UtilityList!$A$4:$A$251&amp;UtilityList!$C$4:$C$251,0))</f>
        <v>0</v>
      </c>
      <c r="N115" s="452" t="str">
        <f t="array" ref="N115">IFERROR((INDEX(UtilityList!J$4:J$251,MATCH('Table 2.2a'!$A115&amp;'Table 2.2a'!$B115,UtilityList!$A$4:$A$251&amp;UtilityList!$C$4:$C$251,0))),INDEX(UtilityList!J$4:J$251,MATCH('Table 2.2a'!$A115,UtilityList!$A$4:$A$251,0)))</f>
        <v>Yukon-Koyukuk/Upper Tanana</v>
      </c>
      <c r="O115" s="452" t="str">
        <f t="array" ref="O115">IFERROR((INDEX(UtilityList!K$4:K$251,MATCH('Table 2.2a'!$A115&amp;'Table 2.2a'!$B115,UtilityList!$A$4:$A$251&amp;UtilityList!$C$4:$C$251,0))),INDEX(UtilityList!K$4:K$251,MATCH('Table 2.2a'!$A115,UtilityList!$A$4:$A$251,0)))</f>
        <v>Yukon-Koyukuk (CA)</v>
      </c>
      <c r="P115" s="452" t="str">
        <f t="array" ref="P115">IFERROR((INDEX(UtilityList!L$4:L$251,MATCH('Table 2.2a'!$A115&amp;'Table 2.2a'!$B115,UtilityList!$A$4:$A$251&amp;UtilityList!$C$4:$C$251,0))),INDEX(UtilityList!L$4:L$251,MATCH('Table 2.2a'!$A115,UtilityList!$A$4:$A$251,0)))</f>
        <v>Doyon</v>
      </c>
      <c r="Q115" s="452" t="str">
        <f t="array" ref="Q115">IFERROR((INDEX(UtilityList!M$4:M$251,MATCH('Table 2.2a'!$A115&amp;'Table 2.2a'!$B115,UtilityList!$A$4:$A$251&amp;UtilityList!$C$4:$C$251,0))),INDEX(UtilityList!M$4:M$251,MATCH('Table 2.2a'!$A115,UtilityList!$A$4:$A$251,0)))</f>
        <v>YU</v>
      </c>
    </row>
    <row r="116" spans="1:18" s="344" customFormat="1" ht="15" x14ac:dyDescent="0.25">
      <c r="A116" s="352" t="s">
        <v>184</v>
      </c>
      <c r="B116" s="361"/>
      <c r="C116" s="631">
        <v>672276</v>
      </c>
      <c r="D116" s="632">
        <v>697906</v>
      </c>
      <c r="E116" s="632">
        <v>280</v>
      </c>
      <c r="F116" s="631">
        <v>1370462</v>
      </c>
      <c r="G116" s="631">
        <v>1289927</v>
      </c>
      <c r="H116" s="632">
        <v>170</v>
      </c>
      <c r="I116" s="631">
        <v>0</v>
      </c>
      <c r="J116" s="632">
        <v>9341</v>
      </c>
      <c r="K116" s="631">
        <v>71024</v>
      </c>
      <c r="L116" s="598" t="s">
        <v>558</v>
      </c>
      <c r="M116" s="627">
        <f t="array" ref="M116">INDEX(UtilityList!Q$4:Q$251,MATCH('Table 2.2a'!$A116&amp;'Table 2.2a'!$B116,UtilityList!$A$4:$A$251&amp;UtilityList!$C$4:$C$251,0))</f>
        <v>0</v>
      </c>
      <c r="N116" s="452" t="str">
        <f t="array" ref="N116">IFERROR((INDEX(UtilityList!J$4:J$251,MATCH('Table 2.2a'!$A116&amp;'Table 2.2a'!$B116,UtilityList!$A$4:$A$251&amp;UtilityList!$C$4:$C$251,0))),INDEX(UtilityList!J$4:J$251,MATCH('Table 2.2a'!$A116,UtilityList!$A$4:$A$251,0)))</f>
        <v>Railbelt</v>
      </c>
      <c r="O116" s="452" t="str">
        <f t="array" ref="O116">IFERROR((INDEX(UtilityList!K$4:K$251,MATCH('Table 2.2a'!$A116&amp;'Table 2.2a'!$B116,UtilityList!$A$4:$A$251&amp;UtilityList!$C$4:$C$251,0))),INDEX(UtilityList!K$4:K$251,MATCH('Table 2.2a'!$A116,UtilityList!$A$4:$A$251,0)))</f>
        <v>Fairbanks North Star</v>
      </c>
      <c r="P116" s="452" t="str">
        <f t="array" ref="P116">IFERROR((INDEX(UtilityList!L$4:L$251,MATCH('Table 2.2a'!$A116&amp;'Table 2.2a'!$B116,UtilityList!$A$4:$A$251&amp;UtilityList!$C$4:$C$251,0))),INDEX(UtilityList!L$4:L$251,MATCH('Table 2.2a'!$A116,UtilityList!$A$4:$A$251,0)))</f>
        <v>Doyon</v>
      </c>
      <c r="Q116" s="452" t="str">
        <f t="array" ref="Q116">IFERROR((INDEX(UtilityList!M$4:M$251,MATCH('Table 2.2a'!$A116&amp;'Table 2.2a'!$B116,UtilityList!$A$4:$A$251&amp;UtilityList!$C$4:$C$251,0))),INDEX(UtilityList!M$4:M$251,MATCH('Table 2.2a'!$A116,UtilityList!$A$4:$A$251,0)))</f>
        <v>YU</v>
      </c>
    </row>
    <row r="117" spans="1:18" s="344" customFormat="1" ht="15" x14ac:dyDescent="0.25">
      <c r="A117" s="628" t="s">
        <v>188</v>
      </c>
      <c r="B117" s="628" t="s">
        <v>189</v>
      </c>
      <c r="C117" s="629">
        <v>781.7</v>
      </c>
      <c r="D117" s="629">
        <v>0</v>
      </c>
      <c r="E117" s="629">
        <v>0</v>
      </c>
      <c r="F117" s="629">
        <v>781.7</v>
      </c>
      <c r="G117" s="629">
        <v>566.89700000000005</v>
      </c>
      <c r="H117" s="629">
        <v>0</v>
      </c>
      <c r="I117" s="629">
        <v>44.808</v>
      </c>
      <c r="J117" s="629">
        <v>25.998999999999999</v>
      </c>
      <c r="K117" s="629">
        <v>143.99599999999998</v>
      </c>
      <c r="L117" s="630" t="s">
        <v>356</v>
      </c>
      <c r="M117" s="627">
        <f t="array" ref="M117">INDEX(UtilityList!Q$4:Q$251,MATCH('Table 2.2a'!$A117&amp;'Table 2.2a'!$B117,UtilityList!$A$4:$A$251&amp;UtilityList!$C$4:$C$251,0))</f>
        <v>0</v>
      </c>
      <c r="N117" s="452" t="str">
        <f t="array" ref="N117">IFERROR((INDEX(UtilityList!J$4:J$251,MATCH('Table 2.2a'!$A117&amp;'Table 2.2a'!$B117,UtilityList!$A$4:$A$251&amp;UtilityList!$C$4:$C$251,0))),INDEX(UtilityList!J$4:J$251,MATCH('Table 2.2a'!$A117,UtilityList!$A$4:$A$251,0)))</f>
        <v>Bering Straits</v>
      </c>
      <c r="O117" s="452" t="str">
        <f t="array" ref="O117">IFERROR((INDEX(UtilityList!K$4:K$251,MATCH('Table 2.2a'!$A117&amp;'Table 2.2a'!$B117,UtilityList!$A$4:$A$251&amp;UtilityList!$C$4:$C$251,0))),INDEX(UtilityList!K$4:K$251,MATCH('Table 2.2a'!$A117,UtilityList!$A$4:$A$251,0)))</f>
        <v>Nome (CA)</v>
      </c>
      <c r="P117" s="452" t="str">
        <f t="array" ref="P117">IFERROR((INDEX(UtilityList!L$4:L$251,MATCH('Table 2.2a'!$A117&amp;'Table 2.2a'!$B117,UtilityList!$A$4:$A$251&amp;UtilityList!$C$4:$C$251,0))),INDEX(UtilityList!L$4:L$251,MATCH('Table 2.2a'!$A117,UtilityList!$A$4:$A$251,0)))</f>
        <v>Bering Straits</v>
      </c>
      <c r="Q117" s="452" t="str">
        <f t="array" ref="Q117">IFERROR((INDEX(UtilityList!M$4:M$251,MATCH('Table 2.2a'!$A117&amp;'Table 2.2a'!$B117,UtilityList!$A$4:$A$251&amp;UtilityList!$C$4:$C$251,0))),INDEX(UtilityList!M$4:M$251,MATCH('Table 2.2a'!$A117,UtilityList!$A$4:$A$251,0)))</f>
        <v>AN</v>
      </c>
    </row>
    <row r="118" spans="1:18" s="344" customFormat="1" ht="15" x14ac:dyDescent="0.25">
      <c r="A118" s="628" t="s">
        <v>190</v>
      </c>
      <c r="B118" s="628" t="s">
        <v>191</v>
      </c>
      <c r="C118" s="629">
        <v>2094.2040000000002</v>
      </c>
      <c r="D118" s="629">
        <v>0</v>
      </c>
      <c r="E118" s="629">
        <v>0</v>
      </c>
      <c r="F118" s="629">
        <v>2094.2040000000002</v>
      </c>
      <c r="G118" s="629">
        <v>1825.931</v>
      </c>
      <c r="H118" s="629">
        <v>0</v>
      </c>
      <c r="I118" s="629">
        <v>0</v>
      </c>
      <c r="J118" s="629">
        <v>41.488</v>
      </c>
      <c r="K118" s="629">
        <v>226.78500000000008</v>
      </c>
      <c r="L118" s="630" t="s">
        <v>356</v>
      </c>
      <c r="M118" s="627">
        <f t="array" ref="M118">INDEX(UtilityList!Q$4:Q$251,MATCH('Table 2.2a'!$A118&amp;'Table 2.2a'!$B118,UtilityList!$A$4:$A$251&amp;UtilityList!$C$4:$C$251,0))</f>
        <v>0</v>
      </c>
      <c r="N118" s="452" t="str">
        <f t="array" ref="N118">IFERROR((INDEX(UtilityList!J$4:J$251,MATCH('Table 2.2a'!$A118&amp;'Table 2.2a'!$B118,UtilityList!$A$4:$A$251&amp;UtilityList!$C$4:$C$251,0))),INDEX(UtilityList!J$4:J$251,MATCH('Table 2.2a'!$A118,UtilityList!$A$4:$A$251,0)))</f>
        <v>Southeast</v>
      </c>
      <c r="O118" s="452" t="str">
        <f t="array" ref="O118">IFERROR((INDEX(UtilityList!K$4:K$251,MATCH('Table 2.2a'!$A118&amp;'Table 2.2a'!$B118,UtilityList!$A$4:$A$251&amp;UtilityList!$C$4:$C$251,0))),INDEX(UtilityList!K$4:K$251,MATCH('Table 2.2a'!$A118,UtilityList!$A$4:$A$251,0)))</f>
        <v>Hoonah-Angoon (CA)</v>
      </c>
      <c r="P118" s="452" t="str">
        <f t="array" ref="P118">IFERROR((INDEX(UtilityList!L$4:L$251,MATCH('Table 2.2a'!$A118&amp;'Table 2.2a'!$B118,UtilityList!$A$4:$A$251&amp;UtilityList!$C$4:$C$251,0))),INDEX(UtilityList!L$4:L$251,MATCH('Table 2.2a'!$A118,UtilityList!$A$4:$A$251,0)))</f>
        <v>Sealaska</v>
      </c>
      <c r="Q118" s="452" t="str">
        <f t="array" ref="Q118">IFERROR((INDEX(UtilityList!M$4:M$251,MATCH('Table 2.2a'!$A118&amp;'Table 2.2a'!$B118,UtilityList!$A$4:$A$251&amp;UtilityList!$C$4:$C$251,0))),INDEX(UtilityList!M$4:M$251,MATCH('Table 2.2a'!$A118,UtilityList!$A$4:$A$251,0)))</f>
        <v>SE</v>
      </c>
    </row>
    <row r="119" spans="1:18" s="344" customFormat="1" ht="15" x14ac:dyDescent="0.25">
      <c r="A119" s="628" t="s">
        <v>535</v>
      </c>
      <c r="B119" s="628" t="s">
        <v>192</v>
      </c>
      <c r="C119" s="629">
        <v>3092</v>
      </c>
      <c r="D119" s="629">
        <v>0</v>
      </c>
      <c r="E119" s="629">
        <v>0</v>
      </c>
      <c r="F119" s="629">
        <v>3092</v>
      </c>
      <c r="G119" s="629">
        <v>2753.848</v>
      </c>
      <c r="H119" s="629">
        <v>0</v>
      </c>
      <c r="I119" s="629">
        <v>0</v>
      </c>
      <c r="J119" s="629">
        <v>30.38</v>
      </c>
      <c r="K119" s="629">
        <v>307.77199999999993</v>
      </c>
      <c r="L119" s="630" t="s">
        <v>356</v>
      </c>
      <c r="M119" s="627">
        <f t="array" ref="M119">INDEX(UtilityList!Q$4:Q$251,MATCH('Table 2.2a'!$A119&amp;'Table 2.2a'!$B119,UtilityList!$A$4:$A$251&amp;UtilityList!$C$4:$C$251,0))</f>
        <v>0</v>
      </c>
      <c r="N119" s="452" t="str">
        <f t="array" ref="N119">IFERROR((INDEX(UtilityList!J$4:J$251,MATCH('Table 2.2a'!$A119&amp;'Table 2.2a'!$B119,UtilityList!$A$4:$A$251&amp;UtilityList!$C$4:$C$251,0))),INDEX(UtilityList!J$4:J$251,MATCH('Table 2.2a'!$A119,UtilityList!$A$4:$A$251,0)))</f>
        <v>Yukon-Koyukuk/Upper Tanana</v>
      </c>
      <c r="O119" s="452" t="str">
        <f t="array" ref="O119">IFERROR((INDEX(UtilityList!K$4:K$251,MATCH('Table 2.2a'!$A119&amp;'Table 2.2a'!$B119,UtilityList!$A$4:$A$251&amp;UtilityList!$C$4:$C$251,0))),INDEX(UtilityList!K$4:K$251,MATCH('Table 2.2a'!$A119,UtilityList!$A$4:$A$251,0)))</f>
        <v>Yukon-Koyukuk (CA)</v>
      </c>
      <c r="P119" s="452" t="str">
        <f t="array" ref="P119">IFERROR((INDEX(UtilityList!L$4:L$251,MATCH('Table 2.2a'!$A119&amp;'Table 2.2a'!$B119,UtilityList!$A$4:$A$251&amp;UtilityList!$C$4:$C$251,0))),INDEX(UtilityList!L$4:L$251,MATCH('Table 2.2a'!$A119,UtilityList!$A$4:$A$251,0)))</f>
        <v>Doyon</v>
      </c>
      <c r="Q119" s="452" t="str">
        <f t="array" ref="Q119">IFERROR((INDEX(UtilityList!M$4:M$251,MATCH('Table 2.2a'!$A119&amp;'Table 2.2a'!$B119,UtilityList!$A$4:$A$251&amp;UtilityList!$C$4:$C$251,0))),INDEX(UtilityList!M$4:M$251,MATCH('Table 2.2a'!$A119,UtilityList!$A$4:$A$251,0)))</f>
        <v>YU</v>
      </c>
    </row>
    <row r="120" spans="1:18" s="344" customFormat="1" ht="45" x14ac:dyDescent="0.25">
      <c r="A120" s="352" t="s">
        <v>193</v>
      </c>
      <c r="B120" s="636"/>
      <c r="C120" s="631">
        <v>179</v>
      </c>
      <c r="D120" s="631">
        <v>510282</v>
      </c>
      <c r="E120" s="631">
        <v>0</v>
      </c>
      <c r="F120" s="631">
        <v>510461</v>
      </c>
      <c r="G120" s="631">
        <v>474669</v>
      </c>
      <c r="H120" s="631">
        <v>0</v>
      </c>
      <c r="I120" s="631">
        <v>0</v>
      </c>
      <c r="J120" s="631">
        <v>2346</v>
      </c>
      <c r="K120" s="631">
        <v>33446</v>
      </c>
      <c r="L120" s="630" t="s">
        <v>558</v>
      </c>
      <c r="M120" s="627" t="str">
        <f t="array" ref="M120">INDEX(UtilityList!Q$4:Q$251,MATCH('Table 2.2a'!$A120&amp;'Table 2.2a'!$B120,UtilityList!$A$4:$A$251&amp;UtilityList!$C$4:$C$251,0))</f>
        <v>Generation from Bradley Lake is shared among Chugach, AML&amp;P, HEA, MEA, Seward Electric and GVEA</v>
      </c>
      <c r="N120" s="452" t="str">
        <f t="array" ref="N120">IFERROR((INDEX(UtilityList!J$4:J$251,MATCH('Table 2.2a'!$A120&amp;'Table 2.2a'!$B120,UtilityList!$A$4:$A$251&amp;UtilityList!$C$4:$C$251,0))),INDEX(UtilityList!J$4:J$251,MATCH('Table 2.2a'!$A120,UtilityList!$A$4:$A$251,0)))</f>
        <v>Railbelt</v>
      </c>
      <c r="O120" s="452" t="str">
        <f t="array" ref="O120">IFERROR((INDEX(UtilityList!K$4:K$251,MATCH('Table 2.2a'!$A120&amp;'Table 2.2a'!$B120,UtilityList!$A$4:$A$251&amp;UtilityList!$C$4:$C$251,0))),INDEX(UtilityList!K$4:K$251,MATCH('Table 2.2a'!$A120,UtilityList!$A$4:$A$251,0)))</f>
        <v>Anchorage</v>
      </c>
      <c r="P120" s="452" t="str">
        <f t="array" ref="P120">IFERROR((INDEX(UtilityList!L$4:L$251,MATCH('Table 2.2a'!$A120&amp;'Table 2.2a'!$B120,UtilityList!$A$4:$A$251&amp;UtilityList!$C$4:$C$251,0))),INDEX(UtilityList!L$4:L$251,MATCH('Table 2.2a'!$A120,UtilityList!$A$4:$A$251,0)))</f>
        <v>Cook Inlet</v>
      </c>
      <c r="Q120" s="452" t="str">
        <f t="array" ref="Q120">IFERROR((INDEX(UtilityList!M$4:M$251,MATCH('Table 2.2a'!$A120&amp;'Table 2.2a'!$B120,UtilityList!$A$4:$A$251&amp;UtilityList!$C$4:$C$251,0))),INDEX(UtilityList!M$4:M$251,MATCH('Table 2.2a'!$A120,UtilityList!$A$4:$A$251,0)))</f>
        <v>SC</v>
      </c>
    </row>
    <row r="121" spans="1:18" s="344" customFormat="1" ht="15" x14ac:dyDescent="0.25">
      <c r="A121" s="628" t="s">
        <v>196</v>
      </c>
      <c r="B121" s="628" t="s">
        <v>197</v>
      </c>
      <c r="C121" s="629">
        <v>408.66</v>
      </c>
      <c r="D121" s="629">
        <v>0</v>
      </c>
      <c r="E121" s="629">
        <v>0</v>
      </c>
      <c r="F121" s="629">
        <v>408.66</v>
      </c>
      <c r="G121" s="629">
        <v>298.32600000000002</v>
      </c>
      <c r="H121" s="629">
        <v>0</v>
      </c>
      <c r="I121" s="629">
        <v>2.3620000000000001</v>
      </c>
      <c r="J121" s="629">
        <v>36.365000000000002</v>
      </c>
      <c r="K121" s="629">
        <v>71.606999999999971</v>
      </c>
      <c r="L121" s="630" t="s">
        <v>356</v>
      </c>
      <c r="M121" s="627">
        <f t="array" ref="M121">INDEX(UtilityList!Q$4:Q$251,MATCH('Table 2.2a'!$A121&amp;'Table 2.2a'!$B121,UtilityList!$A$4:$A$251&amp;UtilityList!$C$4:$C$251,0))</f>
        <v>0</v>
      </c>
      <c r="N121" s="452" t="str">
        <f t="array" ref="N121">IFERROR((INDEX(UtilityList!J$4:J$251,MATCH('Table 2.2a'!$A121&amp;'Table 2.2a'!$B121,UtilityList!$A$4:$A$251&amp;UtilityList!$C$4:$C$251,0))),INDEX(UtilityList!J$4:J$251,MATCH('Table 2.2a'!$A121,UtilityList!$A$4:$A$251,0)))</f>
        <v>Yukon-Koyukuk/Upper Tanana</v>
      </c>
      <c r="O121" s="452" t="str">
        <f t="array" ref="O121">IFERROR((INDEX(UtilityList!K$4:K$251,MATCH('Table 2.2a'!$A121&amp;'Table 2.2a'!$B121,UtilityList!$A$4:$A$251&amp;UtilityList!$C$4:$C$251,0))),INDEX(UtilityList!K$4:K$251,MATCH('Table 2.2a'!$A121,UtilityList!$A$4:$A$251,0)))</f>
        <v>Yukon-Koyukuk (CA)</v>
      </c>
      <c r="P121" s="452" t="str">
        <f t="array" ref="P121">IFERROR((INDEX(UtilityList!L$4:L$251,MATCH('Table 2.2a'!$A121&amp;'Table 2.2a'!$B121,UtilityList!$A$4:$A$251&amp;UtilityList!$C$4:$C$251,0))),INDEX(UtilityList!L$4:L$251,MATCH('Table 2.2a'!$A121,UtilityList!$A$4:$A$251,0)))</f>
        <v>Doyon</v>
      </c>
      <c r="Q121" s="452" t="str">
        <f t="array" ref="Q121">IFERROR((INDEX(UtilityList!M$4:M$251,MATCH('Table 2.2a'!$A121&amp;'Table 2.2a'!$B121,UtilityList!$A$4:$A$251&amp;UtilityList!$C$4:$C$251,0))),INDEX(UtilityList!M$4:M$251,MATCH('Table 2.2a'!$A121,UtilityList!$A$4:$A$251,0)))</f>
        <v>YU</v>
      </c>
    </row>
    <row r="122" spans="1:18" s="344" customFormat="1" ht="15" x14ac:dyDescent="0.25">
      <c r="A122" s="633" t="s">
        <v>198</v>
      </c>
      <c r="B122" s="633" t="s">
        <v>199</v>
      </c>
      <c r="C122" s="629">
        <v>155.37700000000001</v>
      </c>
      <c r="D122" s="629">
        <v>0</v>
      </c>
      <c r="E122" s="629">
        <v>0</v>
      </c>
      <c r="F122" s="629">
        <v>155.37700000000001</v>
      </c>
      <c r="G122" s="629">
        <v>272.59840000000003</v>
      </c>
      <c r="H122" s="629">
        <v>0</v>
      </c>
      <c r="I122" s="629">
        <v>0</v>
      </c>
      <c r="J122" s="629">
        <v>13.513727000000001</v>
      </c>
      <c r="K122" s="629">
        <v>-130.73512700000003</v>
      </c>
      <c r="L122" s="634" t="s">
        <v>356</v>
      </c>
      <c r="M122" s="627">
        <f t="array" ref="M122">INDEX(UtilityList!Q$4:Q$251,MATCH('Table 2.2a'!$A122&amp;'Table 2.2a'!$B122,UtilityList!$A$4:$A$251&amp;UtilityList!$C$4:$C$251,0))</f>
        <v>0</v>
      </c>
      <c r="N122" s="452" t="str">
        <f t="array" ref="N122">IFERROR((INDEX(UtilityList!J$4:J$251,MATCH('Table 2.2a'!$A122&amp;'Table 2.2a'!$B122,UtilityList!$A$4:$A$251&amp;UtilityList!$C$4:$C$251,0))),INDEX(UtilityList!J$4:J$251,MATCH('Table 2.2a'!$A122,UtilityList!$A$4:$A$251,0)))</f>
        <v>Bristol Bay</v>
      </c>
      <c r="O122" s="452" t="str">
        <f t="array" ref="O122">IFERROR((INDEX(UtilityList!K$4:K$251,MATCH('Table 2.2a'!$A122&amp;'Table 2.2a'!$B122,UtilityList!$A$4:$A$251&amp;UtilityList!$C$4:$C$251,0))),INDEX(UtilityList!K$4:K$251,MATCH('Table 2.2a'!$A122,UtilityList!$A$4:$A$251,0)))</f>
        <v>Lake and Peninsula</v>
      </c>
      <c r="P122" s="452" t="str">
        <f t="array" ref="P122">IFERROR((INDEX(UtilityList!L$4:L$251,MATCH('Table 2.2a'!$A122&amp;'Table 2.2a'!$B122,UtilityList!$A$4:$A$251&amp;UtilityList!$C$4:$C$251,0))),INDEX(UtilityList!L$4:L$251,MATCH('Table 2.2a'!$A122,UtilityList!$A$4:$A$251,0)))</f>
        <v>Bristol Bay</v>
      </c>
      <c r="Q122" s="452" t="str">
        <f t="array" ref="Q122">IFERROR((INDEX(UtilityList!M$4:M$251,MATCH('Table 2.2a'!$A122&amp;'Table 2.2a'!$B122,UtilityList!$A$4:$A$251&amp;UtilityList!$C$4:$C$251,0))),INDEX(UtilityList!M$4:M$251,MATCH('Table 2.2a'!$A122,UtilityList!$A$4:$A$251,0)))</f>
        <v>SW</v>
      </c>
    </row>
    <row r="123" spans="1:18" s="344" customFormat="1" ht="60" x14ac:dyDescent="0.25">
      <c r="A123" s="628" t="s">
        <v>200</v>
      </c>
      <c r="B123" s="628" t="s">
        <v>658</v>
      </c>
      <c r="C123" s="629">
        <v>4092.5410000000002</v>
      </c>
      <c r="D123" s="629">
        <v>0</v>
      </c>
      <c r="E123" s="629">
        <v>0</v>
      </c>
      <c r="F123" s="629">
        <v>4092.5410000000002</v>
      </c>
      <c r="G123" s="629">
        <v>2928.8409999999999</v>
      </c>
      <c r="H123" s="629">
        <v>0</v>
      </c>
      <c r="I123" s="629">
        <v>0</v>
      </c>
      <c r="J123" s="629">
        <v>449.22300000000001</v>
      </c>
      <c r="K123" s="629">
        <v>714.47700000000032</v>
      </c>
      <c r="L123" s="630" t="s">
        <v>356</v>
      </c>
      <c r="M123" s="627" t="str">
        <f t="array" ref="M123">INDEX(UtilityList!Q$4:Q$251,MATCH('Table 2.2a'!$A123&amp;'Table 2.2a'!$B123,UtilityList!$A$4:$A$251&amp;UtilityList!$C$4:$C$251,0))</f>
        <v>Power produced at the Tazimina hydroelectric project and the Newhalen plant is shared by Iliamna, Newhalen and Nondalton. Newhalen's information is included in Nondalton's data.</v>
      </c>
      <c r="N123" s="452" t="str">
        <f t="array" ref="N123">IFERROR((INDEX(UtilityList!J$4:J$251,MATCH('Table 2.2a'!$A123&amp;'Table 2.2a'!$B123,UtilityList!$A$4:$A$251&amp;UtilityList!$C$4:$C$251,0))),INDEX(UtilityList!J$4:J$251,MATCH('Table 2.2a'!$A123,UtilityList!$A$4:$A$251,0)))</f>
        <v>Bristol Bay</v>
      </c>
      <c r="O123" s="452" t="str">
        <f t="array" ref="O123">IFERROR((INDEX(UtilityList!K$4:K$251,MATCH('Table 2.2a'!$A123&amp;'Table 2.2a'!$B123,UtilityList!$A$4:$A$251&amp;UtilityList!$C$4:$C$251,0))),INDEX(UtilityList!K$4:K$251,MATCH('Table 2.2a'!$A123,UtilityList!$A$4:$A$251,0)))</f>
        <v>Lake and Peninsula</v>
      </c>
      <c r="P123" s="452" t="str">
        <f t="array" ref="P123">IFERROR((INDEX(UtilityList!L$4:L$251,MATCH('Table 2.2a'!$A123&amp;'Table 2.2a'!$B123,UtilityList!$A$4:$A$251&amp;UtilityList!$C$4:$C$251,0))),INDEX(UtilityList!L$4:L$251,MATCH('Table 2.2a'!$A123,UtilityList!$A$4:$A$251,0)))</f>
        <v>Bristol Bay</v>
      </c>
      <c r="Q123" s="452" t="str">
        <f t="array" ref="Q123">IFERROR((INDEX(UtilityList!M$4:M$251,MATCH('Table 2.2a'!$A123&amp;'Table 2.2a'!$B123,UtilityList!$A$4:$A$251&amp;UtilityList!$C$4:$C$251,0))),INDEX(UtilityList!M$4:M$251,MATCH('Table 2.2a'!$A123,UtilityList!$A$4:$A$251,0)))</f>
        <v>SW</v>
      </c>
    </row>
    <row r="124" spans="1:18" s="344" customFormat="1" ht="15" x14ac:dyDescent="0.25">
      <c r="A124" s="628" t="s">
        <v>201</v>
      </c>
      <c r="B124" s="628" t="s">
        <v>202</v>
      </c>
      <c r="C124" s="629">
        <v>2088.6729999999998</v>
      </c>
      <c r="D124" s="629">
        <v>0</v>
      </c>
      <c r="E124" s="629">
        <v>0</v>
      </c>
      <c r="F124" s="629">
        <v>2088.6729999999998</v>
      </c>
      <c r="G124" s="629">
        <v>1860.6010000000001</v>
      </c>
      <c r="H124" s="629">
        <v>0</v>
      </c>
      <c r="I124" s="629">
        <v>0</v>
      </c>
      <c r="J124" s="629">
        <v>63.457999999999998</v>
      </c>
      <c r="K124" s="629">
        <v>164.61399999999958</v>
      </c>
      <c r="L124" s="630" t="s">
        <v>356</v>
      </c>
      <c r="M124" s="627">
        <f t="array" ref="M124">INDEX(UtilityList!Q$4:Q$251,MATCH('Table 2.2a'!$A124&amp;'Table 2.2a'!$B124,UtilityList!$A$4:$A$251&amp;UtilityList!$C$4:$C$251,0))</f>
        <v>0</v>
      </c>
      <c r="N124" s="452" t="str">
        <f t="array" ref="N124">IFERROR((INDEX(UtilityList!J$4:J$251,MATCH('Table 2.2a'!$A124&amp;'Table 2.2a'!$B124,UtilityList!$A$4:$A$251&amp;UtilityList!$C$4:$C$251,0))),INDEX(UtilityList!J$4:J$251,MATCH('Table 2.2a'!$A124,UtilityList!$A$4:$A$251,0)))</f>
        <v>Southeast</v>
      </c>
      <c r="O124" s="452" t="str">
        <f t="array" ref="O124">IFERROR((INDEX(UtilityList!K$4:K$251,MATCH('Table 2.2a'!$A124&amp;'Table 2.2a'!$B124,UtilityList!$A$4:$A$251&amp;UtilityList!$C$4:$C$251,0))),INDEX(UtilityList!K$4:K$251,MATCH('Table 2.2a'!$A124,UtilityList!$A$4:$A$251,0)))</f>
        <v>Hoonah-Angoon (CA)</v>
      </c>
      <c r="P124" s="452" t="str">
        <f t="array" ref="P124">IFERROR((INDEX(UtilityList!L$4:L$251,MATCH('Table 2.2a'!$A124&amp;'Table 2.2a'!$B124,UtilityList!$A$4:$A$251&amp;UtilityList!$C$4:$C$251,0))),INDEX(UtilityList!L$4:L$251,MATCH('Table 2.2a'!$A124,UtilityList!$A$4:$A$251,0)))</f>
        <v>Sealaska</v>
      </c>
      <c r="Q124" s="452" t="str">
        <f t="array" ref="Q124">IFERROR((INDEX(UtilityList!M$4:M$251,MATCH('Table 2.2a'!$A124&amp;'Table 2.2a'!$B124,UtilityList!$A$4:$A$251&amp;UtilityList!$C$4:$C$251,0))),INDEX(UtilityList!M$4:M$251,MATCH('Table 2.2a'!$A124,UtilityList!$A$4:$A$251,0)))</f>
        <v>SE</v>
      </c>
    </row>
    <row r="125" spans="1:18" s="344" customFormat="1" ht="30" x14ac:dyDescent="0.25">
      <c r="A125" s="628" t="s">
        <v>201</v>
      </c>
      <c r="B125" s="628" t="s">
        <v>203</v>
      </c>
      <c r="C125" s="629">
        <v>183.54</v>
      </c>
      <c r="D125" s="629">
        <v>1600.68</v>
      </c>
      <c r="E125" s="629">
        <v>0</v>
      </c>
      <c r="F125" s="629">
        <v>1784.22</v>
      </c>
      <c r="G125" s="629">
        <v>1138.806</v>
      </c>
      <c r="H125" s="629">
        <v>0</v>
      </c>
      <c r="I125" s="629">
        <v>0</v>
      </c>
      <c r="J125" s="629">
        <v>68.440909000000005</v>
      </c>
      <c r="K125" s="629">
        <v>576.97309100000007</v>
      </c>
      <c r="L125" s="630" t="s">
        <v>356</v>
      </c>
      <c r="M125" s="627" t="str">
        <f t="array" ref="M125">INDEX(UtilityList!Q$4:Q$251,MATCH('Table 2.2a'!$A125&amp;'Table 2.2a'!$B125,UtilityList!$A$4:$A$251&amp;UtilityList!$C$4:$C$251,0))</f>
        <v>Provides power to Klukwan via intertie. Power is purchased from AP&amp;T.</v>
      </c>
      <c r="N125" s="452" t="str">
        <f t="array" ref="N125">IFERROR((INDEX(UtilityList!J$4:J$251,MATCH('Table 2.2a'!$A125&amp;'Table 2.2a'!$B125,UtilityList!$A$4:$A$251&amp;UtilityList!$C$4:$C$251,0))),INDEX(UtilityList!J$4:J$251,MATCH('Table 2.2a'!$A125,UtilityList!$A$4:$A$251,0)))</f>
        <v>Southeast</v>
      </c>
      <c r="O125" s="452" t="str">
        <f t="array" ref="O125">IFERROR((INDEX(UtilityList!K$4:K$251,MATCH('Table 2.2a'!$A125&amp;'Table 2.2a'!$B125,UtilityList!$A$4:$A$251&amp;UtilityList!$C$4:$C$251,0))),INDEX(UtilityList!K$4:K$251,MATCH('Table 2.2a'!$A125,UtilityList!$A$4:$A$251,0)))</f>
        <v>Haines</v>
      </c>
      <c r="P125" s="452" t="str">
        <f t="array" ref="P125">IFERROR((INDEX(UtilityList!L$4:L$251,MATCH('Table 2.2a'!$A125&amp;'Table 2.2a'!$B125,UtilityList!$A$4:$A$251&amp;UtilityList!$C$4:$C$251,0))),INDEX(UtilityList!L$4:L$251,MATCH('Table 2.2a'!$A125,UtilityList!$A$4:$A$251,0)))</f>
        <v>Sealaska</v>
      </c>
      <c r="Q125" s="452" t="str">
        <f t="array" ref="Q125">IFERROR((INDEX(UtilityList!M$4:M$251,MATCH('Table 2.2a'!$A125&amp;'Table 2.2a'!$B125,UtilityList!$A$4:$A$251&amp;UtilityList!$C$4:$C$251,0))),INDEX(UtilityList!M$4:M$251,MATCH('Table 2.2a'!$A125,UtilityList!$A$4:$A$251,0)))</f>
        <v>SE</v>
      </c>
    </row>
    <row r="126" spans="1:18" s="344" customFormat="1" ht="15" x14ac:dyDescent="0.25">
      <c r="A126" s="628" t="s">
        <v>201</v>
      </c>
      <c r="B126" s="628" t="s">
        <v>204</v>
      </c>
      <c r="C126" s="629">
        <v>4860.308</v>
      </c>
      <c r="D126" s="629">
        <v>0</v>
      </c>
      <c r="E126" s="629">
        <v>0</v>
      </c>
      <c r="F126" s="629">
        <v>4860.308</v>
      </c>
      <c r="G126" s="629">
        <v>4424.6440000000002</v>
      </c>
      <c r="H126" s="629">
        <v>0</v>
      </c>
      <c r="I126" s="629">
        <v>0</v>
      </c>
      <c r="J126" s="629">
        <v>43.433</v>
      </c>
      <c r="K126" s="629">
        <v>392.23099999999977</v>
      </c>
      <c r="L126" s="630" t="s">
        <v>356</v>
      </c>
      <c r="M126" s="627">
        <f t="array" ref="M126">INDEX(UtilityList!Q$4:Q$251,MATCH('Table 2.2a'!$A126&amp;'Table 2.2a'!$B126,UtilityList!$A$4:$A$251&amp;UtilityList!$C$4:$C$251,0))</f>
        <v>0</v>
      </c>
      <c r="N126" s="452" t="str">
        <f t="array" ref="N126">IFERROR((INDEX(UtilityList!J$4:J$251,MATCH('Table 2.2a'!$A126&amp;'Table 2.2a'!$B126,UtilityList!$A$4:$A$251&amp;UtilityList!$C$4:$C$251,0))),INDEX(UtilityList!J$4:J$251,MATCH('Table 2.2a'!$A126,UtilityList!$A$4:$A$251,0)))</f>
        <v>Southeast</v>
      </c>
      <c r="O126" s="452" t="str">
        <f t="array" ref="O126">IFERROR((INDEX(UtilityList!K$4:K$251,MATCH('Table 2.2a'!$A126&amp;'Table 2.2a'!$B126,UtilityList!$A$4:$A$251&amp;UtilityList!$C$4:$C$251,0))),INDEX(UtilityList!K$4:K$251,MATCH('Table 2.2a'!$A126,UtilityList!$A$4:$A$251,0)))</f>
        <v>Hoonah-Angoon (CA)</v>
      </c>
      <c r="P126" s="452" t="str">
        <f t="array" ref="P126">IFERROR((INDEX(UtilityList!L$4:L$251,MATCH('Table 2.2a'!$A126&amp;'Table 2.2a'!$B126,UtilityList!$A$4:$A$251&amp;UtilityList!$C$4:$C$251,0))),INDEX(UtilityList!L$4:L$251,MATCH('Table 2.2a'!$A126,UtilityList!$A$4:$A$251,0)))</f>
        <v>Sealaska</v>
      </c>
      <c r="Q126" s="452" t="str">
        <f t="array" ref="Q126">IFERROR((INDEX(UtilityList!M$4:M$251,MATCH('Table 2.2a'!$A126&amp;'Table 2.2a'!$B126,UtilityList!$A$4:$A$251&amp;UtilityList!$C$4:$C$251,0))),INDEX(UtilityList!M$4:M$251,MATCH('Table 2.2a'!$A126,UtilityList!$A$4:$A$251,0)))</f>
        <v>SE</v>
      </c>
    </row>
    <row r="127" spans="1:18" s="204" customFormat="1" ht="15" x14ac:dyDescent="0.25">
      <c r="A127" s="628" t="s">
        <v>201</v>
      </c>
      <c r="B127" s="628" t="s">
        <v>205</v>
      </c>
      <c r="C127" s="629">
        <v>2831.3879999999999</v>
      </c>
      <c r="D127" s="629">
        <v>0</v>
      </c>
      <c r="E127" s="629">
        <v>0</v>
      </c>
      <c r="F127" s="629">
        <v>2831.3879999999999</v>
      </c>
      <c r="G127" s="629">
        <v>2534.9490000000001</v>
      </c>
      <c r="H127" s="629">
        <v>0</v>
      </c>
      <c r="I127" s="629">
        <v>0</v>
      </c>
      <c r="J127" s="629">
        <v>61.9</v>
      </c>
      <c r="K127" s="629">
        <v>234.53899999999976</v>
      </c>
      <c r="L127" s="630" t="s">
        <v>356</v>
      </c>
      <c r="M127" s="627">
        <f t="array" ref="M127">INDEX(UtilityList!Q$4:Q$251,MATCH('Table 2.2a'!$A127&amp;'Table 2.2a'!$B127,UtilityList!$A$4:$A$251&amp;UtilityList!$C$4:$C$251,0))</f>
        <v>0</v>
      </c>
      <c r="N127" s="452" t="str">
        <f t="array" ref="N127">IFERROR((INDEX(UtilityList!J$4:J$251,MATCH('Table 2.2a'!$A127&amp;'Table 2.2a'!$B127,UtilityList!$A$4:$A$251&amp;UtilityList!$C$4:$C$251,0))),INDEX(UtilityList!J$4:J$251,MATCH('Table 2.2a'!$A127,UtilityList!$A$4:$A$251,0)))</f>
        <v>Southeast</v>
      </c>
      <c r="O127" s="452" t="str">
        <f t="array" ref="O127">IFERROR((INDEX(UtilityList!K$4:K$251,MATCH('Table 2.2a'!$A127&amp;'Table 2.2a'!$B127,UtilityList!$A$4:$A$251&amp;UtilityList!$C$4:$C$251,0))),INDEX(UtilityList!K$4:K$251,MATCH('Table 2.2a'!$A127,UtilityList!$A$4:$A$251,0)))</f>
        <v>Petersburg (CA)</v>
      </c>
      <c r="P127" s="452" t="str">
        <f t="array" ref="P127">IFERROR((INDEX(UtilityList!L$4:L$251,MATCH('Table 2.2a'!$A127&amp;'Table 2.2a'!$B127,UtilityList!$A$4:$A$251&amp;UtilityList!$C$4:$C$251,0))),INDEX(UtilityList!L$4:L$251,MATCH('Table 2.2a'!$A127,UtilityList!$A$4:$A$251,0)))</f>
        <v>Sealaska</v>
      </c>
      <c r="Q127" s="452" t="str">
        <f t="array" ref="Q127">IFERROR((INDEX(UtilityList!M$4:M$251,MATCH('Table 2.2a'!$A127&amp;'Table 2.2a'!$B127,UtilityList!$A$4:$A$251&amp;UtilityList!$C$4:$C$251,0))),INDEX(UtilityList!M$4:M$251,MATCH('Table 2.2a'!$A127,UtilityList!$A$4:$A$251,0)))</f>
        <v>SE</v>
      </c>
      <c r="R127" s="344"/>
    </row>
    <row r="128" spans="1:18" s="204" customFormat="1" ht="45" x14ac:dyDescent="0.25">
      <c r="A128" s="628" t="s">
        <v>201</v>
      </c>
      <c r="B128" s="628" t="s">
        <v>206</v>
      </c>
      <c r="C128" s="629">
        <v>0</v>
      </c>
      <c r="D128" s="629">
        <v>0</v>
      </c>
      <c r="E128" s="629">
        <v>0</v>
      </c>
      <c r="F128" s="629">
        <v>0</v>
      </c>
      <c r="G128" s="629">
        <v>374.74799999999999</v>
      </c>
      <c r="H128" s="629">
        <v>0</v>
      </c>
      <c r="I128" s="629">
        <v>0</v>
      </c>
      <c r="J128" s="629">
        <v>0</v>
      </c>
      <c r="K128" s="629">
        <v>-374.74799999999999</v>
      </c>
      <c r="L128" s="630" t="s">
        <v>356</v>
      </c>
      <c r="M128" s="627" t="str">
        <f t="array" ref="M128">INDEX(UtilityList!Q$4:Q$251,MATCH('Table 2.2a'!$A128&amp;'Table 2.2a'!$B128,UtilityList!$A$4:$A$251&amp;UtilityList!$C$4:$C$251,0))</f>
        <v>Receives power from Chilkat Valley via intertie. Chilkat Valley purchases power from AP&amp;T.</v>
      </c>
      <c r="N128" s="452" t="str">
        <f t="array" ref="N128">IFERROR((INDEX(UtilityList!J$4:J$251,MATCH('Table 2.2a'!$A128&amp;'Table 2.2a'!$B128,UtilityList!$A$4:$A$251&amp;UtilityList!$C$4:$C$251,0))),INDEX(UtilityList!J$4:J$251,MATCH('Table 2.2a'!$A128,UtilityList!$A$4:$A$251,0)))</f>
        <v>Southeast</v>
      </c>
      <c r="O128" s="452" t="str">
        <f t="array" ref="O128">IFERROR((INDEX(UtilityList!K$4:K$251,MATCH('Table 2.2a'!$A128&amp;'Table 2.2a'!$B128,UtilityList!$A$4:$A$251&amp;UtilityList!$C$4:$C$251,0))),INDEX(UtilityList!K$4:K$251,MATCH('Table 2.2a'!$A128,UtilityList!$A$4:$A$251,0)))</f>
        <v>Hoonah-Angoon (CA)</v>
      </c>
      <c r="P128" s="452" t="str">
        <f t="array" ref="P128">IFERROR((INDEX(UtilityList!L$4:L$251,MATCH('Table 2.2a'!$A128&amp;'Table 2.2a'!$B128,UtilityList!$A$4:$A$251&amp;UtilityList!$C$4:$C$251,0))),INDEX(UtilityList!L$4:L$251,MATCH('Table 2.2a'!$A128,UtilityList!$A$4:$A$251,0)))</f>
        <v>Sealaska</v>
      </c>
      <c r="Q128" s="452" t="str">
        <f t="array" ref="Q128">IFERROR((INDEX(UtilityList!M$4:M$251,MATCH('Table 2.2a'!$A128&amp;'Table 2.2a'!$B128,UtilityList!$A$4:$A$251&amp;UtilityList!$C$4:$C$251,0))),INDEX(UtilityList!M$4:M$251,MATCH('Table 2.2a'!$A128,UtilityList!$A$4:$A$251,0)))</f>
        <v>SE</v>
      </c>
      <c r="R128" s="344"/>
    </row>
    <row r="129" spans="1:18" s="204" customFormat="1" ht="15" x14ac:dyDescent="0.25">
      <c r="A129" s="361" t="s">
        <v>209</v>
      </c>
      <c r="B129" s="361" t="s">
        <v>211</v>
      </c>
      <c r="C129" s="631">
        <v>84777</v>
      </c>
      <c r="D129" s="631">
        <v>88081</v>
      </c>
      <c r="E129" s="631">
        <v>0</v>
      </c>
      <c r="F129" s="631">
        <v>172858</v>
      </c>
      <c r="G129" s="631">
        <v>164714</v>
      </c>
      <c r="H129" s="631">
        <v>0</v>
      </c>
      <c r="I129" s="631">
        <v>2363</v>
      </c>
      <c r="J129" s="631">
        <v>115</v>
      </c>
      <c r="K129" s="631">
        <v>5666</v>
      </c>
      <c r="L129" s="598" t="s">
        <v>558</v>
      </c>
      <c r="M129" s="627">
        <f t="array" ref="M129">INDEX(UtilityList!Q$4:Q$251,MATCH('Table 2.2a'!$A129&amp;'Table 2.2a'!$B129,UtilityList!$A$4:$A$251&amp;UtilityList!$C$4:$C$251,0))</f>
        <v>0</v>
      </c>
      <c r="N129" s="452" t="str">
        <f t="array" ref="N129">IFERROR((INDEX(UtilityList!J$4:J$251,MATCH('Table 2.2a'!$A129&amp;'Table 2.2a'!$B129,UtilityList!$A$4:$A$251&amp;UtilityList!$C$4:$C$251,0))),INDEX(UtilityList!J$4:J$251,MATCH('Table 2.2a'!$A129,UtilityList!$A$4:$A$251,0)))</f>
        <v>Southeast</v>
      </c>
      <c r="O129" s="452" t="str">
        <f t="array" ref="O129">IFERROR((INDEX(UtilityList!K$4:K$251,MATCH('Table 2.2a'!$A129&amp;'Table 2.2a'!$B129,UtilityList!$A$4:$A$251&amp;UtilityList!$C$4:$C$251,0))),INDEX(UtilityList!K$4:K$251,MATCH('Table 2.2a'!$A129,UtilityList!$A$4:$A$251,0)))</f>
        <v>Ketchikan Gateway</v>
      </c>
      <c r="P129" s="452" t="str">
        <f t="array" ref="P129">IFERROR((INDEX(UtilityList!L$4:L$251,MATCH('Table 2.2a'!$A129&amp;'Table 2.2a'!$B129,UtilityList!$A$4:$A$251&amp;UtilityList!$C$4:$C$251,0))),INDEX(UtilityList!L$4:L$251,MATCH('Table 2.2a'!$A129,UtilityList!$A$4:$A$251,0)))</f>
        <v>Sealaska</v>
      </c>
      <c r="Q129" s="452" t="str">
        <f t="array" ref="Q129">IFERROR((INDEX(UtilityList!M$4:M$251,MATCH('Table 2.2a'!$A129&amp;'Table 2.2a'!$B129,UtilityList!$A$4:$A$251&amp;UtilityList!$C$4:$C$251,0))),INDEX(UtilityList!M$4:M$251,MATCH('Table 2.2a'!$A129,UtilityList!$A$4:$A$251,0)))</f>
        <v>SE</v>
      </c>
      <c r="R129" s="344"/>
    </row>
    <row r="130" spans="1:18" s="204" customFormat="1" ht="15" x14ac:dyDescent="0.25">
      <c r="A130" s="628" t="s">
        <v>215</v>
      </c>
      <c r="B130" s="628" t="s">
        <v>216</v>
      </c>
      <c r="C130" s="629">
        <v>4893.26</v>
      </c>
      <c r="D130" s="629">
        <v>0</v>
      </c>
      <c r="E130" s="629">
        <v>0</v>
      </c>
      <c r="F130" s="629">
        <v>4893.26</v>
      </c>
      <c r="G130" s="629">
        <v>3957.3429999999998</v>
      </c>
      <c r="H130" s="629">
        <v>0</v>
      </c>
      <c r="I130" s="629">
        <v>146.50899999999999</v>
      </c>
      <c r="J130" s="629">
        <v>78.450091</v>
      </c>
      <c r="K130" s="629">
        <v>710.95790900000065</v>
      </c>
      <c r="L130" s="630" t="s">
        <v>356</v>
      </c>
      <c r="M130" s="627">
        <f t="array" ref="M130">INDEX(UtilityList!Q$4:Q$251,MATCH('Table 2.2a'!$A130&amp;'Table 2.2a'!$B130,UtilityList!$A$4:$A$251&amp;UtilityList!$C$4:$C$251,0))</f>
        <v>0</v>
      </c>
      <c r="N130" s="452" t="str">
        <f t="array" ref="N130">IFERROR((INDEX(UtilityList!J$4:J$251,MATCH('Table 2.2a'!$A130&amp;'Table 2.2a'!$B130,UtilityList!$A$4:$A$251&amp;UtilityList!$C$4:$C$251,0))),INDEX(UtilityList!J$4:J$251,MATCH('Table 2.2a'!$A130,UtilityList!$A$4:$A$251,0)))</f>
        <v>Aleutians</v>
      </c>
      <c r="O130" s="452" t="str">
        <f t="array" ref="O130">IFERROR((INDEX(UtilityList!K$4:K$251,MATCH('Table 2.2a'!$A130&amp;'Table 2.2a'!$B130,UtilityList!$A$4:$A$251&amp;UtilityList!$C$4:$C$251,0))),INDEX(UtilityList!K$4:K$251,MATCH('Table 2.2a'!$A130,UtilityList!$A$4:$A$251,0)))</f>
        <v>Aleutians East</v>
      </c>
      <c r="P130" s="452" t="str">
        <f t="array" ref="P130">IFERROR((INDEX(UtilityList!L$4:L$251,MATCH('Table 2.2a'!$A130&amp;'Table 2.2a'!$B130,UtilityList!$A$4:$A$251&amp;UtilityList!$C$4:$C$251,0))),INDEX(UtilityList!L$4:L$251,MATCH('Table 2.2a'!$A130,UtilityList!$A$4:$A$251,0)))</f>
        <v>Aleut</v>
      </c>
      <c r="Q130" s="452" t="str">
        <f t="array" ref="Q130">IFERROR((INDEX(UtilityList!M$4:M$251,MATCH('Table 2.2a'!$A130&amp;'Table 2.2a'!$B130,UtilityList!$A$4:$A$251&amp;UtilityList!$C$4:$C$251,0))),INDEX(UtilityList!M$4:M$251,MATCH('Table 2.2a'!$A130,UtilityList!$A$4:$A$251,0)))</f>
        <v>SW</v>
      </c>
      <c r="R130" s="344"/>
    </row>
    <row r="131" spans="1:18" s="204" customFormat="1" ht="15" x14ac:dyDescent="0.25">
      <c r="A131" s="628" t="s">
        <v>217</v>
      </c>
      <c r="B131" s="628" t="s">
        <v>218</v>
      </c>
      <c r="C131" s="629">
        <v>1606.4490000000001</v>
      </c>
      <c r="D131" s="629">
        <v>0</v>
      </c>
      <c r="E131" s="629">
        <v>0</v>
      </c>
      <c r="F131" s="629">
        <v>1606.4490000000001</v>
      </c>
      <c r="G131" s="629">
        <v>1365.0619999999999</v>
      </c>
      <c r="H131" s="629">
        <v>0</v>
      </c>
      <c r="I131" s="629">
        <v>78.245999999999995</v>
      </c>
      <c r="J131" s="629">
        <v>23.241</v>
      </c>
      <c r="K131" s="629">
        <v>139.90000000000009</v>
      </c>
      <c r="L131" s="630" t="s">
        <v>356</v>
      </c>
      <c r="M131" s="627">
        <f t="array" ref="M131">INDEX(UtilityList!Q$4:Q$251,MATCH('Table 2.2a'!$A131&amp;'Table 2.2a'!$B131,UtilityList!$A$4:$A$251&amp;UtilityList!$C$4:$C$251,0))</f>
        <v>0</v>
      </c>
      <c r="N131" s="452" t="str">
        <f t="array" ref="N131">IFERROR((INDEX(UtilityList!J$4:J$251,MATCH('Table 2.2a'!$A131&amp;'Table 2.2a'!$B131,UtilityList!$A$4:$A$251&amp;UtilityList!$C$4:$C$251,0))),INDEX(UtilityList!J$4:J$251,MATCH('Table 2.2a'!$A131,UtilityList!$A$4:$A$251,0)))</f>
        <v>Lower Yukon-Kuskokwim</v>
      </c>
      <c r="O131" s="452" t="str">
        <f t="array" ref="O131">IFERROR((INDEX(UtilityList!K$4:K$251,MATCH('Table 2.2a'!$A131&amp;'Table 2.2a'!$B131,UtilityList!$A$4:$A$251&amp;UtilityList!$C$4:$C$251,0))),INDEX(UtilityList!K$4:K$251,MATCH('Table 2.2a'!$A131,UtilityList!$A$4:$A$251,0)))</f>
        <v>Bethel (CA)</v>
      </c>
      <c r="P131" s="452" t="str">
        <f t="array" ref="P131">IFERROR((INDEX(UtilityList!L$4:L$251,MATCH('Table 2.2a'!$A131&amp;'Table 2.2a'!$B131,UtilityList!$A$4:$A$251&amp;UtilityList!$C$4:$C$251,0))),INDEX(UtilityList!L$4:L$251,MATCH('Table 2.2a'!$A131,UtilityList!$A$4:$A$251,0)))</f>
        <v>Calista</v>
      </c>
      <c r="Q131" s="452" t="str">
        <f t="array" ref="Q131">IFERROR((INDEX(UtilityList!M$4:M$251,MATCH('Table 2.2a'!$A131&amp;'Table 2.2a'!$B131,UtilityList!$A$4:$A$251&amp;UtilityList!$C$4:$C$251,0))),INDEX(UtilityList!M$4:M$251,MATCH('Table 2.2a'!$A131,UtilityList!$A$4:$A$251,0)))</f>
        <v>SW</v>
      </c>
      <c r="R131" s="344"/>
    </row>
    <row r="132" spans="1:18" s="204" customFormat="1" ht="60" x14ac:dyDescent="0.25">
      <c r="A132" s="628" t="s">
        <v>219</v>
      </c>
      <c r="B132" s="628" t="s">
        <v>220</v>
      </c>
      <c r="C132" s="629">
        <v>0</v>
      </c>
      <c r="D132" s="629">
        <v>557.471</v>
      </c>
      <c r="E132" s="629">
        <v>0</v>
      </c>
      <c r="F132" s="629">
        <v>557.471</v>
      </c>
      <c r="G132" s="629">
        <v>499.97699999999998</v>
      </c>
      <c r="H132" s="629">
        <v>0</v>
      </c>
      <c r="I132" s="629">
        <v>0</v>
      </c>
      <c r="J132" s="629">
        <v>0</v>
      </c>
      <c r="K132" s="629">
        <v>57.494000000000028</v>
      </c>
      <c r="L132" s="630" t="s">
        <v>356</v>
      </c>
      <c r="M132" s="627" t="str">
        <f t="array" ref="M132">INDEX(UtilityList!Q$4:Q$251,MATCH('Table 2.2a'!$A132&amp;'Table 2.2a'!$B132,UtilityList!$A$4:$A$251&amp;UtilityList!$C$4:$C$251,0))</f>
        <v>Receives power from Shungnak via intertie. For fuel use and cost, please refer to Shungnak. On July 1, 2012, AVEC took over operations in Kobuk.</v>
      </c>
      <c r="N132" s="452" t="str">
        <f t="array" ref="N132">IFERROR((INDEX(UtilityList!J$4:J$251,MATCH('Table 2.2a'!$A132&amp;'Table 2.2a'!$B132,UtilityList!$A$4:$A$251&amp;UtilityList!$C$4:$C$251,0))),INDEX(UtilityList!J$4:J$251,MATCH('Table 2.2a'!$A132,UtilityList!$A$4:$A$251,0)))</f>
        <v>Northwest Arctic</v>
      </c>
      <c r="O132" s="452" t="str">
        <f t="array" ref="O132">IFERROR((INDEX(UtilityList!K$4:K$251,MATCH('Table 2.2a'!$A132&amp;'Table 2.2a'!$B132,UtilityList!$A$4:$A$251&amp;UtilityList!$C$4:$C$251,0))),INDEX(UtilityList!K$4:K$251,MATCH('Table 2.2a'!$A132,UtilityList!$A$4:$A$251,0)))</f>
        <v>Northwest Arctic</v>
      </c>
      <c r="P132" s="452" t="str">
        <f t="array" ref="P132">IFERROR((INDEX(UtilityList!L$4:L$251,MATCH('Table 2.2a'!$A132&amp;'Table 2.2a'!$B132,UtilityList!$A$4:$A$251&amp;UtilityList!$C$4:$C$251,0))),INDEX(UtilityList!L$4:L$251,MATCH('Table 2.2a'!$A132,UtilityList!$A$4:$A$251,0)))</f>
        <v>NANA</v>
      </c>
      <c r="Q132" s="452" t="str">
        <f t="array" ref="Q132">IFERROR((INDEX(UtilityList!M$4:M$251,MATCH('Table 2.2a'!$A132&amp;'Table 2.2a'!$B132,UtilityList!$A$4:$A$251&amp;UtilityList!$C$4:$C$251,0))),INDEX(UtilityList!M$4:M$251,MATCH('Table 2.2a'!$A132,UtilityList!$A$4:$A$251,0)))</f>
        <v>AN</v>
      </c>
      <c r="R132" s="344"/>
    </row>
    <row r="133" spans="1:18" s="204" customFormat="1" ht="15" x14ac:dyDescent="0.25">
      <c r="A133" s="361" t="s">
        <v>221</v>
      </c>
      <c r="B133" s="361" t="s">
        <v>222</v>
      </c>
      <c r="C133" s="631">
        <v>148379</v>
      </c>
      <c r="D133" s="631">
        <v>0</v>
      </c>
      <c r="E133" s="631">
        <v>0</v>
      </c>
      <c r="F133" s="631">
        <v>148379</v>
      </c>
      <c r="G133" s="631">
        <v>141970</v>
      </c>
      <c r="H133" s="631">
        <v>0</v>
      </c>
      <c r="I133" s="631">
        <v>0</v>
      </c>
      <c r="J133" s="631">
        <v>574</v>
      </c>
      <c r="K133" s="631">
        <v>5835</v>
      </c>
      <c r="L133" s="598" t="s">
        <v>558</v>
      </c>
      <c r="M133" s="627">
        <f t="array" ref="M133">INDEX(UtilityList!Q$4:Q$251,MATCH('Table 2.2a'!$A133&amp;'Table 2.2a'!$B133,UtilityList!$A$4:$A$251&amp;UtilityList!$C$4:$C$251,0))</f>
        <v>0</v>
      </c>
      <c r="N133" s="452" t="str">
        <f t="array" ref="N133">IFERROR((INDEX(UtilityList!J$4:J$251,MATCH('Table 2.2a'!$A133&amp;'Table 2.2a'!$B133,UtilityList!$A$4:$A$251&amp;UtilityList!$C$4:$C$251,0))),INDEX(UtilityList!J$4:J$251,MATCH('Table 2.2a'!$A133,UtilityList!$A$4:$A$251,0)))</f>
        <v>Kodiak</v>
      </c>
      <c r="O133" s="452" t="str">
        <f t="array" ref="O133">IFERROR((INDEX(UtilityList!K$4:K$251,MATCH('Table 2.2a'!$A133&amp;'Table 2.2a'!$B133,UtilityList!$A$4:$A$251&amp;UtilityList!$C$4:$C$251,0))),INDEX(UtilityList!K$4:K$251,MATCH('Table 2.2a'!$A133,UtilityList!$A$4:$A$251,0)))</f>
        <v>Kodiak Island</v>
      </c>
      <c r="P133" s="452" t="str">
        <f t="array" ref="P133">IFERROR((INDEX(UtilityList!L$4:L$251,MATCH('Table 2.2a'!$A133&amp;'Table 2.2a'!$B133,UtilityList!$A$4:$A$251&amp;UtilityList!$C$4:$C$251,0))),INDEX(UtilityList!L$4:L$251,MATCH('Table 2.2a'!$A133,UtilityList!$A$4:$A$251,0)))</f>
        <v>Koniag</v>
      </c>
      <c r="Q133" s="452" t="str">
        <f t="array" ref="Q133">IFERROR((INDEX(UtilityList!M$4:M$251,MATCH('Table 2.2a'!$A133&amp;'Table 2.2a'!$B133,UtilityList!$A$4:$A$251&amp;UtilityList!$C$4:$C$251,0))),INDEX(UtilityList!M$4:M$251,MATCH('Table 2.2a'!$A133,UtilityList!$A$4:$A$251,0)))</f>
        <v>SC</v>
      </c>
      <c r="R133" s="344"/>
    </row>
    <row r="134" spans="1:18" s="204" customFormat="1" ht="15" x14ac:dyDescent="0.25">
      <c r="A134" s="628" t="s">
        <v>227</v>
      </c>
      <c r="B134" s="628" t="s">
        <v>228</v>
      </c>
      <c r="C134" s="629">
        <v>502.36399999999998</v>
      </c>
      <c r="D134" s="629">
        <v>0</v>
      </c>
      <c r="E134" s="629">
        <v>0</v>
      </c>
      <c r="F134" s="629">
        <v>502.36399999999998</v>
      </c>
      <c r="G134" s="629">
        <v>404.24</v>
      </c>
      <c r="H134" s="629">
        <v>0</v>
      </c>
      <c r="I134" s="629">
        <v>9.2249999999999996</v>
      </c>
      <c r="J134" s="629">
        <v>28.992999999999999</v>
      </c>
      <c r="K134" s="629">
        <v>59.905999999999949</v>
      </c>
      <c r="L134" s="630" t="s">
        <v>356</v>
      </c>
      <c r="M134" s="627">
        <f t="array" ref="M134">INDEX(UtilityList!Q$4:Q$251,MATCH('Table 2.2a'!$A134&amp;'Table 2.2a'!$B134,UtilityList!$A$4:$A$251&amp;UtilityList!$C$4:$C$251,0))</f>
        <v>0</v>
      </c>
      <c r="N134" s="452" t="str">
        <f t="array" ref="N134">IFERROR((INDEX(UtilityList!J$4:J$251,MATCH('Table 2.2a'!$A134&amp;'Table 2.2a'!$B134,UtilityList!$A$4:$A$251&amp;UtilityList!$C$4:$C$251,0))),INDEX(UtilityList!J$4:J$251,MATCH('Table 2.2a'!$A134,UtilityList!$A$4:$A$251,0)))</f>
        <v>Bristol Bay</v>
      </c>
      <c r="O134" s="452" t="str">
        <f t="array" ref="O134">IFERROR((INDEX(UtilityList!K$4:K$251,MATCH('Table 2.2a'!$A134&amp;'Table 2.2a'!$B134,UtilityList!$A$4:$A$251&amp;UtilityList!$C$4:$C$251,0))),INDEX(UtilityList!K$4:K$251,MATCH('Table 2.2a'!$A134,UtilityList!$A$4:$A$251,0)))</f>
        <v>Lake and Peninsula</v>
      </c>
      <c r="P134" s="452" t="str">
        <f t="array" ref="P134">IFERROR((INDEX(UtilityList!L$4:L$251,MATCH('Table 2.2a'!$A134&amp;'Table 2.2a'!$B134,UtilityList!$A$4:$A$251&amp;UtilityList!$C$4:$C$251,0))),INDEX(UtilityList!L$4:L$251,MATCH('Table 2.2a'!$A134,UtilityList!$A$4:$A$251,0)))</f>
        <v>Bristol Bay</v>
      </c>
      <c r="Q134" s="452" t="str">
        <f t="array" ref="Q134">IFERROR((INDEX(UtilityList!M$4:M$251,MATCH('Table 2.2a'!$A134&amp;'Table 2.2a'!$B134,UtilityList!$A$4:$A$251&amp;UtilityList!$C$4:$C$251,0))),INDEX(UtilityList!M$4:M$251,MATCH('Table 2.2a'!$A134,UtilityList!$A$4:$A$251,0)))</f>
        <v>SW</v>
      </c>
      <c r="R134" s="344"/>
    </row>
    <row r="135" spans="1:18" s="204" customFormat="1" ht="15" x14ac:dyDescent="0.25">
      <c r="A135" s="628" t="s">
        <v>229</v>
      </c>
      <c r="B135" s="628" t="s">
        <v>230</v>
      </c>
      <c r="C135" s="629">
        <v>22800</v>
      </c>
      <c r="D135" s="629">
        <v>0</v>
      </c>
      <c r="E135" s="629">
        <v>0</v>
      </c>
      <c r="F135" s="629">
        <v>22800</v>
      </c>
      <c r="G135" s="629">
        <v>20900</v>
      </c>
      <c r="H135" s="629">
        <v>0</v>
      </c>
      <c r="I135" s="629">
        <v>0</v>
      </c>
      <c r="J135" s="629">
        <v>988.65899999999999</v>
      </c>
      <c r="K135" s="629">
        <v>911.34100000000035</v>
      </c>
      <c r="L135" s="630" t="s">
        <v>356</v>
      </c>
      <c r="M135" s="627">
        <f t="array" ref="M135">INDEX(UtilityList!Q$4:Q$251,MATCH('Table 2.2a'!$A135&amp;'Table 2.2a'!$B135,UtilityList!$A$4:$A$251&amp;UtilityList!$C$4:$C$251,0))</f>
        <v>0</v>
      </c>
      <c r="N135" s="452" t="str">
        <f t="array" ref="N135">IFERROR((INDEX(UtilityList!J$4:J$251,MATCH('Table 2.2a'!$A135&amp;'Table 2.2a'!$B135,UtilityList!$A$4:$A$251&amp;UtilityList!$C$4:$C$251,0))),INDEX(UtilityList!J$4:J$251,MATCH('Table 2.2a'!$A135,UtilityList!$A$4:$A$251,0)))</f>
        <v>Northwest Arctic</v>
      </c>
      <c r="O135" s="452" t="str">
        <f t="array" ref="O135">IFERROR((INDEX(UtilityList!K$4:K$251,MATCH('Table 2.2a'!$A135&amp;'Table 2.2a'!$B135,UtilityList!$A$4:$A$251&amp;UtilityList!$C$4:$C$251,0))),INDEX(UtilityList!K$4:K$251,MATCH('Table 2.2a'!$A135,UtilityList!$A$4:$A$251,0)))</f>
        <v>Northwest Arctic</v>
      </c>
      <c r="P135" s="452" t="str">
        <f t="array" ref="P135">IFERROR((INDEX(UtilityList!L$4:L$251,MATCH('Table 2.2a'!$A135&amp;'Table 2.2a'!$B135,UtilityList!$A$4:$A$251&amp;UtilityList!$C$4:$C$251,0))),INDEX(UtilityList!L$4:L$251,MATCH('Table 2.2a'!$A135,UtilityList!$A$4:$A$251,0)))</f>
        <v>NANA</v>
      </c>
      <c r="Q135" s="452" t="str">
        <f t="array" ref="Q135">IFERROR((INDEX(UtilityList!M$4:M$251,MATCH('Table 2.2a'!$A135&amp;'Table 2.2a'!$B135,UtilityList!$A$4:$A$251&amp;UtilityList!$C$4:$C$251,0))),INDEX(UtilityList!M$4:M$251,MATCH('Table 2.2a'!$A135,UtilityList!$A$4:$A$251,0)))</f>
        <v>AN</v>
      </c>
      <c r="R135" s="344"/>
    </row>
    <row r="136" spans="1:18" s="204" customFormat="1" ht="15" x14ac:dyDescent="0.25">
      <c r="A136" s="628" t="s">
        <v>231</v>
      </c>
      <c r="B136" s="628" t="s">
        <v>232</v>
      </c>
      <c r="C136" s="629">
        <v>333.24200000000002</v>
      </c>
      <c r="D136" s="629">
        <v>0</v>
      </c>
      <c r="E136" s="629">
        <v>0</v>
      </c>
      <c r="F136" s="629">
        <v>333.24200000000002</v>
      </c>
      <c r="G136" s="629">
        <v>267.39499999999998</v>
      </c>
      <c r="H136" s="629">
        <v>0</v>
      </c>
      <c r="I136" s="629">
        <v>1.155</v>
      </c>
      <c r="J136" s="629">
        <v>19.094999999999999</v>
      </c>
      <c r="K136" s="629">
        <v>45.597000000000037</v>
      </c>
      <c r="L136" s="630" t="s">
        <v>356</v>
      </c>
      <c r="M136" s="627">
        <f t="array" ref="M136">INDEX(UtilityList!Q$4:Q$251,MATCH('Table 2.2a'!$A136&amp;'Table 2.2a'!$B136,UtilityList!$A$4:$A$251&amp;UtilityList!$C$4:$C$251,0))</f>
        <v>0</v>
      </c>
      <c r="N136" s="452" t="str">
        <f t="array" ref="N136">IFERROR((INDEX(UtilityList!J$4:J$251,MATCH('Table 2.2a'!$A136&amp;'Table 2.2a'!$B136,UtilityList!$A$4:$A$251&amp;UtilityList!$C$4:$C$251,0))),INDEX(UtilityList!J$4:J$251,MATCH('Table 2.2a'!$A136,UtilityList!$A$4:$A$251,0)))</f>
        <v>Yukon-Koyukuk/Upper Tanana</v>
      </c>
      <c r="O136" s="452" t="str">
        <f t="array" ref="O136">IFERROR((INDEX(UtilityList!K$4:K$251,MATCH('Table 2.2a'!$A136&amp;'Table 2.2a'!$B136,UtilityList!$A$4:$A$251&amp;UtilityList!$C$4:$C$251,0))),INDEX(UtilityList!K$4:K$251,MATCH('Table 2.2a'!$A136,UtilityList!$A$4:$A$251,0)))</f>
        <v>Yukon-Koyukuk (CA)</v>
      </c>
      <c r="P136" s="452" t="str">
        <f t="array" ref="P136">IFERROR((INDEX(UtilityList!L$4:L$251,MATCH('Table 2.2a'!$A136&amp;'Table 2.2a'!$B136,UtilityList!$A$4:$A$251&amp;UtilityList!$C$4:$C$251,0))),INDEX(UtilityList!L$4:L$251,MATCH('Table 2.2a'!$A136,UtilityList!$A$4:$A$251,0)))</f>
        <v>Doyon</v>
      </c>
      <c r="Q136" s="452" t="str">
        <f t="array" ref="Q136">IFERROR((INDEX(UtilityList!M$4:M$251,MATCH('Table 2.2a'!$A136&amp;'Table 2.2a'!$B136,UtilityList!$A$4:$A$251&amp;UtilityList!$C$4:$C$251,0))),INDEX(UtilityList!M$4:M$251,MATCH('Table 2.2a'!$A136,UtilityList!$A$4:$A$251,0)))</f>
        <v>YU</v>
      </c>
    </row>
    <row r="137" spans="1:18" s="204" customFormat="1" ht="15" x14ac:dyDescent="0.25">
      <c r="A137" s="628" t="s">
        <v>233</v>
      </c>
      <c r="B137" s="628" t="s">
        <v>234</v>
      </c>
      <c r="C137" s="629">
        <v>1411.925</v>
      </c>
      <c r="D137" s="629">
        <v>0</v>
      </c>
      <c r="E137" s="629">
        <v>0</v>
      </c>
      <c r="F137" s="629">
        <v>1411.925</v>
      </c>
      <c r="G137" s="629">
        <v>1009.794</v>
      </c>
      <c r="H137" s="629">
        <v>0</v>
      </c>
      <c r="I137" s="629">
        <v>132.91999999999999</v>
      </c>
      <c r="J137" s="629">
        <v>34.332000000000001</v>
      </c>
      <c r="K137" s="629">
        <v>234.87899999999991</v>
      </c>
      <c r="L137" s="630" t="s">
        <v>356</v>
      </c>
      <c r="M137" s="627">
        <f t="array" ref="M137">INDEX(UtilityList!Q$4:Q$251,MATCH('Table 2.2a'!$A137&amp;'Table 2.2a'!$B137,UtilityList!$A$4:$A$251&amp;UtilityList!$C$4:$C$251,0))</f>
        <v>0</v>
      </c>
      <c r="N137" s="452" t="str">
        <f t="array" ref="N137">IFERROR((INDEX(UtilityList!J$4:J$251,MATCH('Table 2.2a'!$A137&amp;'Table 2.2a'!$B137,UtilityList!$A$4:$A$251&amp;UtilityList!$C$4:$C$251,0))),INDEX(UtilityList!J$4:J$251,MATCH('Table 2.2a'!$A137,UtilityList!$A$4:$A$251,0)))</f>
        <v>Lower Yukon-Kuskokwim</v>
      </c>
      <c r="O137" s="452" t="str">
        <f t="array" ref="O137">IFERROR((INDEX(UtilityList!K$4:K$251,MATCH('Table 2.2a'!$A137&amp;'Table 2.2a'!$B137,UtilityList!$A$4:$A$251&amp;UtilityList!$C$4:$C$251,0))),INDEX(UtilityList!K$4:K$251,MATCH('Table 2.2a'!$A137,UtilityList!$A$4:$A$251,0)))</f>
        <v>Bethel (CA)</v>
      </c>
      <c r="P137" s="452" t="str">
        <f t="array" ref="P137">IFERROR((INDEX(UtilityList!L$4:L$251,MATCH('Table 2.2a'!$A137&amp;'Table 2.2a'!$B137,UtilityList!$A$4:$A$251&amp;UtilityList!$C$4:$C$251,0))),INDEX(UtilityList!L$4:L$251,MATCH('Table 2.2a'!$A137,UtilityList!$A$4:$A$251,0)))</f>
        <v>Calista</v>
      </c>
      <c r="Q137" s="452" t="str">
        <f t="array" ref="Q137">IFERROR((INDEX(UtilityList!M$4:M$251,MATCH('Table 2.2a'!$A137&amp;'Table 2.2a'!$B137,UtilityList!$A$4:$A$251&amp;UtilityList!$C$4:$C$251,0))),INDEX(UtilityList!M$4:M$251,MATCH('Table 2.2a'!$A137,UtilityList!$A$4:$A$251,0)))</f>
        <v>SW</v>
      </c>
    </row>
    <row r="138" spans="1:18" s="204" customFormat="1" ht="15" x14ac:dyDescent="0.25">
      <c r="A138" s="628" t="s">
        <v>641</v>
      </c>
      <c r="B138" s="628" t="s">
        <v>235</v>
      </c>
      <c r="C138" s="629">
        <v>1209.067</v>
      </c>
      <c r="D138" s="629">
        <v>0</v>
      </c>
      <c r="E138" s="629">
        <v>0</v>
      </c>
      <c r="F138" s="629">
        <v>1209.067</v>
      </c>
      <c r="G138" s="629">
        <v>915.52700000000004</v>
      </c>
      <c r="H138" s="629">
        <v>0</v>
      </c>
      <c r="I138" s="629">
        <v>24.381</v>
      </c>
      <c r="J138" s="629">
        <v>40.801000000000002</v>
      </c>
      <c r="K138" s="629">
        <v>228.35799999999995</v>
      </c>
      <c r="L138" s="630" t="s">
        <v>356</v>
      </c>
      <c r="M138" s="627">
        <f t="array" ref="M138">INDEX(UtilityList!Q$4:Q$251,MATCH('Table 2.2a'!$A138&amp;'Table 2.2a'!$B138,UtilityList!$A$4:$A$251&amp;UtilityList!$C$4:$C$251,0))</f>
        <v>0</v>
      </c>
      <c r="N138" s="452" t="str">
        <f t="array" ref="N138">IFERROR((INDEX(UtilityList!J$4:J$251,MATCH('Table 2.2a'!$A138&amp;'Table 2.2a'!$B138,UtilityList!$A$4:$A$251&amp;UtilityList!$C$4:$C$251,0))),INDEX(UtilityList!J$4:J$251,MATCH('Table 2.2a'!$A138,UtilityList!$A$4:$A$251,0)))</f>
        <v>Lower Yukon-Kuskokwim</v>
      </c>
      <c r="O138" s="452" t="str">
        <f t="array" ref="O138">IFERROR((INDEX(UtilityList!K$4:K$251,MATCH('Table 2.2a'!$A138&amp;'Table 2.2a'!$B138,UtilityList!$A$4:$A$251&amp;UtilityList!$C$4:$C$251,0))),INDEX(UtilityList!K$4:K$251,MATCH('Table 2.2a'!$A138,UtilityList!$A$4:$A$251,0)))</f>
        <v>Bethel (CA)</v>
      </c>
      <c r="P138" s="452" t="str">
        <f t="array" ref="P138">IFERROR((INDEX(UtilityList!L$4:L$251,MATCH('Table 2.2a'!$A138&amp;'Table 2.2a'!$B138,UtilityList!$A$4:$A$251&amp;UtilityList!$C$4:$C$251,0))),INDEX(UtilityList!L$4:L$251,MATCH('Table 2.2a'!$A138,UtilityList!$A$4:$A$251,0)))</f>
        <v>Calista</v>
      </c>
      <c r="Q138" s="452" t="str">
        <f t="array" ref="Q138">IFERROR((INDEX(UtilityList!M$4:M$251,MATCH('Table 2.2a'!$A138&amp;'Table 2.2a'!$B138,UtilityList!$A$4:$A$251&amp;UtilityList!$C$4:$C$251,0))),INDEX(UtilityList!M$4:M$251,MATCH('Table 2.2a'!$A138,UtilityList!$A$4:$A$251,0)))</f>
        <v>SW</v>
      </c>
    </row>
    <row r="139" spans="1:18" s="204" customFormat="1" ht="15" x14ac:dyDescent="0.25">
      <c r="A139" s="633" t="s">
        <v>236</v>
      </c>
      <c r="B139" s="633" t="s">
        <v>237</v>
      </c>
      <c r="C139" s="629">
        <v>428.74979999999999</v>
      </c>
      <c r="D139" s="629">
        <v>0</v>
      </c>
      <c r="E139" s="629">
        <v>0</v>
      </c>
      <c r="F139" s="629">
        <v>428.74979999999999</v>
      </c>
      <c r="G139" s="629">
        <v>610.45140000000004</v>
      </c>
      <c r="H139" s="629">
        <v>0</v>
      </c>
      <c r="I139" s="629">
        <v>65.766363999999996</v>
      </c>
      <c r="J139" s="629">
        <v>21.806172</v>
      </c>
      <c r="K139" s="629">
        <v>-269.27413599999994</v>
      </c>
      <c r="L139" s="634" t="s">
        <v>356</v>
      </c>
      <c r="M139" s="627">
        <f t="array" ref="M139">INDEX(UtilityList!Q$4:Q$251,MATCH('Table 2.2a'!$A139&amp;'Table 2.2a'!$B139,UtilityList!$A$4:$A$251&amp;UtilityList!$C$4:$C$251,0))</f>
        <v>0</v>
      </c>
      <c r="N139" s="452" t="str">
        <f t="array" ref="N139">IFERROR((INDEX(UtilityList!J$4:J$251,MATCH('Table 2.2a'!$A139&amp;'Table 2.2a'!$B139,UtilityList!$A$4:$A$251&amp;UtilityList!$C$4:$C$251,0))),INDEX(UtilityList!J$4:J$251,MATCH('Table 2.2a'!$A139,UtilityList!$A$4:$A$251,0)))</f>
        <v>Kodiak</v>
      </c>
      <c r="O139" s="452" t="str">
        <f t="array" ref="O139">IFERROR((INDEX(UtilityList!K$4:K$251,MATCH('Table 2.2a'!$A139&amp;'Table 2.2a'!$B139,UtilityList!$A$4:$A$251&amp;UtilityList!$C$4:$C$251,0))),INDEX(UtilityList!K$4:K$251,MATCH('Table 2.2a'!$A139,UtilityList!$A$4:$A$251,0)))</f>
        <v>Kodiak Island</v>
      </c>
      <c r="P139" s="452" t="str">
        <f t="array" ref="P139">IFERROR((INDEX(UtilityList!L$4:L$251,MATCH('Table 2.2a'!$A139&amp;'Table 2.2a'!$B139,UtilityList!$A$4:$A$251&amp;UtilityList!$C$4:$C$251,0))),INDEX(UtilityList!L$4:L$251,MATCH('Table 2.2a'!$A139,UtilityList!$A$4:$A$251,0)))</f>
        <v>Koniag</v>
      </c>
      <c r="Q139" s="452" t="str">
        <f t="array" ref="Q139">IFERROR((INDEX(UtilityList!M$4:M$251,MATCH('Table 2.2a'!$A139&amp;'Table 2.2a'!$B139,UtilityList!$A$4:$A$251&amp;UtilityList!$C$4:$C$251,0))),INDEX(UtilityList!M$4:M$251,MATCH('Table 2.2a'!$A139,UtilityList!$A$4:$A$251,0)))</f>
        <v>SC</v>
      </c>
    </row>
    <row r="140" spans="1:18" s="204" customFormat="1" ht="15" x14ac:dyDescent="0.25">
      <c r="A140" s="628" t="s">
        <v>238</v>
      </c>
      <c r="B140" s="628" t="s">
        <v>239</v>
      </c>
      <c r="C140" s="629">
        <v>506.65899999999999</v>
      </c>
      <c r="D140" s="629">
        <v>0</v>
      </c>
      <c r="E140" s="629">
        <v>0</v>
      </c>
      <c r="F140" s="629">
        <v>506.65899999999999</v>
      </c>
      <c r="G140" s="629">
        <v>358.04700000000003</v>
      </c>
      <c r="H140" s="629">
        <v>0</v>
      </c>
      <c r="I140" s="629">
        <v>11.609</v>
      </c>
      <c r="J140" s="629">
        <v>34.540999999999997</v>
      </c>
      <c r="K140" s="629">
        <v>102.46199999999999</v>
      </c>
      <c r="L140" s="630" t="s">
        <v>356</v>
      </c>
      <c r="M140" s="627">
        <f t="array" ref="M140">INDEX(UtilityList!Q$4:Q$251,MATCH('Table 2.2a'!$A140&amp;'Table 2.2a'!$B140,UtilityList!$A$4:$A$251&amp;UtilityList!$C$4:$C$251,0))</f>
        <v>0</v>
      </c>
      <c r="N140" s="452" t="str">
        <f t="array" ref="N140">IFERROR((INDEX(UtilityList!J$4:J$251,MATCH('Table 2.2a'!$A140&amp;'Table 2.2a'!$B140,UtilityList!$A$4:$A$251&amp;UtilityList!$C$4:$C$251,0))),INDEX(UtilityList!J$4:J$251,MATCH('Table 2.2a'!$A140,UtilityList!$A$4:$A$251,0)))</f>
        <v>Bristol Bay</v>
      </c>
      <c r="O140" s="452" t="str">
        <f t="array" ref="O140">IFERROR((INDEX(UtilityList!K$4:K$251,MATCH('Table 2.2a'!$A140&amp;'Table 2.2a'!$B140,UtilityList!$A$4:$A$251&amp;UtilityList!$C$4:$C$251,0))),INDEX(UtilityList!K$4:K$251,MATCH('Table 2.2a'!$A140,UtilityList!$A$4:$A$251,0)))</f>
        <v>Lake and Peninsula</v>
      </c>
      <c r="P140" s="452" t="str">
        <f t="array" ref="P140">IFERROR((INDEX(UtilityList!L$4:L$251,MATCH('Table 2.2a'!$A140&amp;'Table 2.2a'!$B140,UtilityList!$A$4:$A$251&amp;UtilityList!$C$4:$C$251,0))),INDEX(UtilityList!L$4:L$251,MATCH('Table 2.2a'!$A140,UtilityList!$A$4:$A$251,0)))</f>
        <v>Bristol Bay</v>
      </c>
      <c r="Q140" s="452" t="str">
        <f t="array" ref="Q140">IFERROR((INDEX(UtilityList!M$4:M$251,MATCH('Table 2.2a'!$A140&amp;'Table 2.2a'!$B140,UtilityList!$A$4:$A$251&amp;UtilityList!$C$4:$C$251,0))),INDEX(UtilityList!M$4:M$251,MATCH('Table 2.2a'!$A140,UtilityList!$A$4:$A$251,0)))</f>
        <v>SW</v>
      </c>
    </row>
    <row r="141" spans="1:18" s="204" customFormat="1" ht="15" x14ac:dyDescent="0.25">
      <c r="A141" s="628" t="s">
        <v>242</v>
      </c>
      <c r="B141" s="628" t="s">
        <v>243</v>
      </c>
      <c r="C141" s="629">
        <v>1410.76</v>
      </c>
      <c r="D141" s="629">
        <v>0</v>
      </c>
      <c r="E141" s="629">
        <v>0</v>
      </c>
      <c r="F141" s="629">
        <v>1410.76</v>
      </c>
      <c r="G141" s="629">
        <v>1222.854</v>
      </c>
      <c r="H141" s="629">
        <v>0</v>
      </c>
      <c r="I141" s="629">
        <v>66.894000000000005</v>
      </c>
      <c r="J141" s="629">
        <v>45.040999999999997</v>
      </c>
      <c r="K141" s="629">
        <v>75.971000000000004</v>
      </c>
      <c r="L141" s="630" t="s">
        <v>356</v>
      </c>
      <c r="M141" s="627">
        <f t="array" ref="M141">INDEX(UtilityList!Q$4:Q$251,MATCH('Table 2.2a'!$A141&amp;'Table 2.2a'!$B141,UtilityList!$A$4:$A$251&amp;UtilityList!$C$4:$C$251,0))</f>
        <v>0</v>
      </c>
      <c r="N141" s="452" t="str">
        <f t="array" ref="N141">IFERROR((INDEX(UtilityList!J$4:J$251,MATCH('Table 2.2a'!$A141&amp;'Table 2.2a'!$B141,UtilityList!$A$4:$A$251&amp;UtilityList!$C$4:$C$251,0))),INDEX(UtilityList!J$4:J$251,MATCH('Table 2.2a'!$A141,UtilityList!$A$4:$A$251,0)))</f>
        <v>Bristol Bay</v>
      </c>
      <c r="O141" s="452" t="str">
        <f t="array" ref="O141">IFERROR((INDEX(UtilityList!K$4:K$251,MATCH('Table 2.2a'!$A141&amp;'Table 2.2a'!$B141,UtilityList!$A$4:$A$251&amp;UtilityList!$C$4:$C$251,0))),INDEX(UtilityList!K$4:K$251,MATCH('Table 2.2a'!$A141,UtilityList!$A$4:$A$251,0)))</f>
        <v>Dillingham (CA)</v>
      </c>
      <c r="P141" s="452" t="str">
        <f t="array" ref="P141">IFERROR((INDEX(UtilityList!L$4:L$251,MATCH('Table 2.2a'!$A141&amp;'Table 2.2a'!$B141,UtilityList!$A$4:$A$251&amp;UtilityList!$C$4:$C$251,0))),INDEX(UtilityList!L$4:L$251,MATCH('Table 2.2a'!$A141,UtilityList!$A$4:$A$251,0)))</f>
        <v>Bristol Bay</v>
      </c>
      <c r="Q141" s="452" t="str">
        <f t="array" ref="Q141">IFERROR((INDEX(UtilityList!M$4:M$251,MATCH('Table 2.2a'!$A141&amp;'Table 2.2a'!$B141,UtilityList!$A$4:$A$251&amp;UtilityList!$C$4:$C$251,0))),INDEX(UtilityList!M$4:M$251,MATCH('Table 2.2a'!$A141,UtilityList!$A$4:$A$251,0)))</f>
        <v>SW</v>
      </c>
    </row>
    <row r="142" spans="1:18" s="204" customFormat="1" ht="15" x14ac:dyDescent="0.25">
      <c r="A142" s="361" t="s">
        <v>487</v>
      </c>
      <c r="B142" s="361"/>
      <c r="C142" s="631">
        <v>0</v>
      </c>
      <c r="D142" s="632">
        <v>763686</v>
      </c>
      <c r="E142" s="632">
        <v>0</v>
      </c>
      <c r="F142" s="631">
        <v>763686</v>
      </c>
      <c r="G142" s="631">
        <v>717195</v>
      </c>
      <c r="H142" s="632">
        <v>0</v>
      </c>
      <c r="I142" s="631">
        <v>0</v>
      </c>
      <c r="J142" s="632">
        <v>3104</v>
      </c>
      <c r="K142" s="631">
        <v>43387</v>
      </c>
      <c r="L142" s="598" t="s">
        <v>558</v>
      </c>
      <c r="M142" s="627">
        <f t="array" ref="M142">INDEX(UtilityList!Q$4:Q$251,MATCH('Table 2.2a'!$A142&amp;'Table 2.2a'!$B142,UtilityList!$A$4:$A$251&amp;UtilityList!$C$4:$C$251,0))</f>
        <v>0</v>
      </c>
      <c r="N142" s="452" t="str">
        <f t="array" ref="N142">IFERROR((INDEX(UtilityList!J$4:J$251,MATCH('Table 2.2a'!$A142&amp;'Table 2.2a'!$B142,UtilityList!$A$4:$A$251&amp;UtilityList!$C$4:$C$251,0))),INDEX(UtilityList!J$4:J$251,MATCH('Table 2.2a'!$A142,UtilityList!$A$4:$A$251,0)))</f>
        <v>Railbelt</v>
      </c>
      <c r="O142" s="452" t="str">
        <f t="array" ref="O142">IFERROR((INDEX(UtilityList!K$4:K$251,MATCH('Table 2.2a'!$A142&amp;'Table 2.2a'!$B142,UtilityList!$A$4:$A$251&amp;UtilityList!$C$4:$C$251,0))),INDEX(UtilityList!K$4:K$251,MATCH('Table 2.2a'!$A142,UtilityList!$A$4:$A$251,0)))</f>
        <v>Matanuska Susitna</v>
      </c>
      <c r="P142" s="452" t="str">
        <f t="array" ref="P142">IFERROR((INDEX(UtilityList!L$4:L$251,MATCH('Table 2.2a'!$A142&amp;'Table 2.2a'!$B142,UtilityList!$A$4:$A$251&amp;UtilityList!$C$4:$C$251,0))),INDEX(UtilityList!L$4:L$251,MATCH('Table 2.2a'!$A142,UtilityList!$A$4:$A$251,0)))</f>
        <v>Cook Inlet</v>
      </c>
      <c r="Q142" s="452" t="str">
        <f t="array" ref="Q142">IFERROR((INDEX(UtilityList!M$4:M$251,MATCH('Table 2.2a'!$A142&amp;'Table 2.2a'!$B142,UtilityList!$A$4:$A$251&amp;UtilityList!$C$4:$C$251,0))),INDEX(UtilityList!M$4:M$251,MATCH('Table 2.2a'!$A142,UtilityList!$A$4:$A$251,0)))</f>
        <v>SC</v>
      </c>
    </row>
    <row r="143" spans="1:18" s="204" customFormat="1" ht="15" x14ac:dyDescent="0.25">
      <c r="A143" s="628" t="s">
        <v>509</v>
      </c>
      <c r="B143" s="628" t="s">
        <v>244</v>
      </c>
      <c r="C143" s="629">
        <v>2902.627</v>
      </c>
      <c r="D143" s="629">
        <v>0</v>
      </c>
      <c r="E143" s="629">
        <v>0</v>
      </c>
      <c r="F143" s="629">
        <v>2902.627</v>
      </c>
      <c r="G143" s="629">
        <v>2539.9490000000001</v>
      </c>
      <c r="H143" s="629">
        <v>0</v>
      </c>
      <c r="I143" s="629">
        <v>4.5670000000000002</v>
      </c>
      <c r="J143" s="629">
        <v>61.923000000000002</v>
      </c>
      <c r="K143" s="629">
        <v>296.18799999999965</v>
      </c>
      <c r="L143" s="630" t="s">
        <v>356</v>
      </c>
      <c r="M143" s="627">
        <f t="array" ref="M143">INDEX(UtilityList!Q$4:Q$251,MATCH('Table 2.2a'!$A143&amp;'Table 2.2a'!$B143,UtilityList!$A$4:$A$251&amp;UtilityList!$C$4:$C$251,0))</f>
        <v>0</v>
      </c>
      <c r="N143" s="452" t="str">
        <f t="array" ref="N143">IFERROR((INDEX(UtilityList!J$4:J$251,MATCH('Table 2.2a'!$A143&amp;'Table 2.2a'!$B143,UtilityList!$A$4:$A$251&amp;UtilityList!$C$4:$C$251,0))),INDEX(UtilityList!J$4:J$251,MATCH('Table 2.2a'!$A143,UtilityList!$A$4:$A$251,0)))</f>
        <v>Yukon-Koyukuk/Upper Tanana</v>
      </c>
      <c r="O143" s="452" t="str">
        <f t="array" ref="O143">IFERROR((INDEX(UtilityList!K$4:K$251,MATCH('Table 2.2a'!$A143&amp;'Table 2.2a'!$B143,UtilityList!$A$4:$A$251&amp;UtilityList!$C$4:$C$251,0))),INDEX(UtilityList!K$4:K$251,MATCH('Table 2.2a'!$A143,UtilityList!$A$4:$A$251,0)))</f>
        <v>Yukon-Koyukuk (CA)</v>
      </c>
      <c r="P143" s="452" t="str">
        <f t="array" ref="P143">IFERROR((INDEX(UtilityList!L$4:L$251,MATCH('Table 2.2a'!$A143&amp;'Table 2.2a'!$B143,UtilityList!$A$4:$A$251&amp;UtilityList!$C$4:$C$251,0))),INDEX(UtilityList!L$4:L$251,MATCH('Table 2.2a'!$A143,UtilityList!$A$4:$A$251,0)))</f>
        <v>Doyon</v>
      </c>
      <c r="Q143" s="452" t="str">
        <f t="array" ref="Q143">IFERROR((INDEX(UtilityList!M$4:M$251,MATCH('Table 2.2a'!$A143&amp;'Table 2.2a'!$B143,UtilityList!$A$4:$A$251&amp;UtilityList!$C$4:$C$251,0))),INDEX(UtilityList!M$4:M$251,MATCH('Table 2.2a'!$A143,UtilityList!$A$4:$A$251,0)))</f>
        <v>SW</v>
      </c>
    </row>
    <row r="144" spans="1:18" s="204" customFormat="1" ht="15" x14ac:dyDescent="0.25">
      <c r="A144" s="361" t="s">
        <v>245</v>
      </c>
      <c r="B144" s="361" t="s">
        <v>247</v>
      </c>
      <c r="C144" s="631">
        <v>20068</v>
      </c>
      <c r="D144" s="631">
        <v>0</v>
      </c>
      <c r="E144" s="631">
        <v>0</v>
      </c>
      <c r="F144" s="631">
        <v>20068</v>
      </c>
      <c r="G144" s="631">
        <v>18396</v>
      </c>
      <c r="H144" s="631">
        <v>0</v>
      </c>
      <c r="I144" s="631">
        <v>0</v>
      </c>
      <c r="J144" s="632">
        <v>315</v>
      </c>
      <c r="K144" s="631">
        <v>1357</v>
      </c>
      <c r="L144" s="598" t="s">
        <v>558</v>
      </c>
      <c r="M144" s="627">
        <f t="array" ref="M144">INDEX(UtilityList!Q$4:Q$251,MATCH('Table 2.2a'!$A144&amp;'Table 2.2a'!$B144,UtilityList!$A$4:$A$251&amp;UtilityList!$C$4:$C$251,0))</f>
        <v>0</v>
      </c>
      <c r="N144" s="452" t="str">
        <f t="array" ref="N144">IFERROR((INDEX(UtilityList!J$4:J$251,MATCH('Table 2.2a'!$A144&amp;'Table 2.2a'!$B144,UtilityList!$A$4:$A$251&amp;UtilityList!$C$4:$C$251,0))),INDEX(UtilityList!J$4:J$251,MATCH('Table 2.2a'!$A144,UtilityList!$A$4:$A$251,0)))</f>
        <v>Southeast</v>
      </c>
      <c r="O144" s="452" t="str">
        <f t="array" ref="O144">IFERROR((INDEX(UtilityList!K$4:K$251,MATCH('Table 2.2a'!$A144&amp;'Table 2.2a'!$B144,UtilityList!$A$4:$A$251&amp;UtilityList!$C$4:$C$251,0))),INDEX(UtilityList!K$4:K$251,MATCH('Table 2.2a'!$A144,UtilityList!$A$4:$A$251,0)))</f>
        <v>Prince of Wales-Hyder (CA)</v>
      </c>
      <c r="P144" s="452" t="str">
        <f t="array" ref="P144">IFERROR((INDEX(UtilityList!L$4:L$251,MATCH('Table 2.2a'!$A144&amp;'Table 2.2a'!$B144,UtilityList!$A$4:$A$251&amp;UtilityList!$C$4:$C$251,0))),INDEX(UtilityList!L$4:L$251,MATCH('Table 2.2a'!$A144,UtilityList!$A$4:$A$251,0)))</f>
        <v>Sealaska</v>
      </c>
      <c r="Q144" s="452" t="str">
        <f t="array" ref="Q144">IFERROR((INDEX(UtilityList!M$4:M$251,MATCH('Table 2.2a'!$A144&amp;'Table 2.2a'!$B144,UtilityList!$A$4:$A$251&amp;UtilityList!$C$4:$C$251,0))),INDEX(UtilityList!M$4:M$251,MATCH('Table 2.2a'!$A144,UtilityList!$A$4:$A$251,0)))</f>
        <v>SE</v>
      </c>
    </row>
    <row r="145" spans="1:18" s="204" customFormat="1" ht="15" x14ac:dyDescent="0.25">
      <c r="A145" s="628" t="s">
        <v>250</v>
      </c>
      <c r="B145" s="628" t="s">
        <v>251</v>
      </c>
      <c r="C145" s="629">
        <v>233.102</v>
      </c>
      <c r="D145" s="629">
        <v>0</v>
      </c>
      <c r="E145" s="629">
        <v>0</v>
      </c>
      <c r="F145" s="629">
        <v>233.102</v>
      </c>
      <c r="G145" s="629">
        <v>253.88800000000001</v>
      </c>
      <c r="H145" s="629">
        <v>0</v>
      </c>
      <c r="I145" s="629">
        <v>0.77300000000000002</v>
      </c>
      <c r="J145" s="629">
        <v>12.117167</v>
      </c>
      <c r="K145" s="629">
        <v>-33.676166999999992</v>
      </c>
      <c r="L145" s="630" t="s">
        <v>356</v>
      </c>
      <c r="M145" s="627">
        <f t="array" ref="M145">INDEX(UtilityList!Q$4:Q$251,MATCH('Table 2.2a'!$A145&amp;'Table 2.2a'!$B145,UtilityList!$A$4:$A$251&amp;UtilityList!$C$4:$C$251,0))</f>
        <v>0</v>
      </c>
      <c r="N145" s="452" t="str">
        <f t="array" ref="N145">IFERROR((INDEX(UtilityList!J$4:J$251,MATCH('Table 2.2a'!$A145&amp;'Table 2.2a'!$B145,UtilityList!$A$4:$A$251&amp;UtilityList!$C$4:$C$251,0))),INDEX(UtilityList!J$4:J$251,MATCH('Table 2.2a'!$A145,UtilityList!$A$4:$A$251,0)))</f>
        <v>Lower Yukon-Kuskokwim</v>
      </c>
      <c r="O145" s="452" t="str">
        <f t="array" ref="O145">IFERROR((INDEX(UtilityList!K$4:K$251,MATCH('Table 2.2a'!$A145&amp;'Table 2.2a'!$B145,UtilityList!$A$4:$A$251&amp;UtilityList!$C$4:$C$251,0))),INDEX(UtilityList!K$4:K$251,MATCH('Table 2.2a'!$A145,UtilityList!$A$4:$A$251,0)))</f>
        <v>Bethel (CA)</v>
      </c>
      <c r="P145" s="452" t="str">
        <f t="array" ref="P145">IFERROR((INDEX(UtilityList!L$4:L$251,MATCH('Table 2.2a'!$A145&amp;'Table 2.2a'!$B145,UtilityList!$A$4:$A$251&amp;UtilityList!$C$4:$C$251,0))),INDEX(UtilityList!L$4:L$251,MATCH('Table 2.2a'!$A145,UtilityList!$A$4:$A$251,0)))</f>
        <v>Calista</v>
      </c>
      <c r="Q145" s="452" t="str">
        <f t="array" ref="Q145">IFERROR((INDEX(UtilityList!M$4:M$251,MATCH('Table 2.2a'!$A145&amp;'Table 2.2a'!$B145,UtilityList!$A$4:$A$251&amp;UtilityList!$C$4:$C$251,0))),INDEX(UtilityList!M$4:M$251,MATCH('Table 2.2a'!$A145,UtilityList!$A$4:$A$251,0)))</f>
        <v>SW</v>
      </c>
    </row>
    <row r="146" spans="1:18" s="204" customFormat="1" ht="15" x14ac:dyDescent="0.25">
      <c r="A146" s="628" t="s">
        <v>250</v>
      </c>
      <c r="B146" s="628" t="s">
        <v>252</v>
      </c>
      <c r="C146" s="629">
        <v>310.089</v>
      </c>
      <c r="D146" s="629">
        <v>0</v>
      </c>
      <c r="E146" s="629">
        <v>0</v>
      </c>
      <c r="F146" s="629">
        <v>310.089</v>
      </c>
      <c r="G146" s="629">
        <v>258.005</v>
      </c>
      <c r="H146" s="629">
        <v>0</v>
      </c>
      <c r="I146" s="629">
        <v>0</v>
      </c>
      <c r="J146" s="629">
        <v>7.4366000999999997</v>
      </c>
      <c r="K146" s="629">
        <v>44.647399899999982</v>
      </c>
      <c r="L146" s="630" t="s">
        <v>356</v>
      </c>
      <c r="M146" s="627">
        <f t="array" ref="M146">INDEX(UtilityList!Q$4:Q$251,MATCH('Table 2.2a'!$A146&amp;'Table 2.2a'!$B146,UtilityList!$A$4:$A$251&amp;UtilityList!$C$4:$C$251,0))</f>
        <v>0</v>
      </c>
      <c r="N146" s="452" t="str">
        <f t="array" ref="N146">IFERROR((INDEX(UtilityList!J$4:J$251,MATCH('Table 2.2a'!$A146&amp;'Table 2.2a'!$B146,UtilityList!$A$4:$A$251&amp;UtilityList!$C$4:$C$251,0))),INDEX(UtilityList!J$4:J$251,MATCH('Table 2.2a'!$A146,UtilityList!$A$4:$A$251,0)))</f>
        <v>Lower Yukon-Kuskokwim</v>
      </c>
      <c r="O146" s="452" t="str">
        <f t="array" ref="O146">IFERROR((INDEX(UtilityList!K$4:K$251,MATCH('Table 2.2a'!$A146&amp;'Table 2.2a'!$B146,UtilityList!$A$4:$A$251&amp;UtilityList!$C$4:$C$251,0))),INDEX(UtilityList!K$4:K$251,MATCH('Table 2.2a'!$A146,UtilityList!$A$4:$A$251,0)))</f>
        <v>Bethel (CA)</v>
      </c>
      <c r="P146" s="452" t="str">
        <f t="array" ref="P146">IFERROR((INDEX(UtilityList!L$4:L$251,MATCH('Table 2.2a'!$A146&amp;'Table 2.2a'!$B146,UtilityList!$A$4:$A$251&amp;UtilityList!$C$4:$C$251,0))),INDEX(UtilityList!L$4:L$251,MATCH('Table 2.2a'!$A146,UtilityList!$A$4:$A$251,0)))</f>
        <v>Calista</v>
      </c>
      <c r="Q146" s="452" t="str">
        <f t="array" ref="Q146">IFERROR((INDEX(UtilityList!M$4:M$251,MATCH('Table 2.2a'!$A146&amp;'Table 2.2a'!$B146,UtilityList!$A$4:$A$251&amp;UtilityList!$C$4:$C$251,0))),INDEX(UtilityList!M$4:M$251,MATCH('Table 2.2a'!$A146,UtilityList!$A$4:$A$251,0)))</f>
        <v>SW</v>
      </c>
    </row>
    <row r="147" spans="1:18" s="204" customFormat="1" ht="15" x14ac:dyDescent="0.25">
      <c r="A147" s="628" t="s">
        <v>250</v>
      </c>
      <c r="B147" s="628" t="s">
        <v>253</v>
      </c>
      <c r="C147" s="629">
        <v>108.91969999999999</v>
      </c>
      <c r="D147" s="629">
        <v>0</v>
      </c>
      <c r="E147" s="629">
        <v>0</v>
      </c>
      <c r="F147" s="629">
        <v>108.91969999999999</v>
      </c>
      <c r="G147" s="629">
        <v>94.233999999999995</v>
      </c>
      <c r="H147" s="629">
        <v>0</v>
      </c>
      <c r="I147" s="629">
        <v>0</v>
      </c>
      <c r="J147" s="629">
        <v>2.4900000000000002</v>
      </c>
      <c r="K147" s="629">
        <v>12.195700000000002</v>
      </c>
      <c r="L147" s="630" t="s">
        <v>356</v>
      </c>
      <c r="M147" s="627">
        <f t="array" ref="M147">INDEX(UtilityList!Q$4:Q$251,MATCH('Table 2.2a'!$A147&amp;'Table 2.2a'!$B147,UtilityList!$A$4:$A$251&amp;UtilityList!$C$4:$C$251,0))</f>
        <v>0</v>
      </c>
      <c r="N147" s="452" t="str">
        <f t="array" ref="N147">IFERROR((INDEX(UtilityList!J$4:J$251,MATCH('Table 2.2a'!$A147&amp;'Table 2.2a'!$B147,UtilityList!$A$4:$A$251&amp;UtilityList!$C$4:$C$251,0))),INDEX(UtilityList!J$4:J$251,MATCH('Table 2.2a'!$A147,UtilityList!$A$4:$A$251,0)))</f>
        <v>Lower Yukon-Kuskokwim</v>
      </c>
      <c r="O147" s="452" t="str">
        <f t="array" ref="O147">IFERROR((INDEX(UtilityList!K$4:K$251,MATCH('Table 2.2a'!$A147&amp;'Table 2.2a'!$B147,UtilityList!$A$4:$A$251&amp;UtilityList!$C$4:$C$251,0))),INDEX(UtilityList!K$4:K$251,MATCH('Table 2.2a'!$A147,UtilityList!$A$4:$A$251,0)))</f>
        <v>Bethel (CA)</v>
      </c>
      <c r="P147" s="452" t="str">
        <f t="array" ref="P147">IFERROR((INDEX(UtilityList!L$4:L$251,MATCH('Table 2.2a'!$A147&amp;'Table 2.2a'!$B147,UtilityList!$A$4:$A$251&amp;UtilityList!$C$4:$C$251,0))),INDEX(UtilityList!L$4:L$251,MATCH('Table 2.2a'!$A147,UtilityList!$A$4:$A$251,0)))</f>
        <v>Calista</v>
      </c>
      <c r="Q147" s="452" t="str">
        <f t="array" ref="Q147">IFERROR((INDEX(UtilityList!M$4:M$251,MATCH('Table 2.2a'!$A147&amp;'Table 2.2a'!$B147,UtilityList!$A$4:$A$251&amp;UtilityList!$C$4:$C$251,0))),INDEX(UtilityList!M$4:M$251,MATCH('Table 2.2a'!$A147,UtilityList!$A$4:$A$251,0)))</f>
        <v>SW</v>
      </c>
    </row>
    <row r="148" spans="1:18" s="204" customFormat="1" ht="15" x14ac:dyDescent="0.25">
      <c r="A148" s="628" t="s">
        <v>250</v>
      </c>
      <c r="B148" s="628" t="s">
        <v>254</v>
      </c>
      <c r="C148" s="629">
        <v>275.46699999999998</v>
      </c>
      <c r="D148" s="629">
        <v>0</v>
      </c>
      <c r="E148" s="629">
        <v>0</v>
      </c>
      <c r="F148" s="629">
        <v>275.46699999999998</v>
      </c>
      <c r="G148" s="629">
        <v>252.33500000000001</v>
      </c>
      <c r="H148" s="629">
        <v>0</v>
      </c>
      <c r="I148" s="629">
        <v>0.48299999999999998</v>
      </c>
      <c r="J148" s="629">
        <v>16.330272999999998</v>
      </c>
      <c r="K148" s="629">
        <v>6.3187269999999671</v>
      </c>
      <c r="L148" s="630" t="s">
        <v>356</v>
      </c>
      <c r="M148" s="627">
        <f t="array" ref="M148">INDEX(UtilityList!Q$4:Q$251,MATCH('Table 2.2a'!$A148&amp;'Table 2.2a'!$B148,UtilityList!$A$4:$A$251&amp;UtilityList!$C$4:$C$251,0))</f>
        <v>0</v>
      </c>
      <c r="N148" s="452" t="str">
        <f t="array" ref="N148">IFERROR((INDEX(UtilityList!J$4:J$251,MATCH('Table 2.2a'!$A148&amp;'Table 2.2a'!$B148,UtilityList!$A$4:$A$251&amp;UtilityList!$C$4:$C$251,0))),INDEX(UtilityList!J$4:J$251,MATCH('Table 2.2a'!$A148,UtilityList!$A$4:$A$251,0)))</f>
        <v>Lower Yukon-Kuskokwim</v>
      </c>
      <c r="O148" s="452" t="str">
        <f t="array" ref="O148">IFERROR((INDEX(UtilityList!K$4:K$251,MATCH('Table 2.2a'!$A148&amp;'Table 2.2a'!$B148,UtilityList!$A$4:$A$251&amp;UtilityList!$C$4:$C$251,0))),INDEX(UtilityList!K$4:K$251,MATCH('Table 2.2a'!$A148,UtilityList!$A$4:$A$251,0)))</f>
        <v>Bethel (CA)</v>
      </c>
      <c r="P148" s="452" t="str">
        <f t="array" ref="P148">IFERROR((INDEX(UtilityList!L$4:L$251,MATCH('Table 2.2a'!$A148&amp;'Table 2.2a'!$B148,UtilityList!$A$4:$A$251&amp;UtilityList!$C$4:$C$251,0))),INDEX(UtilityList!L$4:L$251,MATCH('Table 2.2a'!$A148,UtilityList!$A$4:$A$251,0)))</f>
        <v>Calista</v>
      </c>
      <c r="Q148" s="452" t="str">
        <f t="array" ref="Q148">IFERROR((INDEX(UtilityList!M$4:M$251,MATCH('Table 2.2a'!$A148&amp;'Table 2.2a'!$B148,UtilityList!$A$4:$A$251&amp;UtilityList!$C$4:$C$251,0))),INDEX(UtilityList!M$4:M$251,MATCH('Table 2.2a'!$A148,UtilityList!$A$4:$A$251,0)))</f>
        <v>SW</v>
      </c>
    </row>
    <row r="149" spans="1:18" s="204" customFormat="1" ht="15" x14ac:dyDescent="0.25">
      <c r="A149" s="628" t="s">
        <v>250</v>
      </c>
      <c r="B149" s="628" t="s">
        <v>255</v>
      </c>
      <c r="C149" s="629">
        <v>143.24700000000001</v>
      </c>
      <c r="D149" s="629">
        <v>0</v>
      </c>
      <c r="E149" s="629">
        <v>0</v>
      </c>
      <c r="F149" s="629">
        <v>143.24700000000001</v>
      </c>
      <c r="G149" s="629">
        <v>111.319</v>
      </c>
      <c r="H149" s="629">
        <v>0</v>
      </c>
      <c r="I149" s="629">
        <v>6.0000000000000001E-3</v>
      </c>
      <c r="J149" s="629">
        <v>15.175000000000001</v>
      </c>
      <c r="K149" s="629">
        <v>16.747000000000014</v>
      </c>
      <c r="L149" s="630" t="s">
        <v>356</v>
      </c>
      <c r="M149" s="627">
        <f t="array" ref="M149">INDEX(UtilityList!Q$4:Q$251,MATCH('Table 2.2a'!$A149&amp;'Table 2.2a'!$B149,UtilityList!$A$4:$A$251&amp;UtilityList!$C$4:$C$251,0))</f>
        <v>0</v>
      </c>
      <c r="N149" s="452" t="str">
        <f t="array" ref="N149">IFERROR((INDEX(UtilityList!J$4:J$251,MATCH('Table 2.2a'!$A149&amp;'Table 2.2a'!$B149,UtilityList!$A$4:$A$251&amp;UtilityList!$C$4:$C$251,0))),INDEX(UtilityList!J$4:J$251,MATCH('Table 2.2a'!$A149,UtilityList!$A$4:$A$251,0)))</f>
        <v>Lower Yukon-Kuskokwim</v>
      </c>
      <c r="O149" s="452" t="str">
        <f t="array" ref="O149">IFERROR((INDEX(UtilityList!K$4:K$251,MATCH('Table 2.2a'!$A149&amp;'Table 2.2a'!$B149,UtilityList!$A$4:$A$251&amp;UtilityList!$C$4:$C$251,0))),INDEX(UtilityList!K$4:K$251,MATCH('Table 2.2a'!$A149,UtilityList!$A$4:$A$251,0)))</f>
        <v>Bethel (CA)</v>
      </c>
      <c r="P149" s="452" t="str">
        <f t="array" ref="P149">IFERROR((INDEX(UtilityList!L$4:L$251,MATCH('Table 2.2a'!$A149&amp;'Table 2.2a'!$B149,UtilityList!$A$4:$A$251&amp;UtilityList!$C$4:$C$251,0))),INDEX(UtilityList!L$4:L$251,MATCH('Table 2.2a'!$A149,UtilityList!$A$4:$A$251,0)))</f>
        <v>Calista</v>
      </c>
      <c r="Q149" s="452" t="str">
        <f t="array" ref="Q149">IFERROR((INDEX(UtilityList!M$4:M$251,MATCH('Table 2.2a'!$A149&amp;'Table 2.2a'!$B149,UtilityList!$A$4:$A$251&amp;UtilityList!$C$4:$C$251,0))),INDEX(UtilityList!M$4:M$251,MATCH('Table 2.2a'!$A149,UtilityList!$A$4:$A$251,0)))</f>
        <v>SW</v>
      </c>
    </row>
    <row r="150" spans="1:18" s="204" customFormat="1" ht="45" x14ac:dyDescent="0.25">
      <c r="A150" s="628" t="s">
        <v>258</v>
      </c>
      <c r="B150" s="628" t="s">
        <v>682</v>
      </c>
      <c r="C150" s="629">
        <v>20600</v>
      </c>
      <c r="D150" s="629">
        <v>0</v>
      </c>
      <c r="E150" s="629">
        <v>0</v>
      </c>
      <c r="F150" s="629">
        <v>20600</v>
      </c>
      <c r="G150" s="629">
        <v>18400</v>
      </c>
      <c r="H150" s="629">
        <v>0</v>
      </c>
      <c r="I150" s="629">
        <v>0</v>
      </c>
      <c r="J150" s="629">
        <v>621.00199999999995</v>
      </c>
      <c r="K150" s="629">
        <v>1578.9979999999996</v>
      </c>
      <c r="L150" s="630" t="s">
        <v>356</v>
      </c>
      <c r="M150" s="627" t="str">
        <f t="array" ref="M150">INDEX(UtilityList!Q$4:Q$251,MATCH('Table 2.2a'!$A150&amp;'Table 2.2a'!$B150,UtilityList!$A$4:$A$251&amp;UtilityList!$C$4:$C$251,0))</f>
        <v>Provides power to South Naknek and King Salmon via intertie. Data includes South Naknek's and King Salmon's information.</v>
      </c>
      <c r="N150" s="452" t="str">
        <f t="array" ref="N150">IFERROR((INDEX(UtilityList!J$4:J$251,MATCH('Table 2.2a'!$A150&amp;'Table 2.2a'!$B150,UtilityList!$A$4:$A$251&amp;UtilityList!$C$4:$C$251,0))),INDEX(UtilityList!J$4:J$251,MATCH('Table 2.2a'!$A150,UtilityList!$A$4:$A$251,0)))</f>
        <v>Bristol Bay</v>
      </c>
      <c r="O150" s="452" t="str">
        <f t="array" ref="O150">IFERROR((INDEX(UtilityList!K$4:K$251,MATCH('Table 2.2a'!$A150&amp;'Table 2.2a'!$B150,UtilityList!$A$4:$A$251&amp;UtilityList!$C$4:$C$251,0))),INDEX(UtilityList!K$4:K$251,MATCH('Table 2.2a'!$A150,UtilityList!$A$4:$A$251,0)))</f>
        <v>Bristol Bay</v>
      </c>
      <c r="P150" s="452" t="str">
        <f t="array" ref="P150">IFERROR((INDEX(UtilityList!L$4:L$251,MATCH('Table 2.2a'!$A150&amp;'Table 2.2a'!$B150,UtilityList!$A$4:$A$251&amp;UtilityList!$C$4:$C$251,0))),INDEX(UtilityList!L$4:L$251,MATCH('Table 2.2a'!$A150,UtilityList!$A$4:$A$251,0)))</f>
        <v>Bristol Bay</v>
      </c>
      <c r="Q150" s="452" t="str">
        <f t="array" ref="Q150">IFERROR((INDEX(UtilityList!M$4:M$251,MATCH('Table 2.2a'!$A150&amp;'Table 2.2a'!$B150,UtilityList!$A$4:$A$251&amp;UtilityList!$C$4:$C$251,0))),INDEX(UtilityList!M$4:M$251,MATCH('Table 2.2a'!$A150,UtilityList!$A$4:$A$251,0)))</f>
        <v>SW</v>
      </c>
    </row>
    <row r="151" spans="1:18" s="204" customFormat="1" ht="30" x14ac:dyDescent="0.25">
      <c r="A151" s="628" t="s">
        <v>260</v>
      </c>
      <c r="B151" s="628" t="s">
        <v>261</v>
      </c>
      <c r="C151" s="629">
        <v>0</v>
      </c>
      <c r="D151" s="629">
        <v>638.88</v>
      </c>
      <c r="E151" s="629">
        <v>0</v>
      </c>
      <c r="F151" s="629">
        <v>638.88</v>
      </c>
      <c r="G151" s="629">
        <v>601.88199999999995</v>
      </c>
      <c r="H151" s="629">
        <v>0</v>
      </c>
      <c r="I151" s="629">
        <v>1.6</v>
      </c>
      <c r="J151" s="629">
        <v>0</v>
      </c>
      <c r="K151" s="629">
        <v>35.398000000000025</v>
      </c>
      <c r="L151" s="630" t="s">
        <v>356</v>
      </c>
      <c r="M151" s="627" t="str">
        <f t="array" ref="M151">INDEX(UtilityList!Q$4:Q$251,MATCH('Table 2.2a'!$A151&amp;'Table 2.2a'!$B151,UtilityList!$A$4:$A$251&amp;UtilityList!$C$4:$C$251,0))</f>
        <v>Purchases power from Bethel Utilities Corporation</v>
      </c>
      <c r="N151" s="452" t="str">
        <f t="array" ref="N151">IFERROR((INDEX(UtilityList!J$4:J$251,MATCH('Table 2.2a'!$A151&amp;'Table 2.2a'!$B151,UtilityList!$A$4:$A$251&amp;UtilityList!$C$4:$C$251,0))),INDEX(UtilityList!J$4:J$251,MATCH('Table 2.2a'!$A151,UtilityList!$A$4:$A$251,0)))</f>
        <v>Lower Yukon-Kuskokwim</v>
      </c>
      <c r="O151" s="452" t="str">
        <f t="array" ref="O151">IFERROR((INDEX(UtilityList!K$4:K$251,MATCH('Table 2.2a'!$A151&amp;'Table 2.2a'!$B151,UtilityList!$A$4:$A$251&amp;UtilityList!$C$4:$C$251,0))),INDEX(UtilityList!K$4:K$251,MATCH('Table 2.2a'!$A151,UtilityList!$A$4:$A$251,0)))</f>
        <v>Bethel (CA)</v>
      </c>
      <c r="P151" s="452" t="str">
        <f t="array" ref="P151">IFERROR((INDEX(UtilityList!L$4:L$251,MATCH('Table 2.2a'!$A151&amp;'Table 2.2a'!$B151,UtilityList!$A$4:$A$251&amp;UtilityList!$C$4:$C$251,0))),INDEX(UtilityList!L$4:L$251,MATCH('Table 2.2a'!$A151,UtilityList!$A$4:$A$251,0)))</f>
        <v>Calista</v>
      </c>
      <c r="Q151" s="452" t="str">
        <f t="array" ref="Q151">IFERROR((INDEX(UtilityList!M$4:M$251,MATCH('Table 2.2a'!$A151&amp;'Table 2.2a'!$B151,UtilityList!$A$4:$A$251&amp;UtilityList!$C$4:$C$251,0))),INDEX(UtilityList!M$4:M$251,MATCH('Table 2.2a'!$A151,UtilityList!$A$4:$A$251,0)))</f>
        <v>SW</v>
      </c>
    </row>
    <row r="152" spans="1:18" s="204" customFormat="1" ht="15" x14ac:dyDescent="0.25">
      <c r="A152" s="628" t="s">
        <v>262</v>
      </c>
      <c r="B152" s="628" t="s">
        <v>263</v>
      </c>
      <c r="C152" s="629">
        <v>1015.901</v>
      </c>
      <c r="D152" s="629">
        <v>0</v>
      </c>
      <c r="E152" s="629">
        <v>0</v>
      </c>
      <c r="F152" s="629">
        <v>1015.901</v>
      </c>
      <c r="G152" s="629">
        <v>749.67200000000003</v>
      </c>
      <c r="H152" s="629">
        <v>0</v>
      </c>
      <c r="I152" s="629">
        <v>51.968000000000004</v>
      </c>
      <c r="J152" s="629">
        <v>36.451000000000001</v>
      </c>
      <c r="K152" s="629">
        <v>177.80999999999995</v>
      </c>
      <c r="L152" s="630" t="s">
        <v>356</v>
      </c>
      <c r="M152" s="627">
        <f t="array" ref="M152">INDEX(UtilityList!Q$4:Q$251,MATCH('Table 2.2a'!$A152&amp;'Table 2.2a'!$B152,UtilityList!$A$4:$A$251&amp;UtilityList!$C$4:$C$251,0))</f>
        <v>0</v>
      </c>
      <c r="N152" s="452" t="str">
        <f t="array" ref="N152">IFERROR((INDEX(UtilityList!J$4:J$251,MATCH('Table 2.2a'!$A152&amp;'Table 2.2a'!$B152,UtilityList!$A$4:$A$251&amp;UtilityList!$C$4:$C$251,0))),INDEX(UtilityList!J$4:J$251,MATCH('Table 2.2a'!$A152,UtilityList!$A$4:$A$251,0)))</f>
        <v>Lower Yukon-Kuskokwim</v>
      </c>
      <c r="O152" s="452" t="str">
        <f t="array" ref="O152">IFERROR((INDEX(UtilityList!K$4:K$251,MATCH('Table 2.2a'!$A152&amp;'Table 2.2a'!$B152,UtilityList!$A$4:$A$251&amp;UtilityList!$C$4:$C$251,0))),INDEX(UtilityList!K$4:K$251,MATCH('Table 2.2a'!$A152,UtilityList!$A$4:$A$251,0)))</f>
        <v>Bethel (CA)</v>
      </c>
      <c r="P152" s="452" t="str">
        <f t="array" ref="P152">IFERROR((INDEX(UtilityList!L$4:L$251,MATCH('Table 2.2a'!$A152&amp;'Table 2.2a'!$B152,UtilityList!$A$4:$A$251&amp;UtilityList!$C$4:$C$251,0))),INDEX(UtilityList!L$4:L$251,MATCH('Table 2.2a'!$A152,UtilityList!$A$4:$A$251,0)))</f>
        <v>Calista</v>
      </c>
      <c r="Q152" s="452" t="str">
        <f t="array" ref="Q152">IFERROR((INDEX(UtilityList!M$4:M$251,MATCH('Table 2.2a'!$A152&amp;'Table 2.2a'!$B152,UtilityList!$A$4:$A$251&amp;UtilityList!$C$4:$C$251,0))),INDEX(UtilityList!M$4:M$251,MATCH('Table 2.2a'!$A152,UtilityList!$A$4:$A$251,0)))</f>
        <v>SW</v>
      </c>
    </row>
    <row r="153" spans="1:18" s="204" customFormat="1" ht="15" x14ac:dyDescent="0.25">
      <c r="A153" s="628" t="s">
        <v>264</v>
      </c>
      <c r="B153" s="628" t="s">
        <v>265</v>
      </c>
      <c r="C153" s="629">
        <v>1660.501</v>
      </c>
      <c r="D153" s="629">
        <v>0</v>
      </c>
      <c r="E153" s="629">
        <v>0</v>
      </c>
      <c r="F153" s="629">
        <v>1660.501</v>
      </c>
      <c r="G153" s="629">
        <v>1093.0630000000001</v>
      </c>
      <c r="H153" s="629">
        <v>0</v>
      </c>
      <c r="I153" s="629">
        <v>46.411000000000001</v>
      </c>
      <c r="J153" s="629">
        <v>29.876999999999999</v>
      </c>
      <c r="K153" s="629">
        <v>491.14999999999986</v>
      </c>
      <c r="L153" s="630" t="s">
        <v>356</v>
      </c>
      <c r="M153" s="627">
        <f t="array" ref="M153">INDEX(UtilityList!Q$4:Q$251,MATCH('Table 2.2a'!$A153&amp;'Table 2.2a'!$B153,UtilityList!$A$4:$A$251&amp;UtilityList!$C$4:$C$251,0))</f>
        <v>0</v>
      </c>
      <c r="N153" s="452" t="str">
        <f t="array" ref="N153">IFERROR((INDEX(UtilityList!J$4:J$251,MATCH('Table 2.2a'!$A153&amp;'Table 2.2a'!$B153,UtilityList!$A$4:$A$251&amp;UtilityList!$C$4:$C$251,0))),INDEX(UtilityList!J$4:J$251,MATCH('Table 2.2a'!$A153,UtilityList!$A$4:$A$251,0)))</f>
        <v>Lower Yukon-Kuskokwim</v>
      </c>
      <c r="O153" s="452" t="str">
        <f t="array" ref="O153">IFERROR((INDEX(UtilityList!K$4:K$251,MATCH('Table 2.2a'!$A153&amp;'Table 2.2a'!$B153,UtilityList!$A$4:$A$251&amp;UtilityList!$C$4:$C$251,0))),INDEX(UtilityList!K$4:K$251,MATCH('Table 2.2a'!$A153,UtilityList!$A$4:$A$251,0)))</f>
        <v>Bethel (CA)</v>
      </c>
      <c r="P153" s="452" t="str">
        <f t="array" ref="P153">IFERROR((INDEX(UtilityList!L$4:L$251,MATCH('Table 2.2a'!$A153&amp;'Table 2.2a'!$B153,UtilityList!$A$4:$A$251&amp;UtilityList!$C$4:$C$251,0))),INDEX(UtilityList!L$4:L$251,MATCH('Table 2.2a'!$A153,UtilityList!$A$4:$A$251,0)))</f>
        <v>Calista</v>
      </c>
      <c r="Q153" s="452" t="str">
        <f t="array" ref="Q153">IFERROR((INDEX(UtilityList!M$4:M$251,MATCH('Table 2.2a'!$A153&amp;'Table 2.2a'!$B153,UtilityList!$A$4:$A$251&amp;UtilityList!$C$4:$C$251,0))),INDEX(UtilityList!M$4:M$251,MATCH('Table 2.2a'!$A153,UtilityList!$A$4:$A$251,0)))</f>
        <v>SW</v>
      </c>
    </row>
    <row r="154" spans="1:18" s="204" customFormat="1" ht="15" x14ac:dyDescent="0.25">
      <c r="A154" s="628" t="s">
        <v>266</v>
      </c>
      <c r="B154" s="628" t="s">
        <v>267</v>
      </c>
      <c r="C154" s="629">
        <v>198.20599999999999</v>
      </c>
      <c r="D154" s="629">
        <v>0</v>
      </c>
      <c r="E154" s="629">
        <v>0</v>
      </c>
      <c r="F154" s="629">
        <v>198.20599999999999</v>
      </c>
      <c r="G154" s="629">
        <v>341.99</v>
      </c>
      <c r="H154" s="629">
        <v>0</v>
      </c>
      <c r="I154" s="629">
        <v>18.068000000000001</v>
      </c>
      <c r="J154" s="629">
        <v>5.9757273</v>
      </c>
      <c r="K154" s="629">
        <v>-167.82772730000002</v>
      </c>
      <c r="L154" s="630" t="s">
        <v>356</v>
      </c>
      <c r="M154" s="627">
        <f t="array" ref="M154">INDEX(UtilityList!Q$4:Q$251,MATCH('Table 2.2a'!$A154&amp;'Table 2.2a'!$B154,UtilityList!$A$4:$A$251&amp;UtilityList!$C$4:$C$251,0))</f>
        <v>0</v>
      </c>
      <c r="N154" s="452" t="str">
        <f t="array" ref="N154">IFERROR((INDEX(UtilityList!J$4:J$251,MATCH('Table 2.2a'!$A154&amp;'Table 2.2a'!$B154,UtilityList!$A$4:$A$251&amp;UtilityList!$C$4:$C$251,0))),INDEX(UtilityList!J$4:J$251,MATCH('Table 2.2a'!$A154,UtilityList!$A$4:$A$251,0)))</f>
        <v>Bristol Bay</v>
      </c>
      <c r="O154" s="452" t="str">
        <f t="array" ref="O154">IFERROR((INDEX(UtilityList!K$4:K$251,MATCH('Table 2.2a'!$A154&amp;'Table 2.2a'!$B154,UtilityList!$A$4:$A$251&amp;UtilityList!$C$4:$C$251,0))),INDEX(UtilityList!K$4:K$251,MATCH('Table 2.2a'!$A154,UtilityList!$A$4:$A$251,0)))</f>
        <v>Lake and Peninsula</v>
      </c>
      <c r="P154" s="452" t="str">
        <f t="array" ref="P154">IFERROR((INDEX(UtilityList!L$4:L$251,MATCH('Table 2.2a'!$A154&amp;'Table 2.2a'!$B154,UtilityList!$A$4:$A$251&amp;UtilityList!$C$4:$C$251,0))),INDEX(UtilityList!L$4:L$251,MATCH('Table 2.2a'!$A154,UtilityList!$A$4:$A$251,0)))</f>
        <v>Bristol Bay</v>
      </c>
      <c r="Q154" s="452" t="str">
        <f t="array" ref="Q154">IFERROR((INDEX(UtilityList!M$4:M$251,MATCH('Table 2.2a'!$A154&amp;'Table 2.2a'!$B154,UtilityList!$A$4:$A$251&amp;UtilityList!$C$4:$C$251,0))),INDEX(UtilityList!M$4:M$251,MATCH('Table 2.2a'!$A154,UtilityList!$A$4:$A$251,0)))</f>
        <v>SW</v>
      </c>
    </row>
    <row r="155" spans="1:18" s="204" customFormat="1" ht="15" x14ac:dyDescent="0.25">
      <c r="A155" s="628" t="s">
        <v>268</v>
      </c>
      <c r="B155" s="628" t="s">
        <v>269</v>
      </c>
      <c r="C155" s="629">
        <v>397.81190000000004</v>
      </c>
      <c r="D155" s="629">
        <v>0</v>
      </c>
      <c r="E155" s="629">
        <v>0</v>
      </c>
      <c r="F155" s="629">
        <v>397.81190000000004</v>
      </c>
      <c r="G155" s="629">
        <v>373.25099999999998</v>
      </c>
      <c r="H155" s="629">
        <v>0</v>
      </c>
      <c r="I155" s="629">
        <v>0</v>
      </c>
      <c r="J155" s="629">
        <v>5.58</v>
      </c>
      <c r="K155" s="629">
        <v>18.980900000000076</v>
      </c>
      <c r="L155" s="630" t="s">
        <v>356</v>
      </c>
      <c r="M155" s="627">
        <f t="array" ref="M155">INDEX(UtilityList!Q$4:Q$251,MATCH('Table 2.2a'!$A155&amp;'Table 2.2a'!$B155,UtilityList!$A$4:$A$251&amp;UtilityList!$C$4:$C$251,0))</f>
        <v>0</v>
      </c>
      <c r="N155" s="452" t="str">
        <f t="array" ref="N155">IFERROR((INDEX(UtilityList!J$4:J$251,MATCH('Table 2.2a'!$A155&amp;'Table 2.2a'!$B155,UtilityList!$A$4:$A$251&amp;UtilityList!$C$4:$C$251,0))),INDEX(UtilityList!J$4:J$251,MATCH('Table 2.2a'!$A155,UtilityList!$A$4:$A$251,0)))</f>
        <v>Aleutians</v>
      </c>
      <c r="O155" s="452" t="str">
        <f t="array" ref="O155">IFERROR((INDEX(UtilityList!K$4:K$251,MATCH('Table 2.2a'!$A155&amp;'Table 2.2a'!$B155,UtilityList!$A$4:$A$251&amp;UtilityList!$C$4:$C$251,0))),INDEX(UtilityList!K$4:K$251,MATCH('Table 2.2a'!$A155,UtilityList!$A$4:$A$251,0)))</f>
        <v>Aleutians East</v>
      </c>
      <c r="P155" s="452" t="str">
        <f t="array" ref="P155">IFERROR((INDEX(UtilityList!L$4:L$251,MATCH('Table 2.2a'!$A155&amp;'Table 2.2a'!$B155,UtilityList!$A$4:$A$251&amp;UtilityList!$C$4:$C$251,0))),INDEX(UtilityList!L$4:L$251,MATCH('Table 2.2a'!$A155,UtilityList!$A$4:$A$251,0)))</f>
        <v>Aleut</v>
      </c>
      <c r="Q155" s="452" t="str">
        <f t="array" ref="Q155">IFERROR((INDEX(UtilityList!M$4:M$251,MATCH('Table 2.2a'!$A155&amp;'Table 2.2a'!$B155,UtilityList!$A$4:$A$251&amp;UtilityList!$C$4:$C$251,0))),INDEX(UtilityList!M$4:M$251,MATCH('Table 2.2a'!$A155,UtilityList!$A$4:$A$251,0)))</f>
        <v>SW</v>
      </c>
    </row>
    <row r="156" spans="1:18" s="204" customFormat="1" ht="15" x14ac:dyDescent="0.25">
      <c r="A156" s="628" t="s">
        <v>270</v>
      </c>
      <c r="B156" s="628" t="s">
        <v>271</v>
      </c>
      <c r="C156" s="629">
        <v>670.35500000000002</v>
      </c>
      <c r="D156" s="629">
        <v>0</v>
      </c>
      <c r="E156" s="629">
        <v>0</v>
      </c>
      <c r="F156" s="629">
        <v>670.35500000000002</v>
      </c>
      <c r="G156" s="629">
        <v>610.08000000000004</v>
      </c>
      <c r="H156" s="629">
        <v>0</v>
      </c>
      <c r="I156" s="629">
        <v>0</v>
      </c>
      <c r="J156" s="629">
        <v>21.914999999999999</v>
      </c>
      <c r="K156" s="629">
        <v>38.360000000000014</v>
      </c>
      <c r="L156" s="630" t="s">
        <v>356</v>
      </c>
      <c r="M156" s="627">
        <f t="array" ref="M156">INDEX(UtilityList!Q$4:Q$251,MATCH('Table 2.2a'!$A156&amp;'Table 2.2a'!$B156,UtilityList!$A$4:$A$251&amp;UtilityList!$C$4:$C$251,0))</f>
        <v>0</v>
      </c>
      <c r="N156" s="452" t="str">
        <f t="array" ref="N156">IFERROR((INDEX(UtilityList!J$4:J$251,MATCH('Table 2.2a'!$A156&amp;'Table 2.2a'!$B156,UtilityList!$A$4:$A$251&amp;UtilityList!$C$4:$C$251,0))),INDEX(UtilityList!J$4:J$251,MATCH('Table 2.2a'!$A156,UtilityList!$A$4:$A$251,0)))</f>
        <v>Bristol Bay</v>
      </c>
      <c r="O156" s="452" t="str">
        <f t="array" ref="O156">IFERROR((INDEX(UtilityList!K$4:K$251,MATCH('Table 2.2a'!$A156&amp;'Table 2.2a'!$B156,UtilityList!$A$4:$A$251&amp;UtilityList!$C$4:$C$251,0))),INDEX(UtilityList!K$4:K$251,MATCH('Table 2.2a'!$A156,UtilityList!$A$4:$A$251,0)))</f>
        <v>Dillingham (CA)</v>
      </c>
      <c r="P156" s="452" t="str">
        <f t="array" ref="P156">IFERROR((INDEX(UtilityList!L$4:L$251,MATCH('Table 2.2a'!$A156&amp;'Table 2.2a'!$B156,UtilityList!$A$4:$A$251&amp;UtilityList!$C$4:$C$251,0))),INDEX(UtilityList!L$4:L$251,MATCH('Table 2.2a'!$A156,UtilityList!$A$4:$A$251,0)))</f>
        <v>Bristol Bay</v>
      </c>
      <c r="Q156" s="452" t="str">
        <f t="array" ref="Q156">IFERROR((INDEX(UtilityList!M$4:M$251,MATCH('Table 2.2a'!$A156&amp;'Table 2.2a'!$B156,UtilityList!$A$4:$A$251&amp;UtilityList!$C$4:$C$251,0))),INDEX(UtilityList!M$4:M$251,MATCH('Table 2.2a'!$A156,UtilityList!$A$4:$A$251,0)))</f>
        <v>SW</v>
      </c>
    </row>
    <row r="157" spans="1:18" s="204" customFormat="1" ht="15" x14ac:dyDescent="0.25">
      <c r="A157" s="628" t="s">
        <v>272</v>
      </c>
      <c r="B157" s="628" t="s">
        <v>273</v>
      </c>
      <c r="C157" s="629">
        <v>416.33</v>
      </c>
      <c r="D157" s="629">
        <v>0</v>
      </c>
      <c r="E157" s="629">
        <v>0</v>
      </c>
      <c r="F157" s="629">
        <v>416.33</v>
      </c>
      <c r="G157" s="629">
        <v>334.14299999999997</v>
      </c>
      <c r="H157" s="629">
        <v>0</v>
      </c>
      <c r="I157" s="629">
        <v>0</v>
      </c>
      <c r="J157" s="629">
        <v>17.118908999999999</v>
      </c>
      <c r="K157" s="629">
        <v>65.068091000000038</v>
      </c>
      <c r="L157" s="630" t="s">
        <v>356</v>
      </c>
      <c r="M157" s="627">
        <f t="array" ref="M157">INDEX(UtilityList!Q$4:Q$251,MATCH('Table 2.2a'!$A157&amp;'Table 2.2a'!$B157,UtilityList!$A$4:$A$251&amp;UtilityList!$C$4:$C$251,0))</f>
        <v>0</v>
      </c>
      <c r="N157" s="452" t="str">
        <f t="array" ref="N157">IFERROR((INDEX(UtilityList!J$4:J$251,MATCH('Table 2.2a'!$A157&amp;'Table 2.2a'!$B157,UtilityList!$A$4:$A$251&amp;UtilityList!$C$4:$C$251,0))),INDEX(UtilityList!J$4:J$251,MATCH('Table 2.2a'!$A157,UtilityList!$A$4:$A$251,0)))</f>
        <v>Yukon-Koyukuk/Upper Tanana</v>
      </c>
      <c r="O157" s="452" t="str">
        <f t="array" ref="O157">IFERROR((INDEX(UtilityList!K$4:K$251,MATCH('Table 2.2a'!$A157&amp;'Table 2.2a'!$B157,UtilityList!$A$4:$A$251&amp;UtilityList!$C$4:$C$251,0))),INDEX(UtilityList!K$4:K$251,MATCH('Table 2.2a'!$A157,UtilityList!$A$4:$A$251,0)))</f>
        <v>Yukon-Koyukuk (CA)</v>
      </c>
      <c r="P157" s="452" t="str">
        <f t="array" ref="P157">IFERROR((INDEX(UtilityList!L$4:L$251,MATCH('Table 2.2a'!$A157&amp;'Table 2.2a'!$B157,UtilityList!$A$4:$A$251&amp;UtilityList!$C$4:$C$251,0))),INDEX(UtilityList!L$4:L$251,MATCH('Table 2.2a'!$A157,UtilityList!$A$4:$A$251,0)))</f>
        <v>Doyon</v>
      </c>
      <c r="Q157" s="452" t="str">
        <f t="array" ref="Q157">IFERROR((INDEX(UtilityList!M$4:M$251,MATCH('Table 2.2a'!$A157&amp;'Table 2.2a'!$B157,UtilityList!$A$4:$A$251&amp;UtilityList!$C$4:$C$251,0))),INDEX(UtilityList!M$4:M$251,MATCH('Table 2.2a'!$A157,UtilityList!$A$4:$A$251,0)))</f>
        <v>SW</v>
      </c>
    </row>
    <row r="158" spans="1:18" s="206" customFormat="1" ht="15" x14ac:dyDescent="0.25">
      <c r="A158" s="628" t="s">
        <v>274</v>
      </c>
      <c r="B158" s="628" t="s">
        <v>276</v>
      </c>
      <c r="C158" s="629">
        <v>35000</v>
      </c>
      <c r="D158" s="629">
        <v>955.14800000000002</v>
      </c>
      <c r="E158" s="629">
        <v>0</v>
      </c>
      <c r="F158" s="629">
        <v>35955.148000000001</v>
      </c>
      <c r="G158" s="629">
        <v>32800</v>
      </c>
      <c r="H158" s="629">
        <v>0</v>
      </c>
      <c r="I158" s="629">
        <v>0</v>
      </c>
      <c r="J158" s="629">
        <v>1544.691</v>
      </c>
      <c r="K158" s="629">
        <v>1610.4570000000022</v>
      </c>
      <c r="L158" s="630" t="s">
        <v>356</v>
      </c>
      <c r="M158" s="627">
        <f t="array" ref="M158">INDEX(UtilityList!Q$4:Q$251,MATCH('Table 2.2a'!$A158&amp;'Table 2.2a'!$B158,UtilityList!$A$4:$A$251&amp;UtilityList!$C$4:$C$251,0))</f>
        <v>0</v>
      </c>
      <c r="N158" s="452" t="str">
        <f t="array" ref="N158">IFERROR((INDEX(UtilityList!J$4:J$251,MATCH('Table 2.2a'!$A158&amp;'Table 2.2a'!$B158,UtilityList!$A$4:$A$251&amp;UtilityList!$C$4:$C$251,0))),INDEX(UtilityList!J$4:J$251,MATCH('Table 2.2a'!$A158,UtilityList!$A$4:$A$251,0)))</f>
        <v>Bering Straits</v>
      </c>
      <c r="O158" s="452" t="str">
        <f t="array" ref="O158">IFERROR((INDEX(UtilityList!K$4:K$251,MATCH('Table 2.2a'!$A158&amp;'Table 2.2a'!$B158,UtilityList!$A$4:$A$251&amp;UtilityList!$C$4:$C$251,0))),INDEX(UtilityList!K$4:K$251,MATCH('Table 2.2a'!$A158,UtilityList!$A$4:$A$251,0)))</f>
        <v>Nome (CA)</v>
      </c>
      <c r="P158" s="452" t="str">
        <f t="array" ref="P158">IFERROR((INDEX(UtilityList!L$4:L$251,MATCH('Table 2.2a'!$A158&amp;'Table 2.2a'!$B158,UtilityList!$A$4:$A$251&amp;UtilityList!$C$4:$C$251,0))),INDEX(UtilityList!L$4:L$251,MATCH('Table 2.2a'!$A158,UtilityList!$A$4:$A$251,0)))</f>
        <v>Bering Straits</v>
      </c>
      <c r="Q158" s="452" t="str">
        <f t="array" ref="Q158">IFERROR((INDEX(UtilityList!M$4:M$251,MATCH('Table 2.2a'!$A158&amp;'Table 2.2a'!$B158,UtilityList!$A$4:$A$251&amp;UtilityList!$C$4:$C$251,0))),INDEX(UtilityList!M$4:M$251,MATCH('Table 2.2a'!$A158,UtilityList!$A$4:$A$251,0)))</f>
        <v>AN</v>
      </c>
      <c r="R158" s="204"/>
    </row>
    <row r="159" spans="1:18" s="206" customFormat="1" ht="15" x14ac:dyDescent="0.25">
      <c r="A159" s="633" t="s">
        <v>277</v>
      </c>
      <c r="B159" s="633" t="s">
        <v>278</v>
      </c>
      <c r="C159" s="629">
        <v>3769</v>
      </c>
      <c r="D159" s="629">
        <v>0</v>
      </c>
      <c r="E159" s="629" t="s">
        <v>710</v>
      </c>
      <c r="F159" s="629">
        <v>3769</v>
      </c>
      <c r="G159" s="629">
        <v>3292.8</v>
      </c>
      <c r="H159" s="629" t="s">
        <v>710</v>
      </c>
      <c r="I159" s="629">
        <v>32.064</v>
      </c>
      <c r="J159" s="629">
        <v>204.21</v>
      </c>
      <c r="K159" s="629">
        <v>239.92599999999993</v>
      </c>
      <c r="L159" s="634" t="s">
        <v>356</v>
      </c>
      <c r="M159" s="627">
        <f t="array" ref="M159">INDEX(UtilityList!Q$4:Q$251,MATCH('Table 2.2a'!$A159&amp;'Table 2.2a'!$B159,UtilityList!$A$4:$A$251&amp;UtilityList!$C$4:$C$251,0))</f>
        <v>0</v>
      </c>
      <c r="N159" s="452" t="str">
        <f t="array" ref="N159">IFERROR((INDEX(UtilityList!J$4:J$251,MATCH('Table 2.2a'!$A159&amp;'Table 2.2a'!$B159,UtilityList!$A$4:$A$251&amp;UtilityList!$C$4:$C$251,0))),INDEX(UtilityList!J$4:J$251,MATCH('Table 2.2a'!$A159,UtilityList!$A$4:$A$251,0)))</f>
        <v>North Slope</v>
      </c>
      <c r="O159" s="452" t="str">
        <f t="array" ref="O159">IFERROR((INDEX(UtilityList!K$4:K$251,MATCH('Table 2.2a'!$A159&amp;'Table 2.2a'!$B159,UtilityList!$A$4:$A$251&amp;UtilityList!$C$4:$C$251,0))),INDEX(UtilityList!K$4:K$251,MATCH('Table 2.2a'!$A159,UtilityList!$A$4:$A$251,0)))</f>
        <v>North Slope</v>
      </c>
      <c r="P159" s="452" t="str">
        <f t="array" ref="P159">IFERROR((INDEX(UtilityList!L$4:L$251,MATCH('Table 2.2a'!$A159&amp;'Table 2.2a'!$B159,UtilityList!$A$4:$A$251&amp;UtilityList!$C$4:$C$251,0))),INDEX(UtilityList!L$4:L$251,MATCH('Table 2.2a'!$A159,UtilityList!$A$4:$A$251,0)))</f>
        <v>Arctic Slope</v>
      </c>
      <c r="Q159" s="452" t="str">
        <f t="array" ref="Q159">IFERROR((INDEX(UtilityList!M$4:M$251,MATCH('Table 2.2a'!$A159&amp;'Table 2.2a'!$B159,UtilityList!$A$4:$A$251&amp;UtilityList!$C$4:$C$251,0))),INDEX(UtilityList!M$4:M$251,MATCH('Table 2.2a'!$A159,UtilityList!$A$4:$A$251,0)))</f>
        <v>AN</v>
      </c>
      <c r="R159" s="204"/>
    </row>
    <row r="160" spans="1:18" s="206" customFormat="1" ht="15" x14ac:dyDescent="0.25">
      <c r="A160" s="633" t="s">
        <v>277</v>
      </c>
      <c r="B160" s="633" t="s">
        <v>279</v>
      </c>
      <c r="C160" s="629">
        <v>3350.88</v>
      </c>
      <c r="D160" s="629">
        <v>0</v>
      </c>
      <c r="E160" s="629" t="s">
        <v>710</v>
      </c>
      <c r="F160" s="629">
        <v>3350.88</v>
      </c>
      <c r="G160" s="629">
        <v>2993.9850000000001</v>
      </c>
      <c r="H160" s="629" t="s">
        <v>710</v>
      </c>
      <c r="I160" s="629">
        <v>17.856000000000002</v>
      </c>
      <c r="J160" s="629">
        <v>100.032</v>
      </c>
      <c r="K160" s="629">
        <v>239.00699999999961</v>
      </c>
      <c r="L160" s="634" t="s">
        <v>356</v>
      </c>
      <c r="M160" s="627">
        <f t="array" ref="M160">INDEX(UtilityList!Q$4:Q$251,MATCH('Table 2.2a'!$A160&amp;'Table 2.2a'!$B160,UtilityList!$A$4:$A$251&amp;UtilityList!$C$4:$C$251,0))</f>
        <v>0</v>
      </c>
      <c r="N160" s="452" t="str">
        <f t="array" ref="N160">IFERROR((INDEX(UtilityList!J$4:J$251,MATCH('Table 2.2a'!$A160&amp;'Table 2.2a'!$B160,UtilityList!$A$4:$A$251&amp;UtilityList!$C$4:$C$251,0))),INDEX(UtilityList!J$4:J$251,MATCH('Table 2.2a'!$A160,UtilityList!$A$4:$A$251,0)))</f>
        <v>North Slope</v>
      </c>
      <c r="O160" s="452" t="str">
        <f t="array" ref="O160">IFERROR((INDEX(UtilityList!K$4:K$251,MATCH('Table 2.2a'!$A160&amp;'Table 2.2a'!$B160,UtilityList!$A$4:$A$251&amp;UtilityList!$C$4:$C$251,0))),INDEX(UtilityList!K$4:K$251,MATCH('Table 2.2a'!$A160,UtilityList!$A$4:$A$251,0)))</f>
        <v>North Slope</v>
      </c>
      <c r="P160" s="452" t="str">
        <f t="array" ref="P160">IFERROR((INDEX(UtilityList!L$4:L$251,MATCH('Table 2.2a'!$A160&amp;'Table 2.2a'!$B160,UtilityList!$A$4:$A$251&amp;UtilityList!$C$4:$C$251,0))),INDEX(UtilityList!L$4:L$251,MATCH('Table 2.2a'!$A160,UtilityList!$A$4:$A$251,0)))</f>
        <v>Arctic Slope</v>
      </c>
      <c r="Q160" s="452" t="str">
        <f t="array" ref="Q160">IFERROR((INDEX(UtilityList!M$4:M$251,MATCH('Table 2.2a'!$A160&amp;'Table 2.2a'!$B160,UtilityList!$A$4:$A$251&amp;UtilityList!$C$4:$C$251,0))),INDEX(UtilityList!M$4:M$251,MATCH('Table 2.2a'!$A160,UtilityList!$A$4:$A$251,0)))</f>
        <v>AN</v>
      </c>
      <c r="R160" s="204"/>
    </row>
    <row r="161" spans="1:18" s="206" customFormat="1" ht="15" x14ac:dyDescent="0.25">
      <c r="A161" s="633" t="s">
        <v>277</v>
      </c>
      <c r="B161" s="633" t="s">
        <v>280</v>
      </c>
      <c r="C161" s="629">
        <v>4830.2</v>
      </c>
      <c r="D161" s="629">
        <v>0</v>
      </c>
      <c r="E161" s="629" t="s">
        <v>710</v>
      </c>
      <c r="F161" s="629">
        <v>4830.2</v>
      </c>
      <c r="G161" s="629">
        <v>4846.4340000000002</v>
      </c>
      <c r="H161" s="629" t="s">
        <v>710</v>
      </c>
      <c r="I161" s="629">
        <v>18.053999999999998</v>
      </c>
      <c r="J161" s="629">
        <v>200.87899999999999</v>
      </c>
      <c r="K161" s="629">
        <v>-235.16700000000037</v>
      </c>
      <c r="L161" s="634" t="s">
        <v>356</v>
      </c>
      <c r="M161" s="627">
        <f t="array" ref="M161">INDEX(UtilityList!Q$4:Q$251,MATCH('Table 2.2a'!$A161&amp;'Table 2.2a'!$B161,UtilityList!$A$4:$A$251&amp;UtilityList!$C$4:$C$251,0))</f>
        <v>0</v>
      </c>
      <c r="N161" s="452" t="str">
        <f t="array" ref="N161">IFERROR((INDEX(UtilityList!J$4:J$251,MATCH('Table 2.2a'!$A161&amp;'Table 2.2a'!$B161,UtilityList!$A$4:$A$251&amp;UtilityList!$C$4:$C$251,0))),INDEX(UtilityList!J$4:J$251,MATCH('Table 2.2a'!$A161,UtilityList!$A$4:$A$251,0)))</f>
        <v>North Slope</v>
      </c>
      <c r="O161" s="452" t="str">
        <f t="array" ref="O161">IFERROR((INDEX(UtilityList!K$4:K$251,MATCH('Table 2.2a'!$A161&amp;'Table 2.2a'!$B161,UtilityList!$A$4:$A$251&amp;UtilityList!$C$4:$C$251,0))),INDEX(UtilityList!K$4:K$251,MATCH('Table 2.2a'!$A161,UtilityList!$A$4:$A$251,0)))</f>
        <v>North Slope</v>
      </c>
      <c r="P161" s="452" t="str">
        <f t="array" ref="P161">IFERROR((INDEX(UtilityList!L$4:L$251,MATCH('Table 2.2a'!$A161&amp;'Table 2.2a'!$B161,UtilityList!$A$4:$A$251&amp;UtilityList!$C$4:$C$251,0))),INDEX(UtilityList!L$4:L$251,MATCH('Table 2.2a'!$A161,UtilityList!$A$4:$A$251,0)))</f>
        <v>Arctic Slope</v>
      </c>
      <c r="Q161" s="452" t="str">
        <f t="array" ref="Q161">IFERROR((INDEX(UtilityList!M$4:M$251,MATCH('Table 2.2a'!$A161&amp;'Table 2.2a'!$B161,UtilityList!$A$4:$A$251&amp;UtilityList!$C$4:$C$251,0))),INDEX(UtilityList!M$4:M$251,MATCH('Table 2.2a'!$A161,UtilityList!$A$4:$A$251,0)))</f>
        <v>AN</v>
      </c>
      <c r="R161" s="204"/>
    </row>
    <row r="162" spans="1:18" s="206" customFormat="1" ht="15" x14ac:dyDescent="0.25">
      <c r="A162" s="633" t="s">
        <v>277</v>
      </c>
      <c r="B162" s="633" t="s">
        <v>281</v>
      </c>
      <c r="C162" s="629">
        <v>5697.3209999999999</v>
      </c>
      <c r="D162" s="629">
        <v>0</v>
      </c>
      <c r="E162" s="629" t="s">
        <v>710</v>
      </c>
      <c r="F162" s="629">
        <v>5697.3209999999999</v>
      </c>
      <c r="G162" s="629">
        <v>4567.0110000000004</v>
      </c>
      <c r="H162" s="629" t="s">
        <v>710</v>
      </c>
      <c r="I162" s="629">
        <v>31.544</v>
      </c>
      <c r="J162" s="629">
        <v>376.57400000000001</v>
      </c>
      <c r="K162" s="629">
        <v>722.19200000000001</v>
      </c>
      <c r="L162" s="634" t="s">
        <v>356</v>
      </c>
      <c r="M162" s="627">
        <f t="array" ref="M162">INDEX(UtilityList!Q$4:Q$251,MATCH('Table 2.2a'!$A162&amp;'Table 2.2a'!$B162,UtilityList!$A$4:$A$251&amp;UtilityList!$C$4:$C$251,0))</f>
        <v>0</v>
      </c>
      <c r="N162" s="452" t="str">
        <f t="array" ref="N162">IFERROR((INDEX(UtilityList!J$4:J$251,MATCH('Table 2.2a'!$A162&amp;'Table 2.2a'!$B162,UtilityList!$A$4:$A$251&amp;UtilityList!$C$4:$C$251,0))),INDEX(UtilityList!J$4:J$251,MATCH('Table 2.2a'!$A162,UtilityList!$A$4:$A$251,0)))</f>
        <v>North Slope</v>
      </c>
      <c r="O162" s="452" t="str">
        <f t="array" ref="O162">IFERROR((INDEX(UtilityList!K$4:K$251,MATCH('Table 2.2a'!$A162&amp;'Table 2.2a'!$B162,UtilityList!$A$4:$A$251&amp;UtilityList!$C$4:$C$251,0))),INDEX(UtilityList!K$4:K$251,MATCH('Table 2.2a'!$A162,UtilityList!$A$4:$A$251,0)))</f>
        <v>North Slope</v>
      </c>
      <c r="P162" s="452" t="str">
        <f t="array" ref="P162">IFERROR((INDEX(UtilityList!L$4:L$251,MATCH('Table 2.2a'!$A162&amp;'Table 2.2a'!$B162,UtilityList!$A$4:$A$251&amp;UtilityList!$C$4:$C$251,0))),INDEX(UtilityList!L$4:L$251,MATCH('Table 2.2a'!$A162,UtilityList!$A$4:$A$251,0)))</f>
        <v>Arctic Slope</v>
      </c>
      <c r="Q162" s="452" t="str">
        <f t="array" ref="Q162">IFERROR((INDEX(UtilityList!M$4:M$251,MATCH('Table 2.2a'!$A162&amp;'Table 2.2a'!$B162,UtilityList!$A$4:$A$251&amp;UtilityList!$C$4:$C$251,0))),INDEX(UtilityList!M$4:M$251,MATCH('Table 2.2a'!$A162,UtilityList!$A$4:$A$251,0)))</f>
        <v>AN</v>
      </c>
      <c r="R162" s="204"/>
    </row>
    <row r="163" spans="1:18" s="206" customFormat="1" ht="15" x14ac:dyDescent="0.25">
      <c r="A163" s="633" t="s">
        <v>277</v>
      </c>
      <c r="B163" s="633" t="s">
        <v>282</v>
      </c>
      <c r="C163" s="629">
        <v>6464.915</v>
      </c>
      <c r="D163" s="629">
        <v>0</v>
      </c>
      <c r="E163" s="629" t="s">
        <v>710</v>
      </c>
      <c r="F163" s="629">
        <v>6464.915</v>
      </c>
      <c r="G163" s="629">
        <v>5163.1660000000002</v>
      </c>
      <c r="H163" s="629" t="s">
        <v>710</v>
      </c>
      <c r="I163" s="629">
        <v>53.792999999999999</v>
      </c>
      <c r="J163" s="629">
        <v>363.327</v>
      </c>
      <c r="K163" s="629">
        <v>884.62899999999991</v>
      </c>
      <c r="L163" s="634" t="s">
        <v>356</v>
      </c>
      <c r="M163" s="627">
        <f t="array" ref="M163">INDEX(UtilityList!Q$4:Q$251,MATCH('Table 2.2a'!$A163&amp;'Table 2.2a'!$B163,UtilityList!$A$4:$A$251&amp;UtilityList!$C$4:$C$251,0))</f>
        <v>0</v>
      </c>
      <c r="N163" s="452" t="str">
        <f t="array" ref="N163">IFERROR((INDEX(UtilityList!J$4:J$251,MATCH('Table 2.2a'!$A163&amp;'Table 2.2a'!$B163,UtilityList!$A$4:$A$251&amp;UtilityList!$C$4:$C$251,0))),INDEX(UtilityList!J$4:J$251,MATCH('Table 2.2a'!$A163,UtilityList!$A$4:$A$251,0)))</f>
        <v>North Slope</v>
      </c>
      <c r="O163" s="452" t="str">
        <f t="array" ref="O163">IFERROR((INDEX(UtilityList!K$4:K$251,MATCH('Table 2.2a'!$A163&amp;'Table 2.2a'!$B163,UtilityList!$A$4:$A$251&amp;UtilityList!$C$4:$C$251,0))),INDEX(UtilityList!K$4:K$251,MATCH('Table 2.2a'!$A163,UtilityList!$A$4:$A$251,0)))</f>
        <v>North Slope</v>
      </c>
      <c r="P163" s="452" t="str">
        <f t="array" ref="P163">IFERROR((INDEX(UtilityList!L$4:L$251,MATCH('Table 2.2a'!$A163&amp;'Table 2.2a'!$B163,UtilityList!$A$4:$A$251&amp;UtilityList!$C$4:$C$251,0))),INDEX(UtilityList!L$4:L$251,MATCH('Table 2.2a'!$A163,UtilityList!$A$4:$A$251,0)))</f>
        <v>Arctic Slope</v>
      </c>
      <c r="Q163" s="452" t="str">
        <f t="array" ref="Q163">IFERROR((INDEX(UtilityList!M$4:M$251,MATCH('Table 2.2a'!$A163&amp;'Table 2.2a'!$B163,UtilityList!$A$4:$A$251&amp;UtilityList!$C$4:$C$251,0))),INDEX(UtilityList!M$4:M$251,MATCH('Table 2.2a'!$A163,UtilityList!$A$4:$A$251,0)))</f>
        <v>AN</v>
      </c>
    </row>
    <row r="164" spans="1:18" s="206" customFormat="1" ht="15" x14ac:dyDescent="0.25">
      <c r="A164" s="633" t="s">
        <v>277</v>
      </c>
      <c r="B164" s="633" t="s">
        <v>283</v>
      </c>
      <c r="C164" s="629">
        <v>3430.08</v>
      </c>
      <c r="D164" s="629">
        <v>0</v>
      </c>
      <c r="E164" s="629" t="s">
        <v>710</v>
      </c>
      <c r="F164" s="629">
        <v>3430.08</v>
      </c>
      <c r="G164" s="629">
        <v>2356.8580000000002</v>
      </c>
      <c r="H164" s="629" t="s">
        <v>710</v>
      </c>
      <c r="I164" s="629">
        <v>10.6</v>
      </c>
      <c r="J164" s="629">
        <v>243.536</v>
      </c>
      <c r="K164" s="629">
        <v>819.08599999999979</v>
      </c>
      <c r="L164" s="634" t="s">
        <v>356</v>
      </c>
      <c r="M164" s="627">
        <f t="array" ref="M164">INDEX(UtilityList!Q$4:Q$251,MATCH('Table 2.2a'!$A164&amp;'Table 2.2a'!$B164,UtilityList!$A$4:$A$251&amp;UtilityList!$C$4:$C$251,0))</f>
        <v>0</v>
      </c>
      <c r="N164" s="452" t="str">
        <f t="array" ref="N164">IFERROR((INDEX(UtilityList!J$4:J$251,MATCH('Table 2.2a'!$A164&amp;'Table 2.2a'!$B164,UtilityList!$A$4:$A$251&amp;UtilityList!$C$4:$C$251,0))),INDEX(UtilityList!J$4:J$251,MATCH('Table 2.2a'!$A164,UtilityList!$A$4:$A$251,0)))</f>
        <v>North Slope</v>
      </c>
      <c r="O164" s="452" t="str">
        <f t="array" ref="O164">IFERROR((INDEX(UtilityList!K$4:K$251,MATCH('Table 2.2a'!$A164&amp;'Table 2.2a'!$B164,UtilityList!$A$4:$A$251&amp;UtilityList!$C$4:$C$251,0))),INDEX(UtilityList!K$4:K$251,MATCH('Table 2.2a'!$A164,UtilityList!$A$4:$A$251,0)))</f>
        <v>North Slope</v>
      </c>
      <c r="P164" s="452" t="str">
        <f t="array" ref="P164">IFERROR((INDEX(UtilityList!L$4:L$251,MATCH('Table 2.2a'!$A164&amp;'Table 2.2a'!$B164,UtilityList!$A$4:$A$251&amp;UtilityList!$C$4:$C$251,0))),INDEX(UtilityList!L$4:L$251,MATCH('Table 2.2a'!$A164,UtilityList!$A$4:$A$251,0)))</f>
        <v>Arctic Slope</v>
      </c>
      <c r="Q164" s="452" t="str">
        <f t="array" ref="Q164">IFERROR((INDEX(UtilityList!M$4:M$251,MATCH('Table 2.2a'!$A164&amp;'Table 2.2a'!$B164,UtilityList!$A$4:$A$251&amp;UtilityList!$C$4:$C$251,0))),INDEX(UtilityList!M$4:M$251,MATCH('Table 2.2a'!$A164,UtilityList!$A$4:$A$251,0)))</f>
        <v>AN</v>
      </c>
    </row>
    <row r="165" spans="1:18" s="204" customFormat="1" ht="15" x14ac:dyDescent="0.25">
      <c r="A165" s="633" t="s">
        <v>277</v>
      </c>
      <c r="B165" s="633" t="s">
        <v>284</v>
      </c>
      <c r="C165" s="629">
        <v>6210.6</v>
      </c>
      <c r="D165" s="629">
        <v>0</v>
      </c>
      <c r="E165" s="629" t="s">
        <v>710</v>
      </c>
      <c r="F165" s="629">
        <v>6210.6</v>
      </c>
      <c r="G165" s="629">
        <v>4679.9120000000003</v>
      </c>
      <c r="H165" s="629" t="s">
        <v>710</v>
      </c>
      <c r="I165" s="629">
        <v>27.55</v>
      </c>
      <c r="J165" s="629">
        <v>324.96499999999997</v>
      </c>
      <c r="K165" s="629">
        <v>1178.1729999999998</v>
      </c>
      <c r="L165" s="634" t="s">
        <v>356</v>
      </c>
      <c r="M165" s="627">
        <f t="array" ref="M165">INDEX(UtilityList!Q$4:Q$251,MATCH('Table 2.2a'!$A165&amp;'Table 2.2a'!$B165,UtilityList!$A$4:$A$251&amp;UtilityList!$C$4:$C$251,0))</f>
        <v>0</v>
      </c>
      <c r="N165" s="452" t="str">
        <f t="array" ref="N165">IFERROR((INDEX(UtilityList!J$4:J$251,MATCH('Table 2.2a'!$A165&amp;'Table 2.2a'!$B165,UtilityList!$A$4:$A$251&amp;UtilityList!$C$4:$C$251,0))),INDEX(UtilityList!J$4:J$251,MATCH('Table 2.2a'!$A165,UtilityList!$A$4:$A$251,0)))</f>
        <v>North Slope</v>
      </c>
      <c r="O165" s="452" t="str">
        <f t="array" ref="O165">IFERROR((INDEX(UtilityList!K$4:K$251,MATCH('Table 2.2a'!$A165&amp;'Table 2.2a'!$B165,UtilityList!$A$4:$A$251&amp;UtilityList!$C$4:$C$251,0))),INDEX(UtilityList!K$4:K$251,MATCH('Table 2.2a'!$A165,UtilityList!$A$4:$A$251,0)))</f>
        <v>North Slope</v>
      </c>
      <c r="P165" s="452" t="str">
        <f t="array" ref="P165">IFERROR((INDEX(UtilityList!L$4:L$251,MATCH('Table 2.2a'!$A165&amp;'Table 2.2a'!$B165,UtilityList!$A$4:$A$251&amp;UtilityList!$C$4:$C$251,0))),INDEX(UtilityList!L$4:L$251,MATCH('Table 2.2a'!$A165,UtilityList!$A$4:$A$251,0)))</f>
        <v>Arctic Slope</v>
      </c>
      <c r="Q165" s="452" t="str">
        <f t="array" ref="Q165">IFERROR((INDEX(UtilityList!M$4:M$251,MATCH('Table 2.2a'!$A165&amp;'Table 2.2a'!$B165,UtilityList!$A$4:$A$251&amp;UtilityList!$C$4:$C$251,0))),INDEX(UtilityList!M$4:M$251,MATCH('Table 2.2a'!$A165,UtilityList!$A$4:$A$251,0)))</f>
        <v>AN</v>
      </c>
      <c r="R165" s="206"/>
    </row>
    <row r="166" spans="1:18" s="204" customFormat="1" ht="15" x14ac:dyDescent="0.25">
      <c r="A166" s="628" t="s">
        <v>285</v>
      </c>
      <c r="B166" s="628" t="s">
        <v>286</v>
      </c>
      <c r="C166" s="629">
        <v>854.47299999999996</v>
      </c>
      <c r="D166" s="629">
        <v>0</v>
      </c>
      <c r="E166" s="629">
        <v>0</v>
      </c>
      <c r="F166" s="629">
        <v>854.47299999999996</v>
      </c>
      <c r="G166" s="629">
        <v>770.65099999999995</v>
      </c>
      <c r="H166" s="629">
        <v>0</v>
      </c>
      <c r="I166" s="629">
        <v>11.358000000000001</v>
      </c>
      <c r="J166" s="629">
        <v>25.224</v>
      </c>
      <c r="K166" s="629">
        <v>47.240000000000009</v>
      </c>
      <c r="L166" s="630" t="s">
        <v>356</v>
      </c>
      <c r="M166" s="627">
        <f t="array" ref="M166">INDEX(UtilityList!Q$4:Q$251,MATCH('Table 2.2a'!$A166&amp;'Table 2.2a'!$B166,UtilityList!$A$4:$A$251&amp;UtilityList!$C$4:$C$251,0))</f>
        <v>0</v>
      </c>
      <c r="N166" s="452" t="str">
        <f t="array" ref="N166">IFERROR((INDEX(UtilityList!J$4:J$251,MATCH('Table 2.2a'!$A166&amp;'Table 2.2a'!$B166,UtilityList!$A$4:$A$251&amp;UtilityList!$C$4:$C$251,0))),INDEX(UtilityList!J$4:J$251,MATCH('Table 2.2a'!$A166,UtilityList!$A$4:$A$251,0)))</f>
        <v>Lower Yukon-Kuskokwim</v>
      </c>
      <c r="O166" s="452" t="str">
        <f t="array" ref="O166">IFERROR((INDEX(UtilityList!K$4:K$251,MATCH('Table 2.2a'!$A166&amp;'Table 2.2a'!$B166,UtilityList!$A$4:$A$251&amp;UtilityList!$C$4:$C$251,0))),INDEX(UtilityList!K$4:K$251,MATCH('Table 2.2a'!$A166,UtilityList!$A$4:$A$251,0)))</f>
        <v>Wade Hampton (CA)</v>
      </c>
      <c r="P166" s="452" t="str">
        <f t="array" ref="P166">IFERROR((INDEX(UtilityList!L$4:L$251,MATCH('Table 2.2a'!$A166&amp;'Table 2.2a'!$B166,UtilityList!$A$4:$A$251&amp;UtilityList!$C$4:$C$251,0))),INDEX(UtilityList!L$4:L$251,MATCH('Table 2.2a'!$A166,UtilityList!$A$4:$A$251,0)))</f>
        <v>Calista</v>
      </c>
      <c r="Q166" s="452" t="str">
        <f t="array" ref="Q166">IFERROR((INDEX(UtilityList!M$4:M$251,MATCH('Table 2.2a'!$A166&amp;'Table 2.2a'!$B166,UtilityList!$A$4:$A$251&amp;UtilityList!$C$4:$C$251,0))),INDEX(UtilityList!M$4:M$251,MATCH('Table 2.2a'!$A166,UtilityList!$A$4:$A$251,0)))</f>
        <v>YU</v>
      </c>
      <c r="R166" s="206"/>
    </row>
    <row r="167" spans="1:18" s="204" customFormat="1" ht="30" x14ac:dyDescent="0.25">
      <c r="A167" s="628" t="s">
        <v>536</v>
      </c>
      <c r="B167" s="628" t="s">
        <v>687</v>
      </c>
      <c r="C167" s="629">
        <v>18900</v>
      </c>
      <c r="D167" s="629">
        <v>0</v>
      </c>
      <c r="E167" s="629">
        <v>0</v>
      </c>
      <c r="F167" s="629">
        <v>18900</v>
      </c>
      <c r="G167" s="629">
        <v>18000</v>
      </c>
      <c r="H167" s="629">
        <v>0</v>
      </c>
      <c r="I167" s="629">
        <v>0</v>
      </c>
      <c r="J167" s="629">
        <v>90</v>
      </c>
      <c r="K167" s="629">
        <v>810</v>
      </c>
      <c r="L167" s="630" t="s">
        <v>356</v>
      </c>
      <c r="M167" s="627" t="str">
        <f t="array" ref="M167">INDEX(UtilityList!Q$4:Q$251,MATCH('Table 2.2a'!$A167&amp;'Table 2.2a'!$B167,UtilityList!$A$4:$A$251&amp;UtilityList!$C$4:$C$251,0))</f>
        <v>Provides power to Aleknagik via intertie. Data includes Aleknagik's information.</v>
      </c>
      <c r="N167" s="452" t="str">
        <f t="array" ref="N167">IFERROR((INDEX(UtilityList!J$4:J$251,MATCH('Table 2.2a'!$A167&amp;'Table 2.2a'!$B167,UtilityList!$A$4:$A$251&amp;UtilityList!$C$4:$C$251,0))),INDEX(UtilityList!J$4:J$251,MATCH('Table 2.2a'!$A167,UtilityList!$A$4:$A$251,0)))</f>
        <v>Bristol Bay</v>
      </c>
      <c r="O167" s="452" t="str">
        <f t="array" ref="O167">IFERROR((INDEX(UtilityList!K$4:K$251,MATCH('Table 2.2a'!$A167&amp;'Table 2.2a'!$B167,UtilityList!$A$4:$A$251&amp;UtilityList!$C$4:$C$251,0))),INDEX(UtilityList!K$4:K$251,MATCH('Table 2.2a'!$A167,UtilityList!$A$4:$A$251,0)))</f>
        <v>Dillingham (CA)</v>
      </c>
      <c r="P167" s="452" t="str">
        <f t="array" ref="P167">IFERROR((INDEX(UtilityList!L$4:L$251,MATCH('Table 2.2a'!$A167&amp;'Table 2.2a'!$B167,UtilityList!$A$4:$A$251&amp;UtilityList!$C$4:$C$251,0))),INDEX(UtilityList!L$4:L$251,MATCH('Table 2.2a'!$A167,UtilityList!$A$4:$A$251,0)))</f>
        <v>Bristol Bay</v>
      </c>
      <c r="Q167" s="452" t="str">
        <f t="array" ref="Q167">IFERROR((INDEX(UtilityList!M$4:M$251,MATCH('Table 2.2a'!$A167&amp;'Table 2.2a'!$B167,UtilityList!$A$4:$A$251&amp;UtilityList!$C$4:$C$251,0))),INDEX(UtilityList!M$4:M$251,MATCH('Table 2.2a'!$A167,UtilityList!$A$4:$A$251,0)))</f>
        <v>SW</v>
      </c>
      <c r="R167" s="206"/>
    </row>
    <row r="168" spans="1:18" s="204" customFormat="1" ht="15" x14ac:dyDescent="0.25">
      <c r="A168" s="628" t="s">
        <v>288</v>
      </c>
      <c r="B168" s="628" t="s">
        <v>289</v>
      </c>
      <c r="C168" s="629">
        <v>334.95</v>
      </c>
      <c r="D168" s="629">
        <v>366.053</v>
      </c>
      <c r="E168" s="629">
        <v>0</v>
      </c>
      <c r="F168" s="629">
        <v>701.00299999999993</v>
      </c>
      <c r="G168" s="629">
        <v>673.83900000000006</v>
      </c>
      <c r="H168" s="629">
        <v>0</v>
      </c>
      <c r="I168" s="629">
        <v>0.6</v>
      </c>
      <c r="J168" s="629">
        <v>6.13</v>
      </c>
      <c r="K168" s="629">
        <v>20.433999999999855</v>
      </c>
      <c r="L168" s="630" t="s">
        <v>356</v>
      </c>
      <c r="M168" s="627">
        <f t="array" ref="M168">INDEX(UtilityList!Q$4:Q$251,MATCH('Table 2.2a'!$A168&amp;'Table 2.2a'!$B168,UtilityList!$A$4:$A$251&amp;UtilityList!$C$4:$C$251,0))</f>
        <v>0</v>
      </c>
      <c r="N168" s="452" t="str">
        <f t="array" ref="N168">IFERROR((INDEX(UtilityList!J$4:J$251,MATCH('Table 2.2a'!$A168&amp;'Table 2.2a'!$B168,UtilityList!$A$4:$A$251&amp;UtilityList!$C$4:$C$251,0))),INDEX(UtilityList!J$4:J$251,MATCH('Table 2.2a'!$A168,UtilityList!$A$4:$A$251,0)))</f>
        <v>Kodiak</v>
      </c>
      <c r="O168" s="452" t="str">
        <f t="array" ref="O168">IFERROR((INDEX(UtilityList!K$4:K$251,MATCH('Table 2.2a'!$A168&amp;'Table 2.2a'!$B168,UtilityList!$A$4:$A$251&amp;UtilityList!$C$4:$C$251,0))),INDEX(UtilityList!K$4:K$251,MATCH('Table 2.2a'!$A168,UtilityList!$A$4:$A$251,0)))</f>
        <v>Kodiak Island</v>
      </c>
      <c r="P168" s="452" t="str">
        <f t="array" ref="P168">IFERROR((INDEX(UtilityList!L$4:L$251,MATCH('Table 2.2a'!$A168&amp;'Table 2.2a'!$B168,UtilityList!$A$4:$A$251&amp;UtilityList!$C$4:$C$251,0))),INDEX(UtilityList!L$4:L$251,MATCH('Table 2.2a'!$A168,UtilityList!$A$4:$A$251,0)))</f>
        <v>Koniag</v>
      </c>
      <c r="Q168" s="452" t="str">
        <f t="array" ref="Q168">IFERROR((INDEX(UtilityList!M$4:M$251,MATCH('Table 2.2a'!$A168&amp;'Table 2.2a'!$B168,UtilityList!$A$4:$A$251&amp;UtilityList!$C$4:$C$251,0))),INDEX(UtilityList!M$4:M$251,MATCH('Table 2.2a'!$A168,UtilityList!$A$4:$A$251,0)))</f>
        <v>SC</v>
      </c>
      <c r="R168" s="206"/>
    </row>
    <row r="169" spans="1:18" s="204" customFormat="1" ht="15" x14ac:dyDescent="0.25">
      <c r="A169" s="628" t="s">
        <v>290</v>
      </c>
      <c r="B169" s="628" t="s">
        <v>291</v>
      </c>
      <c r="C169" s="629">
        <v>223.505</v>
      </c>
      <c r="D169" s="629">
        <v>0</v>
      </c>
      <c r="E169" s="629">
        <v>0</v>
      </c>
      <c r="F169" s="629">
        <v>223.505</v>
      </c>
      <c r="G169" s="629">
        <v>200.94200000000001</v>
      </c>
      <c r="H169" s="629">
        <v>0</v>
      </c>
      <c r="I169" s="629">
        <v>0</v>
      </c>
      <c r="J169" s="629">
        <v>11.718</v>
      </c>
      <c r="K169" s="629">
        <v>10.844999999999999</v>
      </c>
      <c r="L169" s="630" t="s">
        <v>356</v>
      </c>
      <c r="M169" s="627">
        <f t="array" ref="M169">INDEX(UtilityList!Q$4:Q$251,MATCH('Table 2.2a'!$A169&amp;'Table 2.2a'!$B169,UtilityList!$A$4:$A$251&amp;UtilityList!$C$4:$C$251,0))</f>
        <v>0</v>
      </c>
      <c r="N169" s="452" t="str">
        <f t="array" ref="N169">IFERROR((INDEX(UtilityList!J$4:J$251,MATCH('Table 2.2a'!$A169&amp;'Table 2.2a'!$B169,UtilityList!$A$4:$A$251&amp;UtilityList!$C$4:$C$251,0))),INDEX(UtilityList!J$4:J$251,MATCH('Table 2.2a'!$A169,UtilityList!$A$4:$A$251,0)))</f>
        <v>Bristol Bay</v>
      </c>
      <c r="O169" s="452" t="str">
        <f t="array" ref="O169">IFERROR((INDEX(UtilityList!K$4:K$251,MATCH('Table 2.2a'!$A169&amp;'Table 2.2a'!$B169,UtilityList!$A$4:$A$251&amp;UtilityList!$C$4:$C$251,0))),INDEX(UtilityList!K$4:K$251,MATCH('Table 2.2a'!$A169,UtilityList!$A$4:$A$251,0)))</f>
        <v>Lake and Peninsula</v>
      </c>
      <c r="P169" s="452" t="str">
        <f t="array" ref="P169">IFERROR((INDEX(UtilityList!L$4:L$251,MATCH('Table 2.2a'!$A169&amp;'Table 2.2a'!$B169,UtilityList!$A$4:$A$251&amp;UtilityList!$C$4:$C$251,0))),INDEX(UtilityList!L$4:L$251,MATCH('Table 2.2a'!$A169,UtilityList!$A$4:$A$251,0)))</f>
        <v>Bristol Bay</v>
      </c>
      <c r="Q169" s="452" t="str">
        <f t="array" ref="Q169">IFERROR((INDEX(UtilityList!M$4:M$251,MATCH('Table 2.2a'!$A169&amp;'Table 2.2a'!$B169,UtilityList!$A$4:$A$251&amp;UtilityList!$C$4:$C$251,0))),INDEX(UtilityList!M$4:M$251,MATCH('Table 2.2a'!$A169,UtilityList!$A$4:$A$251,0)))</f>
        <v>SW</v>
      </c>
      <c r="R169" s="206"/>
    </row>
    <row r="170" spans="1:18" s="204" customFormat="1" ht="15" x14ac:dyDescent="0.25">
      <c r="A170" s="628" t="s">
        <v>292</v>
      </c>
      <c r="B170" s="628" t="s">
        <v>293</v>
      </c>
      <c r="C170" s="629">
        <v>839.03499999999997</v>
      </c>
      <c r="D170" s="629">
        <v>0</v>
      </c>
      <c r="E170" s="629">
        <v>0</v>
      </c>
      <c r="F170" s="629">
        <v>839.03499999999997</v>
      </c>
      <c r="G170" s="629">
        <v>711.16</v>
      </c>
      <c r="H170" s="629">
        <v>0</v>
      </c>
      <c r="I170" s="629">
        <v>7.3310000000000004</v>
      </c>
      <c r="J170" s="629">
        <v>40.533000000000001</v>
      </c>
      <c r="K170" s="629">
        <v>80.010999999999967</v>
      </c>
      <c r="L170" s="630" t="s">
        <v>356</v>
      </c>
      <c r="M170" s="627">
        <f t="array" ref="M170">INDEX(UtilityList!Q$4:Q$251,MATCH('Table 2.2a'!$A170&amp;'Table 2.2a'!$B170,UtilityList!$A$4:$A$251&amp;UtilityList!$C$4:$C$251,0))</f>
        <v>0</v>
      </c>
      <c r="N170" s="452" t="str">
        <f t="array" ref="N170">IFERROR((INDEX(UtilityList!J$4:J$251,MATCH('Table 2.2a'!$A170&amp;'Table 2.2a'!$B170,UtilityList!$A$4:$A$251&amp;UtilityList!$C$4:$C$251,0))),INDEX(UtilityList!J$4:J$251,MATCH('Table 2.2a'!$A170,UtilityList!$A$4:$A$251,0)))</f>
        <v>Southeast</v>
      </c>
      <c r="O170" s="452" t="str">
        <f t="array" ref="O170">IFERROR((INDEX(UtilityList!K$4:K$251,MATCH('Table 2.2a'!$A170&amp;'Table 2.2a'!$B170,UtilityList!$A$4:$A$251&amp;UtilityList!$C$4:$C$251,0))),INDEX(UtilityList!K$4:K$251,MATCH('Table 2.2a'!$A170,UtilityList!$A$4:$A$251,0)))</f>
        <v>Hoonah-Angoon (CA)</v>
      </c>
      <c r="P170" s="452" t="str">
        <f t="array" ref="P170">IFERROR((INDEX(UtilityList!L$4:L$251,MATCH('Table 2.2a'!$A170&amp;'Table 2.2a'!$B170,UtilityList!$A$4:$A$251&amp;UtilityList!$C$4:$C$251,0))),INDEX(UtilityList!L$4:L$251,MATCH('Table 2.2a'!$A170,UtilityList!$A$4:$A$251,0)))</f>
        <v>Sealaska</v>
      </c>
      <c r="Q170" s="452" t="str">
        <f t="array" ref="Q170">IFERROR((INDEX(UtilityList!M$4:M$251,MATCH('Table 2.2a'!$A170&amp;'Table 2.2a'!$B170,UtilityList!$A$4:$A$251&amp;UtilityList!$C$4:$C$251,0))),INDEX(UtilityList!M$4:M$251,MATCH('Table 2.2a'!$A170,UtilityList!$A$4:$A$251,0)))</f>
        <v>SE</v>
      </c>
    </row>
    <row r="171" spans="1:18" s="204" customFormat="1" ht="15" x14ac:dyDescent="0.25">
      <c r="A171" s="361" t="s">
        <v>294</v>
      </c>
      <c r="B171" s="636" t="s">
        <v>295</v>
      </c>
      <c r="C171" s="631">
        <v>11504</v>
      </c>
      <c r="D171" s="632">
        <v>44540</v>
      </c>
      <c r="E171" s="632">
        <v>0</v>
      </c>
      <c r="F171" s="631">
        <v>56044</v>
      </c>
      <c r="G171" s="631">
        <v>50675</v>
      </c>
      <c r="H171" s="632">
        <v>0</v>
      </c>
      <c r="I171" s="631">
        <v>0</v>
      </c>
      <c r="J171" s="632">
        <v>1257</v>
      </c>
      <c r="K171" s="631">
        <v>4112</v>
      </c>
      <c r="L171" s="598" t="s">
        <v>558</v>
      </c>
      <c r="M171" s="627">
        <f t="array" ref="M171">INDEX(UtilityList!Q$4:Q$251,MATCH('Table 2.2a'!$A171&amp;'Table 2.2a'!$B171,UtilityList!$A$4:$A$251&amp;UtilityList!$C$4:$C$251,0))</f>
        <v>0</v>
      </c>
      <c r="N171" s="452" t="str">
        <f t="array" ref="N171">IFERROR((INDEX(UtilityList!J$4:J$251,MATCH('Table 2.2a'!$A171&amp;'Table 2.2a'!$B171,UtilityList!$A$4:$A$251&amp;UtilityList!$C$4:$C$251,0))),INDEX(UtilityList!J$4:J$251,MATCH('Table 2.2a'!$A171,UtilityList!$A$4:$A$251,0)))</f>
        <v>Southeast</v>
      </c>
      <c r="O171" s="452" t="str">
        <f t="array" ref="O171">IFERROR((INDEX(UtilityList!K$4:K$251,MATCH('Table 2.2a'!$A171&amp;'Table 2.2a'!$B171,UtilityList!$A$4:$A$251&amp;UtilityList!$C$4:$C$251,0))),INDEX(UtilityList!K$4:K$251,MATCH('Table 2.2a'!$A171,UtilityList!$A$4:$A$251,0)))</f>
        <v>Petersburg (CA)</v>
      </c>
      <c r="P171" s="452" t="str">
        <f t="array" ref="P171">IFERROR((INDEX(UtilityList!L$4:L$251,MATCH('Table 2.2a'!$A171&amp;'Table 2.2a'!$B171,UtilityList!$A$4:$A$251&amp;UtilityList!$C$4:$C$251,0))),INDEX(UtilityList!L$4:L$251,MATCH('Table 2.2a'!$A171,UtilityList!$A$4:$A$251,0)))</f>
        <v>Sealaska</v>
      </c>
      <c r="Q171" s="452" t="str">
        <f t="array" ref="Q171">IFERROR((INDEX(UtilityList!M$4:M$251,MATCH('Table 2.2a'!$A171&amp;'Table 2.2a'!$B171,UtilityList!$A$4:$A$251&amp;UtilityList!$C$4:$C$251,0))),INDEX(UtilityList!M$4:M$251,MATCH('Table 2.2a'!$A171,UtilityList!$A$4:$A$251,0)))</f>
        <v>SE</v>
      </c>
    </row>
    <row r="172" spans="1:18" s="204" customFormat="1" ht="15" x14ac:dyDescent="0.25">
      <c r="A172" s="628" t="s">
        <v>296</v>
      </c>
      <c r="B172" s="628" t="s">
        <v>297</v>
      </c>
      <c r="C172" s="629">
        <v>469.101</v>
      </c>
      <c r="D172" s="629">
        <v>0</v>
      </c>
      <c r="E172" s="629">
        <v>0</v>
      </c>
      <c r="F172" s="629">
        <v>469.101</v>
      </c>
      <c r="G172" s="629">
        <v>396.40600000000001</v>
      </c>
      <c r="H172" s="629">
        <v>0</v>
      </c>
      <c r="I172" s="629">
        <v>0</v>
      </c>
      <c r="J172" s="629">
        <v>20.5</v>
      </c>
      <c r="K172" s="629">
        <v>52.194999999999993</v>
      </c>
      <c r="L172" s="630" t="s">
        <v>356</v>
      </c>
      <c r="M172" s="627">
        <f t="array" ref="M172">INDEX(UtilityList!Q$4:Q$251,MATCH('Table 2.2a'!$A172&amp;'Table 2.2a'!$B172,UtilityList!$A$4:$A$251&amp;UtilityList!$C$4:$C$251,0))</f>
        <v>0</v>
      </c>
      <c r="N172" s="452" t="str">
        <f t="array" ref="N172">IFERROR((INDEX(UtilityList!J$4:J$251,MATCH('Table 2.2a'!$A172&amp;'Table 2.2a'!$B172,UtilityList!$A$4:$A$251&amp;UtilityList!$C$4:$C$251,0))),INDEX(UtilityList!J$4:J$251,MATCH('Table 2.2a'!$A172,UtilityList!$A$4:$A$251,0)))</f>
        <v>Bristol Bay</v>
      </c>
      <c r="O172" s="452" t="str">
        <f t="array" ref="O172">IFERROR((INDEX(UtilityList!K$4:K$251,MATCH('Table 2.2a'!$A172&amp;'Table 2.2a'!$B172,UtilityList!$A$4:$A$251&amp;UtilityList!$C$4:$C$251,0))),INDEX(UtilityList!K$4:K$251,MATCH('Table 2.2a'!$A172,UtilityList!$A$4:$A$251,0)))</f>
        <v>Lake and Peninsula</v>
      </c>
      <c r="P172" s="452" t="str">
        <f t="array" ref="P172">IFERROR((INDEX(UtilityList!L$4:L$251,MATCH('Table 2.2a'!$A172&amp;'Table 2.2a'!$B172,UtilityList!$A$4:$A$251&amp;UtilityList!$C$4:$C$251,0))),INDEX(UtilityList!L$4:L$251,MATCH('Table 2.2a'!$A172,UtilityList!$A$4:$A$251,0)))</f>
        <v>Bristol Bay</v>
      </c>
      <c r="Q172" s="452" t="str">
        <f t="array" ref="Q172">IFERROR((INDEX(UtilityList!M$4:M$251,MATCH('Table 2.2a'!$A172&amp;'Table 2.2a'!$B172,UtilityList!$A$4:$A$251&amp;UtilityList!$C$4:$C$251,0))),INDEX(UtilityList!M$4:M$251,MATCH('Table 2.2a'!$A172,UtilityList!$A$4:$A$251,0)))</f>
        <v>SW</v>
      </c>
    </row>
    <row r="173" spans="1:18" s="204" customFormat="1" ht="15" x14ac:dyDescent="0.25">
      <c r="A173" s="628" t="s">
        <v>300</v>
      </c>
      <c r="B173" s="628" t="s">
        <v>301</v>
      </c>
      <c r="C173" s="629">
        <v>130.6</v>
      </c>
      <c r="D173" s="629">
        <v>0</v>
      </c>
      <c r="E173" s="629">
        <v>0</v>
      </c>
      <c r="F173" s="629">
        <v>130.6</v>
      </c>
      <c r="G173" s="629">
        <v>587.10799999999995</v>
      </c>
      <c r="H173" s="629">
        <v>0</v>
      </c>
      <c r="I173" s="629">
        <v>0</v>
      </c>
      <c r="J173" s="629">
        <v>25.917999999999999</v>
      </c>
      <c r="K173" s="629">
        <v>-482.42599999999993</v>
      </c>
      <c r="L173" s="630" t="s">
        <v>356</v>
      </c>
      <c r="M173" s="627">
        <f t="array" ref="M173">INDEX(UtilityList!Q$4:Q$251,MATCH('Table 2.2a'!$A173&amp;'Table 2.2a'!$B173,UtilityList!$A$4:$A$251&amp;UtilityList!$C$4:$C$251,0))</f>
        <v>0</v>
      </c>
      <c r="N173" s="452" t="str">
        <f t="array" ref="N173">IFERROR((INDEX(UtilityList!J$4:J$251,MATCH('Table 2.2a'!$A173&amp;'Table 2.2a'!$B173,UtilityList!$A$4:$A$251&amp;UtilityList!$C$4:$C$251,0))),INDEX(UtilityList!J$4:J$251,MATCH('Table 2.2a'!$A173,UtilityList!$A$4:$A$251,0)))</f>
        <v>Bristol Bay</v>
      </c>
      <c r="O173" s="452" t="str">
        <f t="array" ref="O173">IFERROR((INDEX(UtilityList!K$4:K$251,MATCH('Table 2.2a'!$A173&amp;'Table 2.2a'!$B173,UtilityList!$A$4:$A$251&amp;UtilityList!$C$4:$C$251,0))),INDEX(UtilityList!K$4:K$251,MATCH('Table 2.2a'!$A173,UtilityList!$A$4:$A$251,0)))</f>
        <v>Lake and Peninsula</v>
      </c>
      <c r="P173" s="452" t="str">
        <f t="array" ref="P173">IFERROR((INDEX(UtilityList!L$4:L$251,MATCH('Table 2.2a'!$A173&amp;'Table 2.2a'!$B173,UtilityList!$A$4:$A$251&amp;UtilityList!$C$4:$C$251,0))),INDEX(UtilityList!L$4:L$251,MATCH('Table 2.2a'!$A173,UtilityList!$A$4:$A$251,0)))</f>
        <v>Bristol Bay</v>
      </c>
      <c r="Q173" s="452" t="str">
        <f t="array" ref="Q173">IFERROR((INDEX(UtilityList!M$4:M$251,MATCH('Table 2.2a'!$A173&amp;'Table 2.2a'!$B173,UtilityList!$A$4:$A$251&amp;UtilityList!$C$4:$C$251,0))),INDEX(UtilityList!M$4:M$251,MATCH('Table 2.2a'!$A173,UtilityList!$A$4:$A$251,0)))</f>
        <v>SW</v>
      </c>
    </row>
    <row r="174" spans="1:18" s="204" customFormat="1" ht="15" x14ac:dyDescent="0.25">
      <c r="A174" s="628" t="s">
        <v>302</v>
      </c>
      <c r="B174" s="628" t="s">
        <v>303</v>
      </c>
      <c r="C174" s="629">
        <v>1141.7239999999999</v>
      </c>
      <c r="D174" s="629">
        <v>0</v>
      </c>
      <c r="E174" s="629">
        <v>0</v>
      </c>
      <c r="F174" s="629">
        <v>1141.7239999999999</v>
      </c>
      <c r="G174" s="629">
        <v>778.66899999999998</v>
      </c>
      <c r="H174" s="629">
        <v>0</v>
      </c>
      <c r="I174" s="629">
        <v>9.0150000000000006</v>
      </c>
      <c r="J174" s="629">
        <v>871.3156899999999</v>
      </c>
      <c r="K174" s="629">
        <v>-517.27568999999994</v>
      </c>
      <c r="L174" s="630" t="s">
        <v>356</v>
      </c>
      <c r="M174" s="627">
        <f t="array" ref="M174">INDEX(UtilityList!Q$4:Q$251,MATCH('Table 2.2a'!$A174&amp;'Table 2.2a'!$B174,UtilityList!$A$4:$A$251&amp;UtilityList!$C$4:$C$251,0))</f>
        <v>0</v>
      </c>
      <c r="N174" s="452" t="str">
        <f t="array" ref="N174">IFERROR((INDEX(UtilityList!J$4:J$251,MATCH('Table 2.2a'!$A174&amp;'Table 2.2a'!$B174,UtilityList!$A$4:$A$251&amp;UtilityList!$C$4:$C$251,0))),INDEX(UtilityList!J$4:J$251,MATCH('Table 2.2a'!$A174,UtilityList!$A$4:$A$251,0)))</f>
        <v>Lower Yukon-Kuskokwim</v>
      </c>
      <c r="O174" s="452" t="str">
        <f t="array" ref="O174">IFERROR((INDEX(UtilityList!K$4:K$251,MATCH('Table 2.2a'!$A174&amp;'Table 2.2a'!$B174,UtilityList!$A$4:$A$251&amp;UtilityList!$C$4:$C$251,0))),INDEX(UtilityList!K$4:K$251,MATCH('Table 2.2a'!$A174,UtilityList!$A$4:$A$251,0)))</f>
        <v>Bethel (CA)</v>
      </c>
      <c r="P174" s="452" t="str">
        <f t="array" ref="P174">IFERROR((INDEX(UtilityList!L$4:L$251,MATCH('Table 2.2a'!$A174&amp;'Table 2.2a'!$B174,UtilityList!$A$4:$A$251&amp;UtilityList!$C$4:$C$251,0))),INDEX(UtilityList!L$4:L$251,MATCH('Table 2.2a'!$A174,UtilityList!$A$4:$A$251,0)))</f>
        <v>Calista</v>
      </c>
      <c r="Q174" s="452" t="str">
        <f t="array" ref="Q174">IFERROR((INDEX(UtilityList!M$4:M$251,MATCH('Table 2.2a'!$A174&amp;'Table 2.2a'!$B174,UtilityList!$A$4:$A$251&amp;UtilityList!$C$4:$C$251,0))),INDEX(UtilityList!M$4:M$251,MATCH('Table 2.2a'!$A174,UtilityList!$A$4:$A$251,0)))</f>
        <v>SW</v>
      </c>
    </row>
    <row r="175" spans="1:18" s="204" customFormat="1" ht="15" x14ac:dyDescent="0.25">
      <c r="A175" s="628" t="s">
        <v>306</v>
      </c>
      <c r="B175" s="628" t="s">
        <v>307</v>
      </c>
      <c r="C175" s="629">
        <v>743.14700000000005</v>
      </c>
      <c r="D175" s="629">
        <v>0</v>
      </c>
      <c r="E175" s="629">
        <v>0</v>
      </c>
      <c r="F175" s="629">
        <v>743.14700000000005</v>
      </c>
      <c r="G175" s="629">
        <v>660.61199999999997</v>
      </c>
      <c r="H175" s="629">
        <v>0</v>
      </c>
      <c r="I175" s="629">
        <v>0</v>
      </c>
      <c r="J175" s="629">
        <v>10.570556</v>
      </c>
      <c r="K175" s="629">
        <v>71.964444000000071</v>
      </c>
      <c r="L175" s="630" t="s">
        <v>356</v>
      </c>
      <c r="M175" s="627">
        <f t="array" ref="M175">INDEX(UtilityList!Q$4:Q$251,MATCH('Table 2.2a'!$A175&amp;'Table 2.2a'!$B175,UtilityList!$A$4:$A$251&amp;UtilityList!$C$4:$C$251,0))</f>
        <v>0</v>
      </c>
      <c r="N175" s="452" t="str">
        <f t="array" ref="N175">IFERROR((INDEX(UtilityList!J$4:J$251,MATCH('Table 2.2a'!$A175&amp;'Table 2.2a'!$B175,UtilityList!$A$4:$A$251&amp;UtilityList!$C$4:$C$251,0))),INDEX(UtilityList!J$4:J$251,MATCH('Table 2.2a'!$A175,UtilityList!$A$4:$A$251,0)))</f>
        <v>Yukon-Koyukuk/Upper Tanana</v>
      </c>
      <c r="O175" s="452" t="str">
        <f t="array" ref="O175">IFERROR((INDEX(UtilityList!K$4:K$251,MATCH('Table 2.2a'!$A175&amp;'Table 2.2a'!$B175,UtilityList!$A$4:$A$251&amp;UtilityList!$C$4:$C$251,0))),INDEX(UtilityList!K$4:K$251,MATCH('Table 2.2a'!$A175,UtilityList!$A$4:$A$251,0)))</f>
        <v>Yukon-Koyukuk (CA)</v>
      </c>
      <c r="P175" s="452" t="str">
        <f t="array" ref="P175">IFERROR((INDEX(UtilityList!L$4:L$251,MATCH('Table 2.2a'!$A175&amp;'Table 2.2a'!$B175,UtilityList!$A$4:$A$251&amp;UtilityList!$C$4:$C$251,0))),INDEX(UtilityList!L$4:L$251,MATCH('Table 2.2a'!$A175,UtilityList!$A$4:$A$251,0)))</f>
        <v>Doyon</v>
      </c>
      <c r="Q175" s="452" t="str">
        <f t="array" ref="Q175">IFERROR((INDEX(UtilityList!M$4:M$251,MATCH('Table 2.2a'!$A175&amp;'Table 2.2a'!$B175,UtilityList!$A$4:$A$251&amp;UtilityList!$C$4:$C$251,0))),INDEX(UtilityList!M$4:M$251,MATCH('Table 2.2a'!$A175,UtilityList!$A$4:$A$251,0)))</f>
        <v>YU</v>
      </c>
    </row>
    <row r="176" spans="1:18" s="204" customFormat="1" ht="15" x14ac:dyDescent="0.25">
      <c r="A176" s="628" t="s">
        <v>308</v>
      </c>
      <c r="B176" s="628" t="s">
        <v>309</v>
      </c>
      <c r="C176" s="629">
        <v>450.80500000000001</v>
      </c>
      <c r="D176" s="629">
        <v>0</v>
      </c>
      <c r="E176" s="629">
        <v>0</v>
      </c>
      <c r="F176" s="629">
        <v>450.80500000000001</v>
      </c>
      <c r="G176" s="629">
        <v>392.34</v>
      </c>
      <c r="H176" s="629">
        <v>0</v>
      </c>
      <c r="I176" s="629">
        <v>3.5390000000000001</v>
      </c>
      <c r="J176" s="629">
        <v>30.073</v>
      </c>
      <c r="K176" s="629">
        <v>24.853000000000065</v>
      </c>
      <c r="L176" s="630" t="s">
        <v>356</v>
      </c>
      <c r="M176" s="627">
        <f t="array" ref="M176">INDEX(UtilityList!Q$4:Q$251,MATCH('Table 2.2a'!$A176&amp;'Table 2.2a'!$B176,UtilityList!$A$4:$A$251&amp;UtilityList!$C$4:$C$251,0))</f>
        <v>0</v>
      </c>
      <c r="N176" s="452" t="str">
        <f t="array" ref="N176">IFERROR((INDEX(UtilityList!J$4:J$251,MATCH('Table 2.2a'!$A176&amp;'Table 2.2a'!$B176,UtilityList!$A$4:$A$251&amp;UtilityList!$C$4:$C$251,0))),INDEX(UtilityList!J$4:J$251,MATCH('Table 2.2a'!$A176,UtilityList!$A$4:$A$251,0)))</f>
        <v>Aleutians</v>
      </c>
      <c r="O176" s="452" t="str">
        <f t="array" ref="O176">IFERROR((INDEX(UtilityList!K$4:K$251,MATCH('Table 2.2a'!$A176&amp;'Table 2.2a'!$B176,UtilityList!$A$4:$A$251&amp;UtilityList!$C$4:$C$251,0))),INDEX(UtilityList!K$4:K$251,MATCH('Table 2.2a'!$A176,UtilityList!$A$4:$A$251,0)))</f>
        <v>Aleutians West (CA)</v>
      </c>
      <c r="P176" s="452" t="str">
        <f t="array" ref="P176">IFERROR((INDEX(UtilityList!L$4:L$251,MATCH('Table 2.2a'!$A176&amp;'Table 2.2a'!$B176,UtilityList!$A$4:$A$251&amp;UtilityList!$C$4:$C$251,0))),INDEX(UtilityList!L$4:L$251,MATCH('Table 2.2a'!$A176,UtilityList!$A$4:$A$251,0)))</f>
        <v>Aleut</v>
      </c>
      <c r="Q176" s="452" t="str">
        <f t="array" ref="Q176">IFERROR((INDEX(UtilityList!M$4:M$251,MATCH('Table 2.2a'!$A176&amp;'Table 2.2a'!$B176,UtilityList!$A$4:$A$251&amp;UtilityList!$C$4:$C$251,0))),INDEX(UtilityList!M$4:M$251,MATCH('Table 2.2a'!$A176,UtilityList!$A$4:$A$251,0)))</f>
        <v>SW</v>
      </c>
    </row>
    <row r="177" spans="1:17" s="204" customFormat="1" ht="15" x14ac:dyDescent="0.25">
      <c r="A177" s="361" t="s">
        <v>310</v>
      </c>
      <c r="B177" s="361" t="s">
        <v>311</v>
      </c>
      <c r="C177" s="631">
        <v>0</v>
      </c>
      <c r="D177" s="631">
        <v>64034</v>
      </c>
      <c r="E177" s="631">
        <v>0</v>
      </c>
      <c r="F177" s="631">
        <v>64034</v>
      </c>
      <c r="G177" s="631">
        <v>57254</v>
      </c>
      <c r="H177" s="631">
        <v>0</v>
      </c>
      <c r="I177" s="631">
        <v>0</v>
      </c>
      <c r="J177" s="631">
        <v>0</v>
      </c>
      <c r="K177" s="631">
        <v>6780</v>
      </c>
      <c r="L177" s="598" t="s">
        <v>558</v>
      </c>
      <c r="M177" s="627">
        <f t="array" ref="M177">INDEX(UtilityList!Q$4:Q$251,MATCH('Table 2.2a'!$A177&amp;'Table 2.2a'!$B177,UtilityList!$A$4:$A$251&amp;UtilityList!$C$4:$C$251,0))</f>
        <v>0</v>
      </c>
      <c r="N177" s="452" t="str">
        <f t="array" ref="N177">IFERROR((INDEX(UtilityList!J$4:J$251,MATCH('Table 2.2a'!$A177&amp;'Table 2.2a'!$B177,UtilityList!$A$4:$A$251&amp;UtilityList!$C$4:$C$251,0))),INDEX(UtilityList!J$4:J$251,MATCH('Table 2.2a'!$A177,UtilityList!$A$4:$A$251,0)))</f>
        <v>Railbelt</v>
      </c>
      <c r="O177" s="452" t="str">
        <f t="array" ref="O177">IFERROR((INDEX(UtilityList!K$4:K$251,MATCH('Table 2.2a'!$A177&amp;'Table 2.2a'!$B177,UtilityList!$A$4:$A$251&amp;UtilityList!$C$4:$C$251,0))),INDEX(UtilityList!K$4:K$251,MATCH('Table 2.2a'!$A177,UtilityList!$A$4:$A$251,0)))</f>
        <v>Kenai Peninsula</v>
      </c>
      <c r="P177" s="452" t="str">
        <f t="array" ref="P177">IFERROR((INDEX(UtilityList!L$4:L$251,MATCH('Table 2.2a'!$A177&amp;'Table 2.2a'!$B177,UtilityList!$A$4:$A$251&amp;UtilityList!$C$4:$C$251,0))),INDEX(UtilityList!L$4:L$251,MATCH('Table 2.2a'!$A177,UtilityList!$A$4:$A$251,0)))</f>
        <v>Chugach</v>
      </c>
      <c r="Q177" s="452" t="str">
        <f t="array" ref="Q177">IFERROR((INDEX(UtilityList!M$4:M$251,MATCH('Table 2.2a'!$A177&amp;'Table 2.2a'!$B177,UtilityList!$A$4:$A$251&amp;UtilityList!$C$4:$C$251,0))),INDEX(UtilityList!M$4:M$251,MATCH('Table 2.2a'!$A177,UtilityList!$A$4:$A$251,0)))</f>
        <v>SC</v>
      </c>
    </row>
    <row r="178" spans="1:17" s="204" customFormat="1" ht="15" x14ac:dyDescent="0.25">
      <c r="A178" s="361" t="s">
        <v>638</v>
      </c>
      <c r="B178" s="361" t="s">
        <v>314</v>
      </c>
      <c r="C178" s="631">
        <v>118321</v>
      </c>
      <c r="D178" s="631">
        <v>0</v>
      </c>
      <c r="E178" s="631">
        <v>0</v>
      </c>
      <c r="F178" s="631">
        <v>118321</v>
      </c>
      <c r="G178" s="631">
        <v>112282</v>
      </c>
      <c r="H178" s="631">
        <v>0</v>
      </c>
      <c r="I178" s="631">
        <v>0</v>
      </c>
      <c r="J178" s="631"/>
      <c r="K178" s="631">
        <v>6039</v>
      </c>
      <c r="L178" s="598" t="s">
        <v>558</v>
      </c>
      <c r="M178" s="627">
        <f t="array" ref="M178">INDEX(UtilityList!Q$4:Q$251,MATCH('Table 2.2a'!$A178&amp;'Table 2.2a'!$B178,UtilityList!$A$4:$A$251&amp;UtilityList!$C$4:$C$251,0))</f>
        <v>0</v>
      </c>
      <c r="N178" s="452" t="str">
        <f t="array" ref="N178">IFERROR((INDEX(UtilityList!J$4:J$251,MATCH('Table 2.2a'!$A178&amp;'Table 2.2a'!$B178,UtilityList!$A$4:$A$251&amp;UtilityList!$C$4:$C$251,0))),INDEX(UtilityList!J$4:J$251,MATCH('Table 2.2a'!$A178,UtilityList!$A$4:$A$251,0)))</f>
        <v>Southeast</v>
      </c>
      <c r="O178" s="452" t="str">
        <f t="array" ref="O178">IFERROR((INDEX(UtilityList!K$4:K$251,MATCH('Table 2.2a'!$A178&amp;'Table 2.2a'!$B178,UtilityList!$A$4:$A$251&amp;UtilityList!$C$4:$C$251,0))),INDEX(UtilityList!K$4:K$251,MATCH('Table 2.2a'!$A178,UtilityList!$A$4:$A$251,0)))</f>
        <v>Sitka</v>
      </c>
      <c r="P178" s="452" t="str">
        <f t="array" ref="P178">IFERROR((INDEX(UtilityList!L$4:L$251,MATCH('Table 2.2a'!$A178&amp;'Table 2.2a'!$B178,UtilityList!$A$4:$A$251&amp;UtilityList!$C$4:$C$251,0))),INDEX(UtilityList!L$4:L$251,MATCH('Table 2.2a'!$A178,UtilityList!$A$4:$A$251,0)))</f>
        <v>Sealaska</v>
      </c>
      <c r="Q178" s="452" t="str">
        <f t="array" ref="Q178">IFERROR((INDEX(UtilityList!M$4:M$251,MATCH('Table 2.2a'!$A178&amp;'Table 2.2a'!$B178,UtilityList!$A$4:$A$251&amp;UtilityList!$C$4:$C$251,0))),INDEX(UtilityList!M$4:M$251,MATCH('Table 2.2a'!$A178,UtilityList!$A$4:$A$251,0)))</f>
        <v>SE</v>
      </c>
    </row>
    <row r="179" spans="1:17" s="204" customFormat="1" ht="15" x14ac:dyDescent="0.25">
      <c r="A179" s="628" t="s">
        <v>633</v>
      </c>
      <c r="B179" s="628" t="s">
        <v>320</v>
      </c>
      <c r="C179" s="629">
        <v>4455.16</v>
      </c>
      <c r="D179" s="629">
        <v>0</v>
      </c>
      <c r="E179" s="629">
        <v>0</v>
      </c>
      <c r="F179" s="629">
        <v>4455.16</v>
      </c>
      <c r="G179" s="629">
        <v>3660.84</v>
      </c>
      <c r="H179" s="629">
        <v>0</v>
      </c>
      <c r="I179" s="629">
        <v>0</v>
      </c>
      <c r="J179" s="629">
        <v>159.185</v>
      </c>
      <c r="K179" s="629">
        <v>635.13499999999976</v>
      </c>
      <c r="L179" s="630" t="s">
        <v>356</v>
      </c>
      <c r="M179" s="627">
        <f t="array" ref="M179">INDEX(UtilityList!Q$4:Q$251,MATCH('Table 2.2a'!$A179&amp;'Table 2.2a'!$B179,UtilityList!$A$4:$A$251&amp;UtilityList!$C$4:$C$251,0))</f>
        <v>0</v>
      </c>
      <c r="N179" s="452" t="str">
        <f t="array" ref="N179">IFERROR((INDEX(UtilityList!J$4:J$251,MATCH('Table 2.2a'!$A179&amp;'Table 2.2a'!$B179,UtilityList!$A$4:$A$251&amp;UtilityList!$C$4:$C$251,0))),INDEX(UtilityList!J$4:J$251,MATCH('Table 2.2a'!$A179,UtilityList!$A$4:$A$251,0)))</f>
        <v>Aleutians</v>
      </c>
      <c r="O179" s="452" t="str">
        <f t="array" ref="O179">IFERROR((INDEX(UtilityList!K$4:K$251,MATCH('Table 2.2a'!$A179&amp;'Table 2.2a'!$B179,UtilityList!$A$4:$A$251&amp;UtilityList!$C$4:$C$251,0))),INDEX(UtilityList!K$4:K$251,MATCH('Table 2.2a'!$A179,UtilityList!$A$4:$A$251,0)))</f>
        <v>Aleutians West (CA)</v>
      </c>
      <c r="P179" s="452" t="str">
        <f t="array" ref="P179">IFERROR((INDEX(UtilityList!L$4:L$251,MATCH('Table 2.2a'!$A179&amp;'Table 2.2a'!$B179,UtilityList!$A$4:$A$251&amp;UtilityList!$C$4:$C$251,0))),INDEX(UtilityList!L$4:L$251,MATCH('Table 2.2a'!$A179,UtilityList!$A$4:$A$251,0)))</f>
        <v>Aleut</v>
      </c>
      <c r="Q179" s="452" t="str">
        <f t="array" ref="Q179">IFERROR((INDEX(UtilityList!M$4:M$251,MATCH('Table 2.2a'!$A179&amp;'Table 2.2a'!$B179,UtilityList!$A$4:$A$251&amp;UtilityList!$C$4:$C$251,0))),INDEX(UtilityList!M$4:M$251,MATCH('Table 2.2a'!$A179,UtilityList!$A$4:$A$251,0)))</f>
        <v>SW</v>
      </c>
    </row>
    <row r="180" spans="1:17" s="204" customFormat="1" ht="15" x14ac:dyDescent="0.25">
      <c r="A180" s="628" t="s">
        <v>323</v>
      </c>
      <c r="B180" s="628" t="s">
        <v>324</v>
      </c>
      <c r="C180" s="629">
        <v>218.4845</v>
      </c>
      <c r="D180" s="629">
        <v>0</v>
      </c>
      <c r="E180" s="629">
        <v>0</v>
      </c>
      <c r="F180" s="629">
        <v>218.4845</v>
      </c>
      <c r="G180" s="629">
        <v>173.34100000000001</v>
      </c>
      <c r="H180" s="629">
        <v>0</v>
      </c>
      <c r="I180" s="629">
        <v>0</v>
      </c>
      <c r="J180" s="629">
        <v>23.914000000000001</v>
      </c>
      <c r="K180" s="629">
        <v>21.229500000000002</v>
      </c>
      <c r="L180" s="630" t="s">
        <v>356</v>
      </c>
      <c r="M180" s="627">
        <f t="array" ref="M180">INDEX(UtilityList!Q$4:Q$251,MATCH('Table 2.2a'!$A180&amp;'Table 2.2a'!$B180,UtilityList!$A$4:$A$251&amp;UtilityList!$C$4:$C$251,0))</f>
        <v>0</v>
      </c>
      <c r="N180" s="452" t="str">
        <f t="array" ref="N180">IFERROR((INDEX(UtilityList!J$4:J$251,MATCH('Table 2.2a'!$A180&amp;'Table 2.2a'!$B180,UtilityList!$A$4:$A$251&amp;UtilityList!$C$4:$C$251,0))),INDEX(UtilityList!J$4:J$251,MATCH('Table 2.2a'!$A180,UtilityList!$A$4:$A$251,0)))</f>
        <v>Yukon-Koyukuk/Upper Tanana</v>
      </c>
      <c r="O180" s="452" t="str">
        <f t="array" ref="O180">IFERROR((INDEX(UtilityList!K$4:K$251,MATCH('Table 2.2a'!$A180&amp;'Table 2.2a'!$B180,UtilityList!$A$4:$A$251&amp;UtilityList!$C$4:$C$251,0))),INDEX(UtilityList!K$4:K$251,MATCH('Table 2.2a'!$A180,UtilityList!$A$4:$A$251,0)))</f>
        <v>Yukon-Koyukuk (CA)</v>
      </c>
      <c r="P180" s="452" t="str">
        <f t="array" ref="P180">IFERROR((INDEX(UtilityList!L$4:L$251,MATCH('Table 2.2a'!$A180&amp;'Table 2.2a'!$B180,UtilityList!$A$4:$A$251&amp;UtilityList!$C$4:$C$251,0))),INDEX(UtilityList!L$4:L$251,MATCH('Table 2.2a'!$A180,UtilityList!$A$4:$A$251,0)))</f>
        <v>Doyon</v>
      </c>
      <c r="Q180" s="452" t="str">
        <f t="array" ref="Q180">IFERROR((INDEX(UtilityList!M$4:M$251,MATCH('Table 2.2a'!$A180&amp;'Table 2.2a'!$B180,UtilityList!$A$4:$A$251&amp;UtilityList!$C$4:$C$251,0))),INDEX(UtilityList!M$4:M$251,MATCH('Table 2.2a'!$A180,UtilityList!$A$4:$A$251,0)))</f>
        <v>SW</v>
      </c>
    </row>
    <row r="181" spans="1:17" s="204" customFormat="1" ht="15" x14ac:dyDescent="0.25">
      <c r="A181" s="628" t="s">
        <v>325</v>
      </c>
      <c r="B181" s="628" t="s">
        <v>326</v>
      </c>
      <c r="C181" s="629">
        <v>664.08</v>
      </c>
      <c r="D181" s="629">
        <v>0</v>
      </c>
      <c r="E181" s="629">
        <v>0</v>
      </c>
      <c r="F181" s="629">
        <v>664.08</v>
      </c>
      <c r="G181" s="629">
        <v>606.09699999999998</v>
      </c>
      <c r="H181" s="629">
        <v>0</v>
      </c>
      <c r="I181" s="629">
        <v>0</v>
      </c>
      <c r="J181" s="629">
        <v>15.766999999999999</v>
      </c>
      <c r="K181" s="629">
        <v>42.216000000000008</v>
      </c>
      <c r="L181" s="630" t="s">
        <v>356</v>
      </c>
      <c r="M181" s="627">
        <f t="array" ref="M181">INDEX(UtilityList!Q$4:Q$251,MATCH('Table 2.2a'!$A181&amp;'Table 2.2a'!$B181,UtilityList!$A$4:$A$251&amp;UtilityList!$C$4:$C$251,0))</f>
        <v>0</v>
      </c>
      <c r="N181" s="452" t="str">
        <f t="array" ref="N181">IFERROR((INDEX(UtilityList!J$4:J$251,MATCH('Table 2.2a'!$A181&amp;'Table 2.2a'!$B181,UtilityList!$A$4:$A$251&amp;UtilityList!$C$4:$C$251,0))),INDEX(UtilityList!J$4:J$251,MATCH('Table 2.2a'!$A181,UtilityList!$A$4:$A$251,0)))</f>
        <v>Bristol Bay</v>
      </c>
      <c r="O181" s="452" t="str">
        <f t="array" ref="O181">IFERROR((INDEX(UtilityList!K$4:K$251,MATCH('Table 2.2a'!$A181&amp;'Table 2.2a'!$B181,UtilityList!$A$4:$A$251&amp;UtilityList!$C$4:$C$251,0))),INDEX(UtilityList!K$4:K$251,MATCH('Table 2.2a'!$A181,UtilityList!$A$4:$A$251,0)))</f>
        <v>Lake and Peninsula</v>
      </c>
      <c r="P181" s="452" t="str">
        <f t="array" ref="P181">IFERROR((INDEX(UtilityList!L$4:L$251,MATCH('Table 2.2a'!$A181&amp;'Table 2.2a'!$B181,UtilityList!$A$4:$A$251&amp;UtilityList!$C$4:$C$251,0))),INDEX(UtilityList!L$4:L$251,MATCH('Table 2.2a'!$A181,UtilityList!$A$4:$A$251,0)))</f>
        <v>Cook Inlet</v>
      </c>
      <c r="Q181" s="452" t="str">
        <f t="array" ref="Q181">IFERROR((INDEX(UtilityList!M$4:M$251,MATCH('Table 2.2a'!$A181&amp;'Table 2.2a'!$B181,UtilityList!$A$4:$A$251&amp;UtilityList!$C$4:$C$251,0))),INDEX(UtilityList!M$4:M$251,MATCH('Table 2.2a'!$A181,UtilityList!$A$4:$A$251,0)))</f>
        <v>SW</v>
      </c>
    </row>
    <row r="182" spans="1:17" s="204" customFormat="1" ht="15" x14ac:dyDescent="0.25">
      <c r="A182" s="628" t="s">
        <v>510</v>
      </c>
      <c r="B182" s="628" t="s">
        <v>327</v>
      </c>
      <c r="C182" s="629">
        <v>1179.7650000000001</v>
      </c>
      <c r="D182" s="629">
        <v>0</v>
      </c>
      <c r="E182" s="629">
        <v>0</v>
      </c>
      <c r="F182" s="629">
        <v>1179.7650000000001</v>
      </c>
      <c r="G182" s="629">
        <v>1068.596</v>
      </c>
      <c r="H182" s="629">
        <v>0</v>
      </c>
      <c r="I182" s="629">
        <v>0</v>
      </c>
      <c r="J182" s="629">
        <v>33.168999999999997</v>
      </c>
      <c r="K182" s="629">
        <v>78</v>
      </c>
      <c r="L182" s="630" t="s">
        <v>356</v>
      </c>
      <c r="M182" s="627">
        <f t="array" ref="M182">INDEX(UtilityList!Q$4:Q$251,MATCH('Table 2.2a'!$A182&amp;'Table 2.2a'!$B182,UtilityList!$A$4:$A$251&amp;UtilityList!$C$4:$C$251,0))</f>
        <v>0</v>
      </c>
      <c r="N182" s="452" t="str">
        <f t="array" ref="N182">IFERROR((INDEX(UtilityList!J$4:J$251,MATCH('Table 2.2a'!$A182&amp;'Table 2.2a'!$B182,UtilityList!$A$4:$A$251&amp;UtilityList!$C$4:$C$251,0))),INDEX(UtilityList!J$4:J$251,MATCH('Table 2.2a'!$A182,UtilityList!$A$4:$A$251,0)))</f>
        <v>Yukon-Koyukuk/Upper Tanana</v>
      </c>
      <c r="O182" s="452" t="str">
        <f t="array" ref="O182">IFERROR((INDEX(UtilityList!K$4:K$251,MATCH('Table 2.2a'!$A182&amp;'Table 2.2a'!$B182,UtilityList!$A$4:$A$251&amp;UtilityList!$C$4:$C$251,0))),INDEX(UtilityList!K$4:K$251,MATCH('Table 2.2a'!$A182,UtilityList!$A$4:$A$251,0)))</f>
        <v>Yukon-Koyukuk (CA)</v>
      </c>
      <c r="P182" s="452" t="str">
        <f t="array" ref="P182">IFERROR((INDEX(UtilityList!L$4:L$251,MATCH('Table 2.2a'!$A182&amp;'Table 2.2a'!$B182,UtilityList!$A$4:$A$251&amp;UtilityList!$C$4:$C$251,0))),INDEX(UtilityList!L$4:L$251,MATCH('Table 2.2a'!$A182,UtilityList!$A$4:$A$251,0)))</f>
        <v>Doyon</v>
      </c>
      <c r="Q182" s="452" t="str">
        <f t="array" ref="Q182">IFERROR((INDEX(UtilityList!M$4:M$251,MATCH('Table 2.2a'!$A182&amp;'Table 2.2a'!$B182,UtilityList!$A$4:$A$251&amp;UtilityList!$C$4:$C$251,0))),INDEX(UtilityList!M$4:M$251,MATCH('Table 2.2a'!$A182,UtilityList!$A$4:$A$251,0)))</f>
        <v>YU</v>
      </c>
    </row>
    <row r="183" spans="1:17" s="204" customFormat="1" ht="15" x14ac:dyDescent="0.25">
      <c r="A183" s="628" t="s">
        <v>328</v>
      </c>
      <c r="B183" s="628" t="s">
        <v>329</v>
      </c>
      <c r="C183" s="629">
        <v>516.29999999999995</v>
      </c>
      <c r="D183" s="629">
        <v>0</v>
      </c>
      <c r="E183" s="629">
        <v>0</v>
      </c>
      <c r="F183" s="629">
        <v>516.29999999999995</v>
      </c>
      <c r="G183" s="629">
        <v>387.74099999999999</v>
      </c>
      <c r="H183" s="629">
        <v>0</v>
      </c>
      <c r="I183" s="629">
        <v>16.539000000000001</v>
      </c>
      <c r="J183" s="629">
        <v>44.095999999999997</v>
      </c>
      <c r="K183" s="629">
        <v>67.923999999999978</v>
      </c>
      <c r="L183" s="630" t="s">
        <v>356</v>
      </c>
      <c r="M183" s="627">
        <f t="array" ref="M183">INDEX(UtilityList!Q$4:Q$251,MATCH('Table 2.2a'!$A183&amp;'Table 2.2a'!$B183,UtilityList!$A$4:$A$251&amp;UtilityList!$C$4:$C$251,0))</f>
        <v>0</v>
      </c>
      <c r="N183" s="452" t="str">
        <f t="array" ref="N183">IFERROR((INDEX(UtilityList!J$4:J$251,MATCH('Table 2.2a'!$A183&amp;'Table 2.2a'!$B183,UtilityList!$A$4:$A$251&amp;UtilityList!$C$4:$C$251,0))),INDEX(UtilityList!J$4:J$251,MATCH('Table 2.2a'!$A183,UtilityList!$A$4:$A$251,0)))</f>
        <v>Copper River/Chugach</v>
      </c>
      <c r="O183" s="452" t="str">
        <f t="array" ref="O183">IFERROR((INDEX(UtilityList!K$4:K$251,MATCH('Table 2.2a'!$A183&amp;'Table 2.2a'!$B183,UtilityList!$A$4:$A$251&amp;UtilityList!$C$4:$C$251,0))),INDEX(UtilityList!K$4:K$251,MATCH('Table 2.2a'!$A183,UtilityList!$A$4:$A$251,0)))</f>
        <v>Valdez-Cordova (CA)</v>
      </c>
      <c r="P183" s="452" t="str">
        <f t="array" ref="P183">IFERROR((INDEX(UtilityList!L$4:L$251,MATCH('Table 2.2a'!$A183&amp;'Table 2.2a'!$B183,UtilityList!$A$4:$A$251&amp;UtilityList!$C$4:$C$251,0))),INDEX(UtilityList!L$4:L$251,MATCH('Table 2.2a'!$A183,UtilityList!$A$4:$A$251,0)))</f>
        <v>Chugach</v>
      </c>
      <c r="Q183" s="452" t="str">
        <f t="array" ref="Q183">IFERROR((INDEX(UtilityList!M$4:M$251,MATCH('Table 2.2a'!$A183&amp;'Table 2.2a'!$B183,UtilityList!$A$4:$A$251&amp;UtilityList!$C$4:$C$251,0))),INDEX(UtilityList!M$4:M$251,MATCH('Table 2.2a'!$A183,UtilityList!$A$4:$A$251,0)))</f>
        <v>SC</v>
      </c>
    </row>
    <row r="184" spans="1:17" s="204" customFormat="1" ht="15" x14ac:dyDescent="0.25">
      <c r="A184" s="633" t="s">
        <v>1080</v>
      </c>
      <c r="B184" s="633" t="s">
        <v>330</v>
      </c>
      <c r="C184" s="629">
        <v>1908.4159999999999</v>
      </c>
      <c r="D184" s="629">
        <v>0</v>
      </c>
      <c r="E184" s="629">
        <v>0</v>
      </c>
      <c r="F184" s="629">
        <v>1908.4159999999999</v>
      </c>
      <c r="G184" s="629">
        <v>1981.7329999999999</v>
      </c>
      <c r="H184" s="629">
        <v>0</v>
      </c>
      <c r="I184" s="629">
        <v>0</v>
      </c>
      <c r="J184" s="629">
        <v>0</v>
      </c>
      <c r="K184" s="629">
        <v>-73.317000000000007</v>
      </c>
      <c r="L184" s="634" t="s">
        <v>356</v>
      </c>
      <c r="M184" s="627">
        <f t="array" ref="M184">INDEX(UtilityList!Q$4:Q$251,MATCH('Table 2.2a'!$A184&amp;'Table 2.2a'!$B184,UtilityList!$A$4:$A$251&amp;UtilityList!$C$4:$C$251,0))</f>
        <v>0</v>
      </c>
      <c r="N184" s="452" t="str">
        <f t="array" ref="N184">IFERROR((INDEX(UtilityList!J$4:J$251,MATCH('Table 2.2a'!$A184&amp;'Table 2.2a'!$B184,UtilityList!$A$4:$A$251&amp;UtilityList!$C$4:$C$251,0))),INDEX(UtilityList!J$4:J$251,MATCH('Table 2.2a'!$A184,UtilityList!$A$4:$A$251,0)))</f>
        <v>Aleutians</v>
      </c>
      <c r="O184" s="452" t="str">
        <f t="array" ref="O184">IFERROR((INDEX(UtilityList!K$4:K$251,MATCH('Table 2.2a'!$A184&amp;'Table 2.2a'!$B184,UtilityList!$A$4:$A$251&amp;UtilityList!$C$4:$C$251,0))),INDEX(UtilityList!K$4:K$251,MATCH('Table 2.2a'!$A184,UtilityList!$A$4:$A$251,0)))</f>
        <v>Aleutians West (CA)</v>
      </c>
      <c r="P184" s="452" t="str">
        <f t="array" ref="P184">IFERROR((INDEX(UtilityList!L$4:L$251,MATCH('Table 2.2a'!$A184&amp;'Table 2.2a'!$B184,UtilityList!$A$4:$A$251&amp;UtilityList!$C$4:$C$251,0))),INDEX(UtilityList!L$4:L$251,MATCH('Table 2.2a'!$A184,UtilityList!$A$4:$A$251,0)))</f>
        <v>Aleut</v>
      </c>
      <c r="Q184" s="452" t="str">
        <f t="array" ref="Q184">IFERROR((INDEX(UtilityList!M$4:M$251,MATCH('Table 2.2a'!$A184&amp;'Table 2.2a'!$B184,UtilityList!$A$4:$A$251&amp;UtilityList!$C$4:$C$251,0))),INDEX(UtilityList!M$4:M$251,MATCH('Table 2.2a'!$A184,UtilityList!$A$4:$A$251,0)))</f>
        <v>SW</v>
      </c>
    </row>
    <row r="185" spans="1:17" s="204" customFormat="1" ht="15" x14ac:dyDescent="0.25">
      <c r="A185" s="628" t="s">
        <v>331</v>
      </c>
      <c r="B185" s="628" t="s">
        <v>332</v>
      </c>
      <c r="C185" s="629">
        <v>4457.2349999999997</v>
      </c>
      <c r="D185" s="629">
        <v>0</v>
      </c>
      <c r="E185" s="629">
        <v>0</v>
      </c>
      <c r="F185" s="629">
        <v>4457.2349999999997</v>
      </c>
      <c r="G185" s="629">
        <v>3859.6370000000002</v>
      </c>
      <c r="H185" s="629">
        <v>0</v>
      </c>
      <c r="I185" s="629">
        <v>0</v>
      </c>
      <c r="J185" s="629">
        <v>143.44</v>
      </c>
      <c r="K185" s="629">
        <v>454.15799999999945</v>
      </c>
      <c r="L185" s="630" t="s">
        <v>356</v>
      </c>
      <c r="M185" s="627">
        <f t="array" ref="M185">INDEX(UtilityList!Q$4:Q$251,MATCH('Table 2.2a'!$A185&amp;'Table 2.2a'!$B185,UtilityList!$A$4:$A$251&amp;UtilityList!$C$4:$C$251,0))</f>
        <v>0</v>
      </c>
      <c r="N185" s="452" t="str">
        <f t="array" ref="N185">IFERROR((INDEX(UtilityList!J$4:J$251,MATCH('Table 2.2a'!$A185&amp;'Table 2.2a'!$B185,UtilityList!$A$4:$A$251&amp;UtilityList!$C$4:$C$251,0))),INDEX(UtilityList!J$4:J$251,MATCH('Table 2.2a'!$A185,UtilityList!$A$4:$A$251,0)))</f>
        <v>Aleutians</v>
      </c>
      <c r="O185" s="452" t="str">
        <f t="array" ref="O185">IFERROR((INDEX(UtilityList!K$4:K$251,MATCH('Table 2.2a'!$A185&amp;'Table 2.2a'!$B185,UtilityList!$A$4:$A$251&amp;UtilityList!$C$4:$C$251,0))),INDEX(UtilityList!K$4:K$251,MATCH('Table 2.2a'!$A185,UtilityList!$A$4:$A$251,0)))</f>
        <v>Aleutians East</v>
      </c>
      <c r="P185" s="452" t="str">
        <f t="array" ref="P185">IFERROR((INDEX(UtilityList!L$4:L$251,MATCH('Table 2.2a'!$A185&amp;'Table 2.2a'!$B185,UtilityList!$A$4:$A$251&amp;UtilityList!$C$4:$C$251,0))),INDEX(UtilityList!L$4:L$251,MATCH('Table 2.2a'!$A185,UtilityList!$A$4:$A$251,0)))</f>
        <v>Aleut</v>
      </c>
      <c r="Q185" s="452" t="str">
        <f t="array" ref="Q185">IFERROR((INDEX(UtilityList!M$4:M$251,MATCH('Table 2.2a'!$A185&amp;'Table 2.2a'!$B185,UtilityList!$A$4:$A$251&amp;UtilityList!$C$4:$C$251,0))),INDEX(UtilityList!M$4:M$251,MATCH('Table 2.2a'!$A185,UtilityList!$A$4:$A$251,0)))</f>
        <v>SW</v>
      </c>
    </row>
    <row r="186" spans="1:17" s="204" customFormat="1" ht="15" x14ac:dyDescent="0.25">
      <c r="A186" s="628" t="s">
        <v>333</v>
      </c>
      <c r="B186" s="628" t="s">
        <v>334</v>
      </c>
      <c r="C186" s="629">
        <v>444.78070000000002</v>
      </c>
      <c r="D186" s="629">
        <v>0</v>
      </c>
      <c r="E186" s="629">
        <v>0</v>
      </c>
      <c r="F186" s="629">
        <v>444.78070000000002</v>
      </c>
      <c r="G186" s="629">
        <v>340.90300000000002</v>
      </c>
      <c r="H186" s="629">
        <v>0</v>
      </c>
      <c r="I186" s="629">
        <v>0</v>
      </c>
      <c r="J186" s="629">
        <v>10.619</v>
      </c>
      <c r="K186" s="629">
        <v>93.258699999999976</v>
      </c>
      <c r="L186" s="630" t="s">
        <v>356</v>
      </c>
      <c r="M186" s="627">
        <f t="array" ref="M186">INDEX(UtilityList!Q$4:Q$251,MATCH('Table 2.2a'!$A186&amp;'Table 2.2a'!$B186,UtilityList!$A$4:$A$251&amp;UtilityList!$C$4:$C$251,0))</f>
        <v>0</v>
      </c>
      <c r="N186" s="452" t="str">
        <f t="array" ref="N186">IFERROR((INDEX(UtilityList!J$4:J$251,MATCH('Table 2.2a'!$A186&amp;'Table 2.2a'!$B186,UtilityList!$A$4:$A$251&amp;UtilityList!$C$4:$C$251,0))),INDEX(UtilityList!J$4:J$251,MATCH('Table 2.2a'!$A186,UtilityList!$A$4:$A$251,0)))</f>
        <v>Yukon-Koyukuk/Upper Tanana</v>
      </c>
      <c r="O186" s="452" t="str">
        <f t="array" ref="O186">IFERROR((INDEX(UtilityList!K$4:K$251,MATCH('Table 2.2a'!$A186&amp;'Table 2.2a'!$B186,UtilityList!$A$4:$A$251&amp;UtilityList!$C$4:$C$251,0))),INDEX(UtilityList!K$4:K$251,MATCH('Table 2.2a'!$A186,UtilityList!$A$4:$A$251,0)))</f>
        <v>Yukon-Koyukuk (CA)</v>
      </c>
      <c r="P186" s="452" t="str">
        <f t="array" ref="P186">IFERROR((INDEX(UtilityList!L$4:L$251,MATCH('Table 2.2a'!$A186&amp;'Table 2.2a'!$B186,UtilityList!$A$4:$A$251&amp;UtilityList!$C$4:$C$251,0))),INDEX(UtilityList!L$4:L$251,MATCH('Table 2.2a'!$A186,UtilityList!$A$4:$A$251,0)))</f>
        <v>Doyon</v>
      </c>
      <c r="Q186" s="452" t="str">
        <f t="array" ref="Q186">IFERROR((INDEX(UtilityList!M$4:M$251,MATCH('Table 2.2a'!$A186&amp;'Table 2.2a'!$B186,UtilityList!$A$4:$A$251&amp;UtilityList!$C$4:$C$251,0))),INDEX(UtilityList!M$4:M$251,MATCH('Table 2.2a'!$A186,UtilityList!$A$4:$A$251,0)))</f>
        <v>YU</v>
      </c>
    </row>
    <row r="187" spans="1:17" s="204" customFormat="1" ht="15" x14ac:dyDescent="0.25">
      <c r="A187" s="628" t="s">
        <v>335</v>
      </c>
      <c r="B187" s="628" t="s">
        <v>336</v>
      </c>
      <c r="C187" s="629">
        <v>419.65699999999998</v>
      </c>
      <c r="D187" s="629">
        <v>0</v>
      </c>
      <c r="E187" s="629">
        <v>0</v>
      </c>
      <c r="F187" s="629">
        <v>419.65699999999998</v>
      </c>
      <c r="G187" s="629">
        <v>359.80599999999998</v>
      </c>
      <c r="H187" s="629">
        <v>0</v>
      </c>
      <c r="I187" s="629">
        <v>0</v>
      </c>
      <c r="J187" s="629">
        <v>3.3439999999999999</v>
      </c>
      <c r="K187" s="629">
        <v>56.507000000000005</v>
      </c>
      <c r="L187" s="630" t="s">
        <v>356</v>
      </c>
      <c r="M187" s="627">
        <f t="array" ref="M187">INDEX(UtilityList!Q$4:Q$251,MATCH('Table 2.2a'!$A187&amp;'Table 2.2a'!$B187,UtilityList!$A$4:$A$251&amp;UtilityList!$C$4:$C$251,0))</f>
        <v>0</v>
      </c>
      <c r="N187" s="452" t="str">
        <f t="array" ref="N187">IFERROR((INDEX(UtilityList!J$4:J$251,MATCH('Table 2.2a'!$A187&amp;'Table 2.2a'!$B187,UtilityList!$A$4:$A$251&amp;UtilityList!$C$4:$C$251,0))),INDEX(UtilityList!J$4:J$251,MATCH('Table 2.2a'!$A187,UtilityList!$A$4:$A$251,0)))</f>
        <v>Southeast</v>
      </c>
      <c r="O187" s="452" t="str">
        <f t="array" ref="O187">IFERROR((INDEX(UtilityList!K$4:K$251,MATCH('Table 2.2a'!$A187&amp;'Table 2.2a'!$B187,UtilityList!$A$4:$A$251&amp;UtilityList!$C$4:$C$251,0))),INDEX(UtilityList!K$4:K$251,MATCH('Table 2.2a'!$A187,UtilityList!$A$4:$A$251,0)))</f>
        <v>Hoonah-Angoon (CA)</v>
      </c>
      <c r="P187" s="452" t="str">
        <f t="array" ref="P187">IFERROR((INDEX(UtilityList!L$4:L$251,MATCH('Table 2.2a'!$A187&amp;'Table 2.2a'!$B187,UtilityList!$A$4:$A$251&amp;UtilityList!$C$4:$C$251,0))),INDEX(UtilityList!L$4:L$251,MATCH('Table 2.2a'!$A187,UtilityList!$A$4:$A$251,0)))</f>
        <v>Sealaska</v>
      </c>
      <c r="Q187" s="452" t="str">
        <f t="array" ref="Q187">IFERROR((INDEX(UtilityList!M$4:M$251,MATCH('Table 2.2a'!$A187&amp;'Table 2.2a'!$B187,UtilityList!$A$4:$A$251&amp;UtilityList!$C$4:$C$251,0))),INDEX(UtilityList!M$4:M$251,MATCH('Table 2.2a'!$A187,UtilityList!$A$4:$A$251,0)))</f>
        <v>SE</v>
      </c>
    </row>
    <row r="188" spans="1:17" s="204" customFormat="1" ht="15" x14ac:dyDescent="0.25">
      <c r="A188" s="628" t="s">
        <v>337</v>
      </c>
      <c r="B188" s="628" t="s">
        <v>338</v>
      </c>
      <c r="C188" s="629">
        <v>651.04509999999993</v>
      </c>
      <c r="D188" s="629">
        <v>0</v>
      </c>
      <c r="E188" s="629">
        <v>0</v>
      </c>
      <c r="F188" s="629">
        <v>651.04509999999993</v>
      </c>
      <c r="G188" s="629">
        <v>496.59500000000003</v>
      </c>
      <c r="H188" s="629">
        <v>0</v>
      </c>
      <c r="I188" s="629">
        <v>13.321</v>
      </c>
      <c r="J188" s="629">
        <v>44.322000000000003</v>
      </c>
      <c r="K188" s="629">
        <v>96.807099999999878</v>
      </c>
      <c r="L188" s="630" t="s">
        <v>356</v>
      </c>
      <c r="M188" s="627">
        <f t="array" ref="M188">INDEX(UtilityList!Q$4:Q$251,MATCH('Table 2.2a'!$A188&amp;'Table 2.2a'!$B188,UtilityList!$A$4:$A$251&amp;UtilityList!$C$4:$C$251,0))</f>
        <v>0</v>
      </c>
      <c r="N188" s="452" t="str">
        <f t="array" ref="N188">IFERROR((INDEX(UtilityList!J$4:J$251,MATCH('Table 2.2a'!$A188&amp;'Table 2.2a'!$B188,UtilityList!$A$4:$A$251&amp;UtilityList!$C$4:$C$251,0))),INDEX(UtilityList!J$4:J$251,MATCH('Table 2.2a'!$A188,UtilityList!$A$4:$A$251,0)))</f>
        <v>Lower Yukon-Kuskokwim</v>
      </c>
      <c r="O188" s="452" t="str">
        <f t="array" ref="O188">IFERROR((INDEX(UtilityList!K$4:K$251,MATCH('Table 2.2a'!$A188&amp;'Table 2.2a'!$B188,UtilityList!$A$4:$A$251&amp;UtilityList!$C$4:$C$251,0))),INDEX(UtilityList!K$4:K$251,MATCH('Table 2.2a'!$A188,UtilityList!$A$4:$A$251,0)))</f>
        <v>Bethel (CA)</v>
      </c>
      <c r="P188" s="452" t="str">
        <f t="array" ref="P188">IFERROR((INDEX(UtilityList!L$4:L$251,MATCH('Table 2.2a'!$A188&amp;'Table 2.2a'!$B188,UtilityList!$A$4:$A$251&amp;UtilityList!$C$4:$C$251,0))),INDEX(UtilityList!L$4:L$251,MATCH('Table 2.2a'!$A188,UtilityList!$A$4:$A$251,0)))</f>
        <v>Calista</v>
      </c>
      <c r="Q188" s="452" t="str">
        <f t="array" ref="Q188">IFERROR((INDEX(UtilityList!M$4:M$251,MATCH('Table 2.2a'!$A188&amp;'Table 2.2a'!$B188,UtilityList!$A$4:$A$251&amp;UtilityList!$C$4:$C$251,0))),INDEX(UtilityList!M$4:M$251,MATCH('Table 2.2a'!$A188,UtilityList!$A$4:$A$251,0)))</f>
        <v>SW</v>
      </c>
    </row>
    <row r="189" spans="1:17" s="204" customFormat="1" ht="15" x14ac:dyDescent="0.25">
      <c r="A189" s="628" t="s">
        <v>339</v>
      </c>
      <c r="B189" s="628" t="s">
        <v>340</v>
      </c>
      <c r="C189" s="629">
        <v>1004.009</v>
      </c>
      <c r="D189" s="629">
        <v>0</v>
      </c>
      <c r="E189" s="629">
        <v>0</v>
      </c>
      <c r="F189" s="629">
        <v>1004.009</v>
      </c>
      <c r="G189" s="629">
        <v>892.81899999999996</v>
      </c>
      <c r="H189" s="629">
        <v>0</v>
      </c>
      <c r="I189" s="629">
        <v>10.875999999999999</v>
      </c>
      <c r="J189" s="629">
        <v>33.058</v>
      </c>
      <c r="K189" s="629">
        <v>67.256000000000085</v>
      </c>
      <c r="L189" s="630" t="s">
        <v>356</v>
      </c>
      <c r="M189" s="627">
        <f t="array" ref="M189">INDEX(UtilityList!Q$4:Q$251,MATCH('Table 2.2a'!$A189&amp;'Table 2.2a'!$B189,UtilityList!$A$4:$A$251&amp;UtilityList!$C$4:$C$251,0))</f>
        <v>0</v>
      </c>
      <c r="N189" s="452" t="str">
        <f t="array" ref="N189">IFERROR((INDEX(UtilityList!J$4:J$251,MATCH('Table 2.2a'!$A189&amp;'Table 2.2a'!$B189,UtilityList!$A$4:$A$251&amp;UtilityList!$C$4:$C$251,0))),INDEX(UtilityList!J$4:J$251,MATCH('Table 2.2a'!$A189,UtilityList!$A$4:$A$251,0)))</f>
        <v>Lower Yukon-Kuskokwim</v>
      </c>
      <c r="O189" s="452" t="str">
        <f t="array" ref="O189">IFERROR((INDEX(UtilityList!K$4:K$251,MATCH('Table 2.2a'!$A189&amp;'Table 2.2a'!$B189,UtilityList!$A$4:$A$251&amp;UtilityList!$C$4:$C$251,0))),INDEX(UtilityList!K$4:K$251,MATCH('Table 2.2a'!$A189,UtilityList!$A$4:$A$251,0)))</f>
        <v>Bethel (CA)</v>
      </c>
      <c r="P189" s="452" t="str">
        <f t="array" ref="P189">IFERROR((INDEX(UtilityList!L$4:L$251,MATCH('Table 2.2a'!$A189&amp;'Table 2.2a'!$B189,UtilityList!$A$4:$A$251&amp;UtilityList!$C$4:$C$251,0))),INDEX(UtilityList!L$4:L$251,MATCH('Table 2.2a'!$A189,UtilityList!$A$4:$A$251,0)))</f>
        <v>Calista</v>
      </c>
      <c r="Q189" s="452" t="str">
        <f t="array" ref="Q189">IFERROR((INDEX(UtilityList!M$4:M$251,MATCH('Table 2.2a'!$A189&amp;'Table 2.2a'!$B189,UtilityList!$A$4:$A$251&amp;UtilityList!$C$4:$C$251,0))),INDEX(UtilityList!M$4:M$251,MATCH('Table 2.2a'!$A189,UtilityList!$A$4:$A$251,0)))</f>
        <v>SW</v>
      </c>
    </row>
    <row r="190" spans="1:17" s="204" customFormat="1" ht="15" x14ac:dyDescent="0.25">
      <c r="A190" s="628" t="s">
        <v>341</v>
      </c>
      <c r="B190" s="628" t="s">
        <v>342</v>
      </c>
      <c r="C190" s="629">
        <v>312.488</v>
      </c>
      <c r="D190" s="629">
        <v>0</v>
      </c>
      <c r="E190" s="629">
        <v>0</v>
      </c>
      <c r="F190" s="629">
        <v>312.488</v>
      </c>
      <c r="G190" s="629">
        <v>203.47900000000001</v>
      </c>
      <c r="H190" s="629">
        <v>0</v>
      </c>
      <c r="I190" s="629">
        <v>3.895</v>
      </c>
      <c r="J190" s="629">
        <v>30.246200000000002</v>
      </c>
      <c r="K190" s="629">
        <v>74.867799999999988</v>
      </c>
      <c r="L190" s="630" t="s">
        <v>356</v>
      </c>
      <c r="M190" s="627">
        <f t="array" ref="M190">INDEX(UtilityList!Q$4:Q$251,MATCH('Table 2.2a'!$A190&amp;'Table 2.2a'!$B190,UtilityList!$A$4:$A$251&amp;UtilityList!$C$4:$C$251,0))</f>
        <v>0</v>
      </c>
      <c r="N190" s="452" t="str">
        <f t="array" ref="N190">IFERROR((INDEX(UtilityList!J$4:J$251,MATCH('Table 2.2a'!$A190&amp;'Table 2.2a'!$B190,UtilityList!$A$4:$A$251&amp;UtilityList!$C$4:$C$251,0))),INDEX(UtilityList!J$4:J$251,MATCH('Table 2.2a'!$A190,UtilityList!$A$4:$A$251,0)))</f>
        <v>Bristol Bay</v>
      </c>
      <c r="O190" s="452" t="str">
        <f t="array" ref="O190">IFERROR((INDEX(UtilityList!K$4:K$251,MATCH('Table 2.2a'!$A190&amp;'Table 2.2a'!$B190,UtilityList!$A$4:$A$251&amp;UtilityList!$C$4:$C$251,0))),INDEX(UtilityList!K$4:K$251,MATCH('Table 2.2a'!$A190,UtilityList!$A$4:$A$251,0)))</f>
        <v>Dillingham (CA)</v>
      </c>
      <c r="P190" s="452" t="str">
        <f t="array" ref="P190">IFERROR((INDEX(UtilityList!L$4:L$251,MATCH('Table 2.2a'!$A190&amp;'Table 2.2a'!$B190,UtilityList!$A$4:$A$251&amp;UtilityList!$C$4:$C$251,0))),INDEX(UtilityList!L$4:L$251,MATCH('Table 2.2a'!$A190,UtilityList!$A$4:$A$251,0)))</f>
        <v>Bristol Bay</v>
      </c>
      <c r="Q190" s="452" t="str">
        <f t="array" ref="Q190">IFERROR((INDEX(UtilityList!M$4:M$251,MATCH('Table 2.2a'!$A190&amp;'Table 2.2a'!$B190,UtilityList!$A$4:$A$251&amp;UtilityList!$C$4:$C$251,0))),INDEX(UtilityList!M$4:M$251,MATCH('Table 2.2a'!$A190,UtilityList!$A$4:$A$251,0)))</f>
        <v>SW</v>
      </c>
    </row>
    <row r="191" spans="1:17" s="204" customFormat="1" ht="15" x14ac:dyDescent="0.25">
      <c r="A191" s="628" t="s">
        <v>343</v>
      </c>
      <c r="B191" s="628" t="s">
        <v>344</v>
      </c>
      <c r="C191" s="629">
        <v>237.30199999999999</v>
      </c>
      <c r="D191" s="629">
        <v>0</v>
      </c>
      <c r="E191" s="629">
        <v>0</v>
      </c>
      <c r="F191" s="629">
        <v>237.30199999999999</v>
      </c>
      <c r="G191" s="629">
        <v>197.976</v>
      </c>
      <c r="H191" s="629">
        <v>0</v>
      </c>
      <c r="I191" s="629">
        <v>0</v>
      </c>
      <c r="J191" s="629">
        <v>24.998999999999999</v>
      </c>
      <c r="K191" s="629">
        <v>14.326999999999998</v>
      </c>
      <c r="L191" s="630" t="s">
        <v>356</v>
      </c>
      <c r="M191" s="627">
        <f t="array" ref="M191">INDEX(UtilityList!Q$4:Q$251,MATCH('Table 2.2a'!$A191&amp;'Table 2.2a'!$B191,UtilityList!$A$4:$A$251&amp;UtilityList!$C$4:$C$251,0))</f>
        <v>0</v>
      </c>
      <c r="N191" s="452" t="str">
        <f t="array" ref="N191">IFERROR((INDEX(UtilityList!J$4:J$251,MATCH('Table 2.2a'!$A191&amp;'Table 2.2a'!$B191,UtilityList!$A$4:$A$251&amp;UtilityList!$C$4:$C$251,0))),INDEX(UtilityList!J$4:J$251,MATCH('Table 2.2a'!$A191,UtilityList!$A$4:$A$251,0)))</f>
        <v>Aleutians</v>
      </c>
      <c r="O191" s="452" t="str">
        <f t="array" ref="O191">IFERROR((INDEX(UtilityList!K$4:K$251,MATCH('Table 2.2a'!$A191&amp;'Table 2.2a'!$B191,UtilityList!$A$4:$A$251&amp;UtilityList!$C$4:$C$251,0))),INDEX(UtilityList!K$4:K$251,MATCH('Table 2.2a'!$A191,UtilityList!$A$4:$A$251,0)))</f>
        <v>Aleutians West (CA)</v>
      </c>
      <c r="P191" s="452" t="str">
        <f t="array" ref="P191">IFERROR((INDEX(UtilityList!L$4:L$251,MATCH('Table 2.2a'!$A191&amp;'Table 2.2a'!$B191,UtilityList!$A$4:$A$251&amp;UtilityList!$C$4:$C$251,0))),INDEX(UtilityList!L$4:L$251,MATCH('Table 2.2a'!$A191,UtilityList!$A$4:$A$251,0)))</f>
        <v>Aleut</v>
      </c>
      <c r="Q191" s="452" t="str">
        <f t="array" ref="Q191">IFERROR((INDEX(UtilityList!M$4:M$251,MATCH('Table 2.2a'!$A191&amp;'Table 2.2a'!$B191,UtilityList!$A$4:$A$251&amp;UtilityList!$C$4:$C$251,0))),INDEX(UtilityList!M$4:M$251,MATCH('Table 2.2a'!$A191,UtilityList!$A$4:$A$251,0)))</f>
        <v>SW</v>
      </c>
    </row>
    <row r="192" spans="1:17" s="204" customFormat="1" ht="15" x14ac:dyDescent="0.25">
      <c r="A192" s="628" t="s">
        <v>537</v>
      </c>
      <c r="B192" s="628" t="s">
        <v>345</v>
      </c>
      <c r="C192" s="629">
        <v>4499.1289999999999</v>
      </c>
      <c r="D192" s="629">
        <v>0</v>
      </c>
      <c r="E192" s="629">
        <v>0</v>
      </c>
      <c r="F192" s="629">
        <v>4499.1289999999999</v>
      </c>
      <c r="G192" s="629">
        <v>4126.8720000000003</v>
      </c>
      <c r="H192" s="629">
        <v>0</v>
      </c>
      <c r="I192" s="629">
        <v>14.090999999999999</v>
      </c>
      <c r="J192" s="629">
        <v>79.817999999999998</v>
      </c>
      <c r="K192" s="629">
        <v>278.34799999999905</v>
      </c>
      <c r="L192" s="630" t="s">
        <v>356</v>
      </c>
      <c r="M192" s="627">
        <f t="array" ref="M192">INDEX(UtilityList!Q$4:Q$251,MATCH('Table 2.2a'!$A192&amp;'Table 2.2a'!$B192,UtilityList!$A$4:$A$251&amp;UtilityList!$C$4:$C$251,0))</f>
        <v>0</v>
      </c>
      <c r="N192" s="452" t="str">
        <f t="array" ref="N192">IFERROR((INDEX(UtilityList!J$4:J$251,MATCH('Table 2.2a'!$A192&amp;'Table 2.2a'!$B192,UtilityList!$A$4:$A$251&amp;UtilityList!$C$4:$C$251,0))),INDEX(UtilityList!J$4:J$251,MATCH('Table 2.2a'!$A192,UtilityList!$A$4:$A$251,0)))</f>
        <v>Bering Straits</v>
      </c>
      <c r="O192" s="452" t="str">
        <f t="array" ref="O192">IFERROR((INDEX(UtilityList!K$4:K$251,MATCH('Table 2.2a'!$A192&amp;'Table 2.2a'!$B192,UtilityList!$A$4:$A$251&amp;UtilityList!$C$4:$C$251,0))),INDEX(UtilityList!K$4:K$251,MATCH('Table 2.2a'!$A192,UtilityList!$A$4:$A$251,0)))</f>
        <v>Nome (CA)</v>
      </c>
      <c r="P192" s="452" t="str">
        <f t="array" ref="P192">IFERROR((INDEX(UtilityList!L$4:L$251,MATCH('Table 2.2a'!$A192&amp;'Table 2.2a'!$B192,UtilityList!$A$4:$A$251&amp;UtilityList!$C$4:$C$251,0))),INDEX(UtilityList!L$4:L$251,MATCH('Table 2.2a'!$A192,UtilityList!$A$4:$A$251,0)))</f>
        <v>Bering Straits</v>
      </c>
      <c r="Q192" s="452" t="str">
        <f t="array" ref="Q192">IFERROR((INDEX(UtilityList!M$4:M$251,MATCH('Table 2.2a'!$A192&amp;'Table 2.2a'!$B192,UtilityList!$A$4:$A$251&amp;UtilityList!$C$4:$C$251,0))),INDEX(UtilityList!M$4:M$251,MATCH('Table 2.2a'!$A192,UtilityList!$A$4:$A$251,0)))</f>
        <v>AN</v>
      </c>
    </row>
    <row r="193" spans="1:17" s="204" customFormat="1" ht="15" x14ac:dyDescent="0.25">
      <c r="A193" s="628" t="s">
        <v>637</v>
      </c>
      <c r="B193" s="628" t="s">
        <v>492</v>
      </c>
      <c r="C193" s="629">
        <v>44700</v>
      </c>
      <c r="D193" s="629">
        <v>27.079000000000001</v>
      </c>
      <c r="E193" s="629">
        <v>0</v>
      </c>
      <c r="F193" s="629">
        <v>44727.078999999998</v>
      </c>
      <c r="G193" s="629">
        <v>41600</v>
      </c>
      <c r="H193" s="629">
        <v>0</v>
      </c>
      <c r="I193" s="629">
        <v>0</v>
      </c>
      <c r="J193" s="629">
        <v>1234.8869999999999</v>
      </c>
      <c r="K193" s="629">
        <v>1892.1919999999955</v>
      </c>
      <c r="L193" s="630" t="s">
        <v>356</v>
      </c>
      <c r="M193" s="627">
        <f t="array" ref="M193">INDEX(UtilityList!Q$4:Q$251,MATCH('Table 2.2a'!$A193&amp;'Table 2.2a'!$B193,UtilityList!$A$4:$A$251&amp;UtilityList!$C$4:$C$251,0))</f>
        <v>0</v>
      </c>
      <c r="N193" s="452" t="str">
        <f t="array" ref="N193">IFERROR((INDEX(UtilityList!J$4:J$251,MATCH('Table 2.2a'!$A193&amp;'Table 2.2a'!$B193,UtilityList!$A$4:$A$251&amp;UtilityList!$C$4:$C$251,0))),INDEX(UtilityList!J$4:J$251,MATCH('Table 2.2a'!$A193,UtilityList!$A$4:$A$251,0)))</f>
        <v>Aleutians</v>
      </c>
      <c r="O193" s="452" t="str">
        <f t="array" ref="O193">IFERROR((INDEX(UtilityList!K$4:K$251,MATCH('Table 2.2a'!$A193&amp;'Table 2.2a'!$B193,UtilityList!$A$4:$A$251&amp;UtilityList!$C$4:$C$251,0))),INDEX(UtilityList!K$4:K$251,MATCH('Table 2.2a'!$A193,UtilityList!$A$4:$A$251,0)))</f>
        <v>Aleutians West (CA)</v>
      </c>
      <c r="P193" s="452" t="str">
        <f t="array" ref="P193">IFERROR((INDEX(UtilityList!L$4:L$251,MATCH('Table 2.2a'!$A193&amp;'Table 2.2a'!$B193,UtilityList!$A$4:$A$251&amp;UtilityList!$C$4:$C$251,0))),INDEX(UtilityList!L$4:L$251,MATCH('Table 2.2a'!$A193,UtilityList!$A$4:$A$251,0)))</f>
        <v>Aleut</v>
      </c>
      <c r="Q193" s="452" t="str">
        <f t="array" ref="Q193">IFERROR((INDEX(UtilityList!M$4:M$251,MATCH('Table 2.2a'!$A193&amp;'Table 2.2a'!$B193,UtilityList!$A$4:$A$251&amp;UtilityList!$C$4:$C$251,0))),INDEX(UtilityList!M$4:M$251,MATCH('Table 2.2a'!$A193,UtilityList!$A$4:$A$251,0)))</f>
        <v>SW</v>
      </c>
    </row>
    <row r="194" spans="1:17" s="204" customFormat="1" ht="15" x14ac:dyDescent="0.25">
      <c r="A194" s="628" t="s">
        <v>346</v>
      </c>
      <c r="B194" s="628" t="s">
        <v>347</v>
      </c>
      <c r="C194" s="629">
        <v>430.96</v>
      </c>
      <c r="D194" s="629">
        <v>0</v>
      </c>
      <c r="E194" s="629">
        <v>0</v>
      </c>
      <c r="F194" s="629">
        <v>430.96</v>
      </c>
      <c r="G194" s="629">
        <v>403.59800000000001</v>
      </c>
      <c r="H194" s="629">
        <v>0</v>
      </c>
      <c r="I194" s="629">
        <v>5.3780000000000001</v>
      </c>
      <c r="J194" s="629">
        <v>3.976</v>
      </c>
      <c r="K194" s="629">
        <v>18.007999999999981</v>
      </c>
      <c r="L194" s="630" t="s">
        <v>356</v>
      </c>
      <c r="M194" s="627">
        <f t="array" ref="M194">INDEX(UtilityList!Q$4:Q$251,MATCH('Table 2.2a'!$A194&amp;'Table 2.2a'!$B194,UtilityList!$A$4:$A$251&amp;UtilityList!$C$4:$C$251,0))</f>
        <v>0</v>
      </c>
      <c r="N194" s="452" t="str">
        <f t="array" ref="N194">IFERROR((INDEX(UtilityList!J$4:J$251,MATCH('Table 2.2a'!$A194&amp;'Table 2.2a'!$B194,UtilityList!$A$4:$A$251&amp;UtilityList!$C$4:$C$251,0))),INDEX(UtilityList!J$4:J$251,MATCH('Table 2.2a'!$A194,UtilityList!$A$4:$A$251,0)))</f>
        <v>Lower Yukon-Kuskokwim</v>
      </c>
      <c r="O194" s="452" t="str">
        <f t="array" ref="O194">IFERROR((INDEX(UtilityList!K$4:K$251,MATCH('Table 2.2a'!$A194&amp;'Table 2.2a'!$B194,UtilityList!$A$4:$A$251&amp;UtilityList!$C$4:$C$251,0))),INDEX(UtilityList!K$4:K$251,MATCH('Table 2.2a'!$A194,UtilityList!$A$4:$A$251,0)))</f>
        <v>Bethel (CA)</v>
      </c>
      <c r="P194" s="452" t="str">
        <f t="array" ref="P194">IFERROR((INDEX(UtilityList!L$4:L$251,MATCH('Table 2.2a'!$A194&amp;'Table 2.2a'!$B194,UtilityList!$A$4:$A$251&amp;UtilityList!$C$4:$C$251,0))),INDEX(UtilityList!L$4:L$251,MATCH('Table 2.2a'!$A194,UtilityList!$A$4:$A$251,0)))</f>
        <v>Calista</v>
      </c>
      <c r="Q194" s="452" t="str">
        <f t="array" ref="Q194">IFERROR((INDEX(UtilityList!M$4:M$251,MATCH('Table 2.2a'!$A194&amp;'Table 2.2a'!$B194,UtilityList!$A$4:$A$251&amp;UtilityList!$C$4:$C$251,0))),INDEX(UtilityList!M$4:M$251,MATCH('Table 2.2a'!$A194,UtilityList!$A$4:$A$251,0)))</f>
        <v>SW</v>
      </c>
    </row>
    <row r="195" spans="1:17" s="204" customFormat="1" ht="15" x14ac:dyDescent="0.25">
      <c r="A195" s="633" t="s">
        <v>350</v>
      </c>
      <c r="B195" s="633" t="s">
        <v>351</v>
      </c>
      <c r="C195" s="629">
        <v>381.7</v>
      </c>
      <c r="D195" s="629">
        <v>0</v>
      </c>
      <c r="E195" s="629">
        <v>0</v>
      </c>
      <c r="F195" s="629">
        <v>381.7</v>
      </c>
      <c r="G195" s="629">
        <v>345.32299999999998</v>
      </c>
      <c r="H195" s="629">
        <v>0</v>
      </c>
      <c r="I195" s="629">
        <v>0</v>
      </c>
      <c r="J195" s="629">
        <v>12.484</v>
      </c>
      <c r="K195" s="629">
        <v>23.893000000000029</v>
      </c>
      <c r="L195" s="634" t="s">
        <v>356</v>
      </c>
      <c r="M195" s="627">
        <f t="array" ref="M195">INDEX(UtilityList!Q$4:Q$251,MATCH('Table 2.2a'!$A195&amp;'Table 2.2a'!$B195,UtilityList!$A$4:$A$251&amp;UtilityList!$C$4:$C$251,0))</f>
        <v>0</v>
      </c>
      <c r="N195" s="452" t="str">
        <f t="array" ref="N195">IFERROR((INDEX(UtilityList!J$4:J$251,MATCH('Table 2.2a'!$A195&amp;'Table 2.2a'!$B195,UtilityList!$A$4:$A$251&amp;UtilityList!$C$4:$C$251,0))),INDEX(UtilityList!J$4:J$251,MATCH('Table 2.2a'!$A195,UtilityList!$A$4:$A$251,0)))</f>
        <v>Bering Straits</v>
      </c>
      <c r="O195" s="452" t="str">
        <f t="array" ref="O195">IFERROR((INDEX(UtilityList!K$4:K$251,MATCH('Table 2.2a'!$A195&amp;'Table 2.2a'!$B195,UtilityList!$A$4:$A$251&amp;UtilityList!$C$4:$C$251,0))),INDEX(UtilityList!K$4:K$251,MATCH('Table 2.2a'!$A195,UtilityList!$A$4:$A$251,0)))</f>
        <v>Nome (CA)</v>
      </c>
      <c r="P195" s="452" t="str">
        <f t="array" ref="P195">IFERROR((INDEX(UtilityList!L$4:L$251,MATCH('Table 2.2a'!$A195&amp;'Table 2.2a'!$B195,UtilityList!$A$4:$A$251&amp;UtilityList!$C$4:$C$251,0))),INDEX(UtilityList!L$4:L$251,MATCH('Table 2.2a'!$A195,UtilityList!$A$4:$A$251,0)))</f>
        <v>Bering Straits</v>
      </c>
      <c r="Q195" s="452" t="str">
        <f t="array" ref="Q195">IFERROR((INDEX(UtilityList!M$4:M$251,MATCH('Table 2.2a'!$A195&amp;'Table 2.2a'!$B195,UtilityList!$A$4:$A$251&amp;UtilityList!$C$4:$C$251,0))),INDEX(UtilityList!M$4:M$251,MATCH('Table 2.2a'!$A195,UtilityList!$A$4:$A$251,0)))</f>
        <v>AN</v>
      </c>
    </row>
    <row r="196" spans="1:17" s="204" customFormat="1" ht="15" x14ac:dyDescent="0.25">
      <c r="A196" s="361" t="s">
        <v>352</v>
      </c>
      <c r="B196" s="361" t="s">
        <v>353</v>
      </c>
      <c r="C196" s="631">
        <v>490</v>
      </c>
      <c r="D196" s="631">
        <v>35685</v>
      </c>
      <c r="E196" s="631">
        <v>0</v>
      </c>
      <c r="F196" s="631">
        <v>36175</v>
      </c>
      <c r="G196" s="631">
        <v>33768</v>
      </c>
      <c r="H196" s="631">
        <v>0</v>
      </c>
      <c r="I196" s="631">
        <v>0</v>
      </c>
      <c r="J196" s="631">
        <v>645</v>
      </c>
      <c r="K196" s="631">
        <v>1762</v>
      </c>
      <c r="L196" s="598" t="s">
        <v>558</v>
      </c>
      <c r="M196" s="627">
        <f t="array" ref="M196">INDEX(UtilityList!Q$4:Q$251,MATCH('Table 2.2a'!$A196&amp;'Table 2.2a'!$B196,UtilityList!$A$4:$A$251&amp;UtilityList!$C$4:$C$251,0))</f>
        <v>0</v>
      </c>
      <c r="N196" s="452" t="str">
        <f t="array" ref="N196">IFERROR((INDEX(UtilityList!J$4:J$251,MATCH('Table 2.2a'!$A196&amp;'Table 2.2a'!$B196,UtilityList!$A$4:$A$251&amp;UtilityList!$C$4:$C$251,0))),INDEX(UtilityList!J$4:J$251,MATCH('Table 2.2a'!$A196,UtilityList!$A$4:$A$251,0)))</f>
        <v>Southeast</v>
      </c>
      <c r="O196" s="452" t="str">
        <f t="array" ref="O196">IFERROR((INDEX(UtilityList!K$4:K$251,MATCH('Table 2.2a'!$A196&amp;'Table 2.2a'!$B196,UtilityList!$A$4:$A$251&amp;UtilityList!$C$4:$C$251,0))),INDEX(UtilityList!K$4:K$251,MATCH('Table 2.2a'!$A196,UtilityList!$A$4:$A$251,0)))</f>
        <v>Wrangell</v>
      </c>
      <c r="P196" s="452" t="str">
        <f t="array" ref="P196">IFERROR((INDEX(UtilityList!L$4:L$251,MATCH('Table 2.2a'!$A196&amp;'Table 2.2a'!$B196,UtilityList!$A$4:$A$251&amp;UtilityList!$C$4:$C$251,0))),INDEX(UtilityList!L$4:L$251,MATCH('Table 2.2a'!$A196,UtilityList!$A$4:$A$251,0)))</f>
        <v>Sealaska</v>
      </c>
      <c r="Q196" s="452" t="str">
        <f t="array" ref="Q196">IFERROR((INDEX(UtilityList!M$4:M$251,MATCH('Table 2.2a'!$A196&amp;'Table 2.2a'!$B196,UtilityList!$A$4:$A$251&amp;UtilityList!$C$4:$C$251,0))),INDEX(UtilityList!M$4:M$251,MATCH('Table 2.2a'!$A196,UtilityList!$A$4:$A$251,0)))</f>
        <v>SE</v>
      </c>
    </row>
    <row r="197" spans="1:17" s="204" customFormat="1" ht="15" x14ac:dyDescent="0.25">
      <c r="A197" s="628" t="s">
        <v>354</v>
      </c>
      <c r="B197" s="628" t="s">
        <v>355</v>
      </c>
      <c r="C197" s="629">
        <v>6682.3819999999996</v>
      </c>
      <c r="D197" s="629">
        <v>0</v>
      </c>
      <c r="E197" s="629">
        <v>0</v>
      </c>
      <c r="F197" s="629">
        <v>6682.3819999999996</v>
      </c>
      <c r="G197" s="629">
        <v>5965.9679999999998</v>
      </c>
      <c r="H197" s="629">
        <v>0</v>
      </c>
      <c r="I197" s="629">
        <v>0</v>
      </c>
      <c r="J197" s="629">
        <v>170.673</v>
      </c>
      <c r="K197" s="629">
        <v>545.74099999999999</v>
      </c>
      <c r="L197" s="630" t="s">
        <v>356</v>
      </c>
      <c r="M197" s="627">
        <f t="array" ref="M197">INDEX(UtilityList!Q$4:Q$251,MATCH('Table 2.2a'!$A197&amp;'Table 2.2a'!$B197,UtilityList!$A$4:$A$251&amp;UtilityList!$C$4:$C$251,0))</f>
        <v>0</v>
      </c>
      <c r="N197" s="452" t="str">
        <f t="array" ref="N197">IFERROR((INDEX(UtilityList!J$4:J$251,MATCH('Table 2.2a'!$A197&amp;'Table 2.2a'!$B197,UtilityList!$A$4:$A$251&amp;UtilityList!$C$4:$C$251,0))),INDEX(UtilityList!J$4:J$251,MATCH('Table 2.2a'!$A197,UtilityList!$A$4:$A$251,0)))</f>
        <v>Southeast</v>
      </c>
      <c r="O197" s="452" t="str">
        <f t="array" ref="O197">IFERROR((INDEX(UtilityList!K$4:K$251,MATCH('Table 2.2a'!$A197&amp;'Table 2.2a'!$B197,UtilityList!$A$4:$A$251&amp;UtilityList!$C$4:$C$251,0))),INDEX(UtilityList!K$4:K$251,MATCH('Table 2.2a'!$A197,UtilityList!$A$4:$A$251,0)))</f>
        <v>Yakutat</v>
      </c>
      <c r="P197" s="452" t="str">
        <f t="array" ref="P197">IFERROR((INDEX(UtilityList!L$4:L$251,MATCH('Table 2.2a'!$A197&amp;'Table 2.2a'!$B197,UtilityList!$A$4:$A$251&amp;UtilityList!$C$4:$C$251,0))),INDEX(UtilityList!L$4:L$251,MATCH('Table 2.2a'!$A197,UtilityList!$A$4:$A$251,0)))</f>
        <v>Sealaska</v>
      </c>
      <c r="Q197" s="452" t="str">
        <f t="array" ref="Q197">IFERROR((INDEX(UtilityList!M$4:M$251,MATCH('Table 2.2a'!$A197&amp;'Table 2.2a'!$B197,UtilityList!$A$4:$A$251&amp;UtilityList!$C$4:$C$251,0))),INDEX(UtilityList!M$4:M$251,MATCH('Table 2.2a'!$A197,UtilityList!$A$4:$A$251,0)))</f>
        <v>SE</v>
      </c>
    </row>
    <row r="198" spans="1:17" s="151" customFormat="1" x14ac:dyDescent="0.2">
      <c r="A198" s="237"/>
      <c r="B198" s="178"/>
      <c r="C198" s="83"/>
      <c r="D198" s="83"/>
      <c r="E198" s="83"/>
      <c r="F198" s="83"/>
      <c r="G198" s="83"/>
      <c r="H198" s="83"/>
      <c r="I198" s="83"/>
      <c r="J198" s="84"/>
      <c r="K198" s="83"/>
      <c r="L198" s="179"/>
      <c r="M198" s="180"/>
    </row>
    <row r="199" spans="1:17" s="151" customFormat="1" x14ac:dyDescent="0.2">
      <c r="A199" s="181"/>
      <c r="B199" s="182"/>
      <c r="C199" s="183"/>
      <c r="D199" s="183"/>
      <c r="E199" s="184"/>
      <c r="F199" s="183"/>
      <c r="G199" s="185"/>
      <c r="H199" s="183"/>
      <c r="I199" s="185"/>
      <c r="J199" s="183"/>
      <c r="K199" s="186"/>
      <c r="L199" s="184"/>
      <c r="M199" s="180"/>
    </row>
    <row r="200" spans="1:17" s="151" customFormat="1" x14ac:dyDescent="0.2">
      <c r="A200" s="181"/>
      <c r="B200" s="182"/>
      <c r="C200" s="183"/>
      <c r="D200" s="183"/>
      <c r="E200" s="184"/>
      <c r="F200" s="183"/>
      <c r="G200" s="185"/>
      <c r="H200" s="183"/>
      <c r="I200" s="185"/>
      <c r="J200" s="183"/>
      <c r="K200" s="186"/>
      <c r="L200" s="184"/>
      <c r="M200" s="180"/>
    </row>
    <row r="201" spans="1:17" s="151" customFormat="1" x14ac:dyDescent="0.2">
      <c r="A201" s="181"/>
      <c r="B201" s="182"/>
      <c r="C201" s="183"/>
      <c r="D201" s="183"/>
      <c r="E201" s="184"/>
      <c r="F201" s="183"/>
      <c r="G201" s="185"/>
      <c r="H201" s="183"/>
      <c r="I201" s="185"/>
      <c r="J201" s="183"/>
      <c r="K201" s="186"/>
      <c r="L201" s="184"/>
      <c r="M201" s="180"/>
    </row>
    <row r="202" spans="1:17" s="151" customFormat="1" x14ac:dyDescent="0.2">
      <c r="A202" s="181"/>
      <c r="B202" s="182"/>
      <c r="C202" s="183"/>
      <c r="D202" s="183"/>
      <c r="E202" s="184"/>
      <c r="F202" s="183"/>
      <c r="G202" s="185"/>
      <c r="H202" s="183"/>
      <c r="I202" s="185"/>
      <c r="J202" s="183"/>
      <c r="K202" s="186"/>
      <c r="L202" s="184"/>
      <c r="M202" s="180"/>
    </row>
    <row r="203" spans="1:17" s="151" customFormat="1" x14ac:dyDescent="0.2">
      <c r="A203" s="181"/>
      <c r="B203" s="182"/>
      <c r="C203" s="183"/>
      <c r="D203" s="183"/>
      <c r="E203" s="184"/>
      <c r="F203" s="183"/>
      <c r="G203" s="185"/>
      <c r="H203" s="183"/>
      <c r="I203" s="185"/>
      <c r="J203" s="183"/>
      <c r="K203" s="186"/>
      <c r="L203" s="184"/>
      <c r="M203" s="180"/>
    </row>
    <row r="204" spans="1:17" s="151" customFormat="1" x14ac:dyDescent="0.2">
      <c r="A204" s="181"/>
      <c r="B204" s="182"/>
      <c r="C204" s="183"/>
      <c r="D204" s="183"/>
      <c r="E204" s="184"/>
      <c r="F204" s="183"/>
      <c r="G204" s="185"/>
      <c r="H204" s="183"/>
      <c r="I204" s="185"/>
      <c r="J204" s="183"/>
      <c r="K204" s="186"/>
      <c r="L204" s="184"/>
      <c r="M204" s="180"/>
    </row>
    <row r="205" spans="1:17" s="151" customFormat="1" x14ac:dyDescent="0.2">
      <c r="A205" s="181"/>
      <c r="B205" s="182"/>
      <c r="C205" s="183"/>
      <c r="D205" s="183"/>
      <c r="E205" s="184"/>
      <c r="F205" s="183"/>
      <c r="G205" s="185"/>
      <c r="H205" s="183"/>
      <c r="I205" s="185"/>
      <c r="J205" s="183"/>
      <c r="K205" s="186"/>
      <c r="L205" s="184"/>
      <c r="M205" s="180"/>
    </row>
    <row r="206" spans="1:17" s="151" customFormat="1" x14ac:dyDescent="0.2">
      <c r="A206" s="181"/>
      <c r="B206" s="182"/>
      <c r="C206" s="183"/>
      <c r="D206" s="183"/>
      <c r="E206" s="184"/>
      <c r="F206" s="183"/>
      <c r="G206" s="185"/>
      <c r="H206" s="183"/>
      <c r="I206" s="185"/>
      <c r="J206" s="183"/>
      <c r="K206" s="186"/>
      <c r="L206" s="184"/>
      <c r="M206" s="180"/>
    </row>
    <row r="207" spans="1:17" s="151" customFormat="1" x14ac:dyDescent="0.2">
      <c r="A207" s="181"/>
      <c r="B207" s="182"/>
      <c r="C207" s="183"/>
      <c r="D207" s="183"/>
      <c r="E207" s="184"/>
      <c r="F207" s="183"/>
      <c r="G207" s="185"/>
      <c r="H207" s="183"/>
      <c r="I207" s="185"/>
      <c r="J207" s="183"/>
      <c r="K207" s="186"/>
      <c r="L207" s="184"/>
      <c r="M207" s="180"/>
    </row>
    <row r="208" spans="1:17" s="151" customFormat="1" x14ac:dyDescent="0.2">
      <c r="A208" s="181"/>
      <c r="B208" s="182"/>
      <c r="C208" s="183"/>
      <c r="D208" s="183"/>
      <c r="E208" s="184"/>
      <c r="F208" s="183"/>
      <c r="G208" s="185"/>
      <c r="H208" s="183"/>
      <c r="I208" s="185"/>
      <c r="J208" s="183"/>
      <c r="K208" s="186"/>
      <c r="L208" s="184"/>
      <c r="M208" s="180"/>
    </row>
    <row r="209" spans="1:13" s="151" customFormat="1" x14ac:dyDescent="0.2">
      <c r="A209" s="181"/>
      <c r="B209" s="182"/>
      <c r="C209" s="183"/>
      <c r="D209" s="183"/>
      <c r="E209" s="184"/>
      <c r="F209" s="183"/>
      <c r="G209" s="185"/>
      <c r="H209" s="183"/>
      <c r="I209" s="185"/>
      <c r="J209" s="183"/>
      <c r="K209" s="186"/>
      <c r="L209" s="184"/>
      <c r="M209" s="180"/>
    </row>
    <row r="210" spans="1:13" s="151" customFormat="1" x14ac:dyDescent="0.2">
      <c r="A210" s="181"/>
      <c r="B210" s="182"/>
      <c r="C210" s="183"/>
      <c r="D210" s="183"/>
      <c r="E210" s="184"/>
      <c r="F210" s="183"/>
      <c r="G210" s="185"/>
      <c r="H210" s="183"/>
      <c r="I210" s="185"/>
      <c r="J210" s="183"/>
      <c r="K210" s="186"/>
      <c r="L210" s="184"/>
      <c r="M210" s="180"/>
    </row>
    <row r="211" spans="1:13" s="151" customFormat="1" x14ac:dyDescent="0.2">
      <c r="A211" s="181"/>
      <c r="B211" s="182"/>
      <c r="C211" s="183"/>
      <c r="D211" s="183"/>
      <c r="E211" s="184"/>
      <c r="F211" s="183"/>
      <c r="G211" s="185"/>
      <c r="H211" s="183"/>
      <c r="I211" s="185"/>
      <c r="J211" s="183"/>
      <c r="K211" s="186"/>
      <c r="L211" s="184"/>
      <c r="M211" s="180"/>
    </row>
    <row r="212" spans="1:13" s="151" customFormat="1" x14ac:dyDescent="0.2">
      <c r="A212" s="181"/>
      <c r="B212" s="182"/>
      <c r="C212" s="183"/>
      <c r="D212" s="183"/>
      <c r="E212" s="184"/>
      <c r="F212" s="183"/>
      <c r="G212" s="185"/>
      <c r="H212" s="183"/>
      <c r="I212" s="185"/>
      <c r="J212" s="183"/>
      <c r="K212" s="186"/>
      <c r="L212" s="184"/>
      <c r="M212" s="180"/>
    </row>
    <row r="213" spans="1:13" s="151" customFormat="1" x14ac:dyDescent="0.2">
      <c r="A213" s="181"/>
      <c r="B213" s="182"/>
      <c r="C213" s="183"/>
      <c r="D213" s="183"/>
      <c r="E213" s="184"/>
      <c r="F213" s="183"/>
      <c r="G213" s="185"/>
      <c r="H213" s="183"/>
      <c r="I213" s="185"/>
      <c r="J213" s="183"/>
      <c r="K213" s="186"/>
      <c r="L213" s="184"/>
      <c r="M213" s="180"/>
    </row>
    <row r="214" spans="1:13" s="151" customFormat="1" x14ac:dyDescent="0.2">
      <c r="A214" s="181"/>
      <c r="B214" s="182"/>
      <c r="C214" s="183"/>
      <c r="D214" s="183"/>
      <c r="E214" s="184"/>
      <c r="F214" s="183"/>
      <c r="G214" s="185"/>
      <c r="H214" s="183"/>
      <c r="I214" s="185"/>
      <c r="J214" s="183"/>
      <c r="K214" s="186"/>
      <c r="L214" s="184"/>
      <c r="M214" s="180"/>
    </row>
    <row r="215" spans="1:13" s="151" customFormat="1" x14ac:dyDescent="0.2">
      <c r="A215" s="181"/>
      <c r="B215" s="182"/>
      <c r="C215" s="183"/>
      <c r="D215" s="183"/>
      <c r="E215" s="184"/>
      <c r="F215" s="183"/>
      <c r="G215" s="185"/>
      <c r="H215" s="183"/>
      <c r="I215" s="185"/>
      <c r="J215" s="183"/>
      <c r="K215" s="186"/>
      <c r="L215" s="184"/>
      <c r="M215" s="180"/>
    </row>
    <row r="216" spans="1:13" s="151" customFormat="1" x14ac:dyDescent="0.2">
      <c r="A216" s="181"/>
      <c r="B216" s="182"/>
      <c r="C216" s="183"/>
      <c r="D216" s="183"/>
      <c r="E216" s="184"/>
      <c r="F216" s="183"/>
      <c r="G216" s="185"/>
      <c r="H216" s="183"/>
      <c r="I216" s="185"/>
      <c r="J216" s="183"/>
      <c r="K216" s="186"/>
      <c r="L216" s="184"/>
      <c r="M216" s="180"/>
    </row>
    <row r="217" spans="1:13" s="151" customFormat="1" x14ac:dyDescent="0.2">
      <c r="A217" s="181"/>
      <c r="B217" s="182"/>
      <c r="C217" s="183"/>
      <c r="D217" s="183"/>
      <c r="E217" s="184"/>
      <c r="F217" s="183"/>
      <c r="G217" s="185"/>
      <c r="H217" s="183"/>
      <c r="I217" s="185"/>
      <c r="J217" s="183"/>
      <c r="K217" s="186"/>
      <c r="L217" s="184"/>
      <c r="M217" s="180"/>
    </row>
    <row r="218" spans="1:13" s="151" customFormat="1" x14ac:dyDescent="0.2">
      <c r="A218" s="181"/>
      <c r="B218" s="182"/>
      <c r="C218" s="183"/>
      <c r="D218" s="183"/>
      <c r="E218" s="184"/>
      <c r="F218" s="183"/>
      <c r="G218" s="185"/>
      <c r="H218" s="183"/>
      <c r="I218" s="185"/>
      <c r="J218" s="183"/>
      <c r="K218" s="186"/>
      <c r="L218" s="184"/>
      <c r="M218" s="180"/>
    </row>
    <row r="219" spans="1:13" s="151" customFormat="1" x14ac:dyDescent="0.2">
      <c r="A219" s="181"/>
      <c r="B219" s="182"/>
      <c r="C219" s="183"/>
      <c r="D219" s="183"/>
      <c r="E219" s="184"/>
      <c r="F219" s="183"/>
      <c r="G219" s="185"/>
      <c r="H219" s="183"/>
      <c r="I219" s="185"/>
      <c r="J219" s="183"/>
      <c r="K219" s="186"/>
      <c r="L219" s="184"/>
      <c r="M219" s="180"/>
    </row>
    <row r="220" spans="1:13" s="151" customFormat="1" x14ac:dyDescent="0.2">
      <c r="A220" s="181"/>
      <c r="B220" s="182"/>
      <c r="C220" s="183"/>
      <c r="D220" s="183"/>
      <c r="E220" s="184"/>
      <c r="F220" s="183"/>
      <c r="G220" s="185"/>
      <c r="H220" s="183"/>
      <c r="I220" s="185"/>
      <c r="J220" s="183"/>
      <c r="K220" s="186"/>
      <c r="L220" s="184"/>
      <c r="M220" s="180"/>
    </row>
    <row r="221" spans="1:13" s="151" customFormat="1" x14ac:dyDescent="0.2">
      <c r="A221" s="181"/>
      <c r="B221" s="182"/>
      <c r="C221" s="183"/>
      <c r="D221" s="183"/>
      <c r="E221" s="184"/>
      <c r="F221" s="183"/>
      <c r="G221" s="185"/>
      <c r="H221" s="183"/>
      <c r="I221" s="185"/>
      <c r="J221" s="183"/>
      <c r="K221" s="186"/>
      <c r="L221" s="184"/>
      <c r="M221" s="180"/>
    </row>
    <row r="222" spans="1:13" s="151" customFormat="1" x14ac:dyDescent="0.2">
      <c r="A222" s="181"/>
      <c r="B222" s="182"/>
      <c r="C222" s="183"/>
      <c r="D222" s="183"/>
      <c r="E222" s="184"/>
      <c r="F222" s="183"/>
      <c r="G222" s="185"/>
      <c r="H222" s="183"/>
      <c r="I222" s="185"/>
      <c r="J222" s="183"/>
      <c r="K222" s="186"/>
      <c r="L222" s="184"/>
      <c r="M222" s="180"/>
    </row>
    <row r="223" spans="1:13" s="151" customFormat="1" x14ac:dyDescent="0.2">
      <c r="A223" s="181"/>
      <c r="B223" s="182"/>
      <c r="C223" s="183"/>
      <c r="D223" s="183"/>
      <c r="E223" s="184"/>
      <c r="F223" s="183"/>
      <c r="G223" s="185"/>
      <c r="H223" s="183"/>
      <c r="I223" s="185"/>
      <c r="J223" s="183"/>
      <c r="K223" s="186"/>
      <c r="L223" s="184"/>
      <c r="M223" s="180"/>
    </row>
    <row r="224" spans="1:13" s="151" customFormat="1" x14ac:dyDescent="0.2">
      <c r="A224" s="181"/>
      <c r="B224" s="182"/>
      <c r="C224" s="183"/>
      <c r="D224" s="183"/>
      <c r="E224" s="184"/>
      <c r="F224" s="183"/>
      <c r="G224" s="185"/>
      <c r="H224" s="183"/>
      <c r="I224" s="185"/>
      <c r="J224" s="183"/>
      <c r="K224" s="186"/>
      <c r="L224" s="184"/>
      <c r="M224" s="180"/>
    </row>
    <row r="225" spans="1:13" s="151" customFormat="1" x14ac:dyDescent="0.2">
      <c r="A225" s="181"/>
      <c r="B225" s="182"/>
      <c r="C225" s="183"/>
      <c r="D225" s="183"/>
      <c r="E225" s="184"/>
      <c r="F225" s="183"/>
      <c r="G225" s="185"/>
      <c r="H225" s="183"/>
      <c r="I225" s="185"/>
      <c r="J225" s="183"/>
      <c r="K225" s="186"/>
      <c r="L225" s="184"/>
      <c r="M225" s="180"/>
    </row>
    <row r="226" spans="1:13" s="151" customFormat="1" x14ac:dyDescent="0.2">
      <c r="A226" s="181"/>
      <c r="B226" s="182"/>
      <c r="C226" s="183"/>
      <c r="D226" s="183"/>
      <c r="E226" s="184"/>
      <c r="F226" s="183"/>
      <c r="G226" s="185"/>
      <c r="H226" s="183"/>
      <c r="I226" s="185"/>
      <c r="J226" s="183"/>
      <c r="K226" s="186"/>
      <c r="L226" s="184"/>
      <c r="M226" s="180"/>
    </row>
    <row r="227" spans="1:13" s="151" customFormat="1" x14ac:dyDescent="0.2">
      <c r="A227" s="181"/>
      <c r="B227" s="182"/>
      <c r="C227" s="183"/>
      <c r="D227" s="183"/>
      <c r="E227" s="184"/>
      <c r="F227" s="183"/>
      <c r="G227" s="185"/>
      <c r="H227" s="183"/>
      <c r="I227" s="185"/>
      <c r="J227" s="183"/>
      <c r="K227" s="186"/>
      <c r="L227" s="184"/>
      <c r="M227" s="180"/>
    </row>
    <row r="228" spans="1:13" s="151" customFormat="1" x14ac:dyDescent="0.2">
      <c r="A228" s="181"/>
      <c r="B228" s="182"/>
      <c r="C228" s="183"/>
      <c r="D228" s="183"/>
      <c r="E228" s="184"/>
      <c r="F228" s="183"/>
      <c r="G228" s="185"/>
      <c r="H228" s="183"/>
      <c r="I228" s="185"/>
      <c r="J228" s="183"/>
      <c r="K228" s="186"/>
      <c r="L228" s="184"/>
      <c r="M228" s="180"/>
    </row>
    <row r="229" spans="1:13" s="151" customFormat="1" x14ac:dyDescent="0.2">
      <c r="A229" s="181"/>
      <c r="B229" s="182"/>
      <c r="C229" s="183"/>
      <c r="D229" s="183"/>
      <c r="E229" s="184"/>
      <c r="F229" s="183"/>
      <c r="G229" s="185"/>
      <c r="H229" s="183"/>
      <c r="I229" s="185"/>
      <c r="J229" s="183"/>
      <c r="K229" s="186"/>
      <c r="L229" s="184"/>
      <c r="M229" s="180"/>
    </row>
    <row r="230" spans="1:13" s="151" customFormat="1" x14ac:dyDescent="0.2">
      <c r="A230" s="181"/>
      <c r="B230" s="182"/>
      <c r="C230" s="183"/>
      <c r="D230" s="183"/>
      <c r="E230" s="184"/>
      <c r="F230" s="183"/>
      <c r="G230" s="185"/>
      <c r="H230" s="183"/>
      <c r="I230" s="185"/>
      <c r="J230" s="183"/>
      <c r="K230" s="186"/>
      <c r="L230" s="184"/>
      <c r="M230" s="180"/>
    </row>
    <row r="231" spans="1:13" s="151" customFormat="1" x14ac:dyDescent="0.2">
      <c r="A231" s="181"/>
      <c r="B231" s="182"/>
      <c r="C231" s="183"/>
      <c r="D231" s="183"/>
      <c r="E231" s="184"/>
      <c r="F231" s="183"/>
      <c r="G231" s="185"/>
      <c r="H231" s="183"/>
      <c r="I231" s="185"/>
      <c r="J231" s="183"/>
      <c r="K231" s="186"/>
      <c r="L231" s="184"/>
      <c r="M231" s="180"/>
    </row>
    <row r="232" spans="1:13" s="151" customFormat="1" x14ac:dyDescent="0.2">
      <c r="A232" s="181"/>
      <c r="B232" s="182"/>
      <c r="C232" s="183"/>
      <c r="D232" s="183"/>
      <c r="E232" s="184"/>
      <c r="F232" s="183"/>
      <c r="G232" s="185"/>
      <c r="H232" s="183"/>
      <c r="I232" s="185"/>
      <c r="J232" s="183"/>
      <c r="K232" s="186"/>
      <c r="L232" s="184"/>
      <c r="M232" s="180"/>
    </row>
    <row r="233" spans="1:13" s="151" customFormat="1" x14ac:dyDescent="0.2">
      <c r="A233" s="181"/>
      <c r="B233" s="182"/>
      <c r="C233" s="183"/>
      <c r="D233" s="183"/>
      <c r="E233" s="184"/>
      <c r="F233" s="183"/>
      <c r="G233" s="185"/>
      <c r="H233" s="183"/>
      <c r="I233" s="185"/>
      <c r="J233" s="183"/>
      <c r="K233" s="186"/>
      <c r="L233" s="184"/>
      <c r="M233" s="180"/>
    </row>
    <row r="234" spans="1:13" s="151" customFormat="1" x14ac:dyDescent="0.2">
      <c r="A234" s="181"/>
      <c r="B234" s="182"/>
      <c r="C234" s="183"/>
      <c r="D234" s="183"/>
      <c r="E234" s="184"/>
      <c r="F234" s="183"/>
      <c r="G234" s="185"/>
      <c r="H234" s="183"/>
      <c r="I234" s="185"/>
      <c r="J234" s="183"/>
      <c r="K234" s="186"/>
      <c r="L234" s="184"/>
      <c r="M234" s="180"/>
    </row>
    <row r="235" spans="1:13" s="151" customFormat="1" x14ac:dyDescent="0.2">
      <c r="A235" s="181"/>
      <c r="B235" s="182"/>
      <c r="C235" s="183"/>
      <c r="D235" s="183"/>
      <c r="E235" s="184"/>
      <c r="F235" s="183"/>
      <c r="G235" s="185"/>
      <c r="H235" s="183"/>
      <c r="I235" s="185"/>
      <c r="J235" s="183"/>
      <c r="K235" s="186"/>
      <c r="L235" s="184"/>
      <c r="M235" s="180"/>
    </row>
    <row r="236" spans="1:13" s="151" customFormat="1" x14ac:dyDescent="0.2">
      <c r="A236" s="181"/>
      <c r="B236" s="182"/>
      <c r="C236" s="183"/>
      <c r="D236" s="183"/>
      <c r="E236" s="184"/>
      <c r="F236" s="183"/>
      <c r="G236" s="185"/>
      <c r="H236" s="183"/>
      <c r="I236" s="185"/>
      <c r="J236" s="183"/>
      <c r="K236" s="186"/>
      <c r="L236" s="184"/>
      <c r="M236" s="180"/>
    </row>
    <row r="237" spans="1:13" s="151" customFormat="1" x14ac:dyDescent="0.2">
      <c r="A237" s="181"/>
      <c r="B237" s="182"/>
      <c r="C237" s="183"/>
      <c r="D237" s="183"/>
      <c r="E237" s="184"/>
      <c r="F237" s="183"/>
      <c r="G237" s="185"/>
      <c r="H237" s="183"/>
      <c r="I237" s="185"/>
      <c r="J237" s="183"/>
      <c r="K237" s="186"/>
      <c r="L237" s="184"/>
      <c r="M237" s="180"/>
    </row>
    <row r="238" spans="1:13" s="151" customFormat="1" x14ac:dyDescent="0.2">
      <c r="A238" s="181"/>
      <c r="B238" s="182"/>
      <c r="C238" s="183"/>
      <c r="D238" s="183"/>
      <c r="E238" s="184"/>
      <c r="F238" s="183"/>
      <c r="G238" s="185"/>
      <c r="H238" s="183"/>
      <c r="I238" s="185"/>
      <c r="J238" s="183"/>
      <c r="K238" s="186"/>
      <c r="L238" s="184"/>
      <c r="M238" s="180"/>
    </row>
    <row r="239" spans="1:13" s="151" customFormat="1" x14ac:dyDescent="0.2">
      <c r="A239" s="181"/>
      <c r="B239" s="182"/>
      <c r="C239" s="183"/>
      <c r="D239" s="183"/>
      <c r="E239" s="184"/>
      <c r="F239" s="183"/>
      <c r="G239" s="185"/>
      <c r="H239" s="183"/>
      <c r="I239" s="185"/>
      <c r="J239" s="183"/>
      <c r="K239" s="186"/>
      <c r="L239" s="184"/>
      <c r="M239" s="180"/>
    </row>
    <row r="240" spans="1:13" s="151" customFormat="1" x14ac:dyDescent="0.2">
      <c r="A240" s="181"/>
      <c r="B240" s="182"/>
      <c r="C240" s="183"/>
      <c r="D240" s="183"/>
      <c r="E240" s="184"/>
      <c r="F240" s="183"/>
      <c r="G240" s="185"/>
      <c r="H240" s="183"/>
      <c r="I240" s="185"/>
      <c r="J240" s="183"/>
      <c r="K240" s="186"/>
      <c r="L240" s="184"/>
      <c r="M240" s="180"/>
    </row>
    <row r="241" spans="1:13" s="151" customFormat="1" x14ac:dyDescent="0.2">
      <c r="A241" s="181"/>
      <c r="B241" s="182"/>
      <c r="C241" s="183"/>
      <c r="D241" s="183"/>
      <c r="E241" s="184"/>
      <c r="F241" s="183"/>
      <c r="G241" s="185"/>
      <c r="H241" s="183"/>
      <c r="I241" s="185"/>
      <c r="J241" s="183"/>
      <c r="K241" s="186"/>
      <c r="L241" s="184"/>
      <c r="M241" s="180"/>
    </row>
    <row r="242" spans="1:13" s="151" customFormat="1" x14ac:dyDescent="0.2">
      <c r="A242" s="181"/>
      <c r="B242" s="182"/>
      <c r="C242" s="183"/>
      <c r="D242" s="183"/>
      <c r="E242" s="184"/>
      <c r="F242" s="183"/>
      <c r="G242" s="185"/>
      <c r="H242" s="183"/>
      <c r="I242" s="185"/>
      <c r="J242" s="183"/>
      <c r="K242" s="186"/>
      <c r="L242" s="184"/>
      <c r="M242" s="180"/>
    </row>
    <row r="243" spans="1:13" s="151" customFormat="1" x14ac:dyDescent="0.2">
      <c r="A243" s="181"/>
      <c r="B243" s="182"/>
      <c r="C243" s="183"/>
      <c r="D243" s="183"/>
      <c r="E243" s="184"/>
      <c r="F243" s="183"/>
      <c r="G243" s="185"/>
      <c r="H243" s="183"/>
      <c r="I243" s="185"/>
      <c r="J243" s="183"/>
      <c r="K243" s="186"/>
      <c r="L243" s="184"/>
      <c r="M243" s="180"/>
    </row>
    <row r="244" spans="1:13" s="151" customFormat="1" x14ac:dyDescent="0.2">
      <c r="A244" s="181"/>
      <c r="B244" s="182"/>
      <c r="C244" s="183"/>
      <c r="D244" s="183"/>
      <c r="E244" s="184"/>
      <c r="F244" s="183"/>
      <c r="G244" s="185"/>
      <c r="H244" s="183"/>
      <c r="I244" s="185"/>
      <c r="J244" s="183"/>
      <c r="K244" s="186"/>
      <c r="L244" s="184"/>
      <c r="M244" s="180"/>
    </row>
    <row r="245" spans="1:13" s="151" customFormat="1" x14ac:dyDescent="0.2">
      <c r="A245" s="181"/>
      <c r="B245" s="182"/>
      <c r="C245" s="183"/>
      <c r="D245" s="183"/>
      <c r="E245" s="184"/>
      <c r="F245" s="183"/>
      <c r="G245" s="185"/>
      <c r="H245" s="183"/>
      <c r="I245" s="185"/>
      <c r="J245" s="183"/>
      <c r="K245" s="186"/>
      <c r="L245" s="184"/>
      <c r="M245" s="180"/>
    </row>
    <row r="246" spans="1:13" s="151" customFormat="1" x14ac:dyDescent="0.2">
      <c r="A246" s="181"/>
      <c r="B246" s="182"/>
      <c r="C246" s="183"/>
      <c r="D246" s="183"/>
      <c r="E246" s="184"/>
      <c r="F246" s="183"/>
      <c r="G246" s="185"/>
      <c r="H246" s="183"/>
      <c r="I246" s="185"/>
      <c r="J246" s="183"/>
      <c r="K246" s="186"/>
      <c r="L246" s="184"/>
      <c r="M246" s="180"/>
    </row>
    <row r="247" spans="1:13" s="151" customFormat="1" x14ac:dyDescent="0.2">
      <c r="A247" s="181"/>
      <c r="B247" s="182"/>
      <c r="C247" s="183"/>
      <c r="D247" s="183"/>
      <c r="E247" s="184"/>
      <c r="F247" s="183"/>
      <c r="G247" s="185"/>
      <c r="H247" s="183"/>
      <c r="I247" s="185"/>
      <c r="J247" s="183"/>
      <c r="K247" s="186"/>
      <c r="L247" s="184"/>
      <c r="M247" s="180"/>
    </row>
    <row r="248" spans="1:13" s="151" customFormat="1" x14ac:dyDescent="0.2">
      <c r="A248" s="181"/>
      <c r="B248" s="182"/>
      <c r="C248" s="183"/>
      <c r="D248" s="183"/>
      <c r="E248" s="184"/>
      <c r="F248" s="183"/>
      <c r="G248" s="185"/>
      <c r="H248" s="183"/>
      <c r="I248" s="185"/>
      <c r="J248" s="183"/>
      <c r="K248" s="186"/>
      <c r="L248" s="184"/>
      <c r="M248" s="180"/>
    </row>
    <row r="249" spans="1:13" s="151" customFormat="1" x14ac:dyDescent="0.2">
      <c r="A249" s="181"/>
      <c r="B249" s="182"/>
      <c r="C249" s="183"/>
      <c r="D249" s="183"/>
      <c r="E249" s="184"/>
      <c r="F249" s="183"/>
      <c r="G249" s="185"/>
      <c r="H249" s="183"/>
      <c r="I249" s="185"/>
      <c r="J249" s="183"/>
      <c r="K249" s="186"/>
      <c r="L249" s="184"/>
      <c r="M249" s="180"/>
    </row>
    <row r="250" spans="1:13" s="151" customFormat="1" x14ac:dyDescent="0.2">
      <c r="A250" s="181"/>
      <c r="B250" s="182"/>
      <c r="C250" s="183"/>
      <c r="D250" s="183"/>
      <c r="E250" s="184"/>
      <c r="F250" s="183"/>
      <c r="G250" s="185"/>
      <c r="H250" s="183"/>
      <c r="I250" s="185"/>
      <c r="J250" s="183"/>
      <c r="K250" s="186"/>
      <c r="L250" s="184"/>
      <c r="M250" s="180"/>
    </row>
    <row r="251" spans="1:13" s="151" customFormat="1" x14ac:dyDescent="0.2">
      <c r="A251" s="181"/>
      <c r="B251" s="182"/>
      <c r="C251" s="183"/>
      <c r="D251" s="183"/>
      <c r="E251" s="184"/>
      <c r="F251" s="183"/>
      <c r="G251" s="185"/>
      <c r="H251" s="183"/>
      <c r="I251" s="185"/>
      <c r="J251" s="183"/>
      <c r="K251" s="186"/>
      <c r="L251" s="184"/>
      <c r="M251" s="180"/>
    </row>
    <row r="252" spans="1:13" s="151" customFormat="1" x14ac:dyDescent="0.2">
      <c r="A252" s="181"/>
      <c r="B252" s="182"/>
      <c r="C252" s="183"/>
      <c r="D252" s="183"/>
      <c r="E252" s="184"/>
      <c r="F252" s="183"/>
      <c r="G252" s="185"/>
      <c r="H252" s="183"/>
      <c r="I252" s="185"/>
      <c r="J252" s="183"/>
      <c r="K252" s="186"/>
      <c r="L252" s="184"/>
      <c r="M252" s="180"/>
    </row>
    <row r="253" spans="1:13" s="151" customFormat="1" x14ac:dyDescent="0.2">
      <c r="A253" s="181"/>
      <c r="B253" s="182"/>
      <c r="C253" s="183"/>
      <c r="D253" s="183"/>
      <c r="E253" s="184"/>
      <c r="F253" s="183"/>
      <c r="G253" s="185"/>
      <c r="H253" s="183"/>
      <c r="I253" s="185"/>
      <c r="J253" s="183"/>
      <c r="K253" s="186"/>
      <c r="L253" s="184"/>
      <c r="M253" s="180"/>
    </row>
    <row r="254" spans="1:13" s="151" customFormat="1" x14ac:dyDescent="0.2">
      <c r="A254" s="181"/>
      <c r="B254" s="182"/>
      <c r="C254" s="183"/>
      <c r="D254" s="183"/>
      <c r="E254" s="184"/>
      <c r="F254" s="183"/>
      <c r="G254" s="185"/>
      <c r="H254" s="183"/>
      <c r="I254" s="185"/>
      <c r="J254" s="183"/>
      <c r="K254" s="186"/>
      <c r="L254" s="184"/>
      <c r="M254" s="180"/>
    </row>
    <row r="255" spans="1:13" s="151" customFormat="1" x14ac:dyDescent="0.2">
      <c r="A255" s="181"/>
      <c r="B255" s="182"/>
      <c r="C255" s="183"/>
      <c r="D255" s="183"/>
      <c r="E255" s="184"/>
      <c r="F255" s="183"/>
      <c r="G255" s="185"/>
      <c r="H255" s="183"/>
      <c r="I255" s="185"/>
      <c r="J255" s="183"/>
      <c r="K255" s="186"/>
      <c r="L255" s="184"/>
      <c r="M255" s="180"/>
    </row>
    <row r="256" spans="1:13" s="151" customFormat="1" x14ac:dyDescent="0.2">
      <c r="A256" s="181"/>
      <c r="B256" s="182"/>
      <c r="C256" s="183"/>
      <c r="D256" s="183"/>
      <c r="E256" s="184"/>
      <c r="F256" s="183"/>
      <c r="G256" s="185"/>
      <c r="H256" s="183"/>
      <c r="I256" s="185"/>
      <c r="J256" s="183"/>
      <c r="K256" s="186"/>
      <c r="L256" s="184"/>
      <c r="M256" s="180"/>
    </row>
    <row r="257" spans="1:13" s="151" customFormat="1" x14ac:dyDescent="0.2">
      <c r="A257" s="181"/>
      <c r="B257" s="182"/>
      <c r="C257" s="183"/>
      <c r="D257" s="183"/>
      <c r="E257" s="184"/>
      <c r="F257" s="183"/>
      <c r="G257" s="185"/>
      <c r="H257" s="183"/>
      <c r="I257" s="185"/>
      <c r="J257" s="183"/>
      <c r="K257" s="186"/>
      <c r="L257" s="184"/>
      <c r="M257" s="180"/>
    </row>
    <row r="258" spans="1:13" s="151" customFormat="1" x14ac:dyDescent="0.2">
      <c r="A258" s="181"/>
      <c r="B258" s="182"/>
      <c r="C258" s="183"/>
      <c r="D258" s="183"/>
      <c r="E258" s="184"/>
      <c r="F258" s="183"/>
      <c r="G258" s="185"/>
      <c r="H258" s="183"/>
      <c r="I258" s="185"/>
      <c r="J258" s="183"/>
      <c r="K258" s="186"/>
      <c r="L258" s="184"/>
      <c r="M258" s="180"/>
    </row>
    <row r="259" spans="1:13" s="151" customFormat="1" x14ac:dyDescent="0.2">
      <c r="A259" s="181"/>
      <c r="B259" s="182"/>
      <c r="C259" s="183"/>
      <c r="D259" s="183"/>
      <c r="E259" s="184"/>
      <c r="F259" s="183"/>
      <c r="G259" s="185"/>
      <c r="H259" s="183"/>
      <c r="I259" s="185"/>
      <c r="J259" s="183"/>
      <c r="K259" s="186"/>
      <c r="L259" s="184"/>
      <c r="M259" s="180"/>
    </row>
    <row r="260" spans="1:13" s="151" customFormat="1" x14ac:dyDescent="0.2">
      <c r="A260" s="181"/>
      <c r="B260" s="182"/>
      <c r="C260" s="183"/>
      <c r="D260" s="183"/>
      <c r="E260" s="184"/>
      <c r="F260" s="183"/>
      <c r="G260" s="185"/>
      <c r="H260" s="183"/>
      <c r="I260" s="185"/>
      <c r="J260" s="183"/>
      <c r="K260" s="186"/>
      <c r="L260" s="184"/>
      <c r="M260" s="180"/>
    </row>
    <row r="261" spans="1:13" x14ac:dyDescent="0.2">
      <c r="A261" s="116"/>
    </row>
    <row r="262" spans="1:13" x14ac:dyDescent="0.2">
      <c r="A262" s="116"/>
    </row>
    <row r="263" spans="1:13" x14ac:dyDescent="0.2">
      <c r="A263" s="116"/>
    </row>
    <row r="264" spans="1:13" x14ac:dyDescent="0.2">
      <c r="A264" s="116"/>
    </row>
    <row r="265" spans="1:13" x14ac:dyDescent="0.2">
      <c r="A265" s="116"/>
    </row>
    <row r="266" spans="1:13" x14ac:dyDescent="0.2">
      <c r="A266" s="116"/>
    </row>
    <row r="267" spans="1:13" x14ac:dyDescent="0.2">
      <c r="A267" s="116"/>
    </row>
    <row r="268" spans="1:13" x14ac:dyDescent="0.2">
      <c r="A268" s="116"/>
    </row>
    <row r="269" spans="1:13" x14ac:dyDescent="0.2">
      <c r="A269" s="116"/>
    </row>
    <row r="270" spans="1:13" x14ac:dyDescent="0.2">
      <c r="A270" s="116"/>
    </row>
    <row r="271" spans="1:13" x14ac:dyDescent="0.2">
      <c r="A271" s="116"/>
    </row>
    <row r="272" spans="1:13" x14ac:dyDescent="0.2">
      <c r="A272" s="116"/>
    </row>
    <row r="273" spans="1:1" x14ac:dyDescent="0.2">
      <c r="A273" s="116"/>
    </row>
    <row r="274" spans="1:1" x14ac:dyDescent="0.2">
      <c r="A274" s="116"/>
    </row>
    <row r="275" spans="1:1" x14ac:dyDescent="0.2">
      <c r="A275" s="116"/>
    </row>
    <row r="276" spans="1:1" x14ac:dyDescent="0.2">
      <c r="A276" s="116"/>
    </row>
    <row r="277" spans="1:1" x14ac:dyDescent="0.2">
      <c r="A277" s="116"/>
    </row>
    <row r="278" spans="1:1" x14ac:dyDescent="0.2">
      <c r="A278" s="116"/>
    </row>
    <row r="279" spans="1:1" x14ac:dyDescent="0.2">
      <c r="A279" s="116"/>
    </row>
    <row r="280" spans="1:1" x14ac:dyDescent="0.2">
      <c r="A280" s="116"/>
    </row>
    <row r="281" spans="1:1" x14ac:dyDescent="0.2">
      <c r="A281" s="116"/>
    </row>
    <row r="282" spans="1:1" x14ac:dyDescent="0.2">
      <c r="A282" s="116"/>
    </row>
    <row r="283" spans="1:1" x14ac:dyDescent="0.2">
      <c r="A283" s="116"/>
    </row>
    <row r="284" spans="1:1" x14ac:dyDescent="0.2">
      <c r="A284" s="116"/>
    </row>
    <row r="285" spans="1:1" x14ac:dyDescent="0.2">
      <c r="A285" s="116"/>
    </row>
    <row r="302" ht="75" customHeight="1" x14ac:dyDescent="0.2"/>
  </sheetData>
  <autoFilter ref="A11:Q197"/>
  <sortState ref="A12:Q196">
    <sortCondition ref="A12:A196"/>
    <sortCondition ref="B12:B196"/>
  </sortState>
  <mergeCells count="8">
    <mergeCell ref="G10:K10"/>
    <mergeCell ref="C10:E10"/>
    <mergeCell ref="A4:M4"/>
    <mergeCell ref="A1:M1"/>
    <mergeCell ref="A3:M3"/>
    <mergeCell ref="A2:M2"/>
    <mergeCell ref="A9:Q9"/>
    <mergeCell ref="A7:Q7"/>
  </mergeCells>
  <printOptions gridLines="1"/>
  <pageMargins left="0.7" right="0.7" top="0.25" bottom="0.25" header="0.3" footer="0.3"/>
  <pageSetup scale="4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249977111117893"/>
    <pageSetUpPr fitToPage="1"/>
  </sheetPr>
  <dimension ref="A1:Q257"/>
  <sheetViews>
    <sheetView showGridLines="0" workbookViewId="0">
      <pane xSplit="3" ySplit="7" topLeftCell="D8" activePane="bottomRight" state="frozen"/>
      <selection pane="topRight" activeCell="D1" sqref="D1"/>
      <selection pane="bottomLeft" activeCell="A8" sqref="A8"/>
      <selection pane="bottomRight" activeCell="C239" sqref="C239"/>
    </sheetView>
  </sheetViews>
  <sheetFormatPr defaultRowHeight="15" x14ac:dyDescent="0.25"/>
  <cols>
    <col min="1" max="1" width="31.85546875" style="101" customWidth="1"/>
    <col min="2" max="2" width="15.7109375" style="101" customWidth="1"/>
    <col min="3" max="4" width="31.7109375" style="101" customWidth="1"/>
    <col min="5" max="5" width="17.140625" style="71" customWidth="1"/>
    <col min="6" max="6" width="13.85546875" style="159" customWidth="1"/>
    <col min="7" max="7" width="19" style="159" customWidth="1"/>
    <col min="8" max="8" width="22.140625" style="70" customWidth="1"/>
    <col min="9" max="9" width="22.140625" style="101" customWidth="1"/>
    <col min="10" max="10" width="12.140625" style="64" customWidth="1"/>
    <col min="11" max="11" width="9.140625" style="138"/>
    <col min="12" max="13" width="29" style="64" customWidth="1"/>
    <col min="14" max="14" width="23.5703125" style="64" bestFit="1" customWidth="1"/>
    <col min="15" max="15" width="16.28515625" style="64" bestFit="1" customWidth="1"/>
    <col min="16" max="16" width="13.85546875" style="64" bestFit="1" customWidth="1"/>
    <col min="17" max="16384" width="9.140625" style="64"/>
  </cols>
  <sheetData>
    <row r="1" spans="1:17" ht="15" customHeight="1" x14ac:dyDescent="0.2">
      <c r="A1" s="886" t="s">
        <v>1038</v>
      </c>
      <c r="B1" s="886"/>
      <c r="C1" s="886"/>
      <c r="D1" s="886"/>
      <c r="E1" s="886"/>
      <c r="F1" s="886"/>
      <c r="G1" s="886"/>
      <c r="H1" s="886"/>
      <c r="I1" s="886"/>
      <c r="J1" s="886"/>
      <c r="K1" s="886"/>
      <c r="L1" s="886"/>
      <c r="M1" s="886"/>
      <c r="N1" s="886"/>
      <c r="O1" s="886"/>
      <c r="P1" s="886"/>
      <c r="Q1" s="886"/>
    </row>
    <row r="2" spans="1:17" ht="102.75" customHeight="1" x14ac:dyDescent="0.2">
      <c r="A2" s="886" t="s">
        <v>1039</v>
      </c>
      <c r="B2" s="886"/>
      <c r="C2" s="886"/>
      <c r="D2" s="886"/>
      <c r="E2" s="886"/>
      <c r="F2" s="886"/>
      <c r="G2" s="886"/>
      <c r="H2" s="886"/>
      <c r="I2" s="886"/>
      <c r="J2" s="886"/>
      <c r="K2" s="886"/>
      <c r="L2" s="886"/>
      <c r="M2" s="886"/>
      <c r="N2" s="886"/>
      <c r="O2" s="886"/>
      <c r="P2" s="886"/>
      <c r="Q2" s="886"/>
    </row>
    <row r="3" spans="1:17" x14ac:dyDescent="0.2">
      <c r="A3" s="886" t="s">
        <v>631</v>
      </c>
      <c r="B3" s="886"/>
      <c r="C3" s="886"/>
      <c r="D3" s="886"/>
      <c r="E3" s="886"/>
      <c r="F3" s="886"/>
      <c r="G3" s="886"/>
      <c r="H3" s="886"/>
      <c r="I3" s="886"/>
      <c r="J3" s="886"/>
      <c r="K3" s="886"/>
      <c r="L3" s="886"/>
      <c r="M3" s="886"/>
      <c r="N3" s="886"/>
      <c r="O3" s="886"/>
      <c r="P3" s="886"/>
      <c r="Q3" s="886"/>
    </row>
    <row r="4" spans="1:17" ht="28.5" customHeight="1" x14ac:dyDescent="0.2">
      <c r="A4" s="886" t="s">
        <v>1043</v>
      </c>
      <c r="B4" s="886"/>
      <c r="C4" s="886"/>
      <c r="D4" s="886"/>
      <c r="E4" s="886"/>
      <c r="F4" s="886"/>
      <c r="G4" s="886"/>
      <c r="H4" s="886"/>
      <c r="I4" s="886"/>
      <c r="J4" s="886"/>
      <c r="K4" s="886"/>
      <c r="L4" s="886"/>
      <c r="M4" s="886"/>
      <c r="N4" s="886"/>
      <c r="O4" s="886"/>
      <c r="P4" s="886"/>
      <c r="Q4" s="886"/>
    </row>
    <row r="5" spans="1:17" ht="13.5" customHeight="1" x14ac:dyDescent="0.2">
      <c r="A5" s="886" t="s">
        <v>1037</v>
      </c>
      <c r="B5" s="886"/>
      <c r="C5" s="886"/>
      <c r="D5" s="886"/>
      <c r="E5" s="886"/>
      <c r="F5" s="886"/>
      <c r="G5" s="886"/>
      <c r="H5" s="886"/>
      <c r="I5" s="886"/>
      <c r="J5" s="886"/>
      <c r="K5" s="886"/>
      <c r="L5" s="886"/>
      <c r="M5" s="886"/>
      <c r="N5" s="886"/>
      <c r="O5" s="886"/>
      <c r="P5" s="886"/>
      <c r="Q5" s="886"/>
    </row>
    <row r="6" spans="1:17" s="250" customFormat="1" ht="15" customHeight="1" thickBot="1" x14ac:dyDescent="0.3">
      <c r="A6" s="885" t="s">
        <v>1141</v>
      </c>
      <c r="B6" s="885"/>
      <c r="C6" s="885"/>
      <c r="D6" s="885"/>
      <c r="E6" s="885"/>
      <c r="F6" s="885"/>
      <c r="G6" s="885"/>
      <c r="H6" s="885"/>
      <c r="I6" s="885"/>
      <c r="J6" s="885"/>
      <c r="K6" s="885"/>
      <c r="L6" s="885"/>
      <c r="M6" s="885"/>
      <c r="N6" s="885"/>
      <c r="O6" s="885"/>
      <c r="P6" s="885"/>
    </row>
    <row r="7" spans="1:17" s="250" customFormat="1" ht="48.75" customHeight="1" thickBot="1" x14ac:dyDescent="0.3">
      <c r="A7" s="131" t="s">
        <v>0</v>
      </c>
      <c r="B7" s="131" t="s">
        <v>1</v>
      </c>
      <c r="C7" s="251" t="s">
        <v>604</v>
      </c>
      <c r="D7" s="251" t="s">
        <v>1004</v>
      </c>
      <c r="E7" s="161" t="s">
        <v>611</v>
      </c>
      <c r="F7" s="252" t="s">
        <v>8</v>
      </c>
      <c r="G7" s="252" t="s">
        <v>3</v>
      </c>
      <c r="H7" s="161" t="s">
        <v>717</v>
      </c>
      <c r="I7" s="161" t="s">
        <v>612</v>
      </c>
      <c r="J7" s="161" t="s">
        <v>613</v>
      </c>
      <c r="K7" s="253" t="s">
        <v>4</v>
      </c>
      <c r="L7" s="254" t="s">
        <v>20</v>
      </c>
      <c r="M7" s="255" t="s">
        <v>5</v>
      </c>
      <c r="N7" s="255" t="s">
        <v>6</v>
      </c>
      <c r="O7" s="255" t="s">
        <v>552</v>
      </c>
      <c r="P7" s="137" t="s">
        <v>553</v>
      </c>
    </row>
    <row r="8" spans="1:17" s="250" customFormat="1" ht="48.75" customHeight="1" x14ac:dyDescent="0.25">
      <c r="A8" s="190" t="s">
        <v>29</v>
      </c>
      <c r="B8" s="190" t="s">
        <v>30</v>
      </c>
      <c r="C8" s="190" t="s">
        <v>30</v>
      </c>
      <c r="D8" s="616">
        <v>0</v>
      </c>
      <c r="E8" s="263">
        <v>1851.5340000000001</v>
      </c>
      <c r="F8" s="263">
        <v>0</v>
      </c>
      <c r="G8" s="263">
        <v>0</v>
      </c>
      <c r="H8" s="391">
        <f>SUM(D8:G8)</f>
        <v>1851.5340000000001</v>
      </c>
      <c r="I8" s="263">
        <v>33.651000000000003</v>
      </c>
      <c r="J8" s="263">
        <f>IF(I8="","",SUM(H8:I8))</f>
        <v>1885.1850000000002</v>
      </c>
      <c r="K8" s="139" t="s">
        <v>356</v>
      </c>
      <c r="L8" s="386">
        <f t="array" ref="L8">IFERROR(INDEX(UtilityList!Q$4:Q$251,MATCH('Table 2.3a'!$A8&amp;'Table 2.3a'!$B8&amp;'Table 2.3a'!$C8,UtilityList!$A$4:$A$251&amp;UtilityList!$B$4:$B$251&amp;UtilityList!$C$4:$C$251,0)),INDEX(UtilityList!Q$4:Q$251,MATCH('Table 2.3a'!$A8&amp;'Table 2.3a'!$C8,UtilityList!$A$4:$A$251&amp;UtilityList!$C$4:$C$251,0)))</f>
        <v>0</v>
      </c>
      <c r="M8" s="98" t="str">
        <f t="array" ref="M8">IFERROR(INDEX(UtilityList!J$4:J$251,MATCH('Table 2.3a'!$A8&amp;'Table 2.3a'!$B8&amp;'Table 2.3a'!$C8,UtilityList!$A$4:$A$251&amp;UtilityList!$B$4:$B$251&amp;UtilityList!$C$4:$C$251,0)),INDEX(UtilityList!J$4:J$251,MATCH('Table 2.3a'!$A8&amp;'Table 2.3a'!$C8,UtilityList!$A$4:$A$251&amp;UtilityList!$C$4:$C$251,0)))</f>
        <v>Lower Yukon-Kuskokwim</v>
      </c>
      <c r="N8" s="98" t="str">
        <f t="array" ref="N8">IFERROR(INDEX(UtilityList!K$4:K$251,MATCH('Table 2.3a'!$A8&amp;'Table 2.3a'!$B8&amp;'Table 2.3a'!$C8,UtilityList!$A$4:$A$251&amp;UtilityList!$B$4:$B$251&amp;UtilityList!$C$4:$C$251,0)),INDEX(UtilityList!K$4:K$251,MATCH('Table 2.3a'!$A8&amp;'Table 2.3a'!$C8,UtilityList!$A$4:$A$251&amp;UtilityList!$C$4:$C$251,0)))</f>
        <v>Bethel (CA)</v>
      </c>
      <c r="O8" s="98" t="str">
        <f t="array" ref="O8">IFERROR(INDEX(UtilityList!L$4:L$251,MATCH('Table 2.3a'!$A8&amp;'Table 2.3a'!$B8&amp;'Table 2.3a'!$C8,UtilityList!$A$4:$A$251&amp;UtilityList!$B$4:$B$251&amp;UtilityList!$C$4:$C$251,0)),INDEX(UtilityList!L$4:L$251,MATCH('Table 2.3a'!$A8&amp;'Table 2.3a'!$C8,UtilityList!$A$4:$A$251&amp;UtilityList!$C$4:$C$251,0)))</f>
        <v>Calista</v>
      </c>
      <c r="P8" s="98" t="str">
        <f t="array" ref="P8">IFERROR(INDEX(UtilityList!M$4:M$251,MATCH('Table 2.3a'!$A8&amp;'Table 2.3a'!$B8&amp;'Table 2.3a'!$C8,UtilityList!$A$4:$A$251&amp;UtilityList!$B$4:$B$251&amp;UtilityList!$C$4:$C$251,0)),INDEX(UtilityList!M$4:M$251,MATCH('Table 2.3a'!$A8&amp;'Table 2.3a'!$C8,UtilityList!$A$4:$A$251&amp;UtilityList!$C$4:$C$251,0)))</f>
        <v>SW</v>
      </c>
      <c r="Q8" s="344"/>
    </row>
    <row r="9" spans="1:17" s="188" customFormat="1" ht="39.950000000000003" customHeight="1" x14ac:dyDescent="0.25">
      <c r="A9" s="360" t="s">
        <v>31</v>
      </c>
      <c r="B9" s="360" t="s">
        <v>32</v>
      </c>
      <c r="C9" s="360" t="s">
        <v>32</v>
      </c>
      <c r="D9" s="637">
        <v>0</v>
      </c>
      <c r="E9" s="638">
        <v>1029.5309999999999</v>
      </c>
      <c r="F9" s="638">
        <v>0</v>
      </c>
      <c r="G9" s="638">
        <v>0</v>
      </c>
      <c r="H9" s="639">
        <f t="shared" ref="H9:H72" si="0">SUM(D9:G9)</f>
        <v>1029.5309999999999</v>
      </c>
      <c r="I9" s="638">
        <v>29.978999999999999</v>
      </c>
      <c r="J9" s="638">
        <f t="shared" ref="J9:J72" si="1">IF(I9="","",SUM(H9:I9))</f>
        <v>1059.51</v>
      </c>
      <c r="K9" s="640" t="s">
        <v>356</v>
      </c>
      <c r="L9" s="627">
        <f t="array" ref="L9">IFERROR(INDEX(UtilityList!Q$4:Q$251,MATCH('Table 2.3a'!$A9&amp;'Table 2.3a'!$B9&amp;'Table 2.3a'!$C9,UtilityList!$A$4:$A$251&amp;UtilityList!$B$4:$B$251&amp;UtilityList!$C$4:$C$251,0)),INDEX(UtilityList!Q$4:Q$251,MATCH('Table 2.3a'!$A9&amp;'Table 2.3a'!$C9,UtilityList!$A$4:$A$251&amp;UtilityList!$C$4:$C$251,0)))</f>
        <v>0</v>
      </c>
      <c r="M9" s="452" t="str">
        <f t="array" ref="M9">IFERROR(INDEX(UtilityList!J$4:J$251,MATCH('Table 2.3a'!$A9&amp;'Table 2.3a'!$B9&amp;'Table 2.3a'!$C9,UtilityList!$A$4:$A$251&amp;UtilityList!$B$4:$B$251&amp;UtilityList!$C$4:$C$251,0)),INDEX(UtilityList!J$4:J$251,MATCH('Table 2.3a'!$A9&amp;'Table 2.3a'!$C9,UtilityList!$A$4:$A$251&amp;UtilityList!$C$4:$C$251,0)))</f>
        <v>Lower Yukon-Kuskokwim</v>
      </c>
      <c r="N9" s="452" t="str">
        <f t="array" ref="N9">IFERROR(INDEX(UtilityList!K$4:K$251,MATCH('Table 2.3a'!$A9&amp;'Table 2.3a'!$B9&amp;'Table 2.3a'!$C9,UtilityList!$A$4:$A$251&amp;UtilityList!$B$4:$B$251&amp;UtilityList!$C$4:$C$251,0)),INDEX(UtilityList!K$4:K$251,MATCH('Table 2.3a'!$A9&amp;'Table 2.3a'!$C9,UtilityList!$A$4:$A$251&amp;UtilityList!$C$4:$C$251,0)))</f>
        <v>Bethel (CA)</v>
      </c>
      <c r="O9" s="452" t="str">
        <f t="array" ref="O9">IFERROR(INDEX(UtilityList!L$4:L$251,MATCH('Table 2.3a'!$A9&amp;'Table 2.3a'!$B9&amp;'Table 2.3a'!$C9,UtilityList!$A$4:$A$251&amp;UtilityList!$B$4:$B$251&amp;UtilityList!$C$4:$C$251,0)),INDEX(UtilityList!L$4:L$251,MATCH('Table 2.3a'!$A9&amp;'Table 2.3a'!$C9,UtilityList!$A$4:$A$251&amp;UtilityList!$C$4:$C$251,0)))</f>
        <v>Calista</v>
      </c>
      <c r="P9" s="452" t="str">
        <f t="array" ref="P9">IFERROR(INDEX(UtilityList!M$4:M$251,MATCH('Table 2.3a'!$A9&amp;'Table 2.3a'!$B9&amp;'Table 2.3a'!$C9,UtilityList!$A$4:$A$251&amp;UtilityList!$B$4:$B$251&amp;UtilityList!$C$4:$C$251,0)),INDEX(UtilityList!M$4:M$251,MATCH('Table 2.3a'!$A9&amp;'Table 2.3a'!$C9,UtilityList!$A$4:$A$251&amp;UtilityList!$C$4:$C$251,0)))</f>
        <v>SW</v>
      </c>
      <c r="Q9" s="344"/>
    </row>
    <row r="10" spans="1:17" s="126" customFormat="1" ht="30" customHeight="1" x14ac:dyDescent="0.25">
      <c r="A10" s="360" t="s">
        <v>33</v>
      </c>
      <c r="B10" s="360" t="s">
        <v>34</v>
      </c>
      <c r="C10" s="387" t="s">
        <v>34</v>
      </c>
      <c r="D10" s="637">
        <v>0</v>
      </c>
      <c r="E10" s="638">
        <v>489.57059999999996</v>
      </c>
      <c r="F10" s="638">
        <v>42.110999999999997</v>
      </c>
      <c r="G10" s="638">
        <v>0</v>
      </c>
      <c r="H10" s="639">
        <f t="shared" si="0"/>
        <v>531.6816</v>
      </c>
      <c r="I10" s="638">
        <v>11.804399999999999</v>
      </c>
      <c r="J10" s="638">
        <f t="shared" si="1"/>
        <v>543.48599999999999</v>
      </c>
      <c r="K10" s="640" t="s">
        <v>356</v>
      </c>
      <c r="L10" s="627">
        <f t="array" ref="L10">IFERROR(INDEX(UtilityList!Q$4:Q$251,MATCH('Table 2.3a'!$A10&amp;'Table 2.3a'!$B10&amp;'Table 2.3a'!$C10,UtilityList!$A$4:$A$251&amp;UtilityList!$B$4:$B$251&amp;UtilityList!$C$4:$C$251,0)),INDEX(UtilityList!Q$4:Q$251,MATCH('Table 2.3a'!$A10&amp;'Table 2.3a'!$C10,UtilityList!$A$4:$A$251&amp;UtilityList!$C$4:$C$251,0)))</f>
        <v>0</v>
      </c>
      <c r="M10" s="452" t="str">
        <f t="array" ref="M10">IFERROR(INDEX(UtilityList!J$4:J$251,MATCH('Table 2.3a'!$A10&amp;'Table 2.3a'!$B10&amp;'Table 2.3a'!$C10,UtilityList!$A$4:$A$251&amp;UtilityList!$B$4:$B$251&amp;UtilityList!$C$4:$C$251,0)),INDEX(UtilityList!J$4:J$251,MATCH('Table 2.3a'!$A10&amp;'Table 2.3a'!$C10,UtilityList!$A$4:$A$251&amp;UtilityList!$C$4:$C$251,0)))</f>
        <v>Aleutians</v>
      </c>
      <c r="N10" s="452" t="str">
        <f t="array" ref="N10">IFERROR(INDEX(UtilityList!K$4:K$251,MATCH('Table 2.3a'!$A10&amp;'Table 2.3a'!$B10&amp;'Table 2.3a'!$C10,UtilityList!$A$4:$A$251&amp;UtilityList!$B$4:$B$251&amp;UtilityList!$C$4:$C$251,0)),INDEX(UtilityList!K$4:K$251,MATCH('Table 2.3a'!$A10&amp;'Table 2.3a'!$C10,UtilityList!$A$4:$A$251&amp;UtilityList!$C$4:$C$251,0)))</f>
        <v>Aleutians East</v>
      </c>
      <c r="O10" s="452" t="str">
        <f t="array" ref="O10">IFERROR(INDEX(UtilityList!L$4:L$251,MATCH('Table 2.3a'!$A10&amp;'Table 2.3a'!$B10&amp;'Table 2.3a'!$C10,UtilityList!$A$4:$A$251&amp;UtilityList!$B$4:$B$251&amp;UtilityList!$C$4:$C$251,0)),INDEX(UtilityList!L$4:L$251,MATCH('Table 2.3a'!$A10&amp;'Table 2.3a'!$C10,UtilityList!$A$4:$A$251&amp;UtilityList!$C$4:$C$251,0)))</f>
        <v>Aleut</v>
      </c>
      <c r="P10" s="452" t="str">
        <f t="array" ref="P10">IFERROR(INDEX(UtilityList!M$4:M$251,MATCH('Table 2.3a'!$A10&amp;'Table 2.3a'!$B10&amp;'Table 2.3a'!$C10,UtilityList!$A$4:$A$251&amp;UtilityList!$B$4:$B$251&amp;UtilityList!$C$4:$C$251,0)),INDEX(UtilityList!M$4:M$251,MATCH('Table 2.3a'!$A10&amp;'Table 2.3a'!$C10,UtilityList!$A$4:$A$251&amp;UtilityList!$C$4:$C$251,0)))</f>
        <v>SW</v>
      </c>
      <c r="Q10" s="344"/>
    </row>
    <row r="11" spans="1:17" s="126" customFormat="1" ht="30" customHeight="1" x14ac:dyDescent="0.25">
      <c r="A11" s="360" t="s">
        <v>523</v>
      </c>
      <c r="B11" s="452" t="s">
        <v>35</v>
      </c>
      <c r="C11" s="456" t="s">
        <v>36</v>
      </c>
      <c r="D11" s="637">
        <v>0</v>
      </c>
      <c r="E11" s="641">
        <v>0</v>
      </c>
      <c r="F11" s="642">
        <v>22270</v>
      </c>
      <c r="G11" s="642">
        <v>0</v>
      </c>
      <c r="H11" s="639">
        <f t="shared" si="0"/>
        <v>22270</v>
      </c>
      <c r="I11" s="641">
        <v>151</v>
      </c>
      <c r="J11" s="638">
        <f t="shared" si="1"/>
        <v>22421</v>
      </c>
      <c r="K11" s="636" t="s">
        <v>558</v>
      </c>
      <c r="L11" s="627">
        <f t="array" ref="L11">IFERROR(INDEX(UtilityList!Q$4:Q$251,MATCH('Table 2.3a'!$A11&amp;'Table 2.3a'!$B11&amp;'Table 2.3a'!$C11,UtilityList!$A$4:$A$251&amp;UtilityList!$B$4:$B$251&amp;UtilityList!$C$4:$C$251,0)),INDEX(UtilityList!Q$4:Q$251,MATCH('Table 2.3a'!$A11&amp;'Table 2.3a'!$C11,UtilityList!$A$4:$A$251&amp;UtilityList!$C$4:$C$251,0)))</f>
        <v>0</v>
      </c>
      <c r="M11" s="452" t="str">
        <f t="array" ref="M11">IFERROR(INDEX(UtilityList!J$4:J$251,MATCH('Table 2.3a'!$A11&amp;'Table 2.3a'!$B11&amp;'Table 2.3a'!$C11,UtilityList!$A$4:$A$251&amp;UtilityList!$B$4:$B$251&amp;UtilityList!$C$4:$C$251,0)),INDEX(UtilityList!J$4:J$251,MATCH('Table 2.3a'!$A11&amp;'Table 2.3a'!$C11,UtilityList!$A$4:$A$251&amp;UtilityList!$C$4:$C$251,0)))</f>
        <v>Southeast</v>
      </c>
      <c r="N11" s="452" t="str">
        <f t="array" ref="N11">IFERROR(INDEX(UtilityList!K$4:K$251,MATCH('Table 2.3a'!$A11&amp;'Table 2.3a'!$B11&amp;'Table 2.3a'!$C11,UtilityList!$A$4:$A$251&amp;UtilityList!$B$4:$B$251&amp;UtilityList!$C$4:$C$251,0)),INDEX(UtilityList!K$4:K$251,MATCH('Table 2.3a'!$A11&amp;'Table 2.3a'!$C11,UtilityList!$A$4:$A$251&amp;UtilityList!$C$4:$C$251,0)))</f>
        <v>Juneau</v>
      </c>
      <c r="O11" s="452" t="str">
        <f t="array" ref="O11">IFERROR(INDEX(UtilityList!L$4:L$251,MATCH('Table 2.3a'!$A11&amp;'Table 2.3a'!$B11&amp;'Table 2.3a'!$C11,UtilityList!$A$4:$A$251&amp;UtilityList!$B$4:$B$251&amp;UtilityList!$C$4:$C$251,0)),INDEX(UtilityList!L$4:L$251,MATCH('Table 2.3a'!$A11&amp;'Table 2.3a'!$C11,UtilityList!$A$4:$A$251&amp;UtilityList!$C$4:$C$251,0)))</f>
        <v>Sealaska</v>
      </c>
      <c r="P11" s="452" t="str">
        <f t="array" ref="P11">IFERROR(INDEX(UtilityList!M$4:M$251,MATCH('Table 2.3a'!$A11&amp;'Table 2.3a'!$B11&amp;'Table 2.3a'!$C11,UtilityList!$A$4:$A$251&amp;UtilityList!$B$4:$B$251&amp;UtilityList!$C$4:$C$251,0)),INDEX(UtilityList!M$4:M$251,MATCH('Table 2.3a'!$A11&amp;'Table 2.3a'!$C11,UtilityList!$A$4:$A$251&amp;UtilityList!$C$4:$C$251,0)))</f>
        <v>SE</v>
      </c>
      <c r="Q11" s="250"/>
    </row>
    <row r="12" spans="1:17" s="126" customFormat="1" ht="30" customHeight="1" x14ac:dyDescent="0.25">
      <c r="A12" s="360" t="s">
        <v>523</v>
      </c>
      <c r="B12" s="388" t="s">
        <v>37</v>
      </c>
      <c r="C12" s="456" t="s">
        <v>36</v>
      </c>
      <c r="D12" s="637">
        <v>1065</v>
      </c>
      <c r="E12" s="642">
        <v>54</v>
      </c>
      <c r="F12" s="642">
        <v>0</v>
      </c>
      <c r="G12" s="642">
        <v>0</v>
      </c>
      <c r="H12" s="639">
        <f t="shared" si="0"/>
        <v>1119</v>
      </c>
      <c r="I12" s="641"/>
      <c r="J12" s="638" t="str">
        <f t="shared" si="1"/>
        <v/>
      </c>
      <c r="K12" s="636" t="s">
        <v>558</v>
      </c>
      <c r="L12" s="627">
        <f t="array" ref="L12">IFERROR(INDEX(UtilityList!Q$4:Q$251,MATCH('Table 2.3a'!$A12&amp;'Table 2.3a'!$B12&amp;'Table 2.3a'!$C12,UtilityList!$A$4:$A$251&amp;UtilityList!$B$4:$B$251&amp;UtilityList!$C$4:$C$251,0)),INDEX(UtilityList!Q$4:Q$251,MATCH('Table 2.3a'!$A12&amp;'Table 2.3a'!$C12,UtilityList!$A$4:$A$251&amp;UtilityList!$C$4:$C$251,0)))</f>
        <v>0</v>
      </c>
      <c r="M12" s="452" t="str">
        <f t="array" ref="M12">IFERROR(INDEX(UtilityList!J$4:J$251,MATCH('Table 2.3a'!$A12&amp;'Table 2.3a'!$B12&amp;'Table 2.3a'!$C12,UtilityList!$A$4:$A$251&amp;UtilityList!$B$4:$B$251&amp;UtilityList!$C$4:$C$251,0)),INDEX(UtilityList!J$4:J$251,MATCH('Table 2.3a'!$A12&amp;'Table 2.3a'!$C12,UtilityList!$A$4:$A$251&amp;UtilityList!$C$4:$C$251,0)))</f>
        <v>Southeast</v>
      </c>
      <c r="N12" s="452" t="str">
        <f t="array" ref="N12">IFERROR(INDEX(UtilityList!K$4:K$251,MATCH('Table 2.3a'!$A12&amp;'Table 2.3a'!$B12&amp;'Table 2.3a'!$C12,UtilityList!$A$4:$A$251&amp;UtilityList!$B$4:$B$251&amp;UtilityList!$C$4:$C$251,0)),INDEX(UtilityList!K$4:K$251,MATCH('Table 2.3a'!$A12&amp;'Table 2.3a'!$C12,UtilityList!$A$4:$A$251&amp;UtilityList!$C$4:$C$251,0)))</f>
        <v>Juneau</v>
      </c>
      <c r="O12" s="452" t="str">
        <f t="array" ref="O12">IFERROR(INDEX(UtilityList!L$4:L$251,MATCH('Table 2.3a'!$A12&amp;'Table 2.3a'!$B12&amp;'Table 2.3a'!$C12,UtilityList!$A$4:$A$251&amp;UtilityList!$B$4:$B$251&amp;UtilityList!$C$4:$C$251,0)),INDEX(UtilityList!L$4:L$251,MATCH('Table 2.3a'!$A12&amp;'Table 2.3a'!$C12,UtilityList!$A$4:$A$251&amp;UtilityList!$C$4:$C$251,0)))</f>
        <v>Sealaska</v>
      </c>
      <c r="P12" s="452" t="str">
        <f t="array" ref="P12">IFERROR(INDEX(UtilityList!M$4:M$251,MATCH('Table 2.3a'!$A12&amp;'Table 2.3a'!$B12&amp;'Table 2.3a'!$C12,UtilityList!$A$4:$A$251&amp;UtilityList!$B$4:$B$251&amp;UtilityList!$C$4:$C$251,0)),INDEX(UtilityList!M$4:M$251,MATCH('Table 2.3a'!$A12&amp;'Table 2.3a'!$C12,UtilityList!$A$4:$A$251&amp;UtilityList!$C$4:$C$251,0)))</f>
        <v>SE</v>
      </c>
      <c r="Q12" s="188"/>
    </row>
    <row r="13" spans="1:17" s="126" customFormat="1" ht="30" customHeight="1" x14ac:dyDescent="0.25">
      <c r="A13" s="360" t="s">
        <v>523</v>
      </c>
      <c r="B13" s="388" t="s">
        <v>38</v>
      </c>
      <c r="C13" s="388" t="s">
        <v>36</v>
      </c>
      <c r="D13" s="637">
        <v>0</v>
      </c>
      <c r="E13" s="642">
        <v>23</v>
      </c>
      <c r="F13" s="642">
        <v>4838</v>
      </c>
      <c r="G13" s="642">
        <v>0</v>
      </c>
      <c r="H13" s="639">
        <f t="shared" si="0"/>
        <v>4861</v>
      </c>
      <c r="I13" s="641">
        <v>564</v>
      </c>
      <c r="J13" s="638">
        <f t="shared" si="1"/>
        <v>5425</v>
      </c>
      <c r="K13" s="636" t="s">
        <v>558</v>
      </c>
      <c r="L13" s="627">
        <f t="array" ref="L13">IFERROR(INDEX(UtilityList!Q$4:Q$251,MATCH('Table 2.3a'!$A13&amp;'Table 2.3a'!$B13&amp;'Table 2.3a'!$C13,UtilityList!$A$4:$A$251&amp;UtilityList!$B$4:$B$251&amp;UtilityList!$C$4:$C$251,0)),INDEX(UtilityList!Q$4:Q$251,MATCH('Table 2.3a'!$A13&amp;'Table 2.3a'!$C13,UtilityList!$A$4:$A$251&amp;UtilityList!$C$4:$C$251,0)))</f>
        <v>0</v>
      </c>
      <c r="M13" s="452" t="str">
        <f t="array" ref="M13">IFERROR(INDEX(UtilityList!J$4:J$251,MATCH('Table 2.3a'!$A13&amp;'Table 2.3a'!$B13&amp;'Table 2.3a'!$C13,UtilityList!$A$4:$A$251&amp;UtilityList!$B$4:$B$251&amp;UtilityList!$C$4:$C$251,0)),INDEX(UtilityList!J$4:J$251,MATCH('Table 2.3a'!$A13&amp;'Table 2.3a'!$C13,UtilityList!$A$4:$A$251&amp;UtilityList!$C$4:$C$251,0)))</f>
        <v>Southeast</v>
      </c>
      <c r="N13" s="452" t="str">
        <f t="array" ref="N13">IFERROR(INDEX(UtilityList!K$4:K$251,MATCH('Table 2.3a'!$A13&amp;'Table 2.3a'!$B13&amp;'Table 2.3a'!$C13,UtilityList!$A$4:$A$251&amp;UtilityList!$B$4:$B$251&amp;UtilityList!$C$4:$C$251,0)),INDEX(UtilityList!K$4:K$251,MATCH('Table 2.3a'!$A13&amp;'Table 2.3a'!$C13,UtilityList!$A$4:$A$251&amp;UtilityList!$C$4:$C$251,0)))</f>
        <v>Juneau</v>
      </c>
      <c r="O13" s="452" t="str">
        <f t="array" ref="O13">IFERROR(INDEX(UtilityList!L$4:L$251,MATCH('Table 2.3a'!$A13&amp;'Table 2.3a'!$B13&amp;'Table 2.3a'!$C13,UtilityList!$A$4:$A$251&amp;UtilityList!$B$4:$B$251&amp;UtilityList!$C$4:$C$251,0)),INDEX(UtilityList!L$4:L$251,MATCH('Table 2.3a'!$A13&amp;'Table 2.3a'!$C13,UtilityList!$A$4:$A$251&amp;UtilityList!$C$4:$C$251,0)))</f>
        <v>Sealaska</v>
      </c>
      <c r="P13" s="452" t="str">
        <f t="array" ref="P13">IFERROR(INDEX(UtilityList!M$4:M$251,MATCH('Table 2.3a'!$A13&amp;'Table 2.3a'!$B13&amp;'Table 2.3a'!$C13,UtilityList!$A$4:$A$251&amp;UtilityList!$B$4:$B$251&amp;UtilityList!$C$4:$C$251,0)),INDEX(UtilityList!M$4:M$251,MATCH('Table 2.3a'!$A13&amp;'Table 2.3a'!$C13,UtilityList!$A$4:$A$251&amp;UtilityList!$C$4:$C$251,0)))</f>
        <v>SE</v>
      </c>
    </row>
    <row r="14" spans="1:17" s="126" customFormat="1" ht="54" customHeight="1" x14ac:dyDescent="0.25">
      <c r="A14" s="360" t="s">
        <v>523</v>
      </c>
      <c r="B14" s="388" t="s">
        <v>39</v>
      </c>
      <c r="C14" s="456" t="s">
        <v>36</v>
      </c>
      <c r="D14" s="637">
        <v>0</v>
      </c>
      <c r="E14" s="641">
        <v>0</v>
      </c>
      <c r="F14" s="642">
        <v>70602</v>
      </c>
      <c r="G14" s="642">
        <v>0</v>
      </c>
      <c r="H14" s="639">
        <f t="shared" si="0"/>
        <v>70602</v>
      </c>
      <c r="I14" s="641">
        <v>1216</v>
      </c>
      <c r="J14" s="638">
        <f t="shared" si="1"/>
        <v>71818</v>
      </c>
      <c r="K14" s="636" t="s">
        <v>558</v>
      </c>
      <c r="L14" s="627">
        <f t="array" ref="L14">IFERROR(INDEX(UtilityList!Q$4:Q$251,MATCH('Table 2.3a'!$A14&amp;'Table 2.3a'!$B14&amp;'Table 2.3a'!$C14,UtilityList!$A$4:$A$251&amp;UtilityList!$B$4:$B$251&amp;UtilityList!$C$4:$C$251,0)),INDEX(UtilityList!Q$4:Q$251,MATCH('Table 2.3a'!$A14&amp;'Table 2.3a'!$C14,UtilityList!$A$4:$A$251&amp;UtilityList!$C$4:$C$251,0)))</f>
        <v>0</v>
      </c>
      <c r="M14" s="452" t="str">
        <f t="array" ref="M14">IFERROR(INDEX(UtilityList!J$4:J$251,MATCH('Table 2.3a'!$A14&amp;'Table 2.3a'!$B14&amp;'Table 2.3a'!$C14,UtilityList!$A$4:$A$251&amp;UtilityList!$B$4:$B$251&amp;UtilityList!$C$4:$C$251,0)),INDEX(UtilityList!J$4:J$251,MATCH('Table 2.3a'!$A14&amp;'Table 2.3a'!$C14,UtilityList!$A$4:$A$251&amp;UtilityList!$C$4:$C$251,0)))</f>
        <v>Southeast</v>
      </c>
      <c r="N14" s="452" t="str">
        <f t="array" ref="N14">IFERROR(INDEX(UtilityList!K$4:K$251,MATCH('Table 2.3a'!$A14&amp;'Table 2.3a'!$B14&amp;'Table 2.3a'!$C14,UtilityList!$A$4:$A$251&amp;UtilityList!$B$4:$B$251&amp;UtilityList!$C$4:$C$251,0)),INDEX(UtilityList!K$4:K$251,MATCH('Table 2.3a'!$A14&amp;'Table 2.3a'!$C14,UtilityList!$A$4:$A$251&amp;UtilityList!$C$4:$C$251,0)))</f>
        <v>Juneau</v>
      </c>
      <c r="O14" s="452" t="str">
        <f t="array" ref="O14">IFERROR(INDEX(UtilityList!L$4:L$251,MATCH('Table 2.3a'!$A14&amp;'Table 2.3a'!$B14&amp;'Table 2.3a'!$C14,UtilityList!$A$4:$A$251&amp;UtilityList!$B$4:$B$251&amp;UtilityList!$C$4:$C$251,0)),INDEX(UtilityList!L$4:L$251,MATCH('Table 2.3a'!$A14&amp;'Table 2.3a'!$C14,UtilityList!$A$4:$A$251&amp;UtilityList!$C$4:$C$251,0)))</f>
        <v>Sealaska</v>
      </c>
      <c r="P14" s="452" t="str">
        <f t="array" ref="P14">IFERROR(INDEX(UtilityList!M$4:M$251,MATCH('Table 2.3a'!$A14&amp;'Table 2.3a'!$B14&amp;'Table 2.3a'!$C14,UtilityList!$A$4:$A$251&amp;UtilityList!$B$4:$B$251&amp;UtilityList!$C$4:$C$251,0)),INDEX(UtilityList!M$4:M$251,MATCH('Table 2.3a'!$A14&amp;'Table 2.3a'!$C14,UtilityList!$A$4:$A$251&amp;UtilityList!$C$4:$C$251,0)))</f>
        <v>SE</v>
      </c>
    </row>
    <row r="15" spans="1:17" s="126" customFormat="1" ht="30" customHeight="1" x14ac:dyDescent="0.25">
      <c r="A15" s="360" t="s">
        <v>523</v>
      </c>
      <c r="B15" s="643" t="s">
        <v>40</v>
      </c>
      <c r="C15" s="388" t="s">
        <v>36</v>
      </c>
      <c r="D15" s="637">
        <v>1274</v>
      </c>
      <c r="E15" s="642">
        <v>1009</v>
      </c>
      <c r="F15" s="642">
        <v>0</v>
      </c>
      <c r="G15" s="642">
        <v>0</v>
      </c>
      <c r="H15" s="639">
        <f t="shared" si="0"/>
        <v>2283</v>
      </c>
      <c r="I15" s="641">
        <v>122</v>
      </c>
      <c r="J15" s="638">
        <f t="shared" si="1"/>
        <v>2405</v>
      </c>
      <c r="K15" s="636" t="s">
        <v>558</v>
      </c>
      <c r="L15" s="627">
        <f t="array" ref="L15">IFERROR(INDEX(UtilityList!Q$4:Q$251,MATCH('Table 2.3a'!$A15&amp;'Table 2.3a'!$B15&amp;'Table 2.3a'!$C15,UtilityList!$A$4:$A$251&amp;UtilityList!$B$4:$B$251&amp;UtilityList!$C$4:$C$251,0)),INDEX(UtilityList!Q$4:Q$251,MATCH('Table 2.3a'!$A15&amp;'Table 2.3a'!$C15,UtilityList!$A$4:$A$251&amp;UtilityList!$C$4:$C$251,0)))</f>
        <v>0</v>
      </c>
      <c r="M15" s="452" t="str">
        <f t="array" ref="M15">IFERROR(INDEX(UtilityList!J$4:J$251,MATCH('Table 2.3a'!$A15&amp;'Table 2.3a'!$B15&amp;'Table 2.3a'!$C15,UtilityList!$A$4:$A$251&amp;UtilityList!$B$4:$B$251&amp;UtilityList!$C$4:$C$251,0)),INDEX(UtilityList!J$4:J$251,MATCH('Table 2.3a'!$A15&amp;'Table 2.3a'!$C15,UtilityList!$A$4:$A$251&amp;UtilityList!$C$4:$C$251,0)))</f>
        <v>Southeast</v>
      </c>
      <c r="N15" s="452" t="str">
        <f t="array" ref="N15">IFERROR(INDEX(UtilityList!K$4:K$251,MATCH('Table 2.3a'!$A15&amp;'Table 2.3a'!$B15&amp;'Table 2.3a'!$C15,UtilityList!$A$4:$A$251&amp;UtilityList!$B$4:$B$251&amp;UtilityList!$C$4:$C$251,0)),INDEX(UtilityList!K$4:K$251,MATCH('Table 2.3a'!$A15&amp;'Table 2.3a'!$C15,UtilityList!$A$4:$A$251&amp;UtilityList!$C$4:$C$251,0)))</f>
        <v>Juneau</v>
      </c>
      <c r="O15" s="452" t="str">
        <f t="array" ref="O15">IFERROR(INDEX(UtilityList!L$4:L$251,MATCH('Table 2.3a'!$A15&amp;'Table 2.3a'!$B15&amp;'Table 2.3a'!$C15,UtilityList!$A$4:$A$251&amp;UtilityList!$B$4:$B$251&amp;UtilityList!$C$4:$C$251,0)),INDEX(UtilityList!L$4:L$251,MATCH('Table 2.3a'!$A15&amp;'Table 2.3a'!$C15,UtilityList!$A$4:$A$251&amp;UtilityList!$C$4:$C$251,0)))</f>
        <v>Sealaska</v>
      </c>
      <c r="P15" s="452" t="str">
        <f t="array" ref="P15">IFERROR(INDEX(UtilityList!M$4:M$251,MATCH('Table 2.3a'!$A15&amp;'Table 2.3a'!$B15&amp;'Table 2.3a'!$C15,UtilityList!$A$4:$A$251&amp;UtilityList!$B$4:$B$251&amp;UtilityList!$C$4:$C$251,0)),INDEX(UtilityList!M$4:M$251,MATCH('Table 2.3a'!$A15&amp;'Table 2.3a'!$C15,UtilityList!$A$4:$A$251&amp;UtilityList!$C$4:$C$251,0)))</f>
        <v>SE</v>
      </c>
    </row>
    <row r="16" spans="1:17" s="126" customFormat="1" ht="30" customHeight="1" x14ac:dyDescent="0.25">
      <c r="A16" s="360" t="s">
        <v>523</v>
      </c>
      <c r="B16" s="643" t="s">
        <v>41</v>
      </c>
      <c r="C16" s="388" t="s">
        <v>36</v>
      </c>
      <c r="D16" s="637">
        <v>0</v>
      </c>
      <c r="E16" s="641">
        <v>0</v>
      </c>
      <c r="F16" s="642">
        <v>24337</v>
      </c>
      <c r="G16" s="642">
        <v>0</v>
      </c>
      <c r="H16" s="639">
        <f t="shared" si="0"/>
        <v>24337</v>
      </c>
      <c r="I16" s="641">
        <v>93</v>
      </c>
      <c r="J16" s="638">
        <f t="shared" si="1"/>
        <v>24430</v>
      </c>
      <c r="K16" s="636" t="s">
        <v>558</v>
      </c>
      <c r="L16" s="627">
        <f t="array" ref="L16">IFERROR(INDEX(UtilityList!Q$4:Q$251,MATCH('Table 2.3a'!$A16&amp;'Table 2.3a'!$B16&amp;'Table 2.3a'!$C16,UtilityList!$A$4:$A$251&amp;UtilityList!$B$4:$B$251&amp;UtilityList!$C$4:$C$251,0)),INDEX(UtilityList!Q$4:Q$251,MATCH('Table 2.3a'!$A16&amp;'Table 2.3a'!$C16,UtilityList!$A$4:$A$251&amp;UtilityList!$C$4:$C$251,0)))</f>
        <v>0</v>
      </c>
      <c r="M16" s="452" t="str">
        <f t="array" ref="M16">IFERROR(INDEX(UtilityList!J$4:J$251,MATCH('Table 2.3a'!$A16&amp;'Table 2.3a'!$B16&amp;'Table 2.3a'!$C16,UtilityList!$A$4:$A$251&amp;UtilityList!$B$4:$B$251&amp;UtilityList!$C$4:$C$251,0)),INDEX(UtilityList!J$4:J$251,MATCH('Table 2.3a'!$A16&amp;'Table 2.3a'!$C16,UtilityList!$A$4:$A$251&amp;UtilityList!$C$4:$C$251,0)))</f>
        <v>Southeast</v>
      </c>
      <c r="N16" s="452" t="str">
        <f t="array" ref="N16">IFERROR(INDEX(UtilityList!K$4:K$251,MATCH('Table 2.3a'!$A16&amp;'Table 2.3a'!$B16&amp;'Table 2.3a'!$C16,UtilityList!$A$4:$A$251&amp;UtilityList!$B$4:$B$251&amp;UtilityList!$C$4:$C$251,0)),INDEX(UtilityList!K$4:K$251,MATCH('Table 2.3a'!$A16&amp;'Table 2.3a'!$C16,UtilityList!$A$4:$A$251&amp;UtilityList!$C$4:$C$251,0)))</f>
        <v>Juneau</v>
      </c>
      <c r="O16" s="452" t="str">
        <f t="array" ref="O16">IFERROR(INDEX(UtilityList!L$4:L$251,MATCH('Table 2.3a'!$A16&amp;'Table 2.3a'!$B16&amp;'Table 2.3a'!$C16,UtilityList!$A$4:$A$251&amp;UtilityList!$B$4:$B$251&amp;UtilityList!$C$4:$C$251,0)),INDEX(UtilityList!L$4:L$251,MATCH('Table 2.3a'!$A16&amp;'Table 2.3a'!$C16,UtilityList!$A$4:$A$251&amp;UtilityList!$C$4:$C$251,0)))</f>
        <v>Sealaska</v>
      </c>
      <c r="P16" s="452" t="str">
        <f t="array" ref="P16">IFERROR(INDEX(UtilityList!M$4:M$251,MATCH('Table 2.3a'!$A16&amp;'Table 2.3a'!$B16&amp;'Table 2.3a'!$C16,UtilityList!$A$4:$A$251&amp;UtilityList!$B$4:$B$251&amp;UtilityList!$C$4:$C$251,0)),INDEX(UtilityList!M$4:M$251,MATCH('Table 2.3a'!$A16&amp;'Table 2.3a'!$C16,UtilityList!$A$4:$A$251&amp;UtilityList!$C$4:$C$251,0)))</f>
        <v>SE</v>
      </c>
    </row>
    <row r="17" spans="1:17" s="126" customFormat="1" ht="30" customHeight="1" x14ac:dyDescent="0.25">
      <c r="A17" s="360" t="s">
        <v>523</v>
      </c>
      <c r="B17" s="643" t="s">
        <v>42</v>
      </c>
      <c r="C17" s="388" t="s">
        <v>36</v>
      </c>
      <c r="D17" s="637">
        <v>0</v>
      </c>
      <c r="E17" s="641">
        <v>0</v>
      </c>
      <c r="F17" s="644">
        <v>263749</v>
      </c>
      <c r="G17" s="642">
        <v>0</v>
      </c>
      <c r="H17" s="639">
        <f t="shared" si="0"/>
        <v>263749</v>
      </c>
      <c r="I17" s="641">
        <v>1936</v>
      </c>
      <c r="J17" s="638">
        <f t="shared" si="1"/>
        <v>265685</v>
      </c>
      <c r="K17" s="636" t="s">
        <v>558</v>
      </c>
      <c r="L17" s="627">
        <f t="array" ref="L17">IFERROR(INDEX(UtilityList!Q$4:Q$251,MATCH('Table 2.3a'!$A17&amp;'Table 2.3a'!$B17&amp;'Table 2.3a'!$C17,UtilityList!$A$4:$A$251&amp;UtilityList!$B$4:$B$251&amp;UtilityList!$C$4:$C$251,0)),INDEX(UtilityList!Q$4:Q$251,MATCH('Table 2.3a'!$A17&amp;'Table 2.3a'!$C17,UtilityList!$A$4:$A$251&amp;UtilityList!$C$4:$C$251,0)))</f>
        <v>0</v>
      </c>
      <c r="M17" s="452" t="str">
        <f t="array" ref="M17">IFERROR(INDEX(UtilityList!J$4:J$251,MATCH('Table 2.3a'!$A17&amp;'Table 2.3a'!$B17&amp;'Table 2.3a'!$C17,UtilityList!$A$4:$A$251&amp;UtilityList!$B$4:$B$251&amp;UtilityList!$C$4:$C$251,0)),INDEX(UtilityList!J$4:J$251,MATCH('Table 2.3a'!$A17&amp;'Table 2.3a'!$C17,UtilityList!$A$4:$A$251&amp;UtilityList!$C$4:$C$251,0)))</f>
        <v>Southeast</v>
      </c>
      <c r="N17" s="452" t="str">
        <f t="array" ref="N17">IFERROR(INDEX(UtilityList!K$4:K$251,MATCH('Table 2.3a'!$A17&amp;'Table 2.3a'!$B17&amp;'Table 2.3a'!$C17,UtilityList!$A$4:$A$251&amp;UtilityList!$B$4:$B$251&amp;UtilityList!$C$4:$C$251,0)),INDEX(UtilityList!K$4:K$251,MATCH('Table 2.3a'!$A17&amp;'Table 2.3a'!$C17,UtilityList!$A$4:$A$251&amp;UtilityList!$C$4:$C$251,0)))</f>
        <v>Juneau</v>
      </c>
      <c r="O17" s="452" t="str">
        <f t="array" ref="O17">IFERROR(INDEX(UtilityList!L$4:L$251,MATCH('Table 2.3a'!$A17&amp;'Table 2.3a'!$B17&amp;'Table 2.3a'!$C17,UtilityList!$A$4:$A$251&amp;UtilityList!$B$4:$B$251&amp;UtilityList!$C$4:$C$251,0)),INDEX(UtilityList!L$4:L$251,MATCH('Table 2.3a'!$A17&amp;'Table 2.3a'!$C17,UtilityList!$A$4:$A$251&amp;UtilityList!$C$4:$C$251,0)))</f>
        <v>Sealaska</v>
      </c>
      <c r="P17" s="452" t="str">
        <f t="array" ref="P17">IFERROR(INDEX(UtilityList!M$4:M$251,MATCH('Table 2.3a'!$A17&amp;'Table 2.3a'!$B17&amp;'Table 2.3a'!$C17,UtilityList!$A$4:$A$251&amp;UtilityList!$B$4:$B$251&amp;UtilityList!$C$4:$C$251,0)),INDEX(UtilityList!M$4:M$251,MATCH('Table 2.3a'!$A17&amp;'Table 2.3a'!$C17,UtilityList!$A$4:$A$251&amp;UtilityList!$C$4:$C$251,0)))</f>
        <v>SE</v>
      </c>
    </row>
    <row r="18" spans="1:17" s="126" customFormat="1" ht="30" customHeight="1" x14ac:dyDescent="0.25">
      <c r="A18" s="360" t="s">
        <v>642</v>
      </c>
      <c r="B18" s="360" t="s">
        <v>666</v>
      </c>
      <c r="C18" s="643"/>
      <c r="D18" s="637">
        <v>0</v>
      </c>
      <c r="E18" s="641">
        <v>0</v>
      </c>
      <c r="F18" s="641">
        <v>0</v>
      </c>
      <c r="G18" s="641">
        <v>1394</v>
      </c>
      <c r="H18" s="639">
        <f t="shared" si="0"/>
        <v>1394</v>
      </c>
      <c r="I18" s="641">
        <v>186</v>
      </c>
      <c r="J18" s="638">
        <f t="shared" si="1"/>
        <v>1580</v>
      </c>
      <c r="K18" s="645" t="s">
        <v>558</v>
      </c>
      <c r="L18" s="627" t="str">
        <f t="array" ref="L18">IFERROR(INDEX(UtilityList!Q$4:Q$251,MATCH('Table 2.3a'!$A18&amp;'Table 2.3a'!$B18&amp;'Table 2.3a'!$C18,UtilityList!$A$4:$A$251&amp;UtilityList!$B$4:$B$251&amp;UtilityList!$C$4:$C$251,0)),INDEX(UtilityList!Q$4:Q$251,MATCH('Table 2.3a'!$A18&amp;'Table 2.3a'!$C18,UtilityList!$A$4:$A$251&amp;UtilityList!$C$4:$C$251,0)))</f>
        <v>Plant is also know as Delta Wind. Alaska Environmental LLC is an independent power producer that sells all its power to GVEA.</v>
      </c>
      <c r="M18" s="452" t="str">
        <f t="array" ref="M18">IFERROR(INDEX(UtilityList!J$4:J$251,MATCH('Table 2.3a'!$A18&amp;'Table 2.3a'!$B18&amp;'Table 2.3a'!$C18,UtilityList!$A$4:$A$251&amp;UtilityList!$B$4:$B$251&amp;UtilityList!$C$4:$C$251,0)),INDEX(UtilityList!J$4:J$251,MATCH('Table 2.3a'!$A18&amp;'Table 2.3a'!$C18,UtilityList!$A$4:$A$251&amp;UtilityList!$C$4:$C$251,0)))</f>
        <v>Railbelt</v>
      </c>
      <c r="N18" s="452" t="str">
        <f t="array" ref="N18">IFERROR(INDEX(UtilityList!K$4:K$251,MATCH('Table 2.3a'!$A18&amp;'Table 2.3a'!$B18&amp;'Table 2.3a'!$C18,UtilityList!$A$4:$A$251&amp;UtilityList!$B$4:$B$251&amp;UtilityList!$C$4:$C$251,0)),INDEX(UtilityList!K$4:K$251,MATCH('Table 2.3a'!$A18&amp;'Table 2.3a'!$C18,UtilityList!$A$4:$A$251&amp;UtilityList!$C$4:$C$251,0)))</f>
        <v>Southeast Fairbanks (CA)</v>
      </c>
      <c r="O18" s="452" t="str">
        <f t="array" ref="O18">IFERROR(INDEX(UtilityList!L$4:L$251,MATCH('Table 2.3a'!$A18&amp;'Table 2.3a'!$B18&amp;'Table 2.3a'!$C18,UtilityList!$A$4:$A$251&amp;UtilityList!$B$4:$B$251&amp;UtilityList!$C$4:$C$251,0)),INDEX(UtilityList!L$4:L$251,MATCH('Table 2.3a'!$A18&amp;'Table 2.3a'!$C18,UtilityList!$A$4:$A$251&amp;UtilityList!$C$4:$C$251,0)))</f>
        <v>Doyon</v>
      </c>
      <c r="P18" s="452" t="str">
        <f t="array" ref="P18">IFERROR(INDEX(UtilityList!M$4:M$251,MATCH('Table 2.3a'!$A18&amp;'Table 2.3a'!$B18&amp;'Table 2.3a'!$C18,UtilityList!$A$4:$A$251&amp;UtilityList!$B$4:$B$251&amp;UtilityList!$C$4:$C$251,0)),INDEX(UtilityList!M$4:M$251,MATCH('Table 2.3a'!$A18&amp;'Table 2.3a'!$C18,UtilityList!$A$4:$A$251&amp;UtilityList!$C$4:$C$251,0)))</f>
        <v>YU</v>
      </c>
      <c r="Q18" s="187"/>
    </row>
    <row r="19" spans="1:17" s="126" customFormat="1" ht="30" customHeight="1" x14ac:dyDescent="0.25">
      <c r="A19" s="360" t="s">
        <v>43</v>
      </c>
      <c r="B19" s="360" t="s">
        <v>44</v>
      </c>
      <c r="C19" s="387" t="s">
        <v>678</v>
      </c>
      <c r="D19" s="637">
        <v>0</v>
      </c>
      <c r="E19" s="638">
        <v>655.36800000000005</v>
      </c>
      <c r="F19" s="638">
        <v>0</v>
      </c>
      <c r="G19" s="638">
        <v>0</v>
      </c>
      <c r="H19" s="639">
        <f t="shared" si="0"/>
        <v>655.36800000000005</v>
      </c>
      <c r="I19" s="638">
        <v>34.033000000000001</v>
      </c>
      <c r="J19" s="638">
        <f t="shared" si="1"/>
        <v>689.40100000000007</v>
      </c>
      <c r="K19" s="640" t="s">
        <v>356</v>
      </c>
      <c r="L19" s="627" t="str">
        <f t="array" ref="L19">IFERROR(INDEX(UtilityList!Q$4:Q$251,MATCH('Table 2.3a'!$A19&amp;'Table 2.3a'!$B19&amp;'Table 2.3a'!$C19,UtilityList!$A$4:$A$251&amp;UtilityList!$B$4:$B$251&amp;UtilityList!$C$4:$C$251,0)),INDEX(UtilityList!Q$4:Q$251,MATCH('Table 2.3a'!$A19&amp;'Table 2.3a'!$C19,UtilityList!$A$4:$A$251&amp;UtilityList!$C$4:$C$251,0)))</f>
        <v>Provides power to Alatna via intertie. Data includes Alatna's information.</v>
      </c>
      <c r="M19" s="452" t="str">
        <f t="array" ref="M19">IFERROR(INDEX(UtilityList!J$4:J$251,MATCH('Table 2.3a'!$A19&amp;'Table 2.3a'!$B19&amp;'Table 2.3a'!$C19,UtilityList!$A$4:$A$251&amp;UtilityList!$B$4:$B$251&amp;UtilityList!$C$4:$C$251,0)),INDEX(UtilityList!J$4:J$251,MATCH('Table 2.3a'!$A19&amp;'Table 2.3a'!$C19,UtilityList!$A$4:$A$251&amp;UtilityList!$C$4:$C$251,0)))</f>
        <v>Yukon-Koyukuk/Upper Tanana</v>
      </c>
      <c r="N19" s="452" t="str">
        <f t="array" ref="N19">IFERROR(INDEX(UtilityList!K$4:K$251,MATCH('Table 2.3a'!$A19&amp;'Table 2.3a'!$B19&amp;'Table 2.3a'!$C19,UtilityList!$A$4:$A$251&amp;UtilityList!$B$4:$B$251&amp;UtilityList!$C$4:$C$251,0)),INDEX(UtilityList!K$4:K$251,MATCH('Table 2.3a'!$A19&amp;'Table 2.3a'!$C19,UtilityList!$A$4:$A$251&amp;UtilityList!$C$4:$C$251,0)))</f>
        <v>Yukon-Koyukuk (CA)</v>
      </c>
      <c r="O19" s="452" t="str">
        <f t="array" ref="O19">IFERROR(INDEX(UtilityList!L$4:L$251,MATCH('Table 2.3a'!$A19&amp;'Table 2.3a'!$B19&amp;'Table 2.3a'!$C19,UtilityList!$A$4:$A$251&amp;UtilityList!$B$4:$B$251&amp;UtilityList!$C$4:$C$251,0)),INDEX(UtilityList!L$4:L$251,MATCH('Table 2.3a'!$A19&amp;'Table 2.3a'!$C19,UtilityList!$A$4:$A$251&amp;UtilityList!$C$4:$C$251,0)))</f>
        <v>Doyon</v>
      </c>
      <c r="P19" s="452" t="str">
        <f t="array" ref="P19">IFERROR(INDEX(UtilityList!M$4:M$251,MATCH('Table 2.3a'!$A19&amp;'Table 2.3a'!$B19&amp;'Table 2.3a'!$C19,UtilityList!$A$4:$A$251&amp;UtilityList!$B$4:$B$251&amp;UtilityList!$C$4:$C$251,0)),INDEX(UtilityList!M$4:M$251,MATCH('Table 2.3a'!$A19&amp;'Table 2.3a'!$C19,UtilityList!$A$4:$A$251&amp;UtilityList!$C$4:$C$251,0)))</f>
        <v>YU</v>
      </c>
      <c r="Q19" s="344"/>
    </row>
    <row r="20" spans="1:17" s="126" customFormat="1" ht="30" customHeight="1" x14ac:dyDescent="0.25">
      <c r="A20" s="360" t="s">
        <v>43</v>
      </c>
      <c r="B20" s="360" t="s">
        <v>45</v>
      </c>
      <c r="C20" s="387" t="s">
        <v>680</v>
      </c>
      <c r="D20" s="637">
        <v>0</v>
      </c>
      <c r="E20" s="638">
        <v>573.84500000000003</v>
      </c>
      <c r="F20" s="638">
        <v>0</v>
      </c>
      <c r="G20" s="638">
        <v>0</v>
      </c>
      <c r="H20" s="639">
        <f t="shared" si="0"/>
        <v>573.84500000000003</v>
      </c>
      <c r="I20" s="638">
        <v>0.96299999999999997</v>
      </c>
      <c r="J20" s="638">
        <f t="shared" si="1"/>
        <v>574.80799999999999</v>
      </c>
      <c r="K20" s="640" t="s">
        <v>356</v>
      </c>
      <c r="L20" s="627" t="str">
        <f t="array" ref="L20">IFERROR(INDEX(UtilityList!Q$4:Q$251,MATCH('Table 2.3a'!$A20&amp;'Table 2.3a'!$B20&amp;'Table 2.3a'!$C20,UtilityList!$A$4:$A$251&amp;UtilityList!$B$4:$B$251&amp;UtilityList!$C$4:$C$251,0)),INDEX(UtilityList!Q$4:Q$251,MATCH('Table 2.3a'!$A20&amp;'Table 2.3a'!$C20,UtilityList!$A$4:$A$251&amp;UtilityList!$C$4:$C$251,0)))</f>
        <v>Provides power to Evansville via intertie. Data includes Evansville's information.</v>
      </c>
      <c r="M20" s="452" t="str">
        <f t="array" ref="M20">IFERROR(INDEX(UtilityList!J$4:J$251,MATCH('Table 2.3a'!$A20&amp;'Table 2.3a'!$B20&amp;'Table 2.3a'!$C20,UtilityList!$A$4:$A$251&amp;UtilityList!$B$4:$B$251&amp;UtilityList!$C$4:$C$251,0)),INDEX(UtilityList!J$4:J$251,MATCH('Table 2.3a'!$A20&amp;'Table 2.3a'!$C20,UtilityList!$A$4:$A$251&amp;UtilityList!$C$4:$C$251,0)))</f>
        <v>Yukon-Koyukuk/Upper Tanana</v>
      </c>
      <c r="N20" s="452" t="str">
        <f t="array" ref="N20">IFERROR(INDEX(UtilityList!K$4:K$251,MATCH('Table 2.3a'!$A20&amp;'Table 2.3a'!$B20&amp;'Table 2.3a'!$C20,UtilityList!$A$4:$A$251&amp;UtilityList!$B$4:$B$251&amp;UtilityList!$C$4:$C$251,0)),INDEX(UtilityList!K$4:K$251,MATCH('Table 2.3a'!$A20&amp;'Table 2.3a'!$C20,UtilityList!$A$4:$A$251&amp;UtilityList!$C$4:$C$251,0)))</f>
        <v>Yukon-Koyukuk (CA)</v>
      </c>
      <c r="O20" s="452" t="str">
        <f t="array" ref="O20">IFERROR(INDEX(UtilityList!L$4:L$251,MATCH('Table 2.3a'!$A20&amp;'Table 2.3a'!$B20&amp;'Table 2.3a'!$C20,UtilityList!$A$4:$A$251&amp;UtilityList!$B$4:$B$251&amp;UtilityList!$C$4:$C$251,0)),INDEX(UtilityList!L$4:L$251,MATCH('Table 2.3a'!$A20&amp;'Table 2.3a'!$C20,UtilityList!$A$4:$A$251&amp;UtilityList!$C$4:$C$251,0)))</f>
        <v>Doyon</v>
      </c>
      <c r="P20" s="452" t="str">
        <f t="array" ref="P20">IFERROR(INDEX(UtilityList!M$4:M$251,MATCH('Table 2.3a'!$A20&amp;'Table 2.3a'!$B20&amp;'Table 2.3a'!$C20,UtilityList!$A$4:$A$251&amp;UtilityList!$B$4:$B$251&amp;UtilityList!$C$4:$C$251,0)),INDEX(UtilityList!M$4:M$251,MATCH('Table 2.3a'!$A20&amp;'Table 2.3a'!$C20,UtilityList!$A$4:$A$251&amp;UtilityList!$C$4:$C$251,0)))</f>
        <v>YU</v>
      </c>
      <c r="Q20" s="344"/>
    </row>
    <row r="21" spans="1:17" s="126" customFormat="1" ht="30" customHeight="1" x14ac:dyDescent="0.25">
      <c r="A21" s="360" t="s">
        <v>43</v>
      </c>
      <c r="B21" s="360" t="s">
        <v>46</v>
      </c>
      <c r="C21" s="387" t="s">
        <v>46</v>
      </c>
      <c r="D21" s="637">
        <v>0</v>
      </c>
      <c r="E21" s="638">
        <v>-2.1480000000000001</v>
      </c>
      <c r="F21" s="638">
        <v>0</v>
      </c>
      <c r="G21" s="638">
        <v>0</v>
      </c>
      <c r="H21" s="639">
        <f t="shared" si="0"/>
        <v>-2.1480000000000001</v>
      </c>
      <c r="I21" s="638">
        <v>3.0310000000000001</v>
      </c>
      <c r="J21" s="638">
        <f t="shared" si="1"/>
        <v>0.88300000000000001</v>
      </c>
      <c r="K21" s="640" t="s">
        <v>356</v>
      </c>
      <c r="L21" s="627" t="str">
        <f t="array" ref="L21">IFERROR(INDEX(UtilityList!Q$4:Q$251,MATCH('Table 2.3a'!$A21&amp;'Table 2.3a'!$B21&amp;'Table 2.3a'!$C21,UtilityList!$A$4:$A$251&amp;UtilityList!$B$4:$B$251&amp;UtilityList!$C$4:$C$251,0)),INDEX(UtilityList!Q$4:Q$251,MATCH('Table 2.3a'!$A21&amp;'Table 2.3a'!$C21,UtilityList!$A$4:$A$251&amp;UtilityList!$C$4:$C$251,0)))</f>
        <v>Receives power from Slana via intertie.</v>
      </c>
      <c r="M21" s="452" t="str">
        <f t="array" ref="M21">IFERROR(INDEX(UtilityList!J$4:J$251,MATCH('Table 2.3a'!$A21&amp;'Table 2.3a'!$B21&amp;'Table 2.3a'!$C21,UtilityList!$A$4:$A$251&amp;UtilityList!$B$4:$B$251&amp;UtilityList!$C$4:$C$251,0)),INDEX(UtilityList!J$4:J$251,MATCH('Table 2.3a'!$A21&amp;'Table 2.3a'!$C21,UtilityList!$A$4:$A$251&amp;UtilityList!$C$4:$C$251,0)))</f>
        <v>Copper River/Chugach</v>
      </c>
      <c r="N21" s="452" t="str">
        <f t="array" ref="N21">IFERROR(INDEX(UtilityList!K$4:K$251,MATCH('Table 2.3a'!$A21&amp;'Table 2.3a'!$B21&amp;'Table 2.3a'!$C21,UtilityList!$A$4:$A$251&amp;UtilityList!$B$4:$B$251&amp;UtilityList!$C$4:$C$251,0)),INDEX(UtilityList!K$4:K$251,MATCH('Table 2.3a'!$A21&amp;'Table 2.3a'!$C21,UtilityList!$A$4:$A$251&amp;UtilityList!$C$4:$C$251,0)))</f>
        <v>Valdez-Cordova (CA)</v>
      </c>
      <c r="O21" s="452" t="str">
        <f t="array" ref="O21">IFERROR(INDEX(UtilityList!L$4:L$251,MATCH('Table 2.3a'!$A21&amp;'Table 2.3a'!$B21&amp;'Table 2.3a'!$C21,UtilityList!$A$4:$A$251&amp;UtilityList!$B$4:$B$251&amp;UtilityList!$C$4:$C$251,0)),INDEX(UtilityList!L$4:L$251,MATCH('Table 2.3a'!$A21&amp;'Table 2.3a'!$C21,UtilityList!$A$4:$A$251&amp;UtilityList!$C$4:$C$251,0)))</f>
        <v>Ahtna</v>
      </c>
      <c r="P21" s="452" t="str">
        <f t="array" ref="P21">IFERROR(INDEX(UtilityList!M$4:M$251,MATCH('Table 2.3a'!$A21&amp;'Table 2.3a'!$B21&amp;'Table 2.3a'!$C21,UtilityList!$A$4:$A$251&amp;UtilityList!$B$4:$B$251&amp;UtilityList!$C$4:$C$251,0)),INDEX(UtilityList!M$4:M$251,MATCH('Table 2.3a'!$A21&amp;'Table 2.3a'!$C21,UtilityList!$A$4:$A$251&amp;UtilityList!$C$4:$C$251,0)))</f>
        <v>YU</v>
      </c>
      <c r="Q21" s="344"/>
    </row>
    <row r="22" spans="1:17" s="187" customFormat="1" ht="30" customHeight="1" x14ac:dyDescent="0.25">
      <c r="A22" s="360" t="s">
        <v>43</v>
      </c>
      <c r="B22" s="360" t="s">
        <v>47</v>
      </c>
      <c r="C22" s="387" t="s">
        <v>47</v>
      </c>
      <c r="D22" s="637">
        <v>0</v>
      </c>
      <c r="E22" s="638">
        <v>632.58299999999997</v>
      </c>
      <c r="F22" s="638">
        <v>0</v>
      </c>
      <c r="G22" s="638">
        <v>0</v>
      </c>
      <c r="H22" s="639">
        <f t="shared" si="0"/>
        <v>632.58299999999997</v>
      </c>
      <c r="I22" s="638">
        <v>5.944</v>
      </c>
      <c r="J22" s="638">
        <f t="shared" si="1"/>
        <v>638.52699999999993</v>
      </c>
      <c r="K22" s="640" t="s">
        <v>356</v>
      </c>
      <c r="L22" s="627" t="str">
        <f t="array" ref="L22">IFERROR(INDEX(UtilityList!Q$4:Q$251,MATCH('Table 2.3a'!$A22&amp;'Table 2.3a'!$B22&amp;'Table 2.3a'!$C22,UtilityList!$A$4:$A$251&amp;UtilityList!$B$4:$B$251&amp;UtilityList!$C$4:$C$251,0)),INDEX(UtilityList!Q$4:Q$251,MATCH('Table 2.3a'!$A22&amp;'Table 2.3a'!$C22,UtilityList!$A$4:$A$251&amp;UtilityList!$C$4:$C$251,0)))</f>
        <v>Part of the Alaska Power Company's grid on Prince of Wales Island.</v>
      </c>
      <c r="M22" s="452" t="str">
        <f t="array" ref="M22">IFERROR(INDEX(UtilityList!J$4:J$251,MATCH('Table 2.3a'!$A22&amp;'Table 2.3a'!$B22&amp;'Table 2.3a'!$C22,UtilityList!$A$4:$A$251&amp;UtilityList!$B$4:$B$251&amp;UtilityList!$C$4:$C$251,0)),INDEX(UtilityList!J$4:J$251,MATCH('Table 2.3a'!$A22&amp;'Table 2.3a'!$C22,UtilityList!$A$4:$A$251&amp;UtilityList!$C$4:$C$251,0)))</f>
        <v>Southeast</v>
      </c>
      <c r="N22" s="452" t="str">
        <f t="array" ref="N22">IFERROR(INDEX(UtilityList!K$4:K$251,MATCH('Table 2.3a'!$A22&amp;'Table 2.3a'!$B22&amp;'Table 2.3a'!$C22,UtilityList!$A$4:$A$251&amp;UtilityList!$B$4:$B$251&amp;UtilityList!$C$4:$C$251,0)),INDEX(UtilityList!K$4:K$251,MATCH('Table 2.3a'!$A22&amp;'Table 2.3a'!$C22,UtilityList!$A$4:$A$251&amp;UtilityList!$C$4:$C$251,0)))</f>
        <v>Prince of Wales-Hyder (CA)</v>
      </c>
      <c r="O22" s="452" t="str">
        <f t="array" ref="O22">IFERROR(INDEX(UtilityList!L$4:L$251,MATCH('Table 2.3a'!$A22&amp;'Table 2.3a'!$B22&amp;'Table 2.3a'!$C22,UtilityList!$A$4:$A$251&amp;UtilityList!$B$4:$B$251&amp;UtilityList!$C$4:$C$251,0)),INDEX(UtilityList!L$4:L$251,MATCH('Table 2.3a'!$A22&amp;'Table 2.3a'!$C22,UtilityList!$A$4:$A$251&amp;UtilityList!$C$4:$C$251,0)))</f>
        <v>Sealaska</v>
      </c>
      <c r="P22" s="452" t="str">
        <f t="array" ref="P22">IFERROR(INDEX(UtilityList!M$4:M$251,MATCH('Table 2.3a'!$A22&amp;'Table 2.3a'!$B22&amp;'Table 2.3a'!$C22,UtilityList!$A$4:$A$251&amp;UtilityList!$B$4:$B$251&amp;UtilityList!$C$4:$C$251,0)),INDEX(UtilityList!M$4:M$251,MATCH('Table 2.3a'!$A22&amp;'Table 2.3a'!$C22,UtilityList!$A$4:$A$251&amp;UtilityList!$C$4:$C$251,0)))</f>
        <v>SE</v>
      </c>
      <c r="Q22" s="344"/>
    </row>
    <row r="23" spans="1:17" s="126" customFormat="1" ht="30" customHeight="1" x14ac:dyDescent="0.25">
      <c r="A23" s="385" t="s">
        <v>43</v>
      </c>
      <c r="B23" s="455" t="s">
        <v>48</v>
      </c>
      <c r="C23" s="643" t="s">
        <v>48</v>
      </c>
      <c r="D23" s="637">
        <v>0</v>
      </c>
      <c r="E23" s="641">
        <v>2779</v>
      </c>
      <c r="F23" s="641">
        <v>0</v>
      </c>
      <c r="G23" s="641">
        <v>0</v>
      </c>
      <c r="H23" s="639">
        <f t="shared" si="0"/>
        <v>2779</v>
      </c>
      <c r="I23" s="641">
        <v>158</v>
      </c>
      <c r="J23" s="638">
        <f t="shared" si="1"/>
        <v>2937</v>
      </c>
      <c r="K23" s="645" t="s">
        <v>558</v>
      </c>
      <c r="L23" s="627" t="str">
        <f t="array" ref="L23">IFERROR(INDEX(UtilityList!Q$4:Q$251,MATCH('Table 2.3a'!$A23&amp;'Table 2.3a'!$B23&amp;'Table 2.3a'!$C23,UtilityList!$A$4:$A$251&amp;UtilityList!$B$4:$B$251&amp;UtilityList!$C$4:$C$251,0)),INDEX(UtilityList!Q$4:Q$251,MATCH('Table 2.3a'!$A23&amp;'Table 2.3a'!$C23,UtilityList!$A$4:$A$251&amp;UtilityList!$C$4:$C$251,0)))</f>
        <v>Provides power to Hollis, Klawock, Thorne Bay/Kasaan and Hydaburg via intertie.</v>
      </c>
      <c r="M23" s="452" t="str">
        <f t="array" ref="M23">IFERROR(INDEX(UtilityList!J$4:J$251,MATCH('Table 2.3a'!$A23&amp;'Table 2.3a'!$B23&amp;'Table 2.3a'!$C23,UtilityList!$A$4:$A$251&amp;UtilityList!$B$4:$B$251&amp;UtilityList!$C$4:$C$251,0)),INDEX(UtilityList!J$4:J$251,MATCH('Table 2.3a'!$A23&amp;'Table 2.3a'!$C23,UtilityList!$A$4:$A$251&amp;UtilityList!$C$4:$C$251,0)))</f>
        <v>Southeast</v>
      </c>
      <c r="N23" s="452" t="str">
        <f t="array" ref="N23">IFERROR(INDEX(UtilityList!K$4:K$251,MATCH('Table 2.3a'!$A23&amp;'Table 2.3a'!$B23&amp;'Table 2.3a'!$C23,UtilityList!$A$4:$A$251&amp;UtilityList!$B$4:$B$251&amp;UtilityList!$C$4:$C$251,0)),INDEX(UtilityList!K$4:K$251,MATCH('Table 2.3a'!$A23&amp;'Table 2.3a'!$C23,UtilityList!$A$4:$A$251&amp;UtilityList!$C$4:$C$251,0)))</f>
        <v>Prince of Wales-Hyder (CA)</v>
      </c>
      <c r="O23" s="452" t="str">
        <f t="array" ref="O23">IFERROR(INDEX(UtilityList!L$4:L$251,MATCH('Table 2.3a'!$A23&amp;'Table 2.3a'!$B23&amp;'Table 2.3a'!$C23,UtilityList!$A$4:$A$251&amp;UtilityList!$B$4:$B$251&amp;UtilityList!$C$4:$C$251,0)),INDEX(UtilityList!L$4:L$251,MATCH('Table 2.3a'!$A23&amp;'Table 2.3a'!$C23,UtilityList!$A$4:$A$251&amp;UtilityList!$C$4:$C$251,0)))</f>
        <v>Sealaska</v>
      </c>
      <c r="P23" s="452" t="str">
        <f t="array" ref="P23">IFERROR(INDEX(UtilityList!M$4:M$251,MATCH('Table 2.3a'!$A23&amp;'Table 2.3a'!$B23&amp;'Table 2.3a'!$C23,UtilityList!$A$4:$A$251&amp;UtilityList!$B$4:$B$251&amp;UtilityList!$C$4:$C$251,0)),INDEX(UtilityList!M$4:M$251,MATCH('Table 2.3a'!$A23&amp;'Table 2.3a'!$C23,UtilityList!$A$4:$A$251&amp;UtilityList!$C$4:$C$251,0)))</f>
        <v>SE</v>
      </c>
    </row>
    <row r="24" spans="1:17" s="126" customFormat="1" ht="30" customHeight="1" x14ac:dyDescent="0.25">
      <c r="A24" s="385" t="s">
        <v>43</v>
      </c>
      <c r="B24" s="455" t="s">
        <v>49</v>
      </c>
      <c r="C24" s="643" t="s">
        <v>48</v>
      </c>
      <c r="D24" s="637">
        <v>0</v>
      </c>
      <c r="E24" s="641">
        <v>65</v>
      </c>
      <c r="F24" s="641">
        <v>0</v>
      </c>
      <c r="G24" s="641">
        <v>0</v>
      </c>
      <c r="H24" s="639">
        <f t="shared" si="0"/>
        <v>65</v>
      </c>
      <c r="I24" s="641">
        <v>27</v>
      </c>
      <c r="J24" s="638">
        <f t="shared" si="1"/>
        <v>92</v>
      </c>
      <c r="K24" s="645" t="s">
        <v>558</v>
      </c>
      <c r="L24" s="627" t="str">
        <f t="array" ref="L24">IFERROR(INDEX(UtilityList!Q$4:Q$251,MATCH('Table 2.3a'!$A24&amp;'Table 2.3a'!$B24&amp;'Table 2.3a'!$C24,UtilityList!$A$4:$A$251&amp;UtilityList!$B$4:$B$251&amp;UtilityList!$C$4:$C$251,0)),INDEX(UtilityList!Q$4:Q$251,MATCH('Table 2.3a'!$A24&amp;'Table 2.3a'!$C24,UtilityList!$A$4:$A$251&amp;UtilityList!$C$4:$C$251,0)))</f>
        <v>Provides power to Hollis, Klawock, Thorne Bay/Kasaan and Hydaburg via intertie.</v>
      </c>
      <c r="M24" s="452" t="str">
        <f t="array" ref="M24">IFERROR(INDEX(UtilityList!J$4:J$251,MATCH('Table 2.3a'!$A24&amp;'Table 2.3a'!$B24&amp;'Table 2.3a'!$C24,UtilityList!$A$4:$A$251&amp;UtilityList!$B$4:$B$251&amp;UtilityList!$C$4:$C$251,0)),INDEX(UtilityList!J$4:J$251,MATCH('Table 2.3a'!$A24&amp;'Table 2.3a'!$C24,UtilityList!$A$4:$A$251&amp;UtilityList!$C$4:$C$251,0)))</f>
        <v>Southeast</v>
      </c>
      <c r="N24" s="452" t="str">
        <f t="array" ref="N24">IFERROR(INDEX(UtilityList!K$4:K$251,MATCH('Table 2.3a'!$A24&amp;'Table 2.3a'!$B24&amp;'Table 2.3a'!$C24,UtilityList!$A$4:$A$251&amp;UtilityList!$B$4:$B$251&amp;UtilityList!$C$4:$C$251,0)),INDEX(UtilityList!K$4:K$251,MATCH('Table 2.3a'!$A24&amp;'Table 2.3a'!$C24,UtilityList!$A$4:$A$251&amp;UtilityList!$C$4:$C$251,0)))</f>
        <v>Prince of Wales-Hyder (CA)</v>
      </c>
      <c r="O24" s="452" t="str">
        <f t="array" ref="O24">IFERROR(INDEX(UtilityList!L$4:L$251,MATCH('Table 2.3a'!$A24&amp;'Table 2.3a'!$B24&amp;'Table 2.3a'!$C24,UtilityList!$A$4:$A$251&amp;UtilityList!$B$4:$B$251&amp;UtilityList!$C$4:$C$251,0)),INDEX(UtilityList!L$4:L$251,MATCH('Table 2.3a'!$A24&amp;'Table 2.3a'!$C24,UtilityList!$A$4:$A$251&amp;UtilityList!$C$4:$C$251,0)))</f>
        <v>Sealaska</v>
      </c>
      <c r="P24" s="452" t="str">
        <f t="array" ref="P24">IFERROR(INDEX(UtilityList!M$4:M$251,MATCH('Table 2.3a'!$A24&amp;'Table 2.3a'!$B24&amp;'Table 2.3a'!$C24,UtilityList!$A$4:$A$251&amp;UtilityList!$B$4:$B$251&amp;UtilityList!$C$4:$C$251,0)),INDEX(UtilityList!M$4:M$251,MATCH('Table 2.3a'!$A24&amp;'Table 2.3a'!$C24,UtilityList!$A$4:$A$251&amp;UtilityList!$C$4:$C$251,0)))</f>
        <v>SE</v>
      </c>
    </row>
    <row r="25" spans="1:17" s="126" customFormat="1" ht="30" customHeight="1" x14ac:dyDescent="0.25">
      <c r="A25" s="385" t="s">
        <v>43</v>
      </c>
      <c r="B25" s="455" t="s">
        <v>58</v>
      </c>
      <c r="C25" s="643" t="s">
        <v>649</v>
      </c>
      <c r="D25" s="637">
        <v>0</v>
      </c>
      <c r="E25" s="641">
        <v>0</v>
      </c>
      <c r="F25" s="641">
        <v>17791</v>
      </c>
      <c r="G25" s="642">
        <v>0</v>
      </c>
      <c r="H25" s="639">
        <f t="shared" si="0"/>
        <v>17791</v>
      </c>
      <c r="I25" s="641">
        <v>51</v>
      </c>
      <c r="J25" s="638">
        <f t="shared" si="1"/>
        <v>17842</v>
      </c>
      <c r="K25" s="645" t="s">
        <v>558</v>
      </c>
      <c r="L25" s="627" t="str">
        <f t="array" ref="L25">IFERROR(INDEX(UtilityList!Q$4:Q$251,MATCH('Table 2.3a'!$A25&amp;'Table 2.3a'!$B25&amp;'Table 2.3a'!$C25,UtilityList!$A$4:$A$251&amp;UtilityList!$B$4:$B$251&amp;UtilityList!$C$4:$C$251,0)),INDEX(UtilityList!Q$4:Q$251,MATCH('Table 2.3a'!$A25&amp;'Table 2.3a'!$C25,UtilityList!$A$4:$A$251&amp;UtilityList!$C$4:$C$251,0)))</f>
        <v>Provides power to Hollis, Klawock, Thorne Bay/Kasaan and Hydaburg via intertie.</v>
      </c>
      <c r="M25" s="452" t="str">
        <f t="array" ref="M25">IFERROR(INDEX(UtilityList!J$4:J$251,MATCH('Table 2.3a'!$A25&amp;'Table 2.3a'!$B25&amp;'Table 2.3a'!$C25,UtilityList!$A$4:$A$251&amp;UtilityList!$B$4:$B$251&amp;UtilityList!$C$4:$C$251,0)),INDEX(UtilityList!J$4:J$251,MATCH('Table 2.3a'!$A25&amp;'Table 2.3a'!$C25,UtilityList!$A$4:$A$251&amp;UtilityList!$C$4:$C$251,0)))</f>
        <v>Southeast</v>
      </c>
      <c r="N25" s="452" t="str">
        <f t="array" ref="N25">IFERROR(INDEX(UtilityList!K$4:K$251,MATCH('Table 2.3a'!$A25&amp;'Table 2.3a'!$B25&amp;'Table 2.3a'!$C25,UtilityList!$A$4:$A$251&amp;UtilityList!$B$4:$B$251&amp;UtilityList!$C$4:$C$251,0)),INDEX(UtilityList!K$4:K$251,MATCH('Table 2.3a'!$A25&amp;'Table 2.3a'!$C25,UtilityList!$A$4:$A$251&amp;UtilityList!$C$4:$C$251,0)))</f>
        <v>Prince of Wales-Hyder (CA)</v>
      </c>
      <c r="O25" s="452" t="str">
        <f t="array" ref="O25">IFERROR(INDEX(UtilityList!L$4:L$251,MATCH('Table 2.3a'!$A25&amp;'Table 2.3a'!$B25&amp;'Table 2.3a'!$C25,UtilityList!$A$4:$A$251&amp;UtilityList!$B$4:$B$251&amp;UtilityList!$C$4:$C$251,0)),INDEX(UtilityList!L$4:L$251,MATCH('Table 2.3a'!$A25&amp;'Table 2.3a'!$C25,UtilityList!$A$4:$A$251&amp;UtilityList!$C$4:$C$251,0)))</f>
        <v>Sealaska</v>
      </c>
      <c r="P25" s="452" t="str">
        <f t="array" ref="P25">IFERROR(INDEX(UtilityList!M$4:M$251,MATCH('Table 2.3a'!$A25&amp;'Table 2.3a'!$B25&amp;'Table 2.3a'!$C25,UtilityList!$A$4:$A$251&amp;UtilityList!$B$4:$B$251&amp;UtilityList!$C$4:$C$251,0)),INDEX(UtilityList!M$4:M$251,MATCH('Table 2.3a'!$A25&amp;'Table 2.3a'!$C25,UtilityList!$A$4:$A$251&amp;UtilityList!$C$4:$C$251,0)))</f>
        <v>SE</v>
      </c>
    </row>
    <row r="26" spans="1:17" s="126" customFormat="1" ht="30" customHeight="1" x14ac:dyDescent="0.25">
      <c r="A26" s="385" t="s">
        <v>43</v>
      </c>
      <c r="B26" s="455" t="s">
        <v>59</v>
      </c>
      <c r="C26" s="643" t="s">
        <v>649</v>
      </c>
      <c r="D26" s="637">
        <v>0</v>
      </c>
      <c r="E26" s="641">
        <v>0</v>
      </c>
      <c r="F26" s="641">
        <v>6115</v>
      </c>
      <c r="G26" s="641">
        <v>0</v>
      </c>
      <c r="H26" s="639">
        <f t="shared" si="0"/>
        <v>6115</v>
      </c>
      <c r="I26" s="641">
        <v>23</v>
      </c>
      <c r="J26" s="638">
        <f t="shared" si="1"/>
        <v>6138</v>
      </c>
      <c r="K26" s="645" t="s">
        <v>558</v>
      </c>
      <c r="L26" s="627" t="str">
        <f t="array" ref="L26">IFERROR(INDEX(UtilityList!Q$4:Q$251,MATCH('Table 2.3a'!$A26&amp;'Table 2.3a'!$B26&amp;'Table 2.3a'!$C26,UtilityList!$A$4:$A$251&amp;UtilityList!$B$4:$B$251&amp;UtilityList!$C$4:$C$251,0)),INDEX(UtilityList!Q$4:Q$251,MATCH('Table 2.3a'!$A26&amp;'Table 2.3a'!$C26,UtilityList!$A$4:$A$251&amp;UtilityList!$C$4:$C$251,0)))</f>
        <v>Receives power from Craig via intertie.</v>
      </c>
      <c r="M26" s="452" t="str">
        <f t="array" ref="M26">IFERROR(INDEX(UtilityList!J$4:J$251,MATCH('Table 2.3a'!$A26&amp;'Table 2.3a'!$B26&amp;'Table 2.3a'!$C26,UtilityList!$A$4:$A$251&amp;UtilityList!$B$4:$B$251&amp;UtilityList!$C$4:$C$251,0)),INDEX(UtilityList!J$4:J$251,MATCH('Table 2.3a'!$A26&amp;'Table 2.3a'!$C26,UtilityList!$A$4:$A$251&amp;UtilityList!$C$4:$C$251,0)))</f>
        <v>Southeast</v>
      </c>
      <c r="N26" s="452" t="str">
        <f t="array" ref="N26">IFERROR(INDEX(UtilityList!K$4:K$251,MATCH('Table 2.3a'!$A26&amp;'Table 2.3a'!$B26&amp;'Table 2.3a'!$C26,UtilityList!$A$4:$A$251&amp;UtilityList!$B$4:$B$251&amp;UtilityList!$C$4:$C$251,0)),INDEX(UtilityList!K$4:K$251,MATCH('Table 2.3a'!$A26&amp;'Table 2.3a'!$C26,UtilityList!$A$4:$A$251&amp;UtilityList!$C$4:$C$251,0)))</f>
        <v>Prince of Wales-Hyder (CA)</v>
      </c>
      <c r="O26" s="452" t="str">
        <f t="array" ref="O26">IFERROR(INDEX(UtilityList!L$4:L$251,MATCH('Table 2.3a'!$A26&amp;'Table 2.3a'!$B26&amp;'Table 2.3a'!$C26,UtilityList!$A$4:$A$251&amp;UtilityList!$B$4:$B$251&amp;UtilityList!$C$4:$C$251,0)),INDEX(UtilityList!L$4:L$251,MATCH('Table 2.3a'!$A26&amp;'Table 2.3a'!$C26,UtilityList!$A$4:$A$251&amp;UtilityList!$C$4:$C$251,0)))</f>
        <v>Sealaska</v>
      </c>
      <c r="P26" s="452" t="str">
        <f t="array" ref="P26">IFERROR(INDEX(UtilityList!M$4:M$251,MATCH('Table 2.3a'!$A26&amp;'Table 2.3a'!$B26&amp;'Table 2.3a'!$C26,UtilityList!$A$4:$A$251&amp;UtilityList!$B$4:$B$251&amp;UtilityList!$C$4:$C$251,0)),INDEX(UtilityList!M$4:M$251,MATCH('Table 2.3a'!$A26&amp;'Table 2.3a'!$C26,UtilityList!$A$4:$A$251&amp;UtilityList!$C$4:$C$251,0)))</f>
        <v>SE</v>
      </c>
    </row>
    <row r="27" spans="1:17" s="126" customFormat="1" ht="30" customHeight="1" x14ac:dyDescent="0.25">
      <c r="A27" s="360" t="s">
        <v>43</v>
      </c>
      <c r="B27" s="360" t="s">
        <v>64</v>
      </c>
      <c r="C27" s="387" t="s">
        <v>684</v>
      </c>
      <c r="D27" s="637">
        <v>0</v>
      </c>
      <c r="E27" s="638">
        <v>-0.6</v>
      </c>
      <c r="F27" s="638">
        <v>0</v>
      </c>
      <c r="G27" s="638">
        <v>0</v>
      </c>
      <c r="H27" s="639">
        <f t="shared" si="0"/>
        <v>-0.6</v>
      </c>
      <c r="I27" s="638">
        <v>0.6</v>
      </c>
      <c r="J27" s="638">
        <f t="shared" si="1"/>
        <v>0</v>
      </c>
      <c r="K27" s="640" t="s">
        <v>356</v>
      </c>
      <c r="L27" s="627" t="str">
        <f t="array" ref="L27">IFERROR(INDEX(UtilityList!Q$4:Q$251,MATCH('Table 2.3a'!$A27&amp;'Table 2.3a'!$B27&amp;'Table 2.3a'!$C27,UtilityList!$A$4:$A$251&amp;UtilityList!$B$4:$B$251&amp;UtilityList!$C$4:$C$251,0)),INDEX(UtilityList!Q$4:Q$251,MATCH('Table 2.3a'!$A27&amp;'Table 2.3a'!$C27,UtilityList!$A$4:$A$251&amp;UtilityList!$C$4:$C$251,0)))</f>
        <v>Receives power form Tok via intertie. Dot Lake's data includes Dot Lake Village's information. For fuel use and cost information, please refer to Tok.</v>
      </c>
      <c r="M27" s="452" t="str">
        <f t="array" ref="M27">IFERROR(INDEX(UtilityList!J$4:J$251,MATCH('Table 2.3a'!$A27&amp;'Table 2.3a'!$B27&amp;'Table 2.3a'!$C27,UtilityList!$A$4:$A$251&amp;UtilityList!$B$4:$B$251&amp;UtilityList!$C$4:$C$251,0)),INDEX(UtilityList!J$4:J$251,MATCH('Table 2.3a'!$A27&amp;'Table 2.3a'!$C27,UtilityList!$A$4:$A$251&amp;UtilityList!$C$4:$C$251,0)))</f>
        <v>Yukon-Koyukuk/Upper Tanana</v>
      </c>
      <c r="N27" s="452" t="str">
        <f t="array" ref="N27">IFERROR(INDEX(UtilityList!K$4:K$251,MATCH('Table 2.3a'!$A27&amp;'Table 2.3a'!$B27&amp;'Table 2.3a'!$C27,UtilityList!$A$4:$A$251&amp;UtilityList!$B$4:$B$251&amp;UtilityList!$C$4:$C$251,0)),INDEX(UtilityList!K$4:K$251,MATCH('Table 2.3a'!$A27&amp;'Table 2.3a'!$C27,UtilityList!$A$4:$A$251&amp;UtilityList!$C$4:$C$251,0)))</f>
        <v>Southeast Fairbanks (CA)</v>
      </c>
      <c r="O27" s="452" t="str">
        <f t="array" ref="O27">IFERROR(INDEX(UtilityList!L$4:L$251,MATCH('Table 2.3a'!$A27&amp;'Table 2.3a'!$B27&amp;'Table 2.3a'!$C27,UtilityList!$A$4:$A$251&amp;UtilityList!$B$4:$B$251&amp;UtilityList!$C$4:$C$251,0)),INDEX(UtilityList!L$4:L$251,MATCH('Table 2.3a'!$A27&amp;'Table 2.3a'!$C27,UtilityList!$A$4:$A$251&amp;UtilityList!$C$4:$C$251,0)))</f>
        <v>Doyon</v>
      </c>
      <c r="P27" s="452" t="str">
        <f t="array" ref="P27">IFERROR(INDEX(UtilityList!M$4:M$251,MATCH('Table 2.3a'!$A27&amp;'Table 2.3a'!$B27&amp;'Table 2.3a'!$C27,UtilityList!$A$4:$A$251&amp;UtilityList!$B$4:$B$251&amp;UtilityList!$C$4:$C$251,0)),INDEX(UtilityList!M$4:M$251,MATCH('Table 2.3a'!$A27&amp;'Table 2.3a'!$C27,UtilityList!$A$4:$A$251&amp;UtilityList!$C$4:$C$251,0)))</f>
        <v>YU</v>
      </c>
      <c r="Q27" s="344"/>
    </row>
    <row r="28" spans="1:17" s="126" customFormat="1" ht="30" customHeight="1" x14ac:dyDescent="0.25">
      <c r="A28" s="360" t="s">
        <v>43</v>
      </c>
      <c r="B28" s="360" t="s">
        <v>493</v>
      </c>
      <c r="C28" s="387" t="s">
        <v>686</v>
      </c>
      <c r="D28" s="637">
        <v>0</v>
      </c>
      <c r="E28" s="638">
        <v>749.74199999999996</v>
      </c>
      <c r="F28" s="638">
        <v>0</v>
      </c>
      <c r="G28" s="638">
        <v>0</v>
      </c>
      <c r="H28" s="639">
        <f t="shared" si="0"/>
        <v>749.74199999999996</v>
      </c>
      <c r="I28" s="638">
        <v>11.856999999999999</v>
      </c>
      <c r="J28" s="638">
        <f t="shared" si="1"/>
        <v>761.59899999999993</v>
      </c>
      <c r="K28" s="640" t="s">
        <v>356</v>
      </c>
      <c r="L28" s="627" t="str">
        <f t="array" ref="L28">IFERROR(INDEX(UtilityList!Q$4:Q$251,MATCH('Table 2.3a'!$A28&amp;'Table 2.3a'!$B28&amp;'Table 2.3a'!$C28,UtilityList!$A$4:$A$251&amp;UtilityList!$B$4:$B$251&amp;UtilityList!$C$4:$C$251,0)),INDEX(UtilityList!Q$4:Q$251,MATCH('Table 2.3a'!$A28&amp;'Table 2.3a'!$C28,UtilityList!$A$4:$A$251&amp;UtilityList!$C$4:$C$251,0)))</f>
        <v>Provides power to Eagle Village via intertie. Data includes Eagle Village's information.</v>
      </c>
      <c r="M28" s="452" t="str">
        <f t="array" ref="M28">IFERROR(INDEX(UtilityList!J$4:J$251,MATCH('Table 2.3a'!$A28&amp;'Table 2.3a'!$B28&amp;'Table 2.3a'!$C28,UtilityList!$A$4:$A$251&amp;UtilityList!$B$4:$B$251&amp;UtilityList!$C$4:$C$251,0)),INDEX(UtilityList!J$4:J$251,MATCH('Table 2.3a'!$A28&amp;'Table 2.3a'!$C28,UtilityList!$A$4:$A$251&amp;UtilityList!$C$4:$C$251,0)))</f>
        <v>Yukon-Koyukuk/Upper Tanana</v>
      </c>
      <c r="N28" s="452" t="str">
        <f t="array" ref="N28">IFERROR(INDEX(UtilityList!K$4:K$251,MATCH('Table 2.3a'!$A28&amp;'Table 2.3a'!$B28&amp;'Table 2.3a'!$C28,UtilityList!$A$4:$A$251&amp;UtilityList!$B$4:$B$251&amp;UtilityList!$C$4:$C$251,0)),INDEX(UtilityList!K$4:K$251,MATCH('Table 2.3a'!$A28&amp;'Table 2.3a'!$C28,UtilityList!$A$4:$A$251&amp;UtilityList!$C$4:$C$251,0)))</f>
        <v>Southeast Fairbanks (CA)</v>
      </c>
      <c r="O28" s="452" t="str">
        <f t="array" ref="O28">IFERROR(INDEX(UtilityList!L$4:L$251,MATCH('Table 2.3a'!$A28&amp;'Table 2.3a'!$B28&amp;'Table 2.3a'!$C28,UtilityList!$A$4:$A$251&amp;UtilityList!$B$4:$B$251&amp;UtilityList!$C$4:$C$251,0)),INDEX(UtilityList!L$4:L$251,MATCH('Table 2.3a'!$A28&amp;'Table 2.3a'!$C28,UtilityList!$A$4:$A$251&amp;UtilityList!$C$4:$C$251,0)))</f>
        <v>Doyon</v>
      </c>
      <c r="P28" s="452" t="str">
        <f t="array" ref="P28">IFERROR(INDEX(UtilityList!M$4:M$251,MATCH('Table 2.3a'!$A28&amp;'Table 2.3a'!$B28&amp;'Table 2.3a'!$C28,UtilityList!$A$4:$A$251&amp;UtilityList!$B$4:$B$251&amp;UtilityList!$C$4:$C$251,0)),INDEX(UtilityList!M$4:M$251,MATCH('Table 2.3a'!$A28&amp;'Table 2.3a'!$C28,UtilityList!$A$4:$A$251&amp;UtilityList!$C$4:$C$251,0)))</f>
        <v>YU</v>
      </c>
      <c r="Q28" s="344"/>
    </row>
    <row r="29" spans="1:17" s="126" customFormat="1" ht="30" customHeight="1" x14ac:dyDescent="0.25">
      <c r="A29" s="385" t="s">
        <v>43</v>
      </c>
      <c r="B29" s="455" t="s">
        <v>518</v>
      </c>
      <c r="C29" s="643" t="s">
        <v>650</v>
      </c>
      <c r="D29" s="637">
        <v>0</v>
      </c>
      <c r="E29" s="641">
        <v>0</v>
      </c>
      <c r="F29" s="641">
        <v>15831</v>
      </c>
      <c r="G29" s="641">
        <v>0</v>
      </c>
      <c r="H29" s="639">
        <f t="shared" si="0"/>
        <v>15831</v>
      </c>
      <c r="I29" s="641">
        <v>146</v>
      </c>
      <c r="J29" s="638">
        <f t="shared" si="1"/>
        <v>15977</v>
      </c>
      <c r="K29" s="645" t="s">
        <v>558</v>
      </c>
      <c r="L29" s="627" t="str">
        <f t="array" ref="L29">IFERROR(INDEX(UtilityList!Q$4:Q$251,MATCH('Table 2.3a'!$A29&amp;'Table 2.3a'!$B29&amp;'Table 2.3a'!$C29,UtilityList!$A$4:$A$251&amp;UtilityList!$B$4:$B$251&amp;UtilityList!$C$4:$C$251,0)),INDEX(UtilityList!Q$4:Q$251,MATCH('Table 2.3a'!$A29&amp;'Table 2.3a'!$C29,UtilityList!$A$4:$A$251&amp;UtilityList!$C$4:$C$251,0)))</f>
        <v>Part of the Alaska Power Company's grid in the Upper Lynn Canal service area.</v>
      </c>
      <c r="M29" s="452" t="str">
        <f t="array" ref="M29">IFERROR(INDEX(UtilityList!J$4:J$251,MATCH('Table 2.3a'!$A29&amp;'Table 2.3a'!$B29&amp;'Table 2.3a'!$C29,UtilityList!$A$4:$A$251&amp;UtilityList!$B$4:$B$251&amp;UtilityList!$C$4:$C$251,0)),INDEX(UtilityList!J$4:J$251,MATCH('Table 2.3a'!$A29&amp;'Table 2.3a'!$C29,UtilityList!$A$4:$A$251&amp;UtilityList!$C$4:$C$251,0)))</f>
        <v>Southeast</v>
      </c>
      <c r="N29" s="452" t="str">
        <f t="array" ref="N29">IFERROR(INDEX(UtilityList!K$4:K$251,MATCH('Table 2.3a'!$A29&amp;'Table 2.3a'!$B29&amp;'Table 2.3a'!$C29,UtilityList!$A$4:$A$251&amp;UtilityList!$B$4:$B$251&amp;UtilityList!$C$4:$C$251,0)),INDEX(UtilityList!K$4:K$251,MATCH('Table 2.3a'!$A29&amp;'Table 2.3a'!$C29,UtilityList!$A$4:$A$251&amp;UtilityList!$C$4:$C$251,0)))</f>
        <v>Skagway</v>
      </c>
      <c r="O29" s="452" t="str">
        <f t="array" ref="O29">IFERROR(INDEX(UtilityList!L$4:L$251,MATCH('Table 2.3a'!$A29&amp;'Table 2.3a'!$B29&amp;'Table 2.3a'!$C29,UtilityList!$A$4:$A$251&amp;UtilityList!$B$4:$B$251&amp;UtilityList!$C$4:$C$251,0)),INDEX(UtilityList!L$4:L$251,MATCH('Table 2.3a'!$A29&amp;'Table 2.3a'!$C29,UtilityList!$A$4:$A$251&amp;UtilityList!$C$4:$C$251,0)))</f>
        <v>Sealaska</v>
      </c>
      <c r="P29" s="452" t="str">
        <f t="array" ref="P29">IFERROR(INDEX(UtilityList!M$4:M$251,MATCH('Table 2.3a'!$A29&amp;'Table 2.3a'!$B29&amp;'Table 2.3a'!$C29,UtilityList!$A$4:$A$251&amp;UtilityList!$B$4:$B$251&amp;UtilityList!$C$4:$C$251,0)),INDEX(UtilityList!M$4:M$251,MATCH('Table 2.3a'!$A29&amp;'Table 2.3a'!$C29,UtilityList!$A$4:$A$251&amp;UtilityList!$C$4:$C$251,0)))</f>
        <v>SE</v>
      </c>
    </row>
    <row r="30" spans="1:17" s="126" customFormat="1" ht="30" customHeight="1" x14ac:dyDescent="0.25">
      <c r="A30" s="385" t="s">
        <v>43</v>
      </c>
      <c r="B30" s="455" t="s">
        <v>50</v>
      </c>
      <c r="C30" s="643" t="s">
        <v>50</v>
      </c>
      <c r="D30" s="637">
        <v>0</v>
      </c>
      <c r="E30" s="638">
        <v>185</v>
      </c>
      <c r="F30" s="638">
        <v>0</v>
      </c>
      <c r="G30" s="638">
        <v>0</v>
      </c>
      <c r="H30" s="639">
        <f t="shared" si="0"/>
        <v>185</v>
      </c>
      <c r="I30" s="638">
        <v>308.72000000000003</v>
      </c>
      <c r="J30" s="638">
        <f t="shared" si="1"/>
        <v>493.72</v>
      </c>
      <c r="K30" s="645" t="s">
        <v>722</v>
      </c>
      <c r="L30" s="627" t="str">
        <f t="array" ref="L30">IFERROR(INDEX(UtilityList!Q$4:Q$251,MATCH('Table 2.3a'!$A30&amp;'Table 2.3a'!$B30&amp;'Table 2.3a'!$C30,UtilityList!$A$4:$A$251&amp;UtilityList!$B$4:$B$251&amp;UtilityList!$C$4:$C$251,0)),INDEX(UtilityList!Q$4:Q$251,MATCH('Table 2.3a'!$A30&amp;'Table 2.3a'!$C30,UtilityList!$A$4:$A$251&amp;UtilityList!$C$4:$C$251,0)))</f>
        <v>Plant is also referred to as Lutak. Part of the Alaska Power Company's grid in the Upper Lynn Canal service area.</v>
      </c>
      <c r="M30" s="452" t="str">
        <f t="array" ref="M30">IFERROR(INDEX(UtilityList!J$4:J$251,MATCH('Table 2.3a'!$A30&amp;'Table 2.3a'!$B30&amp;'Table 2.3a'!$C30,UtilityList!$A$4:$A$251&amp;UtilityList!$B$4:$B$251&amp;UtilityList!$C$4:$C$251,0)),INDEX(UtilityList!J$4:J$251,MATCH('Table 2.3a'!$A30&amp;'Table 2.3a'!$C30,UtilityList!$A$4:$A$251&amp;UtilityList!$C$4:$C$251,0)))</f>
        <v>Southeast</v>
      </c>
      <c r="N30" s="452" t="str">
        <f t="array" ref="N30">IFERROR(INDEX(UtilityList!K$4:K$251,MATCH('Table 2.3a'!$A30&amp;'Table 2.3a'!$B30&amp;'Table 2.3a'!$C30,UtilityList!$A$4:$A$251&amp;UtilityList!$B$4:$B$251&amp;UtilityList!$C$4:$C$251,0)),INDEX(UtilityList!K$4:K$251,MATCH('Table 2.3a'!$A30&amp;'Table 2.3a'!$C30,UtilityList!$A$4:$A$251&amp;UtilityList!$C$4:$C$251,0)))</f>
        <v>Haines</v>
      </c>
      <c r="O30" s="452" t="str">
        <f t="array" ref="O30">IFERROR(INDEX(UtilityList!L$4:L$251,MATCH('Table 2.3a'!$A30&amp;'Table 2.3a'!$B30&amp;'Table 2.3a'!$C30,UtilityList!$A$4:$A$251&amp;UtilityList!$B$4:$B$251&amp;UtilityList!$C$4:$C$251,0)),INDEX(UtilityList!L$4:L$251,MATCH('Table 2.3a'!$A30&amp;'Table 2.3a'!$C30,UtilityList!$A$4:$A$251&amp;UtilityList!$C$4:$C$251,0)))</f>
        <v>Sealaska</v>
      </c>
      <c r="P30" s="452" t="str">
        <f t="array" ref="P30">IFERROR(INDEX(UtilityList!M$4:M$251,MATCH('Table 2.3a'!$A30&amp;'Table 2.3a'!$B30&amp;'Table 2.3a'!$C30,UtilityList!$A$4:$A$251&amp;UtilityList!$B$4:$B$251&amp;UtilityList!$C$4:$C$251,0)),INDEX(UtilityList!M$4:M$251,MATCH('Table 2.3a'!$A30&amp;'Table 2.3a'!$C30,UtilityList!$A$4:$A$251&amp;UtilityList!$C$4:$C$251,0)))</f>
        <v>SE</v>
      </c>
      <c r="Q30" s="344"/>
    </row>
    <row r="31" spans="1:17" s="126" customFormat="1" ht="30" customHeight="1" x14ac:dyDescent="0.25">
      <c r="A31" s="385" t="s">
        <v>43</v>
      </c>
      <c r="B31" s="385" t="s">
        <v>60</v>
      </c>
      <c r="C31" s="635" t="s">
        <v>60</v>
      </c>
      <c r="D31" s="637">
        <v>0</v>
      </c>
      <c r="E31" s="638">
        <v>95</v>
      </c>
      <c r="F31" s="638">
        <v>3000.12</v>
      </c>
      <c r="G31" s="638">
        <v>0</v>
      </c>
      <c r="H31" s="639">
        <f t="shared" si="0"/>
        <v>3095.12</v>
      </c>
      <c r="I31" s="638">
        <v>164.423</v>
      </c>
      <c r="J31" s="638">
        <f t="shared" si="1"/>
        <v>3259.5429999999997</v>
      </c>
      <c r="K31" s="646" t="s">
        <v>722</v>
      </c>
      <c r="L31" s="627" t="str">
        <f t="array" ref="L31">IFERROR(INDEX(UtilityList!Q$4:Q$251,MATCH('Table 2.3a'!$A31&amp;'Table 2.3a'!$B31&amp;'Table 2.3a'!$C31,UtilityList!$A$4:$A$251&amp;UtilityList!$B$4:$B$251&amp;UtilityList!$C$4:$C$251,0)),INDEX(UtilityList!Q$4:Q$251,MATCH('Table 2.3a'!$A31&amp;'Table 2.3a'!$C31,UtilityList!$A$4:$A$251&amp;UtilityList!$C$4:$C$251,0)))</f>
        <v>Plant is also referred to as Dewey Lake. Part of the Alaska Power Company's grid in the Upper Lynn Canal service area.</v>
      </c>
      <c r="M31" s="452" t="str">
        <f t="array" ref="M31">IFERROR(INDEX(UtilityList!J$4:J$251,MATCH('Table 2.3a'!$A31&amp;'Table 2.3a'!$B31&amp;'Table 2.3a'!$C31,UtilityList!$A$4:$A$251&amp;UtilityList!$B$4:$B$251&amp;UtilityList!$C$4:$C$251,0)),INDEX(UtilityList!J$4:J$251,MATCH('Table 2.3a'!$A31&amp;'Table 2.3a'!$C31,UtilityList!$A$4:$A$251&amp;UtilityList!$C$4:$C$251,0)))</f>
        <v>Southeast</v>
      </c>
      <c r="N31" s="452" t="str">
        <f t="array" ref="N31">IFERROR(INDEX(UtilityList!K$4:K$251,MATCH('Table 2.3a'!$A31&amp;'Table 2.3a'!$B31&amp;'Table 2.3a'!$C31,UtilityList!$A$4:$A$251&amp;UtilityList!$B$4:$B$251&amp;UtilityList!$C$4:$C$251,0)),INDEX(UtilityList!K$4:K$251,MATCH('Table 2.3a'!$A31&amp;'Table 2.3a'!$C31,UtilityList!$A$4:$A$251&amp;UtilityList!$C$4:$C$251,0)))</f>
        <v>Skagway</v>
      </c>
      <c r="O31" s="452" t="str">
        <f t="array" ref="O31">IFERROR(INDEX(UtilityList!L$4:L$251,MATCH('Table 2.3a'!$A31&amp;'Table 2.3a'!$B31&amp;'Table 2.3a'!$C31,UtilityList!$A$4:$A$251&amp;UtilityList!$B$4:$B$251&amp;UtilityList!$C$4:$C$251,0)),INDEX(UtilityList!L$4:L$251,MATCH('Table 2.3a'!$A31&amp;'Table 2.3a'!$C31,UtilityList!$A$4:$A$251&amp;UtilityList!$C$4:$C$251,0)))</f>
        <v>Sealaska</v>
      </c>
      <c r="P31" s="452" t="str">
        <f t="array" ref="P31">IFERROR(INDEX(UtilityList!M$4:M$251,MATCH('Table 2.3a'!$A31&amp;'Table 2.3a'!$B31&amp;'Table 2.3a'!$C31,UtilityList!$A$4:$A$251&amp;UtilityList!$B$4:$B$251&amp;UtilityList!$C$4:$C$251,0)),INDEX(UtilityList!M$4:M$251,MATCH('Table 2.3a'!$A31&amp;'Table 2.3a'!$C31,UtilityList!$A$4:$A$251&amp;UtilityList!$C$4:$C$251,0)))</f>
        <v>SE</v>
      </c>
    </row>
    <row r="32" spans="1:17" s="187" customFormat="1" ht="59.25" customHeight="1" x14ac:dyDescent="0.25">
      <c r="A32" s="360" t="s">
        <v>43</v>
      </c>
      <c r="B32" s="360" t="s">
        <v>51</v>
      </c>
      <c r="C32" s="387" t="s">
        <v>51</v>
      </c>
      <c r="D32" s="637">
        <v>0</v>
      </c>
      <c r="E32" s="638">
        <v>83.3</v>
      </c>
      <c r="F32" s="638">
        <v>0</v>
      </c>
      <c r="G32" s="638">
        <v>0</v>
      </c>
      <c r="H32" s="639">
        <f t="shared" si="0"/>
        <v>83.3</v>
      </c>
      <c r="I32" s="638">
        <v>2.2330000000000001</v>
      </c>
      <c r="J32" s="638">
        <f t="shared" si="1"/>
        <v>85.533000000000001</v>
      </c>
      <c r="K32" s="640" t="s">
        <v>356</v>
      </c>
      <c r="L32" s="627">
        <f t="array" ref="L32">IFERROR(INDEX(UtilityList!Q$4:Q$251,MATCH('Table 2.3a'!$A32&amp;'Table 2.3a'!$B32&amp;'Table 2.3a'!$C32,UtilityList!$A$4:$A$251&amp;UtilityList!$B$4:$B$251&amp;UtilityList!$C$4:$C$251,0)),INDEX(UtilityList!Q$4:Q$251,MATCH('Table 2.3a'!$A32&amp;'Table 2.3a'!$C32,UtilityList!$A$4:$A$251&amp;UtilityList!$C$4:$C$251,0)))</f>
        <v>0</v>
      </c>
      <c r="M32" s="452" t="str">
        <f t="array" ref="M32">IFERROR(INDEX(UtilityList!J$4:J$251,MATCH('Table 2.3a'!$A32&amp;'Table 2.3a'!$B32&amp;'Table 2.3a'!$C32,UtilityList!$A$4:$A$251&amp;UtilityList!$B$4:$B$251&amp;UtilityList!$C$4:$C$251,0)),INDEX(UtilityList!J$4:J$251,MATCH('Table 2.3a'!$A32&amp;'Table 2.3a'!$C32,UtilityList!$A$4:$A$251&amp;UtilityList!$C$4:$C$251,0)))</f>
        <v>Yukon-Koyukuk/Upper Tanana</v>
      </c>
      <c r="N32" s="452" t="str">
        <f t="array" ref="N32">IFERROR(INDEX(UtilityList!K$4:K$251,MATCH('Table 2.3a'!$A32&amp;'Table 2.3a'!$B32&amp;'Table 2.3a'!$C32,UtilityList!$A$4:$A$251&amp;UtilityList!$B$4:$B$251&amp;UtilityList!$C$4:$C$251,0)),INDEX(UtilityList!K$4:K$251,MATCH('Table 2.3a'!$A32&amp;'Table 2.3a'!$C32,UtilityList!$A$4:$A$251&amp;UtilityList!$C$4:$C$251,0)))</f>
        <v>Southeast Fairbanks (CA)</v>
      </c>
      <c r="O32" s="452" t="str">
        <f t="array" ref="O32">IFERROR(INDEX(UtilityList!L$4:L$251,MATCH('Table 2.3a'!$A32&amp;'Table 2.3a'!$B32&amp;'Table 2.3a'!$C32,UtilityList!$A$4:$A$251&amp;UtilityList!$B$4:$B$251&amp;UtilityList!$C$4:$C$251,0)),INDEX(UtilityList!L$4:L$251,MATCH('Table 2.3a'!$A32&amp;'Table 2.3a'!$C32,UtilityList!$A$4:$A$251&amp;UtilityList!$C$4:$C$251,0)))</f>
        <v>Doyon</v>
      </c>
      <c r="P32" s="452" t="str">
        <f t="array" ref="P32">IFERROR(INDEX(UtilityList!M$4:M$251,MATCH('Table 2.3a'!$A32&amp;'Table 2.3a'!$B32&amp;'Table 2.3a'!$C32,UtilityList!$A$4:$A$251&amp;UtilityList!$B$4:$B$251&amp;UtilityList!$C$4:$C$251,0)),INDEX(UtilityList!M$4:M$251,MATCH('Table 2.3a'!$A32&amp;'Table 2.3a'!$C32,UtilityList!$A$4:$A$251&amp;UtilityList!$C$4:$C$251,0)))</f>
        <v>YU</v>
      </c>
      <c r="Q32" s="344"/>
    </row>
    <row r="33" spans="1:17" s="187" customFormat="1" ht="75" x14ac:dyDescent="0.25">
      <c r="A33" s="360" t="s">
        <v>43</v>
      </c>
      <c r="B33" s="360" t="s">
        <v>52</v>
      </c>
      <c r="C33" s="387" t="s">
        <v>52</v>
      </c>
      <c r="D33" s="637">
        <v>0</v>
      </c>
      <c r="E33" s="638">
        <v>-12.348000000000001</v>
      </c>
      <c r="F33" s="638">
        <v>0</v>
      </c>
      <c r="G33" s="638">
        <v>0</v>
      </c>
      <c r="H33" s="639">
        <f t="shared" si="0"/>
        <v>-12.348000000000001</v>
      </c>
      <c r="I33" s="638">
        <v>12.348000000000001</v>
      </c>
      <c r="J33" s="638">
        <f t="shared" si="1"/>
        <v>0</v>
      </c>
      <c r="K33" s="640" t="s">
        <v>356</v>
      </c>
      <c r="L33" s="627" t="str">
        <f t="array" ref="L33">IFERROR(INDEX(UtilityList!Q$4:Q$251,MATCH('Table 2.3a'!$A33&amp;'Table 2.3a'!$B33&amp;'Table 2.3a'!$C33,UtilityList!$A$4:$A$251&amp;UtilityList!$B$4:$B$251&amp;UtilityList!$C$4:$C$251,0)),INDEX(UtilityList!Q$4:Q$251,MATCH('Table 2.3a'!$A33&amp;'Table 2.3a'!$C33,UtilityList!$A$4:$A$251&amp;UtilityList!$C$4:$C$251,0)))</f>
        <v>Part of the Alaska Power Company's grid on Prince of Wales Island. Receives power from Craig. Refer to Craig for fuel use and cost.</v>
      </c>
      <c r="M33" s="452" t="str">
        <f t="array" ref="M33">IFERROR(INDEX(UtilityList!J$4:J$251,MATCH('Table 2.3a'!$A33&amp;'Table 2.3a'!$B33&amp;'Table 2.3a'!$C33,UtilityList!$A$4:$A$251&amp;UtilityList!$B$4:$B$251&amp;UtilityList!$C$4:$C$251,0)),INDEX(UtilityList!J$4:J$251,MATCH('Table 2.3a'!$A33&amp;'Table 2.3a'!$C33,UtilityList!$A$4:$A$251&amp;UtilityList!$C$4:$C$251,0)))</f>
        <v>Southeast</v>
      </c>
      <c r="N33" s="452" t="str">
        <f t="array" ref="N33">IFERROR(INDEX(UtilityList!K$4:K$251,MATCH('Table 2.3a'!$A33&amp;'Table 2.3a'!$B33&amp;'Table 2.3a'!$C33,UtilityList!$A$4:$A$251&amp;UtilityList!$B$4:$B$251&amp;UtilityList!$C$4:$C$251,0)),INDEX(UtilityList!K$4:K$251,MATCH('Table 2.3a'!$A33&amp;'Table 2.3a'!$C33,UtilityList!$A$4:$A$251&amp;UtilityList!$C$4:$C$251,0)))</f>
        <v>Prince of Wales-Hyder (CA)</v>
      </c>
      <c r="O33" s="452" t="str">
        <f t="array" ref="O33">IFERROR(INDEX(UtilityList!L$4:L$251,MATCH('Table 2.3a'!$A33&amp;'Table 2.3a'!$B33&amp;'Table 2.3a'!$C33,UtilityList!$A$4:$A$251&amp;UtilityList!$B$4:$B$251&amp;UtilityList!$C$4:$C$251,0)),INDEX(UtilityList!L$4:L$251,MATCH('Table 2.3a'!$A33&amp;'Table 2.3a'!$C33,UtilityList!$A$4:$A$251&amp;UtilityList!$C$4:$C$251,0)))</f>
        <v>Sealaska</v>
      </c>
      <c r="P33" s="452" t="str">
        <f t="array" ref="P33">IFERROR(INDEX(UtilityList!M$4:M$251,MATCH('Table 2.3a'!$A33&amp;'Table 2.3a'!$B33&amp;'Table 2.3a'!$C33,UtilityList!$A$4:$A$251&amp;UtilityList!$B$4:$B$251&amp;UtilityList!$C$4:$C$251,0)),INDEX(UtilityList!M$4:M$251,MATCH('Table 2.3a'!$A33&amp;'Table 2.3a'!$C33,UtilityList!$A$4:$A$251&amp;UtilityList!$C$4:$C$251,0)))</f>
        <v>SE</v>
      </c>
      <c r="Q33" s="344"/>
    </row>
    <row r="34" spans="1:17" s="187" customFormat="1" ht="75" x14ac:dyDescent="0.25">
      <c r="A34" s="385" t="s">
        <v>43</v>
      </c>
      <c r="B34" s="455" t="s">
        <v>53</v>
      </c>
      <c r="C34" s="643" t="s">
        <v>53</v>
      </c>
      <c r="D34" s="637">
        <v>0</v>
      </c>
      <c r="E34" s="641">
        <v>23</v>
      </c>
      <c r="F34" s="641">
        <v>0</v>
      </c>
      <c r="G34" s="641">
        <v>0</v>
      </c>
      <c r="H34" s="639">
        <f t="shared" si="0"/>
        <v>23</v>
      </c>
      <c r="I34" s="641">
        <v>25</v>
      </c>
      <c r="J34" s="638">
        <f t="shared" si="1"/>
        <v>48</v>
      </c>
      <c r="K34" s="645" t="s">
        <v>558</v>
      </c>
      <c r="L34" s="627" t="str">
        <f t="array" ref="L34">IFERROR(INDEX(UtilityList!Q$4:Q$251,MATCH('Table 2.3a'!$A34&amp;'Table 2.3a'!$B34&amp;'Table 2.3a'!$C34,UtilityList!$A$4:$A$251&amp;UtilityList!$B$4:$B$251&amp;UtilityList!$C$4:$C$251,0)),INDEX(UtilityList!Q$4:Q$251,MATCH('Table 2.3a'!$A34&amp;'Table 2.3a'!$C34,UtilityList!$A$4:$A$251&amp;UtilityList!$C$4:$C$251,0)))</f>
        <v>Part of the Alaska Power Company's grid on Prince of Wales Island. Receives power from Craig. Refer to Craig for fuel use and cost.</v>
      </c>
      <c r="M34" s="452" t="str">
        <f t="array" ref="M34">IFERROR(INDEX(UtilityList!J$4:J$251,MATCH('Table 2.3a'!$A34&amp;'Table 2.3a'!$B34&amp;'Table 2.3a'!$C34,UtilityList!$A$4:$A$251&amp;UtilityList!$B$4:$B$251&amp;UtilityList!$C$4:$C$251,0)),INDEX(UtilityList!J$4:J$251,MATCH('Table 2.3a'!$A34&amp;'Table 2.3a'!$C34,UtilityList!$A$4:$A$251&amp;UtilityList!$C$4:$C$251,0)))</f>
        <v>Southeast</v>
      </c>
      <c r="N34" s="452" t="str">
        <f t="array" ref="N34">IFERROR(INDEX(UtilityList!K$4:K$251,MATCH('Table 2.3a'!$A34&amp;'Table 2.3a'!$B34&amp;'Table 2.3a'!$C34,UtilityList!$A$4:$A$251&amp;UtilityList!$B$4:$B$251&amp;UtilityList!$C$4:$C$251,0)),INDEX(UtilityList!K$4:K$251,MATCH('Table 2.3a'!$A34&amp;'Table 2.3a'!$C34,UtilityList!$A$4:$A$251&amp;UtilityList!$C$4:$C$251,0)))</f>
        <v>Prince of Wales-Hyder (CA)</v>
      </c>
      <c r="O34" s="452" t="str">
        <f t="array" ref="O34">IFERROR(INDEX(UtilityList!L$4:L$251,MATCH('Table 2.3a'!$A34&amp;'Table 2.3a'!$B34&amp;'Table 2.3a'!$C34,UtilityList!$A$4:$A$251&amp;UtilityList!$B$4:$B$251&amp;UtilityList!$C$4:$C$251,0)),INDEX(UtilityList!L$4:L$251,MATCH('Table 2.3a'!$A34&amp;'Table 2.3a'!$C34,UtilityList!$A$4:$A$251&amp;UtilityList!$C$4:$C$251,0)))</f>
        <v>Sealaska</v>
      </c>
      <c r="P34" s="452" t="str">
        <f t="array" ref="P34">IFERROR(INDEX(UtilityList!M$4:M$251,MATCH('Table 2.3a'!$A34&amp;'Table 2.3a'!$B34&amp;'Table 2.3a'!$C34,UtilityList!$A$4:$A$251&amp;UtilityList!$B$4:$B$251&amp;UtilityList!$C$4:$C$251,0)),INDEX(UtilityList!M$4:M$251,MATCH('Table 2.3a'!$A34&amp;'Table 2.3a'!$C34,UtilityList!$A$4:$A$251&amp;UtilityList!$C$4:$C$251,0)))</f>
        <v>SE</v>
      </c>
      <c r="Q34" s="126"/>
    </row>
    <row r="35" spans="1:17" s="187" customFormat="1" ht="30" customHeight="1" x14ac:dyDescent="0.25">
      <c r="A35" s="385" t="s">
        <v>43</v>
      </c>
      <c r="B35" s="385" t="s">
        <v>55</v>
      </c>
      <c r="C35" s="635" t="s">
        <v>55</v>
      </c>
      <c r="D35" s="637">
        <v>0</v>
      </c>
      <c r="E35" s="638">
        <v>237.108</v>
      </c>
      <c r="F35" s="638">
        <v>0</v>
      </c>
      <c r="G35" s="638">
        <v>0</v>
      </c>
      <c r="H35" s="639">
        <f t="shared" si="0"/>
        <v>237.108</v>
      </c>
      <c r="I35" s="638">
        <v>2.4990000000000001</v>
      </c>
      <c r="J35" s="638">
        <f t="shared" si="1"/>
        <v>239.607</v>
      </c>
      <c r="K35" s="646" t="s">
        <v>356</v>
      </c>
      <c r="L35" s="627">
        <f t="array" ref="L35">IFERROR(INDEX(UtilityList!Q$4:Q$251,MATCH('Table 2.3a'!$A35&amp;'Table 2.3a'!$B35&amp;'Table 2.3a'!$C35,UtilityList!$A$4:$A$251&amp;UtilityList!$B$4:$B$251&amp;UtilityList!$C$4:$C$251,0)),INDEX(UtilityList!Q$4:Q$251,MATCH('Table 2.3a'!$A35&amp;'Table 2.3a'!$C35,UtilityList!$A$4:$A$251&amp;UtilityList!$C$4:$C$251,0)))</f>
        <v>0</v>
      </c>
      <c r="M35" s="452" t="str">
        <f t="array" ref="M35">IFERROR(INDEX(UtilityList!J$4:J$251,MATCH('Table 2.3a'!$A35&amp;'Table 2.3a'!$B35&amp;'Table 2.3a'!$C35,UtilityList!$A$4:$A$251&amp;UtilityList!$B$4:$B$251&amp;UtilityList!$C$4:$C$251,0)),INDEX(UtilityList!J$4:J$251,MATCH('Table 2.3a'!$A35&amp;'Table 2.3a'!$C35,UtilityList!$A$4:$A$251&amp;UtilityList!$C$4:$C$251,0)))</f>
        <v>Copper River/Chugach</v>
      </c>
      <c r="N35" s="452" t="str">
        <f t="array" ref="N35">IFERROR(INDEX(UtilityList!K$4:K$251,MATCH('Table 2.3a'!$A35&amp;'Table 2.3a'!$B35&amp;'Table 2.3a'!$C35,UtilityList!$A$4:$A$251&amp;UtilityList!$B$4:$B$251&amp;UtilityList!$C$4:$C$251,0)),INDEX(UtilityList!K$4:K$251,MATCH('Table 2.3a'!$A35&amp;'Table 2.3a'!$C35,UtilityList!$A$4:$A$251&amp;UtilityList!$C$4:$C$251,0)))</f>
        <v>Valdez-Cordova (CA)</v>
      </c>
      <c r="O35" s="452" t="str">
        <f t="array" ref="O35">IFERROR(INDEX(UtilityList!L$4:L$251,MATCH('Table 2.3a'!$A35&amp;'Table 2.3a'!$B35&amp;'Table 2.3a'!$C35,UtilityList!$A$4:$A$251&amp;UtilityList!$B$4:$B$251&amp;UtilityList!$C$4:$C$251,0)),INDEX(UtilityList!L$4:L$251,MATCH('Table 2.3a'!$A35&amp;'Table 2.3a'!$C35,UtilityList!$A$4:$A$251&amp;UtilityList!$C$4:$C$251,0)))</f>
        <v>Ahtna</v>
      </c>
      <c r="P35" s="452" t="str">
        <f t="array" ref="P35">IFERROR(INDEX(UtilityList!M$4:M$251,MATCH('Table 2.3a'!$A35&amp;'Table 2.3a'!$B35&amp;'Table 2.3a'!$C35,UtilityList!$A$4:$A$251&amp;UtilityList!$B$4:$B$251&amp;UtilityList!$C$4:$C$251,0)),INDEX(UtilityList!M$4:M$251,MATCH('Table 2.3a'!$A35&amp;'Table 2.3a'!$C35,UtilityList!$A$4:$A$251&amp;UtilityList!$C$4:$C$251,0)))</f>
        <v>YU</v>
      </c>
      <c r="Q35" s="344"/>
    </row>
    <row r="36" spans="1:17" s="187" customFormat="1" ht="30" customHeight="1" x14ac:dyDescent="0.25">
      <c r="A36" s="360" t="s">
        <v>43</v>
      </c>
      <c r="B36" s="360" t="s">
        <v>56</v>
      </c>
      <c r="C36" s="387" t="s">
        <v>56</v>
      </c>
      <c r="D36" s="637">
        <v>0</v>
      </c>
      <c r="E36" s="638">
        <v>449.90800000000002</v>
      </c>
      <c r="F36" s="638">
        <v>0</v>
      </c>
      <c r="G36" s="638">
        <v>0</v>
      </c>
      <c r="H36" s="639">
        <f t="shared" si="0"/>
        <v>449.90800000000002</v>
      </c>
      <c r="I36" s="638">
        <v>12.744</v>
      </c>
      <c r="J36" s="638">
        <f t="shared" si="1"/>
        <v>462.65200000000004</v>
      </c>
      <c r="K36" s="640" t="s">
        <v>356</v>
      </c>
      <c r="L36" s="627">
        <f t="array" ref="L36">IFERROR(INDEX(UtilityList!Q$4:Q$251,MATCH('Table 2.3a'!$A36&amp;'Table 2.3a'!$B36&amp;'Table 2.3a'!$C36,UtilityList!$A$4:$A$251&amp;UtilityList!$B$4:$B$251&amp;UtilityList!$C$4:$C$251,0)),INDEX(UtilityList!Q$4:Q$251,MATCH('Table 2.3a'!$A36&amp;'Table 2.3a'!$C36,UtilityList!$A$4:$A$251&amp;UtilityList!$C$4:$C$251,0)))</f>
        <v>0</v>
      </c>
      <c r="M36" s="452" t="str">
        <f t="array" ref="M36">IFERROR(INDEX(UtilityList!J$4:J$251,MATCH('Table 2.3a'!$A36&amp;'Table 2.3a'!$B36&amp;'Table 2.3a'!$C36,UtilityList!$A$4:$A$251&amp;UtilityList!$B$4:$B$251&amp;UtilityList!$C$4:$C$251,0)),INDEX(UtilityList!J$4:J$251,MATCH('Table 2.3a'!$A36&amp;'Table 2.3a'!$C36,UtilityList!$A$4:$A$251&amp;UtilityList!$C$4:$C$251,0)))</f>
        <v>Southeast</v>
      </c>
      <c r="N36" s="452" t="str">
        <f t="array" ref="N36">IFERROR(INDEX(UtilityList!K$4:K$251,MATCH('Table 2.3a'!$A36&amp;'Table 2.3a'!$B36&amp;'Table 2.3a'!$C36,UtilityList!$A$4:$A$251&amp;UtilityList!$B$4:$B$251&amp;UtilityList!$C$4:$C$251,0)),INDEX(UtilityList!K$4:K$251,MATCH('Table 2.3a'!$A36&amp;'Table 2.3a'!$C36,UtilityList!$A$4:$A$251&amp;UtilityList!$C$4:$C$251,0)))</f>
        <v>Prince of Wales-Hyder (CA)</v>
      </c>
      <c r="O36" s="452" t="str">
        <f t="array" ref="O36">IFERROR(INDEX(UtilityList!L$4:L$251,MATCH('Table 2.3a'!$A36&amp;'Table 2.3a'!$B36&amp;'Table 2.3a'!$C36,UtilityList!$A$4:$A$251&amp;UtilityList!$B$4:$B$251&amp;UtilityList!$C$4:$C$251,0)),INDEX(UtilityList!L$4:L$251,MATCH('Table 2.3a'!$A36&amp;'Table 2.3a'!$C36,UtilityList!$A$4:$A$251&amp;UtilityList!$C$4:$C$251,0)))</f>
        <v>Sealaska</v>
      </c>
      <c r="P36" s="452" t="str">
        <f t="array" ref="P36">IFERROR(INDEX(UtilityList!M$4:M$251,MATCH('Table 2.3a'!$A36&amp;'Table 2.3a'!$B36&amp;'Table 2.3a'!$C36,UtilityList!$A$4:$A$251&amp;UtilityList!$B$4:$B$251&amp;UtilityList!$C$4:$C$251,0)),INDEX(UtilityList!M$4:M$251,MATCH('Table 2.3a'!$A36&amp;'Table 2.3a'!$C36,UtilityList!$A$4:$A$251&amp;UtilityList!$C$4:$C$251,0)))</f>
        <v>SE</v>
      </c>
      <c r="Q36" s="344"/>
    </row>
    <row r="37" spans="1:17" s="344" customFormat="1" ht="30" customHeight="1" x14ac:dyDescent="0.25">
      <c r="A37" s="385" t="s">
        <v>43</v>
      </c>
      <c r="B37" s="385" t="s">
        <v>57</v>
      </c>
      <c r="C37" s="635" t="s">
        <v>683</v>
      </c>
      <c r="D37" s="637">
        <v>0</v>
      </c>
      <c r="E37" s="638">
        <v>1284.8589999999999</v>
      </c>
      <c r="F37" s="638">
        <v>0</v>
      </c>
      <c r="G37" s="638">
        <v>0</v>
      </c>
      <c r="H37" s="639">
        <f t="shared" si="0"/>
        <v>1284.8589999999999</v>
      </c>
      <c r="I37" s="638">
        <v>13.263273</v>
      </c>
      <c r="J37" s="638">
        <f t="shared" si="1"/>
        <v>1298.122273</v>
      </c>
      <c r="K37" s="646" t="s">
        <v>356</v>
      </c>
      <c r="L37" s="627" t="str">
        <f t="array" ref="L37">IFERROR(INDEX(UtilityList!Q$4:Q$251,MATCH('Table 2.3a'!$A37&amp;'Table 2.3a'!$B37&amp;'Table 2.3a'!$C37,UtilityList!$A$4:$A$251&amp;UtilityList!$B$4:$B$251&amp;UtilityList!$C$4:$C$251,0)),INDEX(UtilityList!Q$4:Q$251,MATCH('Table 2.3a'!$A37&amp;'Table 2.3a'!$C37,UtilityList!$A$4:$A$251&amp;UtilityList!$C$4:$C$251,0)))</f>
        <v>Provides power to Northway Village via intertie. Data includes Northway Village's information.</v>
      </c>
      <c r="M37" s="452" t="str">
        <f t="array" ref="M37">IFERROR(INDEX(UtilityList!J$4:J$251,MATCH('Table 2.3a'!$A37&amp;'Table 2.3a'!$B37&amp;'Table 2.3a'!$C37,UtilityList!$A$4:$A$251&amp;UtilityList!$B$4:$B$251&amp;UtilityList!$C$4:$C$251,0)),INDEX(UtilityList!J$4:J$251,MATCH('Table 2.3a'!$A37&amp;'Table 2.3a'!$C37,UtilityList!$A$4:$A$251&amp;UtilityList!$C$4:$C$251,0)))</f>
        <v>Yukon-Koyukuk/Upper Tanana</v>
      </c>
      <c r="N37" s="452" t="str">
        <f t="array" ref="N37">IFERROR(INDEX(UtilityList!K$4:K$251,MATCH('Table 2.3a'!$A37&amp;'Table 2.3a'!$B37&amp;'Table 2.3a'!$C37,UtilityList!$A$4:$A$251&amp;UtilityList!$B$4:$B$251&amp;UtilityList!$C$4:$C$251,0)),INDEX(UtilityList!K$4:K$251,MATCH('Table 2.3a'!$A37&amp;'Table 2.3a'!$C37,UtilityList!$A$4:$A$251&amp;UtilityList!$C$4:$C$251,0)))</f>
        <v>Southeast Fairbanks (CA)</v>
      </c>
      <c r="O37" s="452" t="str">
        <f t="array" ref="O37">IFERROR(INDEX(UtilityList!L$4:L$251,MATCH('Table 2.3a'!$A37&amp;'Table 2.3a'!$B37&amp;'Table 2.3a'!$C37,UtilityList!$A$4:$A$251&amp;UtilityList!$B$4:$B$251&amp;UtilityList!$C$4:$C$251,0)),INDEX(UtilityList!L$4:L$251,MATCH('Table 2.3a'!$A37&amp;'Table 2.3a'!$C37,UtilityList!$A$4:$A$251&amp;UtilityList!$C$4:$C$251,0)))</f>
        <v>Doyon</v>
      </c>
      <c r="P37" s="452" t="str">
        <f t="array" ref="P37">IFERROR(INDEX(UtilityList!M$4:M$251,MATCH('Table 2.3a'!$A37&amp;'Table 2.3a'!$B37&amp;'Table 2.3a'!$C37,UtilityList!$A$4:$A$251&amp;UtilityList!$B$4:$B$251&amp;UtilityList!$C$4:$C$251,0)),INDEX(UtilityList!M$4:M$251,MATCH('Table 2.3a'!$A37&amp;'Table 2.3a'!$C37,UtilityList!$A$4:$A$251&amp;UtilityList!$C$4:$C$251,0)))</f>
        <v>YU</v>
      </c>
    </row>
    <row r="38" spans="1:17" s="344" customFormat="1" ht="45" x14ac:dyDescent="0.25">
      <c r="A38" s="385" t="s">
        <v>43</v>
      </c>
      <c r="B38" s="455" t="s">
        <v>519</v>
      </c>
      <c r="C38" s="643" t="s">
        <v>60</v>
      </c>
      <c r="D38" s="637">
        <v>0</v>
      </c>
      <c r="E38" s="641">
        <v>0</v>
      </c>
      <c r="F38" s="641">
        <v>7965</v>
      </c>
      <c r="G38" s="641">
        <v>0</v>
      </c>
      <c r="H38" s="639">
        <f t="shared" si="0"/>
        <v>7965</v>
      </c>
      <c r="I38" s="641">
        <v>40</v>
      </c>
      <c r="J38" s="638">
        <f t="shared" si="1"/>
        <v>8005</v>
      </c>
      <c r="K38" s="645" t="s">
        <v>558</v>
      </c>
      <c r="L38" s="627" t="str">
        <f t="array" ref="L38">IFERROR(INDEX(UtilityList!Q$4:Q$251,MATCH('Table 2.3a'!$A38&amp;'Table 2.3a'!$B38&amp;'Table 2.3a'!$C38,UtilityList!$A$4:$A$251&amp;UtilityList!$B$4:$B$251&amp;UtilityList!$C$4:$C$251,0)),INDEX(UtilityList!Q$4:Q$251,MATCH('Table 2.3a'!$A38&amp;'Table 2.3a'!$C38,UtilityList!$A$4:$A$251&amp;UtilityList!$C$4:$C$251,0)))</f>
        <v>Part of the Alaska Power Company's grid in the Upper Lynn Canal service area.</v>
      </c>
      <c r="M38" s="452" t="str">
        <f t="array" ref="M38">IFERROR(INDEX(UtilityList!J$4:J$251,MATCH('Table 2.3a'!$A38&amp;'Table 2.3a'!$B38&amp;'Table 2.3a'!$C38,UtilityList!$A$4:$A$251&amp;UtilityList!$B$4:$B$251&amp;UtilityList!$C$4:$C$251,0)),INDEX(UtilityList!J$4:J$251,MATCH('Table 2.3a'!$A38&amp;'Table 2.3a'!$C38,UtilityList!$A$4:$A$251&amp;UtilityList!$C$4:$C$251,0)))</f>
        <v>Southeast</v>
      </c>
      <c r="N38" s="452" t="str">
        <f t="array" ref="N38">IFERROR(INDEX(UtilityList!K$4:K$251,MATCH('Table 2.3a'!$A38&amp;'Table 2.3a'!$B38&amp;'Table 2.3a'!$C38,UtilityList!$A$4:$A$251&amp;UtilityList!$B$4:$B$251&amp;UtilityList!$C$4:$C$251,0)),INDEX(UtilityList!K$4:K$251,MATCH('Table 2.3a'!$A38&amp;'Table 2.3a'!$C38,UtilityList!$A$4:$A$251&amp;UtilityList!$C$4:$C$251,0)))</f>
        <v>Skagway</v>
      </c>
      <c r="O38" s="452" t="str">
        <f t="array" ref="O38">IFERROR(INDEX(UtilityList!L$4:L$251,MATCH('Table 2.3a'!$A38&amp;'Table 2.3a'!$B38&amp;'Table 2.3a'!$C38,UtilityList!$A$4:$A$251&amp;UtilityList!$B$4:$B$251&amp;UtilityList!$C$4:$C$251,0)),INDEX(UtilityList!L$4:L$251,MATCH('Table 2.3a'!$A38&amp;'Table 2.3a'!$C38,UtilityList!$A$4:$A$251&amp;UtilityList!$C$4:$C$251,0)))</f>
        <v>Sealaska</v>
      </c>
      <c r="P38" s="452" t="str">
        <f t="array" ref="P38">IFERROR(INDEX(UtilityList!M$4:M$251,MATCH('Table 2.3a'!$A38&amp;'Table 2.3a'!$B38&amp;'Table 2.3a'!$C38,UtilityList!$A$4:$A$251&amp;UtilityList!$B$4:$B$251&amp;UtilityList!$C$4:$C$251,0)),INDEX(UtilityList!M$4:M$251,MATCH('Table 2.3a'!$A38&amp;'Table 2.3a'!$C38,UtilityList!$A$4:$A$251&amp;UtilityList!$C$4:$C$251,0)))</f>
        <v>SE</v>
      </c>
      <c r="Q38" s="126"/>
    </row>
    <row r="39" spans="1:17" s="344" customFormat="1" ht="60" x14ac:dyDescent="0.25">
      <c r="A39" s="360" t="s">
        <v>43</v>
      </c>
      <c r="B39" s="360" t="s">
        <v>61</v>
      </c>
      <c r="C39" s="387" t="s">
        <v>995</v>
      </c>
      <c r="D39" s="637">
        <v>0</v>
      </c>
      <c r="E39" s="638">
        <v>1150.4580000000001</v>
      </c>
      <c r="F39" s="638">
        <v>0</v>
      </c>
      <c r="G39" s="638">
        <v>0</v>
      </c>
      <c r="H39" s="639">
        <f t="shared" si="0"/>
        <v>1150.4580000000001</v>
      </c>
      <c r="I39" s="638">
        <v>19.968</v>
      </c>
      <c r="J39" s="638">
        <f t="shared" si="1"/>
        <v>1170.4260000000002</v>
      </c>
      <c r="K39" s="640" t="s">
        <v>356</v>
      </c>
      <c r="L39" s="627" t="str">
        <f t="array" ref="L39">IFERROR(INDEX(UtilityList!Q$4:Q$251,MATCH('Table 2.3a'!$A39&amp;'Table 2.3a'!$B39&amp;'Table 2.3a'!$C39,UtilityList!$A$4:$A$251&amp;UtilityList!$B$4:$B$251&amp;UtilityList!$C$4:$C$251,0)),INDEX(UtilityList!Q$4:Q$251,MATCH('Table 2.3a'!$A39&amp;'Table 2.3a'!$C39,UtilityList!$A$4:$A$251&amp;UtilityList!$C$4:$C$251,0)))</f>
        <v>Provides power to Chistochina via intertie. Includes Chistochina's fuel use and fuel cost.</v>
      </c>
      <c r="M39" s="452" t="str">
        <f t="array" ref="M39">IFERROR(INDEX(UtilityList!J$4:J$251,MATCH('Table 2.3a'!$A39&amp;'Table 2.3a'!$B39&amp;'Table 2.3a'!$C39,UtilityList!$A$4:$A$251&amp;UtilityList!$B$4:$B$251&amp;UtilityList!$C$4:$C$251,0)),INDEX(UtilityList!J$4:J$251,MATCH('Table 2.3a'!$A39&amp;'Table 2.3a'!$C39,UtilityList!$A$4:$A$251&amp;UtilityList!$C$4:$C$251,0)))</f>
        <v>Copper River/Chugach</v>
      </c>
      <c r="N39" s="452" t="str">
        <f t="array" ref="N39">IFERROR(INDEX(UtilityList!K$4:K$251,MATCH('Table 2.3a'!$A39&amp;'Table 2.3a'!$B39&amp;'Table 2.3a'!$C39,UtilityList!$A$4:$A$251&amp;UtilityList!$B$4:$B$251&amp;UtilityList!$C$4:$C$251,0)),INDEX(UtilityList!K$4:K$251,MATCH('Table 2.3a'!$A39&amp;'Table 2.3a'!$C39,UtilityList!$A$4:$A$251&amp;UtilityList!$C$4:$C$251,0)))</f>
        <v>Valdez-Cordova (CA)</v>
      </c>
      <c r="O39" s="452" t="str">
        <f t="array" ref="O39">IFERROR(INDEX(UtilityList!L$4:L$251,MATCH('Table 2.3a'!$A39&amp;'Table 2.3a'!$B39&amp;'Table 2.3a'!$C39,UtilityList!$A$4:$A$251&amp;UtilityList!$B$4:$B$251&amp;UtilityList!$C$4:$C$251,0)),INDEX(UtilityList!L$4:L$251,MATCH('Table 2.3a'!$A39&amp;'Table 2.3a'!$C39,UtilityList!$A$4:$A$251&amp;UtilityList!$C$4:$C$251,0)))</f>
        <v>Ahtna</v>
      </c>
      <c r="P39" s="452" t="str">
        <f t="array" ref="P39">IFERROR(INDEX(UtilityList!M$4:M$251,MATCH('Table 2.3a'!$A39&amp;'Table 2.3a'!$B39&amp;'Table 2.3a'!$C39,UtilityList!$A$4:$A$251&amp;UtilityList!$B$4:$B$251&amp;UtilityList!$C$4:$C$251,0)),INDEX(UtilityList!M$4:M$251,MATCH('Table 2.3a'!$A39&amp;'Table 2.3a'!$C39,UtilityList!$A$4:$A$251&amp;UtilityList!$C$4:$C$251,0)))</f>
        <v>YU</v>
      </c>
      <c r="Q39" s="187"/>
    </row>
    <row r="40" spans="1:17" s="187" customFormat="1" ht="30" customHeight="1" x14ac:dyDescent="0.25">
      <c r="A40" s="360" t="s">
        <v>43</v>
      </c>
      <c r="B40" s="360" t="s">
        <v>64</v>
      </c>
      <c r="C40" s="387" t="s">
        <v>62</v>
      </c>
      <c r="D40" s="637">
        <v>0</v>
      </c>
      <c r="E40" s="638">
        <v>0</v>
      </c>
      <c r="F40" s="638">
        <v>0</v>
      </c>
      <c r="G40" s="638">
        <v>0</v>
      </c>
      <c r="H40" s="639">
        <f t="shared" si="0"/>
        <v>0</v>
      </c>
      <c r="I40" s="638">
        <v>0</v>
      </c>
      <c r="J40" s="638">
        <f t="shared" si="1"/>
        <v>0</v>
      </c>
      <c r="K40" s="640" t="s">
        <v>356</v>
      </c>
      <c r="L40" s="627" t="str">
        <f t="array" ref="L40">IFERROR(INDEX(UtilityList!Q$4:Q$251,MATCH('Table 2.3a'!$A40&amp;'Table 2.3a'!$B40&amp;'Table 2.3a'!$C40,UtilityList!$A$4:$A$251&amp;UtilityList!$B$4:$B$251&amp;UtilityList!$C$4:$C$251,0)),INDEX(UtilityList!Q$4:Q$251,MATCH('Table 2.3a'!$A40&amp;'Table 2.3a'!$C40,UtilityList!$A$4:$A$251&amp;UtilityList!$C$4:$C$251,0)))</f>
        <v>Receives power from Tok via intertie. For fuel use and cost information please refer to Tok.</v>
      </c>
      <c r="M40" s="452" t="str">
        <f t="array" ref="M40">IFERROR(INDEX(UtilityList!J$4:J$251,MATCH('Table 2.3a'!$A40&amp;'Table 2.3a'!$B40&amp;'Table 2.3a'!$C40,UtilityList!$A$4:$A$251&amp;UtilityList!$B$4:$B$251&amp;UtilityList!$C$4:$C$251,0)),INDEX(UtilityList!J$4:J$251,MATCH('Table 2.3a'!$A40&amp;'Table 2.3a'!$C40,UtilityList!$A$4:$A$251&amp;UtilityList!$C$4:$C$251,0)))</f>
        <v>Yukon-Koyukuk/Upper Tanana</v>
      </c>
      <c r="N40" s="452" t="str">
        <f t="array" ref="N40">IFERROR(INDEX(UtilityList!K$4:K$251,MATCH('Table 2.3a'!$A40&amp;'Table 2.3a'!$B40&amp;'Table 2.3a'!$C40,UtilityList!$A$4:$A$251&amp;UtilityList!$B$4:$B$251&amp;UtilityList!$C$4:$C$251,0)),INDEX(UtilityList!K$4:K$251,MATCH('Table 2.3a'!$A40&amp;'Table 2.3a'!$C40,UtilityList!$A$4:$A$251&amp;UtilityList!$C$4:$C$251,0)))</f>
        <v>Southeast Fairbanks (CA)</v>
      </c>
      <c r="O40" s="452" t="str">
        <f t="array" ref="O40">IFERROR(INDEX(UtilityList!L$4:L$251,MATCH('Table 2.3a'!$A40&amp;'Table 2.3a'!$B40&amp;'Table 2.3a'!$C40,UtilityList!$A$4:$A$251&amp;UtilityList!$B$4:$B$251&amp;UtilityList!$C$4:$C$251,0)),INDEX(UtilityList!L$4:L$251,MATCH('Table 2.3a'!$A40&amp;'Table 2.3a'!$C40,UtilityList!$A$4:$A$251&amp;UtilityList!$C$4:$C$251,0)))</f>
        <v>Dyon</v>
      </c>
      <c r="P40" s="452" t="str">
        <f t="array" ref="P40">IFERROR(INDEX(UtilityList!M$4:M$251,MATCH('Table 2.3a'!$A40&amp;'Table 2.3a'!$B40&amp;'Table 2.3a'!$C40,UtilityList!$A$4:$A$251&amp;UtilityList!$B$4:$B$251&amp;UtilityList!$C$4:$C$251,0)),INDEX(UtilityList!M$4:M$251,MATCH('Table 2.3a'!$A40&amp;'Table 2.3a'!$C40,UtilityList!$A$4:$A$251&amp;UtilityList!$C$4:$C$251,0)))</f>
        <v>YU</v>
      </c>
      <c r="Q40" s="344"/>
    </row>
    <row r="41" spans="1:17" s="187" customFormat="1" ht="46.5" customHeight="1" x14ac:dyDescent="0.25">
      <c r="A41" s="385" t="s">
        <v>43</v>
      </c>
      <c r="B41" s="455" t="s">
        <v>63</v>
      </c>
      <c r="C41" s="643" t="s">
        <v>681</v>
      </c>
      <c r="D41" s="637">
        <v>0</v>
      </c>
      <c r="E41" s="641">
        <v>929</v>
      </c>
      <c r="F41" s="641">
        <v>0</v>
      </c>
      <c r="G41" s="641">
        <v>0</v>
      </c>
      <c r="H41" s="639">
        <f t="shared" si="0"/>
        <v>929</v>
      </c>
      <c r="I41" s="641">
        <v>38</v>
      </c>
      <c r="J41" s="638">
        <f t="shared" si="1"/>
        <v>967</v>
      </c>
      <c r="K41" s="645" t="s">
        <v>558</v>
      </c>
      <c r="L41" s="627" t="str">
        <f t="array" ref="L41">IFERROR(INDEX(UtilityList!Q$4:Q$251,MATCH('Table 2.3a'!$A41&amp;'Table 2.3a'!$B41&amp;'Table 2.3a'!$C41,UtilityList!$A$4:$A$251&amp;UtilityList!$B$4:$B$251&amp;UtilityList!$C$4:$C$251,0)),INDEX(UtilityList!Q$4:Q$251,MATCH('Table 2.3a'!$A41&amp;'Table 2.3a'!$C41,UtilityList!$A$4:$A$251&amp;UtilityList!$C$4:$C$251,0)))</f>
        <v>Part of the Alaska Power Company's grid on Prince of Wales Island. Receives power from Craig. Refer to Craig for fuel use and cost. Includes data for Kaasan.</v>
      </c>
      <c r="M41" s="452" t="str">
        <f t="array" ref="M41">IFERROR(INDEX(UtilityList!J$4:J$251,MATCH('Table 2.3a'!$A41&amp;'Table 2.3a'!$B41&amp;'Table 2.3a'!$C41,UtilityList!$A$4:$A$251&amp;UtilityList!$B$4:$B$251&amp;UtilityList!$C$4:$C$251,0)),INDEX(UtilityList!J$4:J$251,MATCH('Table 2.3a'!$A41&amp;'Table 2.3a'!$C41,UtilityList!$A$4:$A$251&amp;UtilityList!$C$4:$C$251,0)))</f>
        <v>Southeast</v>
      </c>
      <c r="N41" s="452" t="str">
        <f t="array" ref="N41">IFERROR(INDEX(UtilityList!K$4:K$251,MATCH('Table 2.3a'!$A41&amp;'Table 2.3a'!$B41&amp;'Table 2.3a'!$C41,UtilityList!$A$4:$A$251&amp;UtilityList!$B$4:$B$251&amp;UtilityList!$C$4:$C$251,0)),INDEX(UtilityList!K$4:K$251,MATCH('Table 2.3a'!$A41&amp;'Table 2.3a'!$C41,UtilityList!$A$4:$A$251&amp;UtilityList!$C$4:$C$251,0)))</f>
        <v>Prince of Wales-Hyder (CA)</v>
      </c>
      <c r="O41" s="452" t="str">
        <f t="array" ref="O41">IFERROR(INDEX(UtilityList!L$4:L$251,MATCH('Table 2.3a'!$A41&amp;'Table 2.3a'!$B41&amp;'Table 2.3a'!$C41,UtilityList!$A$4:$A$251&amp;UtilityList!$B$4:$B$251&amp;UtilityList!$C$4:$C$251,0)),INDEX(UtilityList!L$4:L$251,MATCH('Table 2.3a'!$A41&amp;'Table 2.3a'!$C41,UtilityList!$A$4:$A$251&amp;UtilityList!$C$4:$C$251,0)))</f>
        <v>Sealaska</v>
      </c>
      <c r="P41" s="452" t="str">
        <f t="array" ref="P41">IFERROR(INDEX(UtilityList!M$4:M$251,MATCH('Table 2.3a'!$A41&amp;'Table 2.3a'!$B41&amp;'Table 2.3a'!$C41,UtilityList!$A$4:$A$251&amp;UtilityList!$B$4:$B$251&amp;UtilityList!$C$4:$C$251,0)),INDEX(UtilityList!M$4:M$251,MATCH('Table 2.3a'!$A41&amp;'Table 2.3a'!$C41,UtilityList!$A$4:$A$251&amp;UtilityList!$C$4:$C$251,0)))</f>
        <v>SE</v>
      </c>
      <c r="Q41" s="126"/>
    </row>
    <row r="42" spans="1:17" s="187" customFormat="1" ht="30" customHeight="1" x14ac:dyDescent="0.25">
      <c r="A42" s="385" t="s">
        <v>43</v>
      </c>
      <c r="B42" s="455" t="s">
        <v>559</v>
      </c>
      <c r="C42" s="643" t="s">
        <v>681</v>
      </c>
      <c r="D42" s="637">
        <v>0</v>
      </c>
      <c r="E42" s="641">
        <v>119</v>
      </c>
      <c r="F42" s="641">
        <v>0</v>
      </c>
      <c r="G42" s="641">
        <v>0</v>
      </c>
      <c r="H42" s="639">
        <f t="shared" si="0"/>
        <v>119</v>
      </c>
      <c r="I42" s="641">
        <v>60</v>
      </c>
      <c r="J42" s="638">
        <f t="shared" si="1"/>
        <v>179</v>
      </c>
      <c r="K42" s="645" t="s">
        <v>558</v>
      </c>
      <c r="L42" s="627" t="str">
        <f t="array" ref="L42">IFERROR(INDEX(UtilityList!Q$4:Q$251,MATCH('Table 2.3a'!$A42&amp;'Table 2.3a'!$B42&amp;'Table 2.3a'!$C42,UtilityList!$A$4:$A$251&amp;UtilityList!$B$4:$B$251&amp;UtilityList!$C$4:$C$251,0)),INDEX(UtilityList!Q$4:Q$251,MATCH('Table 2.3a'!$A42&amp;'Table 2.3a'!$C42,UtilityList!$A$4:$A$251&amp;UtilityList!$C$4:$C$251,0)))</f>
        <v>Part of the Alaska Power Company's grid on Prince of Wales Island. Receives power from Craig. Refer to Craig for fuel use and cost. Includes data for Kaasan.</v>
      </c>
      <c r="M42" s="452" t="str">
        <f t="array" ref="M42">IFERROR(INDEX(UtilityList!J$4:J$251,MATCH('Table 2.3a'!$A42&amp;'Table 2.3a'!$B42&amp;'Table 2.3a'!$C42,UtilityList!$A$4:$A$251&amp;UtilityList!$B$4:$B$251&amp;UtilityList!$C$4:$C$251,0)),INDEX(UtilityList!J$4:J$251,MATCH('Table 2.3a'!$A42&amp;'Table 2.3a'!$C42,UtilityList!$A$4:$A$251&amp;UtilityList!$C$4:$C$251,0)))</f>
        <v>Southeast</v>
      </c>
      <c r="N42" s="452" t="str">
        <f t="array" ref="N42">IFERROR(INDEX(UtilityList!K$4:K$251,MATCH('Table 2.3a'!$A42&amp;'Table 2.3a'!$B42&amp;'Table 2.3a'!$C42,UtilityList!$A$4:$A$251&amp;UtilityList!$B$4:$B$251&amp;UtilityList!$C$4:$C$251,0)),INDEX(UtilityList!K$4:K$251,MATCH('Table 2.3a'!$A42&amp;'Table 2.3a'!$C42,UtilityList!$A$4:$A$251&amp;UtilityList!$C$4:$C$251,0)))</f>
        <v>Prince of Wales-Hyder (CA)</v>
      </c>
      <c r="O42" s="452" t="str">
        <f t="array" ref="O42">IFERROR(INDEX(UtilityList!L$4:L$251,MATCH('Table 2.3a'!$A42&amp;'Table 2.3a'!$B42&amp;'Table 2.3a'!$C42,UtilityList!$A$4:$A$251&amp;UtilityList!$B$4:$B$251&amp;UtilityList!$C$4:$C$251,0)),INDEX(UtilityList!L$4:L$251,MATCH('Table 2.3a'!$A42&amp;'Table 2.3a'!$C42,UtilityList!$A$4:$A$251&amp;UtilityList!$C$4:$C$251,0)))</f>
        <v>Sealaska</v>
      </c>
      <c r="P42" s="452" t="str">
        <f t="array" ref="P42">IFERROR(INDEX(UtilityList!M$4:M$251,MATCH('Table 2.3a'!$A42&amp;'Table 2.3a'!$B42&amp;'Table 2.3a'!$C42,UtilityList!$A$4:$A$251&amp;UtilityList!$B$4:$B$251&amp;UtilityList!$C$4:$C$251,0)),INDEX(UtilityList!M$4:M$251,MATCH('Table 2.3a'!$A42&amp;'Table 2.3a'!$C42,UtilityList!$A$4:$A$251&amp;UtilityList!$C$4:$C$251,0)))</f>
        <v>SE</v>
      </c>
    </row>
    <row r="43" spans="1:17" s="187" customFormat="1" ht="30" customHeight="1" x14ac:dyDescent="0.25">
      <c r="A43" s="385" t="s">
        <v>43</v>
      </c>
      <c r="B43" s="385" t="s">
        <v>64</v>
      </c>
      <c r="C43" s="635" t="s">
        <v>685</v>
      </c>
      <c r="D43" s="637">
        <v>0</v>
      </c>
      <c r="E43" s="638">
        <v>10400</v>
      </c>
      <c r="F43" s="638">
        <v>0</v>
      </c>
      <c r="G43" s="638">
        <v>0</v>
      </c>
      <c r="H43" s="639">
        <f t="shared" si="0"/>
        <v>10400</v>
      </c>
      <c r="I43" s="638">
        <v>133.76</v>
      </c>
      <c r="J43" s="638">
        <f t="shared" si="1"/>
        <v>10533.76</v>
      </c>
      <c r="K43" s="646" t="s">
        <v>356</v>
      </c>
      <c r="L43" s="627" t="str">
        <f t="array" ref="L43">IFERROR(INDEX(UtilityList!Q$4:Q$251,MATCH('Table 2.3a'!$A43&amp;'Table 2.3a'!$B43&amp;'Table 2.3a'!$C43,UtilityList!$A$4:$A$251&amp;UtilityList!$B$4:$B$251&amp;UtilityList!$C$4:$C$251,0)),INDEX(UtilityList!Q$4:Q$251,MATCH('Table 2.3a'!$A43&amp;'Table 2.3a'!$C43,UtilityList!$A$4:$A$251&amp;UtilityList!$C$4:$C$251,0)))</f>
        <v>Provides power to Tanacross, Tetlin and Dot Lake via intertie. Includes Tanacross' information. Fuel use and cost also includes Tetlin's and Dot Lake's information.</v>
      </c>
      <c r="M43" s="452" t="str">
        <f t="array" ref="M43">IFERROR(INDEX(UtilityList!J$4:J$251,MATCH('Table 2.3a'!$A43&amp;'Table 2.3a'!$B43&amp;'Table 2.3a'!$C43,UtilityList!$A$4:$A$251&amp;UtilityList!$B$4:$B$251&amp;UtilityList!$C$4:$C$251,0)),INDEX(UtilityList!J$4:J$251,MATCH('Table 2.3a'!$A43&amp;'Table 2.3a'!$C43,UtilityList!$A$4:$A$251&amp;UtilityList!$C$4:$C$251,0)))</f>
        <v>Yukon-Koyukuk/Upper Tanana</v>
      </c>
      <c r="N43" s="452" t="str">
        <f t="array" ref="N43">IFERROR(INDEX(UtilityList!K$4:K$251,MATCH('Table 2.3a'!$A43&amp;'Table 2.3a'!$B43&amp;'Table 2.3a'!$C43,UtilityList!$A$4:$A$251&amp;UtilityList!$B$4:$B$251&amp;UtilityList!$C$4:$C$251,0)),INDEX(UtilityList!K$4:K$251,MATCH('Table 2.3a'!$A43&amp;'Table 2.3a'!$C43,UtilityList!$A$4:$A$251&amp;UtilityList!$C$4:$C$251,0)))</f>
        <v>Southeast Fairbanks (CA)</v>
      </c>
      <c r="O43" s="452" t="str">
        <f t="array" ref="O43">IFERROR(INDEX(UtilityList!L$4:L$251,MATCH('Table 2.3a'!$A43&amp;'Table 2.3a'!$B43&amp;'Table 2.3a'!$C43,UtilityList!$A$4:$A$251&amp;UtilityList!$B$4:$B$251&amp;UtilityList!$C$4:$C$251,0)),INDEX(UtilityList!L$4:L$251,MATCH('Table 2.3a'!$A43&amp;'Table 2.3a'!$C43,UtilityList!$A$4:$A$251&amp;UtilityList!$C$4:$C$251,0)))</f>
        <v>Doyon</v>
      </c>
      <c r="P43" s="452" t="str">
        <f t="array" ref="P43">IFERROR(INDEX(UtilityList!M$4:M$251,MATCH('Table 2.3a'!$A43&amp;'Table 2.3a'!$B43&amp;'Table 2.3a'!$C43,UtilityList!$A$4:$A$251&amp;UtilityList!$B$4:$B$251&amp;UtilityList!$C$4:$C$251,0)),INDEX(UtilityList!M$4:M$251,MATCH('Table 2.3a'!$A43&amp;'Table 2.3a'!$C43,UtilityList!$A$4:$A$251&amp;UtilityList!$C$4:$C$251,0)))</f>
        <v>YU</v>
      </c>
      <c r="Q43" s="344"/>
    </row>
    <row r="44" spans="1:17" s="187" customFormat="1" ht="30" customHeight="1" x14ac:dyDescent="0.25">
      <c r="A44" s="360" t="s">
        <v>43</v>
      </c>
      <c r="B44" s="360" t="s">
        <v>65</v>
      </c>
      <c r="C44" s="387" t="s">
        <v>65</v>
      </c>
      <c r="D44" s="637">
        <v>0</v>
      </c>
      <c r="E44" s="638">
        <v>267.04199999999997</v>
      </c>
      <c r="F44" s="638">
        <v>0</v>
      </c>
      <c r="G44" s="638">
        <v>0</v>
      </c>
      <c r="H44" s="639">
        <f t="shared" si="0"/>
        <v>267.04199999999997</v>
      </c>
      <c r="I44" s="638">
        <v>10.78</v>
      </c>
      <c r="J44" s="638">
        <f t="shared" si="1"/>
        <v>277.82199999999995</v>
      </c>
      <c r="K44" s="640" t="s">
        <v>356</v>
      </c>
      <c r="L44" s="627">
        <f t="array" ref="L44">IFERROR(INDEX(UtilityList!Q$4:Q$251,MATCH('Table 2.3a'!$A44&amp;'Table 2.3a'!$B44&amp;'Table 2.3a'!$C44,UtilityList!$A$4:$A$251&amp;UtilityList!$B$4:$B$251&amp;UtilityList!$C$4:$C$251,0)),INDEX(UtilityList!Q$4:Q$251,MATCH('Table 2.3a'!$A44&amp;'Table 2.3a'!$C44,UtilityList!$A$4:$A$251&amp;UtilityList!$C$4:$C$251,0)))</f>
        <v>0</v>
      </c>
      <c r="M44" s="452" t="str">
        <f t="array" ref="M44">IFERROR(INDEX(UtilityList!J$4:J$251,MATCH('Table 2.3a'!$A44&amp;'Table 2.3a'!$B44&amp;'Table 2.3a'!$C44,UtilityList!$A$4:$A$251&amp;UtilityList!$B$4:$B$251&amp;UtilityList!$C$4:$C$251,0)),INDEX(UtilityList!J$4:J$251,MATCH('Table 2.3a'!$A44&amp;'Table 2.3a'!$C44,UtilityList!$A$4:$A$251&amp;UtilityList!$C$4:$C$251,0)))</f>
        <v>Southeast</v>
      </c>
      <c r="N44" s="452" t="str">
        <f t="array" ref="N44">IFERROR(INDEX(UtilityList!K$4:K$251,MATCH('Table 2.3a'!$A44&amp;'Table 2.3a'!$B44&amp;'Table 2.3a'!$C44,UtilityList!$A$4:$A$251&amp;UtilityList!$B$4:$B$251&amp;UtilityList!$C$4:$C$251,0)),INDEX(UtilityList!K$4:K$251,MATCH('Table 2.3a'!$A44&amp;'Table 2.3a'!$C44,UtilityList!$A$4:$A$251&amp;UtilityList!$C$4:$C$251,0)))</f>
        <v>Prince of Wales-Hyder (CA)</v>
      </c>
      <c r="O44" s="452" t="str">
        <f t="array" ref="O44">IFERROR(INDEX(UtilityList!L$4:L$251,MATCH('Table 2.3a'!$A44&amp;'Table 2.3a'!$B44&amp;'Table 2.3a'!$C44,UtilityList!$A$4:$A$251&amp;UtilityList!$B$4:$B$251&amp;UtilityList!$C$4:$C$251,0)),INDEX(UtilityList!L$4:L$251,MATCH('Table 2.3a'!$A44&amp;'Table 2.3a'!$C44,UtilityList!$A$4:$A$251&amp;UtilityList!$C$4:$C$251,0)))</f>
        <v>Sealaska</v>
      </c>
      <c r="P44" s="452" t="str">
        <f t="array" ref="P44">IFERROR(INDEX(UtilityList!M$4:M$251,MATCH('Table 2.3a'!$A44&amp;'Table 2.3a'!$B44&amp;'Table 2.3a'!$C44,UtilityList!$A$4:$A$251&amp;UtilityList!$B$4:$B$251&amp;UtilityList!$C$4:$C$251,0)),INDEX(UtilityList!M$4:M$251,MATCH('Table 2.3a'!$A44&amp;'Table 2.3a'!$C44,UtilityList!$A$4:$A$251&amp;UtilityList!$C$4:$C$251,0)))</f>
        <v>SE</v>
      </c>
    </row>
    <row r="45" spans="1:17" s="126" customFormat="1" ht="30" customHeight="1" x14ac:dyDescent="0.25">
      <c r="A45" s="360" t="s">
        <v>524</v>
      </c>
      <c r="B45" s="360" t="s">
        <v>66</v>
      </c>
      <c r="C45" s="387" t="s">
        <v>66</v>
      </c>
      <c r="D45" s="637">
        <v>0</v>
      </c>
      <c r="E45" s="638">
        <v>1946.2080000000001</v>
      </c>
      <c r="F45" s="638">
        <v>0</v>
      </c>
      <c r="G45" s="638">
        <v>0</v>
      </c>
      <c r="H45" s="639">
        <f t="shared" si="0"/>
        <v>1946.2080000000001</v>
      </c>
      <c r="I45" s="638">
        <v>25.928999999999998</v>
      </c>
      <c r="J45" s="638">
        <f t="shared" si="1"/>
        <v>1972.1370000000002</v>
      </c>
      <c r="K45" s="640" t="s">
        <v>356</v>
      </c>
      <c r="L45" s="627">
        <f t="array" ref="L45">IFERROR(INDEX(UtilityList!Q$4:Q$251,MATCH('Table 2.3a'!$A45&amp;'Table 2.3a'!$B45&amp;'Table 2.3a'!$C45,UtilityList!$A$4:$A$251&amp;UtilityList!$B$4:$B$251&amp;UtilityList!$C$4:$C$251,0)),INDEX(UtilityList!Q$4:Q$251,MATCH('Table 2.3a'!$A45&amp;'Table 2.3a'!$C45,UtilityList!$A$4:$A$251&amp;UtilityList!$C$4:$C$251,0)))</f>
        <v>0</v>
      </c>
      <c r="M45" s="452" t="str">
        <f t="array" ref="M45">IFERROR(INDEX(UtilityList!J$4:J$251,MATCH('Table 2.3a'!$A45&amp;'Table 2.3a'!$B45&amp;'Table 2.3a'!$C45,UtilityList!$A$4:$A$251&amp;UtilityList!$B$4:$B$251&amp;UtilityList!$C$4:$C$251,0)),INDEX(UtilityList!J$4:J$251,MATCH('Table 2.3a'!$A45&amp;'Table 2.3a'!$C45,UtilityList!$A$4:$A$251&amp;UtilityList!$C$4:$C$251,0)))</f>
        <v>Lower Yukon-Kuskokwim</v>
      </c>
      <c r="N45" s="452" t="str">
        <f t="array" ref="N45">IFERROR(INDEX(UtilityList!K$4:K$251,MATCH('Table 2.3a'!$A45&amp;'Table 2.3a'!$B45&amp;'Table 2.3a'!$C45,UtilityList!$A$4:$A$251&amp;UtilityList!$B$4:$B$251&amp;UtilityList!$C$4:$C$251,0)),INDEX(UtilityList!K$4:K$251,MATCH('Table 2.3a'!$A45&amp;'Table 2.3a'!$C45,UtilityList!$A$4:$A$251&amp;UtilityList!$C$4:$C$251,0)))</f>
        <v>Wade Hampton (CA)</v>
      </c>
      <c r="O45" s="452" t="str">
        <f t="array" ref="O45">IFERROR(INDEX(UtilityList!L$4:L$251,MATCH('Table 2.3a'!$A45&amp;'Table 2.3a'!$B45&amp;'Table 2.3a'!$C45,UtilityList!$A$4:$A$251&amp;UtilityList!$B$4:$B$251&amp;UtilityList!$C$4:$C$251,0)),INDEX(UtilityList!L$4:L$251,MATCH('Table 2.3a'!$A45&amp;'Table 2.3a'!$C45,UtilityList!$A$4:$A$251&amp;UtilityList!$C$4:$C$251,0)))</f>
        <v>Calista</v>
      </c>
      <c r="P45" s="452" t="str">
        <f t="array" ref="P45">IFERROR(INDEX(UtilityList!M$4:M$251,MATCH('Table 2.3a'!$A45&amp;'Table 2.3a'!$B45&amp;'Table 2.3a'!$C45,UtilityList!$A$4:$A$251&amp;UtilityList!$B$4:$B$251&amp;UtilityList!$C$4:$C$251,0)),INDEX(UtilityList!M$4:M$251,MATCH('Table 2.3a'!$A45&amp;'Table 2.3a'!$C45,UtilityList!$A$4:$A$251&amp;UtilityList!$C$4:$C$251,0)))</f>
        <v>YU</v>
      </c>
      <c r="Q45" s="344"/>
    </row>
    <row r="46" spans="1:17" s="126" customFormat="1" ht="30" customHeight="1" x14ac:dyDescent="0.25">
      <c r="A46" s="360" t="s">
        <v>524</v>
      </c>
      <c r="B46" s="360" t="s">
        <v>67</v>
      </c>
      <c r="C46" s="387" t="s">
        <v>67</v>
      </c>
      <c r="D46" s="637">
        <v>0</v>
      </c>
      <c r="E46" s="638">
        <v>1277.7739999999999</v>
      </c>
      <c r="F46" s="638">
        <v>0</v>
      </c>
      <c r="G46" s="638">
        <v>0</v>
      </c>
      <c r="H46" s="639">
        <f t="shared" si="0"/>
        <v>1277.7739999999999</v>
      </c>
      <c r="I46" s="638">
        <v>31.067</v>
      </c>
      <c r="J46" s="638">
        <f t="shared" si="1"/>
        <v>1308.8409999999999</v>
      </c>
      <c r="K46" s="640" t="s">
        <v>356</v>
      </c>
      <c r="L46" s="627">
        <f t="array" ref="L46">IFERROR(INDEX(UtilityList!Q$4:Q$251,MATCH('Table 2.3a'!$A46&amp;'Table 2.3a'!$B46&amp;'Table 2.3a'!$C46,UtilityList!$A$4:$A$251&amp;UtilityList!$B$4:$B$251&amp;UtilityList!$C$4:$C$251,0)),INDEX(UtilityList!Q$4:Q$251,MATCH('Table 2.3a'!$A46&amp;'Table 2.3a'!$C46,UtilityList!$A$4:$A$251&amp;UtilityList!$C$4:$C$251,0)))</f>
        <v>0</v>
      </c>
      <c r="M46" s="452" t="str">
        <f t="array" ref="M46">IFERROR(INDEX(UtilityList!J$4:J$251,MATCH('Table 2.3a'!$A46&amp;'Table 2.3a'!$B46&amp;'Table 2.3a'!$C46,UtilityList!$A$4:$A$251&amp;UtilityList!$B$4:$B$251&amp;UtilityList!$C$4:$C$251,0)),INDEX(UtilityList!J$4:J$251,MATCH('Table 2.3a'!$A46&amp;'Table 2.3a'!$C46,UtilityList!$A$4:$A$251&amp;UtilityList!$C$4:$C$251,0)))</f>
        <v>Northwest Arctic</v>
      </c>
      <c r="N46" s="452" t="str">
        <f t="array" ref="N46">IFERROR(INDEX(UtilityList!K$4:K$251,MATCH('Table 2.3a'!$A46&amp;'Table 2.3a'!$B46&amp;'Table 2.3a'!$C46,UtilityList!$A$4:$A$251&amp;UtilityList!$B$4:$B$251&amp;UtilityList!$C$4:$C$251,0)),INDEX(UtilityList!K$4:K$251,MATCH('Table 2.3a'!$A46&amp;'Table 2.3a'!$C46,UtilityList!$A$4:$A$251&amp;UtilityList!$C$4:$C$251,0)))</f>
        <v>Northwest Arctic</v>
      </c>
      <c r="O46" s="452" t="str">
        <f t="array" ref="O46">IFERROR(INDEX(UtilityList!L$4:L$251,MATCH('Table 2.3a'!$A46&amp;'Table 2.3a'!$B46&amp;'Table 2.3a'!$C46,UtilityList!$A$4:$A$251&amp;UtilityList!$B$4:$B$251&amp;UtilityList!$C$4:$C$251,0)),INDEX(UtilityList!L$4:L$251,MATCH('Table 2.3a'!$A46&amp;'Table 2.3a'!$C46,UtilityList!$A$4:$A$251&amp;UtilityList!$C$4:$C$251,0)))</f>
        <v>NANA</v>
      </c>
      <c r="P46" s="452" t="str">
        <f t="array" ref="P46">IFERROR(INDEX(UtilityList!M$4:M$251,MATCH('Table 2.3a'!$A46&amp;'Table 2.3a'!$B46&amp;'Table 2.3a'!$C46,UtilityList!$A$4:$A$251&amp;UtilityList!$B$4:$B$251&amp;UtilityList!$C$4:$C$251,0)),INDEX(UtilityList!M$4:M$251,MATCH('Table 2.3a'!$A46&amp;'Table 2.3a'!$C46,UtilityList!$A$4:$A$251&amp;UtilityList!$C$4:$C$251,0)))</f>
        <v>AN</v>
      </c>
      <c r="Q46" s="187"/>
    </row>
    <row r="47" spans="1:17" s="344" customFormat="1" ht="30" customHeight="1" x14ac:dyDescent="0.25">
      <c r="A47" s="360" t="s">
        <v>524</v>
      </c>
      <c r="B47" s="360" t="s">
        <v>68</v>
      </c>
      <c r="C47" s="387" t="s">
        <v>68</v>
      </c>
      <c r="D47" s="637">
        <v>0</v>
      </c>
      <c r="E47" s="638">
        <v>405.42</v>
      </c>
      <c r="F47" s="638">
        <v>0</v>
      </c>
      <c r="G47" s="638">
        <v>0</v>
      </c>
      <c r="H47" s="639">
        <f t="shared" si="0"/>
        <v>405.42</v>
      </c>
      <c r="I47" s="638">
        <v>18.716000000000001</v>
      </c>
      <c r="J47" s="638">
        <f t="shared" si="1"/>
        <v>424.13600000000002</v>
      </c>
      <c r="K47" s="640" t="s">
        <v>356</v>
      </c>
      <c r="L47" s="627">
        <f t="array" ref="L47">IFERROR(INDEX(UtilityList!Q$4:Q$251,MATCH('Table 2.3a'!$A47&amp;'Table 2.3a'!$B47&amp;'Table 2.3a'!$C47,UtilityList!$A$4:$A$251&amp;UtilityList!$B$4:$B$251&amp;UtilityList!$C$4:$C$251,0)),INDEX(UtilityList!Q$4:Q$251,MATCH('Table 2.3a'!$A47&amp;'Table 2.3a'!$C47,UtilityList!$A$4:$A$251&amp;UtilityList!$C$4:$C$251,0)))</f>
        <v>0</v>
      </c>
      <c r="M47" s="452" t="str">
        <f t="array" ref="M47">IFERROR(INDEX(UtilityList!J$4:J$251,MATCH('Table 2.3a'!$A47&amp;'Table 2.3a'!$B47&amp;'Table 2.3a'!$C47,UtilityList!$A$4:$A$251&amp;UtilityList!$B$4:$B$251&amp;UtilityList!$C$4:$C$251,0)),INDEX(UtilityList!J$4:J$251,MATCH('Table 2.3a'!$A47&amp;'Table 2.3a'!$C47,UtilityList!$A$4:$A$251&amp;UtilityList!$C$4:$C$251,0)))</f>
        <v>Yukon-Koyukuk/Upper Tanana</v>
      </c>
      <c r="N47" s="452" t="str">
        <f t="array" ref="N47">IFERROR(INDEX(UtilityList!K$4:K$251,MATCH('Table 2.3a'!$A47&amp;'Table 2.3a'!$B47&amp;'Table 2.3a'!$C47,UtilityList!$A$4:$A$251&amp;UtilityList!$B$4:$B$251&amp;UtilityList!$C$4:$C$251,0)),INDEX(UtilityList!K$4:K$251,MATCH('Table 2.3a'!$A47&amp;'Table 2.3a'!$C47,UtilityList!$A$4:$A$251&amp;UtilityList!$C$4:$C$251,0)))</f>
        <v>Yukon-Koyukuk (CA)</v>
      </c>
      <c r="O47" s="452" t="str">
        <f t="array" ref="O47">IFERROR(INDEX(UtilityList!L$4:L$251,MATCH('Table 2.3a'!$A47&amp;'Table 2.3a'!$B47&amp;'Table 2.3a'!$C47,UtilityList!$A$4:$A$251&amp;UtilityList!$B$4:$B$251&amp;UtilityList!$C$4:$C$251,0)),INDEX(UtilityList!L$4:L$251,MATCH('Table 2.3a'!$A47&amp;'Table 2.3a'!$C47,UtilityList!$A$4:$A$251&amp;UtilityList!$C$4:$C$251,0)))</f>
        <v>Doyon</v>
      </c>
      <c r="P47" s="452" t="str">
        <f t="array" ref="P47">IFERROR(INDEX(UtilityList!M$4:M$251,MATCH('Table 2.3a'!$A47&amp;'Table 2.3a'!$B47&amp;'Table 2.3a'!$C47,UtilityList!$A$4:$A$251&amp;UtilityList!$B$4:$B$251&amp;UtilityList!$C$4:$C$251,0)),INDEX(UtilityList!M$4:M$251,MATCH('Table 2.3a'!$A47&amp;'Table 2.3a'!$C47,UtilityList!$A$4:$A$251&amp;UtilityList!$C$4:$C$251,0)))</f>
        <v>YU</v>
      </c>
    </row>
    <row r="48" spans="1:17" s="344" customFormat="1" ht="30" customHeight="1" x14ac:dyDescent="0.25">
      <c r="A48" s="360" t="s">
        <v>524</v>
      </c>
      <c r="B48" s="360" t="s">
        <v>69</v>
      </c>
      <c r="C48" s="387" t="s">
        <v>69</v>
      </c>
      <c r="D48" s="637">
        <v>0</v>
      </c>
      <c r="E48" s="638">
        <v>1176.3320000000001</v>
      </c>
      <c r="F48" s="638">
        <v>0</v>
      </c>
      <c r="G48" s="638">
        <v>0</v>
      </c>
      <c r="H48" s="639">
        <f t="shared" si="0"/>
        <v>1176.3320000000001</v>
      </c>
      <c r="I48" s="638">
        <v>52.53</v>
      </c>
      <c r="J48" s="638">
        <f t="shared" si="1"/>
        <v>1228.8620000000001</v>
      </c>
      <c r="K48" s="640" t="s">
        <v>356</v>
      </c>
      <c r="L48" s="627">
        <f t="array" ref="L48">IFERROR(INDEX(UtilityList!Q$4:Q$251,MATCH('Table 2.3a'!$A48&amp;'Table 2.3a'!$B48&amp;'Table 2.3a'!$C48,UtilityList!$A$4:$A$251&amp;UtilityList!$B$4:$B$251&amp;UtilityList!$C$4:$C$251,0)),INDEX(UtilityList!Q$4:Q$251,MATCH('Table 2.3a'!$A48&amp;'Table 2.3a'!$C48,UtilityList!$A$4:$A$251&amp;UtilityList!$C$4:$C$251,0)))</f>
        <v>0</v>
      </c>
      <c r="M48" s="452" t="str">
        <f t="array" ref="M48">IFERROR(INDEX(UtilityList!J$4:J$251,MATCH('Table 2.3a'!$A48&amp;'Table 2.3a'!$B48&amp;'Table 2.3a'!$C48,UtilityList!$A$4:$A$251&amp;UtilityList!$B$4:$B$251&amp;UtilityList!$C$4:$C$251,0)),INDEX(UtilityList!J$4:J$251,MATCH('Table 2.3a'!$A48&amp;'Table 2.3a'!$C48,UtilityList!$A$4:$A$251&amp;UtilityList!$C$4:$C$251,0)))</f>
        <v>Bering Straits</v>
      </c>
      <c r="N48" s="452" t="str">
        <f t="array" ref="N48">IFERROR(INDEX(UtilityList!K$4:K$251,MATCH('Table 2.3a'!$A48&amp;'Table 2.3a'!$B48&amp;'Table 2.3a'!$C48,UtilityList!$A$4:$A$251&amp;UtilityList!$B$4:$B$251&amp;UtilityList!$C$4:$C$251,0)),INDEX(UtilityList!K$4:K$251,MATCH('Table 2.3a'!$A48&amp;'Table 2.3a'!$C48,UtilityList!$A$4:$A$251&amp;UtilityList!$C$4:$C$251,0)))</f>
        <v>Nome (CA)</v>
      </c>
      <c r="O48" s="452" t="str">
        <f t="array" ref="O48">IFERROR(INDEX(UtilityList!L$4:L$251,MATCH('Table 2.3a'!$A48&amp;'Table 2.3a'!$B48&amp;'Table 2.3a'!$C48,UtilityList!$A$4:$A$251&amp;UtilityList!$B$4:$B$251&amp;UtilityList!$C$4:$C$251,0)),INDEX(UtilityList!L$4:L$251,MATCH('Table 2.3a'!$A48&amp;'Table 2.3a'!$C48,UtilityList!$A$4:$A$251&amp;UtilityList!$C$4:$C$251,0)))</f>
        <v>Bering Straits</v>
      </c>
      <c r="P48" s="452" t="str">
        <f t="array" ref="P48">IFERROR(INDEX(UtilityList!M$4:M$251,MATCH('Table 2.3a'!$A48&amp;'Table 2.3a'!$B48&amp;'Table 2.3a'!$C48,UtilityList!$A$4:$A$251&amp;UtilityList!$B$4:$B$251&amp;UtilityList!$C$4:$C$251,0)),INDEX(UtilityList!M$4:M$251,MATCH('Table 2.3a'!$A48&amp;'Table 2.3a'!$C48,UtilityList!$A$4:$A$251&amp;UtilityList!$C$4:$C$251,0)))</f>
        <v>AN</v>
      </c>
      <c r="Q48" s="187"/>
    </row>
    <row r="49" spans="1:17" s="187" customFormat="1" ht="30" customHeight="1" x14ac:dyDescent="0.25">
      <c r="A49" s="360" t="s">
        <v>524</v>
      </c>
      <c r="B49" s="360" t="s">
        <v>70</v>
      </c>
      <c r="C49" s="387" t="s">
        <v>70</v>
      </c>
      <c r="D49" s="637">
        <v>0</v>
      </c>
      <c r="E49" s="638">
        <v>1657.2670000000001</v>
      </c>
      <c r="F49" s="638">
        <v>0</v>
      </c>
      <c r="G49" s="638">
        <v>741.62900000000002</v>
      </c>
      <c r="H49" s="639">
        <f t="shared" si="0"/>
        <v>2398.8960000000002</v>
      </c>
      <c r="I49" s="638">
        <v>98.623000000000005</v>
      </c>
      <c r="J49" s="638">
        <f t="shared" si="1"/>
        <v>2497.5190000000002</v>
      </c>
      <c r="K49" s="640" t="s">
        <v>356</v>
      </c>
      <c r="L49" s="627">
        <f t="array" ref="L49">IFERROR(INDEX(UtilityList!Q$4:Q$251,MATCH('Table 2.3a'!$A49&amp;'Table 2.3a'!$B49&amp;'Table 2.3a'!$C49,UtilityList!$A$4:$A$251&amp;UtilityList!$B$4:$B$251&amp;UtilityList!$C$4:$C$251,0)),INDEX(UtilityList!Q$4:Q$251,MATCH('Table 2.3a'!$A49&amp;'Table 2.3a'!$C49,UtilityList!$A$4:$A$251&amp;UtilityList!$C$4:$C$251,0)))</f>
        <v>0</v>
      </c>
      <c r="M49" s="452" t="str">
        <f t="array" ref="M49">IFERROR(INDEX(UtilityList!J$4:J$251,MATCH('Table 2.3a'!$A49&amp;'Table 2.3a'!$B49&amp;'Table 2.3a'!$C49,UtilityList!$A$4:$A$251&amp;UtilityList!$B$4:$B$251&amp;UtilityList!$C$4:$C$251,0)),INDEX(UtilityList!J$4:J$251,MATCH('Table 2.3a'!$A49&amp;'Table 2.3a'!$C49,UtilityList!$A$4:$A$251&amp;UtilityList!$C$4:$C$251,0)))</f>
        <v>Lower Yukon-Kuskokwim</v>
      </c>
      <c r="N49" s="452" t="str">
        <f t="array" ref="N49">IFERROR(INDEX(UtilityList!K$4:K$251,MATCH('Table 2.3a'!$A49&amp;'Table 2.3a'!$B49&amp;'Table 2.3a'!$C49,UtilityList!$A$4:$A$251&amp;UtilityList!$B$4:$B$251&amp;UtilityList!$C$4:$C$251,0)),INDEX(UtilityList!K$4:K$251,MATCH('Table 2.3a'!$A49&amp;'Table 2.3a'!$C49,UtilityList!$A$4:$A$251&amp;UtilityList!$C$4:$C$251,0)))</f>
        <v>Wade Hampton (CA)</v>
      </c>
      <c r="O49" s="452" t="str">
        <f t="array" ref="O49">IFERROR(INDEX(UtilityList!L$4:L$251,MATCH('Table 2.3a'!$A49&amp;'Table 2.3a'!$B49&amp;'Table 2.3a'!$C49,UtilityList!$A$4:$A$251&amp;UtilityList!$B$4:$B$251&amp;UtilityList!$C$4:$C$251,0)),INDEX(UtilityList!L$4:L$251,MATCH('Table 2.3a'!$A49&amp;'Table 2.3a'!$C49,UtilityList!$A$4:$A$251&amp;UtilityList!$C$4:$C$251,0)))</f>
        <v>Calista</v>
      </c>
      <c r="P49" s="452" t="str">
        <f t="array" ref="P49">IFERROR(INDEX(UtilityList!M$4:M$251,MATCH('Table 2.3a'!$A49&amp;'Table 2.3a'!$B49&amp;'Table 2.3a'!$C49,UtilityList!$A$4:$A$251&amp;UtilityList!$B$4:$B$251&amp;UtilityList!$C$4:$C$251,0)),INDEX(UtilityList!M$4:M$251,MATCH('Table 2.3a'!$A49&amp;'Table 2.3a'!$C49,UtilityList!$A$4:$A$251&amp;UtilityList!$C$4:$C$251,0)))</f>
        <v>YU</v>
      </c>
    </row>
    <row r="50" spans="1:17" s="187" customFormat="1" ht="30" customHeight="1" x14ac:dyDescent="0.25">
      <c r="A50" s="360" t="s">
        <v>524</v>
      </c>
      <c r="B50" s="360" t="s">
        <v>71</v>
      </c>
      <c r="C50" s="387" t="s">
        <v>71</v>
      </c>
      <c r="D50" s="637">
        <v>0</v>
      </c>
      <c r="E50" s="638">
        <v>800.57799999999997</v>
      </c>
      <c r="F50" s="638">
        <v>0</v>
      </c>
      <c r="G50" s="638">
        <v>0</v>
      </c>
      <c r="H50" s="639">
        <f t="shared" si="0"/>
        <v>800.57799999999997</v>
      </c>
      <c r="I50" s="638">
        <v>12.875</v>
      </c>
      <c r="J50" s="638">
        <f t="shared" si="1"/>
        <v>813.45299999999997</v>
      </c>
      <c r="K50" s="640" t="s">
        <v>356</v>
      </c>
      <c r="L50" s="627">
        <f t="array" ref="L50">IFERROR(INDEX(UtilityList!Q$4:Q$251,MATCH('Table 2.3a'!$A50&amp;'Table 2.3a'!$B50&amp;'Table 2.3a'!$C50,UtilityList!$A$4:$A$251&amp;UtilityList!$B$4:$B$251&amp;UtilityList!$C$4:$C$251,0)),INDEX(UtilityList!Q$4:Q$251,MATCH('Table 2.3a'!$A50&amp;'Table 2.3a'!$C50,UtilityList!$A$4:$A$251&amp;UtilityList!$C$4:$C$251,0)))</f>
        <v>0</v>
      </c>
      <c r="M50" s="452" t="str">
        <f t="array" ref="M50">IFERROR(INDEX(UtilityList!J$4:J$251,MATCH('Table 2.3a'!$A50&amp;'Table 2.3a'!$B50&amp;'Table 2.3a'!$C50,UtilityList!$A$4:$A$251&amp;UtilityList!$B$4:$B$251&amp;UtilityList!$C$4:$C$251,0)),INDEX(UtilityList!J$4:J$251,MATCH('Table 2.3a'!$A50&amp;'Table 2.3a'!$C50,UtilityList!$A$4:$A$251&amp;UtilityList!$C$4:$C$251,0)))</f>
        <v>Lower Yukon-Kuskokwim</v>
      </c>
      <c r="N50" s="452" t="str">
        <f t="array" ref="N50">IFERROR(INDEX(UtilityList!K$4:K$251,MATCH('Table 2.3a'!$A50&amp;'Table 2.3a'!$B50&amp;'Table 2.3a'!$C50,UtilityList!$A$4:$A$251&amp;UtilityList!$B$4:$B$251&amp;UtilityList!$C$4:$C$251,0)),INDEX(UtilityList!K$4:K$251,MATCH('Table 2.3a'!$A50&amp;'Table 2.3a'!$C50,UtilityList!$A$4:$A$251&amp;UtilityList!$C$4:$C$251,0)))</f>
        <v>Bethel (CA)</v>
      </c>
      <c r="O50" s="452" t="str">
        <f t="array" ref="O50">IFERROR(INDEX(UtilityList!L$4:L$251,MATCH('Table 2.3a'!$A50&amp;'Table 2.3a'!$B50&amp;'Table 2.3a'!$C50,UtilityList!$A$4:$A$251&amp;UtilityList!$B$4:$B$251&amp;UtilityList!$C$4:$C$251,0)),INDEX(UtilityList!L$4:L$251,MATCH('Table 2.3a'!$A50&amp;'Table 2.3a'!$C50,UtilityList!$A$4:$A$251&amp;UtilityList!$C$4:$C$251,0)))</f>
        <v>Calista</v>
      </c>
      <c r="P50" s="452" t="str">
        <f t="array" ref="P50">IFERROR(INDEX(UtilityList!M$4:M$251,MATCH('Table 2.3a'!$A50&amp;'Table 2.3a'!$B50&amp;'Table 2.3a'!$C50,UtilityList!$A$4:$A$251&amp;UtilityList!$B$4:$B$251&amp;UtilityList!$C$4:$C$251,0)),INDEX(UtilityList!M$4:M$251,MATCH('Table 2.3a'!$A50&amp;'Table 2.3a'!$C50,UtilityList!$A$4:$A$251&amp;UtilityList!$C$4:$C$251,0)))</f>
        <v>SW</v>
      </c>
      <c r="Q50" s="344"/>
    </row>
    <row r="51" spans="1:17" s="126" customFormat="1" ht="30" customHeight="1" x14ac:dyDescent="0.25">
      <c r="A51" s="360" t="s">
        <v>524</v>
      </c>
      <c r="B51" s="360" t="s">
        <v>173</v>
      </c>
      <c r="C51" s="387" t="s">
        <v>173</v>
      </c>
      <c r="D51" s="637">
        <v>0</v>
      </c>
      <c r="E51" s="638">
        <v>261.51549999999997</v>
      </c>
      <c r="F51" s="638">
        <v>0</v>
      </c>
      <c r="G51" s="638">
        <v>0</v>
      </c>
      <c r="H51" s="639">
        <f t="shared" si="0"/>
        <v>261.51549999999997</v>
      </c>
      <c r="I51" s="638">
        <v>22.472455</v>
      </c>
      <c r="J51" s="638">
        <f t="shared" si="1"/>
        <v>283.987955</v>
      </c>
      <c r="K51" s="640" t="s">
        <v>356</v>
      </c>
      <c r="L51" s="627">
        <f t="array" ref="L51">IFERROR(INDEX(UtilityList!Q$4:Q$251,MATCH('Table 2.3a'!$A51&amp;'Table 2.3a'!$B51&amp;'Table 2.3a'!$C51,UtilityList!$A$4:$A$251&amp;UtilityList!$B$4:$B$251&amp;UtilityList!$C$4:$C$251,0)),INDEX(UtilityList!Q$4:Q$251,MATCH('Table 2.3a'!$A51&amp;'Table 2.3a'!$C51,UtilityList!$A$4:$A$251&amp;UtilityList!$C$4:$C$251,0)))</f>
        <v>0</v>
      </c>
      <c r="M51" s="452" t="str">
        <f t="array" ref="M51">IFERROR(INDEX(UtilityList!J$4:J$251,MATCH('Table 2.3a'!$A51&amp;'Table 2.3a'!$B51&amp;'Table 2.3a'!$C51,UtilityList!$A$4:$A$251&amp;UtilityList!$B$4:$B$251&amp;UtilityList!$C$4:$C$251,0)),INDEX(UtilityList!J$4:J$251,MATCH('Table 2.3a'!$A51&amp;'Table 2.3a'!$C51,UtilityList!$A$4:$A$251&amp;UtilityList!$C$4:$C$251,0)))</f>
        <v>Bristol Bay</v>
      </c>
      <c r="N51" s="452" t="str">
        <f t="array" ref="N51">IFERROR(INDEX(UtilityList!K$4:K$251,MATCH('Table 2.3a'!$A51&amp;'Table 2.3a'!$B51&amp;'Table 2.3a'!$C51,UtilityList!$A$4:$A$251&amp;UtilityList!$B$4:$B$251&amp;UtilityList!$C$4:$C$251,0)),INDEX(UtilityList!K$4:K$251,MATCH('Table 2.3a'!$A51&amp;'Table 2.3a'!$C51,UtilityList!$A$4:$A$251&amp;UtilityList!$C$4:$C$251,0)))</f>
        <v>Dillingham (CA)</v>
      </c>
      <c r="O51" s="452" t="str">
        <f t="array" ref="O51">IFERROR(INDEX(UtilityList!L$4:L$251,MATCH('Table 2.3a'!$A51&amp;'Table 2.3a'!$B51&amp;'Table 2.3a'!$C51,UtilityList!$A$4:$A$251&amp;UtilityList!$B$4:$B$251&amp;UtilityList!$C$4:$C$251,0)),INDEX(UtilityList!L$4:L$251,MATCH('Table 2.3a'!$A51&amp;'Table 2.3a'!$C51,UtilityList!$A$4:$A$251&amp;UtilityList!$C$4:$C$251,0)))</f>
        <v>Bristol Bay</v>
      </c>
      <c r="P51" s="452" t="str">
        <f t="array" ref="P51">IFERROR(INDEX(UtilityList!M$4:M$251,MATCH('Table 2.3a'!$A51&amp;'Table 2.3a'!$B51&amp;'Table 2.3a'!$C51,UtilityList!$A$4:$A$251&amp;UtilityList!$B$4:$B$251&amp;UtilityList!$C$4:$C$251,0)),INDEX(UtilityList!M$4:M$251,MATCH('Table 2.3a'!$A51&amp;'Table 2.3a'!$C51,UtilityList!$A$4:$A$251&amp;UtilityList!$C$4:$C$251,0)))</f>
        <v>SW</v>
      </c>
      <c r="Q51" s="344"/>
    </row>
    <row r="52" spans="1:17" s="126" customFormat="1" ht="30" customHeight="1" x14ac:dyDescent="0.25">
      <c r="A52" s="360" t="s">
        <v>524</v>
      </c>
      <c r="B52" s="360" t="s">
        <v>72</v>
      </c>
      <c r="C52" s="387" t="s">
        <v>72</v>
      </c>
      <c r="D52" s="637">
        <v>0</v>
      </c>
      <c r="E52" s="638">
        <v>1159.4449999999999</v>
      </c>
      <c r="F52" s="638">
        <v>0</v>
      </c>
      <c r="G52" s="638">
        <v>0</v>
      </c>
      <c r="H52" s="639">
        <f t="shared" si="0"/>
        <v>1159.4449999999999</v>
      </c>
      <c r="I52" s="638">
        <v>15.848000000000001</v>
      </c>
      <c r="J52" s="638">
        <f t="shared" si="1"/>
        <v>1175.2929999999999</v>
      </c>
      <c r="K52" s="640" t="s">
        <v>356</v>
      </c>
      <c r="L52" s="627">
        <f t="array" ref="L52">IFERROR(INDEX(UtilityList!Q$4:Q$251,MATCH('Table 2.3a'!$A52&amp;'Table 2.3a'!$B52&amp;'Table 2.3a'!$C52,UtilityList!$A$4:$A$251&amp;UtilityList!$B$4:$B$251&amp;UtilityList!$C$4:$C$251,0)),INDEX(UtilityList!Q$4:Q$251,MATCH('Table 2.3a'!$A52&amp;'Table 2.3a'!$C52,UtilityList!$A$4:$A$251&amp;UtilityList!$C$4:$C$251,0)))</f>
        <v>0</v>
      </c>
      <c r="M52" s="452" t="str">
        <f t="array" ref="M52">IFERROR(INDEX(UtilityList!J$4:J$251,MATCH('Table 2.3a'!$A52&amp;'Table 2.3a'!$B52&amp;'Table 2.3a'!$C52,UtilityList!$A$4:$A$251&amp;UtilityList!$B$4:$B$251&amp;UtilityList!$C$4:$C$251,0)),INDEX(UtilityList!J$4:J$251,MATCH('Table 2.3a'!$A52&amp;'Table 2.3a'!$C52,UtilityList!$A$4:$A$251&amp;UtilityList!$C$4:$C$251,0)))</f>
        <v>Bering Straits</v>
      </c>
      <c r="N52" s="452" t="str">
        <f t="array" ref="N52">IFERROR(INDEX(UtilityList!K$4:K$251,MATCH('Table 2.3a'!$A52&amp;'Table 2.3a'!$B52&amp;'Table 2.3a'!$C52,UtilityList!$A$4:$A$251&amp;UtilityList!$B$4:$B$251&amp;UtilityList!$C$4:$C$251,0)),INDEX(UtilityList!K$4:K$251,MATCH('Table 2.3a'!$A52&amp;'Table 2.3a'!$C52,UtilityList!$A$4:$A$251&amp;UtilityList!$C$4:$C$251,0)))</f>
        <v>Nome (CA)</v>
      </c>
      <c r="O52" s="452" t="str">
        <f t="array" ref="O52">IFERROR(INDEX(UtilityList!L$4:L$251,MATCH('Table 2.3a'!$A52&amp;'Table 2.3a'!$B52&amp;'Table 2.3a'!$C52,UtilityList!$A$4:$A$251&amp;UtilityList!$B$4:$B$251&amp;UtilityList!$C$4:$C$251,0)),INDEX(UtilityList!L$4:L$251,MATCH('Table 2.3a'!$A52&amp;'Table 2.3a'!$C52,UtilityList!$A$4:$A$251&amp;UtilityList!$C$4:$C$251,0)))</f>
        <v>Bering Straits</v>
      </c>
      <c r="P52" s="452" t="str">
        <f t="array" ref="P52">IFERROR(INDEX(UtilityList!M$4:M$251,MATCH('Table 2.3a'!$A52&amp;'Table 2.3a'!$B52&amp;'Table 2.3a'!$C52,UtilityList!$A$4:$A$251&amp;UtilityList!$B$4:$B$251&amp;UtilityList!$C$4:$C$251,0)),INDEX(UtilityList!M$4:M$251,MATCH('Table 2.3a'!$A52&amp;'Table 2.3a'!$C52,UtilityList!$A$4:$A$251&amp;UtilityList!$C$4:$C$251,0)))</f>
        <v>AN</v>
      </c>
      <c r="Q52" s="187"/>
    </row>
    <row r="53" spans="1:17" s="187" customFormat="1" ht="30" customHeight="1" x14ac:dyDescent="0.25">
      <c r="A53" s="360" t="s">
        <v>524</v>
      </c>
      <c r="B53" s="360" t="s">
        <v>73</v>
      </c>
      <c r="C53" s="387" t="s">
        <v>73</v>
      </c>
      <c r="D53" s="637">
        <v>0</v>
      </c>
      <c r="E53" s="638">
        <v>3089.884</v>
      </c>
      <c r="F53" s="638">
        <v>0</v>
      </c>
      <c r="G53" s="638">
        <v>80.325000000000003</v>
      </c>
      <c r="H53" s="639">
        <f t="shared" si="0"/>
        <v>3170.2089999999998</v>
      </c>
      <c r="I53" s="638">
        <v>49.854999999999997</v>
      </c>
      <c r="J53" s="638">
        <f t="shared" si="1"/>
        <v>3220.0639999999999</v>
      </c>
      <c r="K53" s="640" t="s">
        <v>356</v>
      </c>
      <c r="L53" s="627">
        <f t="array" ref="L53">IFERROR(INDEX(UtilityList!Q$4:Q$251,MATCH('Table 2.3a'!$A53&amp;'Table 2.3a'!$B53&amp;'Table 2.3a'!$C53,UtilityList!$A$4:$A$251&amp;UtilityList!$B$4:$B$251&amp;UtilityList!$C$4:$C$251,0)),INDEX(UtilityList!Q$4:Q$251,MATCH('Table 2.3a'!$A53&amp;'Table 2.3a'!$C53,UtilityList!$A$4:$A$251&amp;UtilityList!$C$4:$C$251,0)))</f>
        <v>0</v>
      </c>
      <c r="M53" s="452" t="str">
        <f t="array" ref="M53">IFERROR(INDEX(UtilityList!J$4:J$251,MATCH('Table 2.3a'!$A53&amp;'Table 2.3a'!$B53&amp;'Table 2.3a'!$C53,UtilityList!$A$4:$A$251&amp;UtilityList!$B$4:$B$251&amp;UtilityList!$C$4:$C$251,0)),INDEX(UtilityList!J$4:J$251,MATCH('Table 2.3a'!$A53&amp;'Table 2.3a'!$C53,UtilityList!$A$4:$A$251&amp;UtilityList!$C$4:$C$251,0)))</f>
        <v>Lower Yukon-Kuskokwim</v>
      </c>
      <c r="N53" s="452" t="str">
        <f t="array" ref="N53">IFERROR(INDEX(UtilityList!K$4:K$251,MATCH('Table 2.3a'!$A53&amp;'Table 2.3a'!$B53&amp;'Table 2.3a'!$C53,UtilityList!$A$4:$A$251&amp;UtilityList!$B$4:$B$251&amp;UtilityList!$C$4:$C$251,0)),INDEX(UtilityList!K$4:K$251,MATCH('Table 2.3a'!$A53&amp;'Table 2.3a'!$C53,UtilityList!$A$4:$A$251&amp;UtilityList!$C$4:$C$251,0)))</f>
        <v>Wade Hampton (CA)</v>
      </c>
      <c r="O53" s="452" t="str">
        <f t="array" ref="O53">IFERROR(INDEX(UtilityList!L$4:L$251,MATCH('Table 2.3a'!$A53&amp;'Table 2.3a'!$B53&amp;'Table 2.3a'!$C53,UtilityList!$A$4:$A$251&amp;UtilityList!$B$4:$B$251&amp;UtilityList!$C$4:$C$251,0)),INDEX(UtilityList!L$4:L$251,MATCH('Table 2.3a'!$A53&amp;'Table 2.3a'!$C53,UtilityList!$A$4:$A$251&amp;UtilityList!$C$4:$C$251,0)))</f>
        <v>Calista</v>
      </c>
      <c r="P53" s="452" t="str">
        <f t="array" ref="P53">IFERROR(INDEX(UtilityList!M$4:M$251,MATCH('Table 2.3a'!$A53&amp;'Table 2.3a'!$B53&amp;'Table 2.3a'!$C53,UtilityList!$A$4:$A$251&amp;UtilityList!$B$4:$B$251&amp;UtilityList!$C$4:$C$251,0)),INDEX(UtilityList!M$4:M$251,MATCH('Table 2.3a'!$A53&amp;'Table 2.3a'!$C53,UtilityList!$A$4:$A$251&amp;UtilityList!$C$4:$C$251,0)))</f>
        <v>YU</v>
      </c>
      <c r="Q53" s="344"/>
    </row>
    <row r="54" spans="1:17" s="187" customFormat="1" ht="30" x14ac:dyDescent="0.25">
      <c r="A54" s="360" t="s">
        <v>524</v>
      </c>
      <c r="B54" s="360" t="s">
        <v>74</v>
      </c>
      <c r="C54" s="387" t="s">
        <v>74</v>
      </c>
      <c r="D54" s="637">
        <v>0</v>
      </c>
      <c r="E54" s="638">
        <v>1495.8810000000001</v>
      </c>
      <c r="F54" s="638">
        <v>0</v>
      </c>
      <c r="G54" s="638">
        <v>387.20400000000001</v>
      </c>
      <c r="H54" s="639">
        <f t="shared" si="0"/>
        <v>1883.085</v>
      </c>
      <c r="I54" s="638">
        <v>110.211</v>
      </c>
      <c r="J54" s="638">
        <f t="shared" si="1"/>
        <v>1993.296</v>
      </c>
      <c r="K54" s="640" t="s">
        <v>356</v>
      </c>
      <c r="L54" s="627">
        <f t="array" ref="L54">IFERROR(INDEX(UtilityList!Q$4:Q$251,MATCH('Table 2.3a'!$A54&amp;'Table 2.3a'!$B54&amp;'Table 2.3a'!$C54,UtilityList!$A$4:$A$251&amp;UtilityList!$B$4:$B$251&amp;UtilityList!$C$4:$C$251,0)),INDEX(UtilityList!Q$4:Q$251,MATCH('Table 2.3a'!$A54&amp;'Table 2.3a'!$C54,UtilityList!$A$4:$A$251&amp;UtilityList!$C$4:$C$251,0)))</f>
        <v>0</v>
      </c>
      <c r="M54" s="452" t="str">
        <f t="array" ref="M54">IFERROR(INDEX(UtilityList!J$4:J$251,MATCH('Table 2.3a'!$A54&amp;'Table 2.3a'!$B54&amp;'Table 2.3a'!$C54,UtilityList!$A$4:$A$251&amp;UtilityList!$B$4:$B$251&amp;UtilityList!$C$4:$C$251,0)),INDEX(UtilityList!J$4:J$251,MATCH('Table 2.3a'!$A54&amp;'Table 2.3a'!$C54,UtilityList!$A$4:$A$251&amp;UtilityList!$C$4:$C$251,0)))</f>
        <v>Bering Straits</v>
      </c>
      <c r="N54" s="452" t="str">
        <f t="array" ref="N54">IFERROR(INDEX(UtilityList!K$4:K$251,MATCH('Table 2.3a'!$A54&amp;'Table 2.3a'!$B54&amp;'Table 2.3a'!$C54,UtilityList!$A$4:$A$251&amp;UtilityList!$B$4:$B$251&amp;UtilityList!$C$4:$C$251,0)),INDEX(UtilityList!K$4:K$251,MATCH('Table 2.3a'!$A54&amp;'Table 2.3a'!$C54,UtilityList!$A$4:$A$251&amp;UtilityList!$C$4:$C$251,0)))</f>
        <v>Nome (CA)</v>
      </c>
      <c r="O54" s="452" t="str">
        <f t="array" ref="O54">IFERROR(INDEX(UtilityList!L$4:L$251,MATCH('Table 2.3a'!$A54&amp;'Table 2.3a'!$B54&amp;'Table 2.3a'!$C54,UtilityList!$A$4:$A$251&amp;UtilityList!$B$4:$B$251&amp;UtilityList!$C$4:$C$251,0)),INDEX(UtilityList!L$4:L$251,MATCH('Table 2.3a'!$A54&amp;'Table 2.3a'!$C54,UtilityList!$A$4:$A$251&amp;UtilityList!$C$4:$C$251,0)))</f>
        <v>Bering Straits</v>
      </c>
      <c r="P54" s="452" t="str">
        <f t="array" ref="P54">IFERROR(INDEX(UtilityList!M$4:M$251,MATCH('Table 2.3a'!$A54&amp;'Table 2.3a'!$B54&amp;'Table 2.3a'!$C54,UtilityList!$A$4:$A$251&amp;UtilityList!$B$4:$B$251&amp;UtilityList!$C$4:$C$251,0)),INDEX(UtilityList!M$4:M$251,MATCH('Table 2.3a'!$A54&amp;'Table 2.3a'!$C54,UtilityList!$A$4:$A$251&amp;UtilityList!$C$4:$C$251,0)))</f>
        <v>AN</v>
      </c>
      <c r="Q54" s="344"/>
    </row>
    <row r="55" spans="1:17" s="344" customFormat="1" ht="30" customHeight="1" x14ac:dyDescent="0.25">
      <c r="A55" s="360" t="s">
        <v>524</v>
      </c>
      <c r="B55" s="360" t="s">
        <v>75</v>
      </c>
      <c r="C55" s="387" t="s">
        <v>75</v>
      </c>
      <c r="D55" s="637">
        <v>0</v>
      </c>
      <c r="E55" s="638">
        <v>773.07299999999998</v>
      </c>
      <c r="F55" s="638">
        <v>0</v>
      </c>
      <c r="G55" s="638">
        <v>0</v>
      </c>
      <c r="H55" s="639">
        <f t="shared" si="0"/>
        <v>773.07299999999998</v>
      </c>
      <c r="I55" s="638">
        <v>14.411</v>
      </c>
      <c r="J55" s="638">
        <f t="shared" si="1"/>
        <v>787.48399999999992</v>
      </c>
      <c r="K55" s="640" t="s">
        <v>356</v>
      </c>
      <c r="L55" s="627">
        <f t="array" ref="L55">IFERROR(INDEX(UtilityList!Q$4:Q$251,MATCH('Table 2.3a'!$A55&amp;'Table 2.3a'!$B55&amp;'Table 2.3a'!$C55,UtilityList!$A$4:$A$251&amp;UtilityList!$B$4:$B$251&amp;UtilityList!$C$4:$C$251,0)),INDEX(UtilityList!Q$4:Q$251,MATCH('Table 2.3a'!$A55&amp;'Table 2.3a'!$C55,UtilityList!$A$4:$A$251&amp;UtilityList!$C$4:$C$251,0)))</f>
        <v>0</v>
      </c>
      <c r="M55" s="452" t="str">
        <f t="array" ref="M55">IFERROR(INDEX(UtilityList!J$4:J$251,MATCH('Table 2.3a'!$A55&amp;'Table 2.3a'!$B55&amp;'Table 2.3a'!$C55,UtilityList!$A$4:$A$251&amp;UtilityList!$B$4:$B$251&amp;UtilityList!$C$4:$C$251,0)),INDEX(UtilityList!J$4:J$251,MATCH('Table 2.3a'!$A55&amp;'Table 2.3a'!$C55,UtilityList!$A$4:$A$251&amp;UtilityList!$C$4:$C$251,0)))</f>
        <v>Lower Yukon-Kuskokwim</v>
      </c>
      <c r="N55" s="452" t="str">
        <f t="array" ref="N55">IFERROR(INDEX(UtilityList!K$4:K$251,MATCH('Table 2.3a'!$A55&amp;'Table 2.3a'!$B55&amp;'Table 2.3a'!$C55,UtilityList!$A$4:$A$251&amp;UtilityList!$B$4:$B$251&amp;UtilityList!$C$4:$C$251,0)),INDEX(UtilityList!K$4:K$251,MATCH('Table 2.3a'!$A55&amp;'Table 2.3a'!$C55,UtilityList!$A$4:$A$251&amp;UtilityList!$C$4:$C$251,0)))</f>
        <v>Bethel (CA)</v>
      </c>
      <c r="O55" s="452" t="str">
        <f t="array" ref="O55">IFERROR(INDEX(UtilityList!L$4:L$251,MATCH('Table 2.3a'!$A55&amp;'Table 2.3a'!$B55&amp;'Table 2.3a'!$C55,UtilityList!$A$4:$A$251&amp;UtilityList!$B$4:$B$251&amp;UtilityList!$C$4:$C$251,0)),INDEX(UtilityList!L$4:L$251,MATCH('Table 2.3a'!$A55&amp;'Table 2.3a'!$C55,UtilityList!$A$4:$A$251&amp;UtilityList!$C$4:$C$251,0)))</f>
        <v>Calista</v>
      </c>
      <c r="P55" s="452" t="str">
        <f t="array" ref="P55">IFERROR(INDEX(UtilityList!M$4:M$251,MATCH('Table 2.3a'!$A55&amp;'Table 2.3a'!$B55&amp;'Table 2.3a'!$C55,UtilityList!$A$4:$A$251&amp;UtilityList!$B$4:$B$251&amp;UtilityList!$C$4:$C$251,0)),INDEX(UtilityList!M$4:M$251,MATCH('Table 2.3a'!$A55&amp;'Table 2.3a'!$C55,UtilityList!$A$4:$A$251&amp;UtilityList!$C$4:$C$251,0)))</f>
        <v>SW</v>
      </c>
    </row>
    <row r="56" spans="1:17" s="344" customFormat="1" ht="30" customHeight="1" x14ac:dyDescent="0.25">
      <c r="A56" s="360" t="s">
        <v>524</v>
      </c>
      <c r="B56" s="360" t="s">
        <v>76</v>
      </c>
      <c r="C56" s="387" t="s">
        <v>76</v>
      </c>
      <c r="D56" s="637">
        <v>0</v>
      </c>
      <c r="E56" s="638">
        <v>569.04700000000003</v>
      </c>
      <c r="F56" s="638">
        <v>0</v>
      </c>
      <c r="G56" s="638">
        <v>0</v>
      </c>
      <c r="H56" s="639">
        <f t="shared" si="0"/>
        <v>569.04700000000003</v>
      </c>
      <c r="I56" s="638">
        <v>15.981999999999999</v>
      </c>
      <c r="J56" s="638">
        <f t="shared" si="1"/>
        <v>585.029</v>
      </c>
      <c r="K56" s="640" t="s">
        <v>356</v>
      </c>
      <c r="L56" s="627">
        <f t="array" ref="L56">IFERROR(INDEX(UtilityList!Q$4:Q$251,MATCH('Table 2.3a'!$A56&amp;'Table 2.3a'!$B56&amp;'Table 2.3a'!$C56,UtilityList!$A$4:$A$251&amp;UtilityList!$B$4:$B$251&amp;UtilityList!$C$4:$C$251,0)),INDEX(UtilityList!Q$4:Q$251,MATCH('Table 2.3a'!$A56&amp;'Table 2.3a'!$C56,UtilityList!$A$4:$A$251&amp;UtilityList!$C$4:$C$251,0)))</f>
        <v>0</v>
      </c>
      <c r="M56" s="452" t="str">
        <f t="array" ref="M56">IFERROR(INDEX(UtilityList!J$4:J$251,MATCH('Table 2.3a'!$A56&amp;'Table 2.3a'!$B56&amp;'Table 2.3a'!$C56,UtilityList!$A$4:$A$251&amp;UtilityList!$B$4:$B$251&amp;UtilityList!$C$4:$C$251,0)),INDEX(UtilityList!J$4:J$251,MATCH('Table 2.3a'!$A56&amp;'Table 2.3a'!$C56,UtilityList!$A$4:$A$251&amp;UtilityList!$C$4:$C$251,0)))</f>
        <v>Yukon-Koyukuk/Upper Tanana</v>
      </c>
      <c r="N56" s="452" t="str">
        <f t="array" ref="N56">IFERROR(INDEX(UtilityList!K$4:K$251,MATCH('Table 2.3a'!$A56&amp;'Table 2.3a'!$B56&amp;'Table 2.3a'!$C56,UtilityList!$A$4:$A$251&amp;UtilityList!$B$4:$B$251&amp;UtilityList!$C$4:$C$251,0)),INDEX(UtilityList!K$4:K$251,MATCH('Table 2.3a'!$A56&amp;'Table 2.3a'!$C56,UtilityList!$A$4:$A$251&amp;UtilityList!$C$4:$C$251,0)))</f>
        <v>Yukon-Koyukuk (CA)</v>
      </c>
      <c r="O56" s="452" t="str">
        <f t="array" ref="O56">IFERROR(INDEX(UtilityList!L$4:L$251,MATCH('Table 2.3a'!$A56&amp;'Table 2.3a'!$B56&amp;'Table 2.3a'!$C56,UtilityList!$A$4:$A$251&amp;UtilityList!$B$4:$B$251&amp;UtilityList!$C$4:$C$251,0)),INDEX(UtilityList!L$4:L$251,MATCH('Table 2.3a'!$A56&amp;'Table 2.3a'!$C56,UtilityList!$A$4:$A$251&amp;UtilityList!$C$4:$C$251,0)))</f>
        <v>Doyon</v>
      </c>
      <c r="P56" s="452" t="str">
        <f t="array" ref="P56">IFERROR(INDEX(UtilityList!M$4:M$251,MATCH('Table 2.3a'!$A56&amp;'Table 2.3a'!$B56&amp;'Table 2.3a'!$C56,UtilityList!$A$4:$A$251&amp;UtilityList!$B$4:$B$251&amp;UtilityList!$C$4:$C$251,0)),INDEX(UtilityList!M$4:M$251,MATCH('Table 2.3a'!$A56&amp;'Table 2.3a'!$C56,UtilityList!$A$4:$A$251&amp;UtilityList!$C$4:$C$251,0)))</f>
        <v>YU</v>
      </c>
    </row>
    <row r="57" spans="1:17" s="344" customFormat="1" ht="30" customHeight="1" x14ac:dyDescent="0.25">
      <c r="A57" s="360" t="s">
        <v>524</v>
      </c>
      <c r="B57" s="360" t="s">
        <v>77</v>
      </c>
      <c r="C57" s="387" t="s">
        <v>77</v>
      </c>
      <c r="D57" s="637">
        <v>0</v>
      </c>
      <c r="E57" s="638">
        <v>594.37199999999996</v>
      </c>
      <c r="F57" s="638">
        <v>0</v>
      </c>
      <c r="G57" s="638">
        <v>0</v>
      </c>
      <c r="H57" s="639">
        <f t="shared" si="0"/>
        <v>594.37199999999996</v>
      </c>
      <c r="I57" s="638">
        <v>31.288</v>
      </c>
      <c r="J57" s="638">
        <f t="shared" si="1"/>
        <v>625.66</v>
      </c>
      <c r="K57" s="640" t="s">
        <v>356</v>
      </c>
      <c r="L57" s="627">
        <f t="array" ref="L57">IFERROR(INDEX(UtilityList!Q$4:Q$251,MATCH('Table 2.3a'!$A57&amp;'Table 2.3a'!$B57&amp;'Table 2.3a'!$C57,UtilityList!$A$4:$A$251&amp;UtilityList!$B$4:$B$251&amp;UtilityList!$C$4:$C$251,0)),INDEX(UtilityList!Q$4:Q$251,MATCH('Table 2.3a'!$A57&amp;'Table 2.3a'!$C57,UtilityList!$A$4:$A$251&amp;UtilityList!$C$4:$C$251,0)))</f>
        <v>0</v>
      </c>
      <c r="M57" s="452" t="str">
        <f t="array" ref="M57">IFERROR(INDEX(UtilityList!J$4:J$251,MATCH('Table 2.3a'!$A57&amp;'Table 2.3a'!$B57&amp;'Table 2.3a'!$C57,UtilityList!$A$4:$A$251&amp;UtilityList!$B$4:$B$251&amp;UtilityList!$C$4:$C$251,0)),INDEX(UtilityList!J$4:J$251,MATCH('Table 2.3a'!$A57&amp;'Table 2.3a'!$C57,UtilityList!$A$4:$A$251&amp;UtilityList!$C$4:$C$251,0)))</f>
        <v>Yukon-Koyukuk/Upper Tanana</v>
      </c>
      <c r="N57" s="452" t="str">
        <f t="array" ref="N57">IFERROR(INDEX(UtilityList!K$4:K$251,MATCH('Table 2.3a'!$A57&amp;'Table 2.3a'!$B57&amp;'Table 2.3a'!$C57,UtilityList!$A$4:$A$251&amp;UtilityList!$B$4:$B$251&amp;UtilityList!$C$4:$C$251,0)),INDEX(UtilityList!K$4:K$251,MATCH('Table 2.3a'!$A57&amp;'Table 2.3a'!$C57,UtilityList!$A$4:$A$251&amp;UtilityList!$C$4:$C$251,0)))</f>
        <v>Yukon-Koyukuk (CA)</v>
      </c>
      <c r="O57" s="452" t="str">
        <f t="array" ref="O57">IFERROR(INDEX(UtilityList!L$4:L$251,MATCH('Table 2.3a'!$A57&amp;'Table 2.3a'!$B57&amp;'Table 2.3a'!$C57,UtilityList!$A$4:$A$251&amp;UtilityList!$B$4:$B$251&amp;UtilityList!$C$4:$C$251,0)),INDEX(UtilityList!L$4:L$251,MATCH('Table 2.3a'!$A57&amp;'Table 2.3a'!$C57,UtilityList!$A$4:$A$251&amp;UtilityList!$C$4:$C$251,0)))</f>
        <v>Doyon</v>
      </c>
      <c r="P57" s="452" t="str">
        <f t="array" ref="P57">IFERROR(INDEX(UtilityList!M$4:M$251,MATCH('Table 2.3a'!$A57&amp;'Table 2.3a'!$B57&amp;'Table 2.3a'!$C57,UtilityList!$A$4:$A$251&amp;UtilityList!$B$4:$B$251&amp;UtilityList!$C$4:$C$251,0)),INDEX(UtilityList!M$4:M$251,MATCH('Table 2.3a'!$A57&amp;'Table 2.3a'!$C57,UtilityList!$A$4:$A$251&amp;UtilityList!$C$4:$C$251,0)))</f>
        <v>YU</v>
      </c>
    </row>
    <row r="58" spans="1:17" s="344" customFormat="1" ht="30" customHeight="1" x14ac:dyDescent="0.25">
      <c r="A58" s="360" t="s">
        <v>524</v>
      </c>
      <c r="B58" s="360" t="s">
        <v>78</v>
      </c>
      <c r="C58" s="387" t="s">
        <v>78</v>
      </c>
      <c r="D58" s="637">
        <v>0</v>
      </c>
      <c r="E58" s="638">
        <v>2711.4679999999998</v>
      </c>
      <c r="F58" s="638">
        <v>0</v>
      </c>
      <c r="G58" s="638">
        <v>543.096</v>
      </c>
      <c r="H58" s="639">
        <f t="shared" si="0"/>
        <v>3254.5639999999999</v>
      </c>
      <c r="I58" s="638">
        <v>68.617000000000004</v>
      </c>
      <c r="J58" s="638">
        <f t="shared" si="1"/>
        <v>3323.181</v>
      </c>
      <c r="K58" s="640" t="s">
        <v>356</v>
      </c>
      <c r="L58" s="627">
        <f t="array" ref="L58">IFERROR(INDEX(UtilityList!Q$4:Q$251,MATCH('Table 2.3a'!$A58&amp;'Table 2.3a'!$B58&amp;'Table 2.3a'!$C58,UtilityList!$A$4:$A$251&amp;UtilityList!$B$4:$B$251&amp;UtilityList!$C$4:$C$251,0)),INDEX(UtilityList!Q$4:Q$251,MATCH('Table 2.3a'!$A58&amp;'Table 2.3a'!$C58,UtilityList!$A$4:$A$251&amp;UtilityList!$C$4:$C$251,0)))</f>
        <v>0</v>
      </c>
      <c r="M58" s="452" t="str">
        <f t="array" ref="M58">IFERROR(INDEX(UtilityList!J$4:J$251,MATCH('Table 2.3a'!$A58&amp;'Table 2.3a'!$B58&amp;'Table 2.3a'!$C58,UtilityList!$A$4:$A$251&amp;UtilityList!$B$4:$B$251&amp;UtilityList!$C$4:$C$251,0)),INDEX(UtilityList!J$4:J$251,MATCH('Table 2.3a'!$A58&amp;'Table 2.3a'!$C58,UtilityList!$A$4:$A$251&amp;UtilityList!$C$4:$C$251,0)))</f>
        <v>Lower Yukon-Kuskokwim</v>
      </c>
      <c r="N58" s="452" t="str">
        <f t="array" ref="N58">IFERROR(INDEX(UtilityList!K$4:K$251,MATCH('Table 2.3a'!$A58&amp;'Table 2.3a'!$B58&amp;'Table 2.3a'!$C58,UtilityList!$A$4:$A$251&amp;UtilityList!$B$4:$B$251&amp;UtilityList!$C$4:$C$251,0)),INDEX(UtilityList!K$4:K$251,MATCH('Table 2.3a'!$A58&amp;'Table 2.3a'!$C58,UtilityList!$A$4:$A$251&amp;UtilityList!$C$4:$C$251,0)))</f>
        <v>Wade Hampton (CA)</v>
      </c>
      <c r="O58" s="452" t="str">
        <f t="array" ref="O58">IFERROR(INDEX(UtilityList!L$4:L$251,MATCH('Table 2.3a'!$A58&amp;'Table 2.3a'!$B58&amp;'Table 2.3a'!$C58,UtilityList!$A$4:$A$251&amp;UtilityList!$B$4:$B$251&amp;UtilityList!$C$4:$C$251,0)),INDEX(UtilityList!L$4:L$251,MATCH('Table 2.3a'!$A58&amp;'Table 2.3a'!$C58,UtilityList!$A$4:$A$251&amp;UtilityList!$C$4:$C$251,0)))</f>
        <v>Calista</v>
      </c>
      <c r="P58" s="452" t="str">
        <f t="array" ref="P58">IFERROR(INDEX(UtilityList!M$4:M$251,MATCH('Table 2.3a'!$A58&amp;'Table 2.3a'!$B58&amp;'Table 2.3a'!$C58,UtilityList!$A$4:$A$251&amp;UtilityList!$B$4:$B$251&amp;UtilityList!$C$4:$C$251,0)),INDEX(UtilityList!M$4:M$251,MATCH('Table 2.3a'!$A58&amp;'Table 2.3a'!$C58,UtilityList!$A$4:$A$251&amp;UtilityList!$C$4:$C$251,0)))</f>
        <v>YU</v>
      </c>
      <c r="Q58" s="187"/>
    </row>
    <row r="59" spans="1:17" s="344" customFormat="1" ht="30" customHeight="1" x14ac:dyDescent="0.25">
      <c r="A59" s="360" t="s">
        <v>524</v>
      </c>
      <c r="B59" s="360" t="s">
        <v>79</v>
      </c>
      <c r="C59" s="387" t="s">
        <v>79</v>
      </c>
      <c r="D59" s="637">
        <v>0</v>
      </c>
      <c r="E59" s="638">
        <v>1005.8</v>
      </c>
      <c r="F59" s="638">
        <v>0</v>
      </c>
      <c r="G59" s="638">
        <v>0</v>
      </c>
      <c r="H59" s="639">
        <f t="shared" si="0"/>
        <v>1005.8</v>
      </c>
      <c r="I59" s="638">
        <v>25.233000000000001</v>
      </c>
      <c r="J59" s="638">
        <f t="shared" si="1"/>
        <v>1031.0329999999999</v>
      </c>
      <c r="K59" s="640" t="s">
        <v>356</v>
      </c>
      <c r="L59" s="627">
        <f t="array" ref="L59">IFERROR(INDEX(UtilityList!Q$4:Q$251,MATCH('Table 2.3a'!$A59&amp;'Table 2.3a'!$B59&amp;'Table 2.3a'!$C59,UtilityList!$A$4:$A$251&amp;UtilityList!$B$4:$B$251&amp;UtilityList!$C$4:$C$251,0)),INDEX(UtilityList!Q$4:Q$251,MATCH('Table 2.3a'!$A59&amp;'Table 2.3a'!$C59,UtilityList!$A$4:$A$251&amp;UtilityList!$C$4:$C$251,0)))</f>
        <v>0</v>
      </c>
      <c r="M59" s="452" t="str">
        <f t="array" ref="M59">IFERROR(INDEX(UtilityList!J$4:J$251,MATCH('Table 2.3a'!$A59&amp;'Table 2.3a'!$B59&amp;'Table 2.3a'!$C59,UtilityList!$A$4:$A$251&amp;UtilityList!$B$4:$B$251&amp;UtilityList!$C$4:$C$251,0)),INDEX(UtilityList!J$4:J$251,MATCH('Table 2.3a'!$A59&amp;'Table 2.3a'!$C59,UtilityList!$A$4:$A$251&amp;UtilityList!$C$4:$C$251,0)))</f>
        <v>Yukon-Koyukuk/Upper Tanana</v>
      </c>
      <c r="N59" s="452" t="str">
        <f t="array" ref="N59">IFERROR(INDEX(UtilityList!K$4:K$251,MATCH('Table 2.3a'!$A59&amp;'Table 2.3a'!$B59&amp;'Table 2.3a'!$C59,UtilityList!$A$4:$A$251&amp;UtilityList!$B$4:$B$251&amp;UtilityList!$C$4:$C$251,0)),INDEX(UtilityList!K$4:K$251,MATCH('Table 2.3a'!$A59&amp;'Table 2.3a'!$C59,UtilityList!$A$4:$A$251&amp;UtilityList!$C$4:$C$251,0)))</f>
        <v>Yukon-Koyukuk (CA)</v>
      </c>
      <c r="O59" s="452" t="str">
        <f t="array" ref="O59">IFERROR(INDEX(UtilityList!L$4:L$251,MATCH('Table 2.3a'!$A59&amp;'Table 2.3a'!$B59&amp;'Table 2.3a'!$C59,UtilityList!$A$4:$A$251&amp;UtilityList!$B$4:$B$251&amp;UtilityList!$C$4:$C$251,0)),INDEX(UtilityList!L$4:L$251,MATCH('Table 2.3a'!$A59&amp;'Table 2.3a'!$C59,UtilityList!$A$4:$A$251&amp;UtilityList!$C$4:$C$251,0)))</f>
        <v>Doyon</v>
      </c>
      <c r="P59" s="452" t="str">
        <f t="array" ref="P59">IFERROR(INDEX(UtilityList!M$4:M$251,MATCH('Table 2.3a'!$A59&amp;'Table 2.3a'!$B59&amp;'Table 2.3a'!$C59,UtilityList!$A$4:$A$251&amp;UtilityList!$B$4:$B$251&amp;UtilityList!$C$4:$C$251,0)),INDEX(UtilityList!M$4:M$251,MATCH('Table 2.3a'!$A59&amp;'Table 2.3a'!$C59,UtilityList!$A$4:$A$251&amp;UtilityList!$C$4:$C$251,0)))</f>
        <v>YU</v>
      </c>
    </row>
    <row r="60" spans="1:17" s="344" customFormat="1" ht="30" customHeight="1" x14ac:dyDescent="0.25">
      <c r="A60" s="360" t="s">
        <v>524</v>
      </c>
      <c r="B60" s="360" t="s">
        <v>115</v>
      </c>
      <c r="C60" s="387" t="s">
        <v>997</v>
      </c>
      <c r="D60" s="637">
        <v>0</v>
      </c>
      <c r="E60" s="638">
        <v>1472.2059999999999</v>
      </c>
      <c r="F60" s="638">
        <v>0</v>
      </c>
      <c r="G60" s="638">
        <v>0</v>
      </c>
      <c r="H60" s="639">
        <f t="shared" si="0"/>
        <v>1472.2059999999999</v>
      </c>
      <c r="I60" s="638">
        <v>36.787999999999997</v>
      </c>
      <c r="J60" s="638">
        <f t="shared" si="1"/>
        <v>1508.9939999999999</v>
      </c>
      <c r="K60" s="640" t="s">
        <v>356</v>
      </c>
      <c r="L60" s="627" t="str">
        <f t="array" ref="L60">IFERROR(INDEX(UtilityList!Q$4:Q$251,MATCH('Table 2.3a'!$A60&amp;'Table 2.3a'!$B60&amp;'Table 2.3a'!$C60,UtilityList!$A$4:$A$251&amp;UtilityList!$B$4:$B$251&amp;UtilityList!$C$4:$C$251,0)),INDEX(UtilityList!Q$4:Q$251,MATCH('Table 2.3a'!$A60&amp;'Table 2.3a'!$C60,UtilityList!$A$4:$A$251&amp;UtilityList!$C$4:$C$251,0)))</f>
        <v>Provides power to Lower Kalskag via intertie. Fuel use and cost data includes information for Lower Kalskag.</v>
      </c>
      <c r="M60" s="452" t="str">
        <f t="array" ref="M60">IFERROR(INDEX(UtilityList!J$4:J$251,MATCH('Table 2.3a'!$A60&amp;'Table 2.3a'!$B60&amp;'Table 2.3a'!$C60,UtilityList!$A$4:$A$251&amp;UtilityList!$B$4:$B$251&amp;UtilityList!$C$4:$C$251,0)),INDEX(UtilityList!J$4:J$251,MATCH('Table 2.3a'!$A60&amp;'Table 2.3a'!$C60,UtilityList!$A$4:$A$251&amp;UtilityList!$C$4:$C$251,0)))</f>
        <v>Lower Yukon-Kuskokwim</v>
      </c>
      <c r="N60" s="452" t="str">
        <f t="array" ref="N60">IFERROR(INDEX(UtilityList!K$4:K$251,MATCH('Table 2.3a'!$A60&amp;'Table 2.3a'!$B60&amp;'Table 2.3a'!$C60,UtilityList!$A$4:$A$251&amp;UtilityList!$B$4:$B$251&amp;UtilityList!$C$4:$C$251,0)),INDEX(UtilityList!K$4:K$251,MATCH('Table 2.3a'!$A60&amp;'Table 2.3a'!$C60,UtilityList!$A$4:$A$251&amp;UtilityList!$C$4:$C$251,0)))</f>
        <v>Bethel (CA)</v>
      </c>
      <c r="O60" s="452" t="str">
        <f t="array" ref="O60">IFERROR(INDEX(UtilityList!L$4:L$251,MATCH('Table 2.3a'!$A60&amp;'Table 2.3a'!$B60&amp;'Table 2.3a'!$C60,UtilityList!$A$4:$A$251&amp;UtilityList!$B$4:$B$251&amp;UtilityList!$C$4:$C$251,0)),INDEX(UtilityList!L$4:L$251,MATCH('Table 2.3a'!$A60&amp;'Table 2.3a'!$C60,UtilityList!$A$4:$A$251&amp;UtilityList!$C$4:$C$251,0)))</f>
        <v>Calista</v>
      </c>
      <c r="P60" s="452" t="str">
        <f t="array" ref="P60">IFERROR(INDEX(UtilityList!M$4:M$251,MATCH('Table 2.3a'!$A60&amp;'Table 2.3a'!$B60&amp;'Table 2.3a'!$C60,UtilityList!$A$4:$A$251&amp;UtilityList!$B$4:$B$251&amp;UtilityList!$C$4:$C$251,0)),INDEX(UtilityList!M$4:M$251,MATCH('Table 2.3a'!$A60&amp;'Table 2.3a'!$C60,UtilityList!$A$4:$A$251&amp;UtilityList!$C$4:$C$251,0)))</f>
        <v>SW</v>
      </c>
      <c r="Q60" s="187"/>
    </row>
    <row r="61" spans="1:17" s="344" customFormat="1" ht="30" customHeight="1" x14ac:dyDescent="0.25">
      <c r="A61" s="360" t="s">
        <v>524</v>
      </c>
      <c r="B61" s="360" t="s">
        <v>80</v>
      </c>
      <c r="C61" s="387" t="s">
        <v>80</v>
      </c>
      <c r="D61" s="637">
        <v>0</v>
      </c>
      <c r="E61" s="638">
        <v>727.03800000000001</v>
      </c>
      <c r="F61" s="638">
        <v>0</v>
      </c>
      <c r="G61" s="638">
        <v>0</v>
      </c>
      <c r="H61" s="639">
        <f t="shared" si="0"/>
        <v>727.03800000000001</v>
      </c>
      <c r="I61" s="638">
        <v>18.457000000000001</v>
      </c>
      <c r="J61" s="638">
        <f t="shared" si="1"/>
        <v>745.495</v>
      </c>
      <c r="K61" s="640" t="s">
        <v>356</v>
      </c>
      <c r="L61" s="627">
        <f t="array" ref="L61">IFERROR(INDEX(UtilityList!Q$4:Q$251,MATCH('Table 2.3a'!$A61&amp;'Table 2.3a'!$B61&amp;'Table 2.3a'!$C61,UtilityList!$A$4:$A$251&amp;UtilityList!$B$4:$B$251&amp;UtilityList!$C$4:$C$251,0)),INDEX(UtilityList!Q$4:Q$251,MATCH('Table 2.3a'!$A61&amp;'Table 2.3a'!$C61,UtilityList!$A$4:$A$251&amp;UtilityList!$C$4:$C$251,0)))</f>
        <v>0</v>
      </c>
      <c r="M61" s="452" t="str">
        <f t="array" ref="M61">IFERROR(INDEX(UtilityList!J$4:J$251,MATCH('Table 2.3a'!$A61&amp;'Table 2.3a'!$B61&amp;'Table 2.3a'!$C61,UtilityList!$A$4:$A$251&amp;UtilityList!$B$4:$B$251&amp;UtilityList!$C$4:$C$251,0)),INDEX(UtilityList!J$4:J$251,MATCH('Table 2.3a'!$A61&amp;'Table 2.3a'!$C61,UtilityList!$A$4:$A$251&amp;UtilityList!$C$4:$C$251,0)))</f>
        <v>Yukon-Koyukuk/Upper Tanana</v>
      </c>
      <c r="N61" s="452" t="str">
        <f t="array" ref="N61">IFERROR(INDEX(UtilityList!K$4:K$251,MATCH('Table 2.3a'!$A61&amp;'Table 2.3a'!$B61&amp;'Table 2.3a'!$C61,UtilityList!$A$4:$A$251&amp;UtilityList!$B$4:$B$251&amp;UtilityList!$C$4:$C$251,0)),INDEX(UtilityList!K$4:K$251,MATCH('Table 2.3a'!$A61&amp;'Table 2.3a'!$C61,UtilityList!$A$4:$A$251&amp;UtilityList!$C$4:$C$251,0)))</f>
        <v>Yukon-Koyukuk (CA)</v>
      </c>
      <c r="O61" s="452" t="str">
        <f t="array" ref="O61">IFERROR(INDEX(UtilityList!L$4:L$251,MATCH('Table 2.3a'!$A61&amp;'Table 2.3a'!$B61&amp;'Table 2.3a'!$C61,UtilityList!$A$4:$A$251&amp;UtilityList!$B$4:$B$251&amp;UtilityList!$C$4:$C$251,0)),INDEX(UtilityList!L$4:L$251,MATCH('Table 2.3a'!$A61&amp;'Table 2.3a'!$C61,UtilityList!$A$4:$A$251&amp;UtilityList!$C$4:$C$251,0)))</f>
        <v>Doyon</v>
      </c>
      <c r="P61" s="452" t="str">
        <f t="array" ref="P61">IFERROR(INDEX(UtilityList!M$4:M$251,MATCH('Table 2.3a'!$A61&amp;'Table 2.3a'!$B61&amp;'Table 2.3a'!$C61,UtilityList!$A$4:$A$251&amp;UtilityList!$B$4:$B$251&amp;UtilityList!$C$4:$C$251,0)),INDEX(UtilityList!M$4:M$251,MATCH('Table 2.3a'!$A61&amp;'Table 2.3a'!$C61,UtilityList!$A$4:$A$251&amp;UtilityList!$C$4:$C$251,0)))</f>
        <v>YU</v>
      </c>
      <c r="Q61" s="126"/>
    </row>
    <row r="62" spans="1:17" s="344" customFormat="1" ht="78.75" customHeight="1" x14ac:dyDescent="0.25">
      <c r="A62" s="360" t="s">
        <v>524</v>
      </c>
      <c r="B62" s="360" t="s">
        <v>81</v>
      </c>
      <c r="C62" s="387" t="s">
        <v>992</v>
      </c>
      <c r="D62" s="637">
        <v>0</v>
      </c>
      <c r="E62" s="638">
        <v>2286.42</v>
      </c>
      <c r="F62" s="638">
        <v>0</v>
      </c>
      <c r="G62" s="638">
        <v>496.85</v>
      </c>
      <c r="H62" s="639">
        <f t="shared" si="0"/>
        <v>2783.27</v>
      </c>
      <c r="I62" s="638">
        <v>77.314999999999998</v>
      </c>
      <c r="J62" s="638">
        <f t="shared" si="1"/>
        <v>2860.585</v>
      </c>
      <c r="K62" s="640" t="s">
        <v>356</v>
      </c>
      <c r="L62" s="627" t="str">
        <f t="array" ref="L62">IFERROR(INDEX(UtilityList!Q$4:Q$251,MATCH('Table 2.3a'!$A62&amp;'Table 2.3a'!$B62&amp;'Table 2.3a'!$C62,UtilityList!$A$4:$A$251&amp;UtilityList!$B$4:$B$251&amp;UtilityList!$C$4:$C$251,0)),INDEX(UtilityList!Q$4:Q$251,MATCH('Table 2.3a'!$A62&amp;'Table 2.3a'!$C62,UtilityList!$A$4:$A$251&amp;UtilityList!$C$4:$C$251,0)))</f>
        <v>Provides power to Nunapitchuk via intertie.  Fuel use and cost includes Nunapitchuk's information.</v>
      </c>
      <c r="M62" s="452" t="str">
        <f t="array" ref="M62">IFERROR(INDEX(UtilityList!J$4:J$251,MATCH('Table 2.3a'!$A62&amp;'Table 2.3a'!$B62&amp;'Table 2.3a'!$C62,UtilityList!$A$4:$A$251&amp;UtilityList!$B$4:$B$251&amp;UtilityList!$C$4:$C$251,0)),INDEX(UtilityList!J$4:J$251,MATCH('Table 2.3a'!$A62&amp;'Table 2.3a'!$C62,UtilityList!$A$4:$A$251&amp;UtilityList!$C$4:$C$251,0)))</f>
        <v>Lower Yukon-Kuskokwim</v>
      </c>
      <c r="N62" s="452" t="str">
        <f t="array" ref="N62">IFERROR(INDEX(UtilityList!K$4:K$251,MATCH('Table 2.3a'!$A62&amp;'Table 2.3a'!$B62&amp;'Table 2.3a'!$C62,UtilityList!$A$4:$A$251&amp;UtilityList!$B$4:$B$251&amp;UtilityList!$C$4:$C$251,0)),INDEX(UtilityList!K$4:K$251,MATCH('Table 2.3a'!$A62&amp;'Table 2.3a'!$C62,UtilityList!$A$4:$A$251&amp;UtilityList!$C$4:$C$251,0)))</f>
        <v>Bethel (CA)</v>
      </c>
      <c r="O62" s="452" t="str">
        <f t="array" ref="O62">IFERROR(INDEX(UtilityList!L$4:L$251,MATCH('Table 2.3a'!$A62&amp;'Table 2.3a'!$B62&amp;'Table 2.3a'!$C62,UtilityList!$A$4:$A$251&amp;UtilityList!$B$4:$B$251&amp;UtilityList!$C$4:$C$251,0)),INDEX(UtilityList!L$4:L$251,MATCH('Table 2.3a'!$A62&amp;'Table 2.3a'!$C62,UtilityList!$A$4:$A$251&amp;UtilityList!$C$4:$C$251,0)))</f>
        <v>Calista</v>
      </c>
      <c r="P62" s="452" t="str">
        <f t="array" ref="P62">IFERROR(INDEX(UtilityList!M$4:M$251,MATCH('Table 2.3a'!$A62&amp;'Table 2.3a'!$B62&amp;'Table 2.3a'!$C62,UtilityList!$A$4:$A$251&amp;UtilityList!$B$4:$B$251&amp;UtilityList!$C$4:$C$251,0)),INDEX(UtilityList!M$4:M$251,MATCH('Table 2.3a'!$A62&amp;'Table 2.3a'!$C62,UtilityList!$A$4:$A$251&amp;UtilityList!$C$4:$C$251,0)))</f>
        <v>SW</v>
      </c>
      <c r="Q62" s="126"/>
    </row>
    <row r="63" spans="1:17" s="344" customFormat="1" ht="30" customHeight="1" x14ac:dyDescent="0.25">
      <c r="A63" s="360" t="s">
        <v>524</v>
      </c>
      <c r="B63" s="360" t="s">
        <v>82</v>
      </c>
      <c r="C63" s="387" t="s">
        <v>82</v>
      </c>
      <c r="D63" s="637">
        <v>0</v>
      </c>
      <c r="E63" s="638">
        <v>1511.732</v>
      </c>
      <c r="F63" s="638">
        <v>0</v>
      </c>
      <c r="G63" s="638">
        <v>0</v>
      </c>
      <c r="H63" s="639">
        <f t="shared" si="0"/>
        <v>1511.732</v>
      </c>
      <c r="I63" s="638">
        <v>43.881999999999998</v>
      </c>
      <c r="J63" s="638">
        <f t="shared" si="1"/>
        <v>1555.614</v>
      </c>
      <c r="K63" s="640" t="s">
        <v>356</v>
      </c>
      <c r="L63" s="627">
        <f t="array" ref="L63">IFERROR(INDEX(UtilityList!Q$4:Q$251,MATCH('Table 2.3a'!$A63&amp;'Table 2.3a'!$B63&amp;'Table 2.3a'!$C63,UtilityList!$A$4:$A$251&amp;UtilityList!$B$4:$B$251&amp;UtilityList!$C$4:$C$251,0)),INDEX(UtilityList!Q$4:Q$251,MATCH('Table 2.3a'!$A63&amp;'Table 2.3a'!$C63,UtilityList!$A$4:$A$251&amp;UtilityList!$C$4:$C$251,0)))</f>
        <v>0</v>
      </c>
      <c r="M63" s="452" t="str">
        <f t="array" ref="M63">IFERROR(INDEX(UtilityList!J$4:J$251,MATCH('Table 2.3a'!$A63&amp;'Table 2.3a'!$B63&amp;'Table 2.3a'!$C63,UtilityList!$A$4:$A$251&amp;UtilityList!$B$4:$B$251&amp;UtilityList!$C$4:$C$251,0)),INDEX(UtilityList!J$4:J$251,MATCH('Table 2.3a'!$A63&amp;'Table 2.3a'!$C63,UtilityList!$A$4:$A$251&amp;UtilityList!$C$4:$C$251,0)))</f>
        <v>Northwest Arctic</v>
      </c>
      <c r="N63" s="452" t="str">
        <f t="array" ref="N63">IFERROR(INDEX(UtilityList!K$4:K$251,MATCH('Table 2.3a'!$A63&amp;'Table 2.3a'!$B63&amp;'Table 2.3a'!$C63,UtilityList!$A$4:$A$251&amp;UtilityList!$B$4:$B$251&amp;UtilityList!$C$4:$C$251,0)),INDEX(UtilityList!K$4:K$251,MATCH('Table 2.3a'!$A63&amp;'Table 2.3a'!$C63,UtilityList!$A$4:$A$251&amp;UtilityList!$C$4:$C$251,0)))</f>
        <v>Northwest Arctic</v>
      </c>
      <c r="O63" s="452" t="str">
        <f t="array" ref="O63">IFERROR(INDEX(UtilityList!L$4:L$251,MATCH('Table 2.3a'!$A63&amp;'Table 2.3a'!$B63&amp;'Table 2.3a'!$C63,UtilityList!$A$4:$A$251&amp;UtilityList!$B$4:$B$251&amp;UtilityList!$C$4:$C$251,0)),INDEX(UtilityList!L$4:L$251,MATCH('Table 2.3a'!$A63&amp;'Table 2.3a'!$C63,UtilityList!$A$4:$A$251&amp;UtilityList!$C$4:$C$251,0)))</f>
        <v>NANA</v>
      </c>
      <c r="P63" s="452" t="str">
        <f t="array" ref="P63">IFERROR(INDEX(UtilityList!M$4:M$251,MATCH('Table 2.3a'!$A63&amp;'Table 2.3a'!$B63&amp;'Table 2.3a'!$C63,UtilityList!$A$4:$A$251&amp;UtilityList!$B$4:$B$251&amp;UtilityList!$C$4:$C$251,0)),INDEX(UtilityList!M$4:M$251,MATCH('Table 2.3a'!$A63&amp;'Table 2.3a'!$C63,UtilityList!$A$4:$A$251&amp;UtilityList!$C$4:$C$251,0)))</f>
        <v>AN</v>
      </c>
      <c r="Q63" s="126"/>
    </row>
    <row r="64" spans="1:17" s="344" customFormat="1" ht="30" customHeight="1" x14ac:dyDescent="0.25">
      <c r="A64" s="360" t="s">
        <v>524</v>
      </c>
      <c r="B64" s="360" t="s">
        <v>83</v>
      </c>
      <c r="C64" s="387" t="s">
        <v>83</v>
      </c>
      <c r="D64" s="637">
        <v>0</v>
      </c>
      <c r="E64" s="638">
        <v>1212.085</v>
      </c>
      <c r="F64" s="638">
        <v>0</v>
      </c>
      <c r="G64" s="638">
        <v>0</v>
      </c>
      <c r="H64" s="639">
        <f t="shared" si="0"/>
        <v>1212.085</v>
      </c>
      <c r="I64" s="638">
        <v>37.752000000000002</v>
      </c>
      <c r="J64" s="638">
        <f t="shared" si="1"/>
        <v>1249.837</v>
      </c>
      <c r="K64" s="640" t="s">
        <v>356</v>
      </c>
      <c r="L64" s="627">
        <f t="array" ref="L64">IFERROR(INDEX(UtilityList!Q$4:Q$251,MATCH('Table 2.3a'!$A64&amp;'Table 2.3a'!$B64&amp;'Table 2.3a'!$C64,UtilityList!$A$4:$A$251&amp;UtilityList!$B$4:$B$251&amp;UtilityList!$C$4:$C$251,0)),INDEX(UtilityList!Q$4:Q$251,MATCH('Table 2.3a'!$A64&amp;'Table 2.3a'!$C64,UtilityList!$A$4:$A$251&amp;UtilityList!$C$4:$C$251,0)))</f>
        <v>0</v>
      </c>
      <c r="M64" s="452" t="str">
        <f t="array" ref="M64">IFERROR(INDEX(UtilityList!J$4:J$251,MATCH('Table 2.3a'!$A64&amp;'Table 2.3a'!$B64&amp;'Table 2.3a'!$C64,UtilityList!$A$4:$A$251&amp;UtilityList!$B$4:$B$251&amp;UtilityList!$C$4:$C$251,0)),INDEX(UtilityList!J$4:J$251,MATCH('Table 2.3a'!$A64&amp;'Table 2.3a'!$C64,UtilityList!$A$4:$A$251&amp;UtilityList!$C$4:$C$251,0)))</f>
        <v>Northwest Arctic</v>
      </c>
      <c r="N64" s="452" t="str">
        <f t="array" ref="N64">IFERROR(INDEX(UtilityList!K$4:K$251,MATCH('Table 2.3a'!$A64&amp;'Table 2.3a'!$B64&amp;'Table 2.3a'!$C64,UtilityList!$A$4:$A$251&amp;UtilityList!$B$4:$B$251&amp;UtilityList!$C$4:$C$251,0)),INDEX(UtilityList!K$4:K$251,MATCH('Table 2.3a'!$A64&amp;'Table 2.3a'!$C64,UtilityList!$A$4:$A$251&amp;UtilityList!$C$4:$C$251,0)))</f>
        <v>Northwest Arctic</v>
      </c>
      <c r="O64" s="452" t="str">
        <f t="array" ref="O64">IFERROR(INDEX(UtilityList!L$4:L$251,MATCH('Table 2.3a'!$A64&amp;'Table 2.3a'!$B64&amp;'Table 2.3a'!$C64,UtilityList!$A$4:$A$251&amp;UtilityList!$B$4:$B$251&amp;UtilityList!$C$4:$C$251,0)),INDEX(UtilityList!L$4:L$251,MATCH('Table 2.3a'!$A64&amp;'Table 2.3a'!$C64,UtilityList!$A$4:$A$251&amp;UtilityList!$C$4:$C$251,0)))</f>
        <v>NANA</v>
      </c>
      <c r="P64" s="452" t="str">
        <f t="array" ref="P64">IFERROR(INDEX(UtilityList!M$4:M$251,MATCH('Table 2.3a'!$A64&amp;'Table 2.3a'!$B64&amp;'Table 2.3a'!$C64,UtilityList!$A$4:$A$251&amp;UtilityList!$B$4:$B$251&amp;UtilityList!$C$4:$C$251,0)),INDEX(UtilityList!M$4:M$251,MATCH('Table 2.3a'!$A64&amp;'Table 2.3a'!$C64,UtilityList!$A$4:$A$251&amp;UtilityList!$C$4:$C$251,0)))</f>
        <v>AN</v>
      </c>
      <c r="Q64" s="126"/>
    </row>
    <row r="65" spans="1:17" s="344" customFormat="1" ht="30" customHeight="1" x14ac:dyDescent="0.25">
      <c r="A65" s="360" t="s">
        <v>524</v>
      </c>
      <c r="B65" s="360" t="s">
        <v>84</v>
      </c>
      <c r="C65" s="387" t="s">
        <v>84</v>
      </c>
      <c r="D65" s="637">
        <v>0</v>
      </c>
      <c r="E65" s="638">
        <v>1966.4570000000001</v>
      </c>
      <c r="F65" s="638">
        <v>0</v>
      </c>
      <c r="G65" s="638">
        <v>0</v>
      </c>
      <c r="H65" s="639">
        <f t="shared" si="0"/>
        <v>1966.4570000000001</v>
      </c>
      <c r="I65" s="638">
        <v>44.615000000000002</v>
      </c>
      <c r="J65" s="638">
        <f t="shared" si="1"/>
        <v>2011.0720000000001</v>
      </c>
      <c r="K65" s="640" t="s">
        <v>356</v>
      </c>
      <c r="L65" s="627">
        <f t="array" ref="L65">IFERROR(INDEX(UtilityList!Q$4:Q$251,MATCH('Table 2.3a'!$A65&amp;'Table 2.3a'!$B65&amp;'Table 2.3a'!$C65,UtilityList!$A$4:$A$251&amp;UtilityList!$B$4:$B$251&amp;UtilityList!$C$4:$C$251,0)),INDEX(UtilityList!Q$4:Q$251,MATCH('Table 2.3a'!$A65&amp;'Table 2.3a'!$C65,UtilityList!$A$4:$A$251&amp;UtilityList!$C$4:$C$251,0)))</f>
        <v>0</v>
      </c>
      <c r="M65" s="452" t="str">
        <f t="array" ref="M65">IFERROR(INDEX(UtilityList!J$4:J$251,MATCH('Table 2.3a'!$A65&amp;'Table 2.3a'!$B65&amp;'Table 2.3a'!$C65,UtilityList!$A$4:$A$251&amp;UtilityList!$B$4:$B$251&amp;UtilityList!$C$4:$C$251,0)),INDEX(UtilityList!J$4:J$251,MATCH('Table 2.3a'!$A65&amp;'Table 2.3a'!$C65,UtilityList!$A$4:$A$251&amp;UtilityList!$C$4:$C$251,0)))</f>
        <v>Lower Yukon-Kuskokwim</v>
      </c>
      <c r="N65" s="452" t="str">
        <f t="array" ref="N65">IFERROR(INDEX(UtilityList!K$4:K$251,MATCH('Table 2.3a'!$A65&amp;'Table 2.3a'!$B65&amp;'Table 2.3a'!$C65,UtilityList!$A$4:$A$251&amp;UtilityList!$B$4:$B$251&amp;UtilityList!$C$4:$C$251,0)),INDEX(UtilityList!K$4:K$251,MATCH('Table 2.3a'!$A65&amp;'Table 2.3a'!$C65,UtilityList!$A$4:$A$251&amp;UtilityList!$C$4:$C$251,0)))</f>
        <v>Wade Hampton (CA)</v>
      </c>
      <c r="O65" s="452" t="str">
        <f t="array" ref="O65">IFERROR(INDEX(UtilityList!L$4:L$251,MATCH('Table 2.3a'!$A65&amp;'Table 2.3a'!$B65&amp;'Table 2.3a'!$C65,UtilityList!$A$4:$A$251&amp;UtilityList!$B$4:$B$251&amp;UtilityList!$C$4:$C$251,0)),INDEX(UtilityList!L$4:L$251,MATCH('Table 2.3a'!$A65&amp;'Table 2.3a'!$C65,UtilityList!$A$4:$A$251&amp;UtilityList!$C$4:$C$251,0)))</f>
        <v>Calista</v>
      </c>
      <c r="P65" s="452" t="str">
        <f t="array" ref="P65">IFERROR(INDEX(UtilityList!M$4:M$251,MATCH('Table 2.3a'!$A65&amp;'Table 2.3a'!$B65&amp;'Table 2.3a'!$C65,UtilityList!$A$4:$A$251&amp;UtilityList!$B$4:$B$251&amp;UtilityList!$C$4:$C$251,0)),INDEX(UtilityList!M$4:M$251,MATCH('Table 2.3a'!$A65&amp;'Table 2.3a'!$C65,UtilityList!$A$4:$A$251&amp;UtilityList!$C$4:$C$251,0)))</f>
        <v>YU</v>
      </c>
      <c r="Q65" s="126"/>
    </row>
    <row r="66" spans="1:17" s="344" customFormat="1" ht="30" customHeight="1" x14ac:dyDescent="0.25">
      <c r="A66" s="360" t="s">
        <v>524</v>
      </c>
      <c r="B66" s="360" t="s">
        <v>85</v>
      </c>
      <c r="C66" s="387" t="s">
        <v>85</v>
      </c>
      <c r="D66" s="637">
        <v>0</v>
      </c>
      <c r="E66" s="638">
        <v>1315.9179999999999</v>
      </c>
      <c r="F66" s="638">
        <v>0</v>
      </c>
      <c r="G66" s="638">
        <v>0</v>
      </c>
      <c r="H66" s="639">
        <f t="shared" si="0"/>
        <v>1315.9179999999999</v>
      </c>
      <c r="I66" s="638">
        <v>17.131</v>
      </c>
      <c r="J66" s="638">
        <f t="shared" si="1"/>
        <v>1333.049</v>
      </c>
      <c r="K66" s="640" t="s">
        <v>356</v>
      </c>
      <c r="L66" s="627">
        <f t="array" ref="L66">IFERROR(INDEX(UtilityList!Q$4:Q$251,MATCH('Table 2.3a'!$A66&amp;'Table 2.3a'!$B66&amp;'Table 2.3a'!$C66,UtilityList!$A$4:$A$251&amp;UtilityList!$B$4:$B$251&amp;UtilityList!$C$4:$C$251,0)),INDEX(UtilityList!Q$4:Q$251,MATCH('Table 2.3a'!$A66&amp;'Table 2.3a'!$C66,UtilityList!$A$4:$A$251&amp;UtilityList!$C$4:$C$251,0)))</f>
        <v>0</v>
      </c>
      <c r="M66" s="452" t="str">
        <f t="array" ref="M66">IFERROR(INDEX(UtilityList!J$4:J$251,MATCH('Table 2.3a'!$A66&amp;'Table 2.3a'!$B66&amp;'Table 2.3a'!$C66,UtilityList!$A$4:$A$251&amp;UtilityList!$B$4:$B$251&amp;UtilityList!$C$4:$C$251,0)),INDEX(UtilityList!J$4:J$251,MATCH('Table 2.3a'!$A66&amp;'Table 2.3a'!$C66,UtilityList!$A$4:$A$251&amp;UtilityList!$C$4:$C$251,0)))</f>
        <v>Bering Straits</v>
      </c>
      <c r="N66" s="452" t="str">
        <f t="array" ref="N66">IFERROR(INDEX(UtilityList!K$4:K$251,MATCH('Table 2.3a'!$A66&amp;'Table 2.3a'!$B66&amp;'Table 2.3a'!$C66,UtilityList!$A$4:$A$251&amp;UtilityList!$B$4:$B$251&amp;UtilityList!$C$4:$C$251,0)),INDEX(UtilityList!K$4:K$251,MATCH('Table 2.3a'!$A66&amp;'Table 2.3a'!$C66,UtilityList!$A$4:$A$251&amp;UtilityList!$C$4:$C$251,0)))</f>
        <v>Nome (CA)</v>
      </c>
      <c r="O66" s="452" t="str">
        <f t="array" ref="O66">IFERROR(INDEX(UtilityList!L$4:L$251,MATCH('Table 2.3a'!$A66&amp;'Table 2.3a'!$B66&amp;'Table 2.3a'!$C66,UtilityList!$A$4:$A$251&amp;UtilityList!$B$4:$B$251&amp;UtilityList!$C$4:$C$251,0)),INDEX(UtilityList!L$4:L$251,MATCH('Table 2.3a'!$A66&amp;'Table 2.3a'!$C66,UtilityList!$A$4:$A$251&amp;UtilityList!$C$4:$C$251,0)))</f>
        <v>Bering Straits</v>
      </c>
      <c r="P66" s="452" t="str">
        <f t="array" ref="P66">IFERROR(INDEX(UtilityList!M$4:M$251,MATCH('Table 2.3a'!$A66&amp;'Table 2.3a'!$B66&amp;'Table 2.3a'!$C66,UtilityList!$A$4:$A$251&amp;UtilityList!$B$4:$B$251&amp;UtilityList!$C$4:$C$251,0)),INDEX(UtilityList!M$4:M$251,MATCH('Table 2.3a'!$A66&amp;'Table 2.3a'!$C66,UtilityList!$A$4:$A$251&amp;UtilityList!$C$4:$C$251,0)))</f>
        <v>AN</v>
      </c>
    </row>
    <row r="67" spans="1:17" s="344" customFormat="1" ht="30" customHeight="1" x14ac:dyDescent="0.25">
      <c r="A67" s="360" t="s">
        <v>524</v>
      </c>
      <c r="B67" s="360" t="s">
        <v>115</v>
      </c>
      <c r="C67" s="387" t="s">
        <v>86</v>
      </c>
      <c r="D67" s="637">
        <v>0</v>
      </c>
      <c r="E67" s="638">
        <v>0</v>
      </c>
      <c r="F67" s="638">
        <v>0</v>
      </c>
      <c r="G67" s="638">
        <v>0</v>
      </c>
      <c r="H67" s="639">
        <f t="shared" si="0"/>
        <v>0</v>
      </c>
      <c r="I67" s="638">
        <v>0</v>
      </c>
      <c r="J67" s="638">
        <f t="shared" si="1"/>
        <v>0</v>
      </c>
      <c r="K67" s="640" t="s">
        <v>356</v>
      </c>
      <c r="L67" s="627" t="str">
        <f t="array" ref="L67">IFERROR(INDEX(UtilityList!Q$4:Q$251,MATCH('Table 2.3a'!$A67&amp;'Table 2.3a'!$B67&amp;'Table 2.3a'!$C67,UtilityList!$A$4:$A$251&amp;UtilityList!$B$4:$B$251&amp;UtilityList!$C$4:$C$251,0)),INDEX(UtilityList!Q$4:Q$251,MATCH('Table 2.3a'!$A67&amp;'Table 2.3a'!$C67,UtilityList!$A$4:$A$251&amp;UtilityList!$C$4:$C$251,0)))</f>
        <v>Receives power from (Upper) Kalskag via intertie. For fuel use and cost, please refer to (Upper) Kalskag.</v>
      </c>
      <c r="M67" s="452" t="str">
        <f t="array" ref="M67">IFERROR(INDEX(UtilityList!J$4:J$251,MATCH('Table 2.3a'!$A67&amp;'Table 2.3a'!$B67&amp;'Table 2.3a'!$C67,UtilityList!$A$4:$A$251&amp;UtilityList!$B$4:$B$251&amp;UtilityList!$C$4:$C$251,0)),INDEX(UtilityList!J$4:J$251,MATCH('Table 2.3a'!$A67&amp;'Table 2.3a'!$C67,UtilityList!$A$4:$A$251&amp;UtilityList!$C$4:$C$251,0)))</f>
        <v>Lower Yukon-Kuskokwim</v>
      </c>
      <c r="N67" s="452" t="str">
        <f t="array" ref="N67">IFERROR(INDEX(UtilityList!K$4:K$251,MATCH('Table 2.3a'!$A67&amp;'Table 2.3a'!$B67&amp;'Table 2.3a'!$C67,UtilityList!$A$4:$A$251&amp;UtilityList!$B$4:$B$251&amp;UtilityList!$C$4:$C$251,0)),INDEX(UtilityList!K$4:K$251,MATCH('Table 2.3a'!$A67&amp;'Table 2.3a'!$C67,UtilityList!$A$4:$A$251&amp;UtilityList!$C$4:$C$251,0)))</f>
        <v>Bethel (CA)</v>
      </c>
      <c r="O67" s="452" t="str">
        <f t="array" ref="O67">IFERROR(INDEX(UtilityList!L$4:L$251,MATCH('Table 2.3a'!$A67&amp;'Table 2.3a'!$B67&amp;'Table 2.3a'!$C67,UtilityList!$A$4:$A$251&amp;UtilityList!$B$4:$B$251&amp;UtilityList!$C$4:$C$251,0)),INDEX(UtilityList!L$4:L$251,MATCH('Table 2.3a'!$A67&amp;'Table 2.3a'!$C67,UtilityList!$A$4:$A$251&amp;UtilityList!$C$4:$C$251,0)))</f>
        <v>Calista</v>
      </c>
      <c r="P67" s="452" t="str">
        <f t="array" ref="P67">IFERROR(INDEX(UtilityList!M$4:M$251,MATCH('Table 2.3a'!$A67&amp;'Table 2.3a'!$B67&amp;'Table 2.3a'!$C67,UtilityList!$A$4:$A$251&amp;UtilityList!$B$4:$B$251&amp;UtilityList!$C$4:$C$251,0)),INDEX(UtilityList!M$4:M$251,MATCH('Table 2.3a'!$A67&amp;'Table 2.3a'!$C67,UtilityList!$A$4:$A$251&amp;UtilityList!$C$4:$C$251,0)))</f>
        <v>SW</v>
      </c>
    </row>
    <row r="68" spans="1:17" s="344" customFormat="1" ht="30" customHeight="1" x14ac:dyDescent="0.25">
      <c r="A68" s="360" t="s">
        <v>524</v>
      </c>
      <c r="B68" s="360" t="s">
        <v>87</v>
      </c>
      <c r="C68" s="387" t="s">
        <v>87</v>
      </c>
      <c r="D68" s="637">
        <v>0</v>
      </c>
      <c r="E68" s="638">
        <v>1644.1759999999999</v>
      </c>
      <c r="F68" s="638">
        <v>0</v>
      </c>
      <c r="G68" s="638">
        <v>0</v>
      </c>
      <c r="H68" s="639">
        <f t="shared" si="0"/>
        <v>1644.1759999999999</v>
      </c>
      <c r="I68" s="638">
        <v>34.667999999999999</v>
      </c>
      <c r="J68" s="638">
        <f t="shared" si="1"/>
        <v>1678.8439999999998</v>
      </c>
      <c r="K68" s="640" t="s">
        <v>356</v>
      </c>
      <c r="L68" s="627">
        <f t="array" ref="L68">IFERROR(INDEX(UtilityList!Q$4:Q$251,MATCH('Table 2.3a'!$A68&amp;'Table 2.3a'!$B68&amp;'Table 2.3a'!$C68,UtilityList!$A$4:$A$251&amp;UtilityList!$B$4:$B$251&amp;UtilityList!$C$4:$C$251,0)),INDEX(UtilityList!Q$4:Q$251,MATCH('Table 2.3a'!$A68&amp;'Table 2.3a'!$C68,UtilityList!$A$4:$A$251&amp;UtilityList!$C$4:$C$251,0)))</f>
        <v>0</v>
      </c>
      <c r="M68" s="452" t="str">
        <f t="array" ref="M68">IFERROR(INDEX(UtilityList!J$4:J$251,MATCH('Table 2.3a'!$A68&amp;'Table 2.3a'!$B68&amp;'Table 2.3a'!$C68,UtilityList!$A$4:$A$251&amp;UtilityList!$B$4:$B$251&amp;UtilityList!$C$4:$C$251,0)),INDEX(UtilityList!J$4:J$251,MATCH('Table 2.3a'!$A68&amp;'Table 2.3a'!$C68,UtilityList!$A$4:$A$251&amp;UtilityList!$C$4:$C$251,0)))</f>
        <v>Lower Yukon-Kuskokwim</v>
      </c>
      <c r="N68" s="452" t="str">
        <f t="array" ref="N68">IFERROR(INDEX(UtilityList!K$4:K$251,MATCH('Table 2.3a'!$A68&amp;'Table 2.3a'!$B68&amp;'Table 2.3a'!$C68,UtilityList!$A$4:$A$251&amp;UtilityList!$B$4:$B$251&amp;UtilityList!$C$4:$C$251,0)),INDEX(UtilityList!K$4:K$251,MATCH('Table 2.3a'!$A68&amp;'Table 2.3a'!$C68,UtilityList!$A$4:$A$251&amp;UtilityList!$C$4:$C$251,0)))</f>
        <v>Wade Hampton (CA)</v>
      </c>
      <c r="O68" s="452" t="str">
        <f t="array" ref="O68">IFERROR(INDEX(UtilityList!L$4:L$251,MATCH('Table 2.3a'!$A68&amp;'Table 2.3a'!$B68&amp;'Table 2.3a'!$C68,UtilityList!$A$4:$A$251&amp;UtilityList!$B$4:$B$251&amp;UtilityList!$C$4:$C$251,0)),INDEX(UtilityList!L$4:L$251,MATCH('Table 2.3a'!$A68&amp;'Table 2.3a'!$C68,UtilityList!$A$4:$A$251&amp;UtilityList!$C$4:$C$251,0)))</f>
        <v>Calista</v>
      </c>
      <c r="P68" s="452" t="str">
        <f t="array" ref="P68">IFERROR(INDEX(UtilityList!M$4:M$251,MATCH('Table 2.3a'!$A68&amp;'Table 2.3a'!$B68&amp;'Table 2.3a'!$C68,UtilityList!$A$4:$A$251&amp;UtilityList!$B$4:$B$251&amp;UtilityList!$C$4:$C$251,0)),INDEX(UtilityList!M$4:M$251,MATCH('Table 2.3a'!$A68&amp;'Table 2.3a'!$C68,UtilityList!$A$4:$A$251&amp;UtilityList!$C$4:$C$251,0)))</f>
        <v>YU</v>
      </c>
      <c r="Q68" s="187"/>
    </row>
    <row r="69" spans="1:17" s="344" customFormat="1" ht="30" customHeight="1" x14ac:dyDescent="0.25">
      <c r="A69" s="360" t="s">
        <v>524</v>
      </c>
      <c r="B69" s="360" t="s">
        <v>88</v>
      </c>
      <c r="C69" s="387" t="s">
        <v>88</v>
      </c>
      <c r="D69" s="637">
        <v>0</v>
      </c>
      <c r="E69" s="638">
        <v>708.83100000000002</v>
      </c>
      <c r="F69" s="638">
        <v>0</v>
      </c>
      <c r="G69" s="638">
        <v>238.70599999999999</v>
      </c>
      <c r="H69" s="639">
        <f t="shared" si="0"/>
        <v>947.53700000000003</v>
      </c>
      <c r="I69" s="638">
        <v>81.438000000000002</v>
      </c>
      <c r="J69" s="638">
        <f t="shared" si="1"/>
        <v>1028.9750000000001</v>
      </c>
      <c r="K69" s="640" t="s">
        <v>356</v>
      </c>
      <c r="L69" s="627">
        <f t="array" ref="L69">IFERROR(INDEX(UtilityList!Q$4:Q$251,MATCH('Table 2.3a'!$A69&amp;'Table 2.3a'!$B69&amp;'Table 2.3a'!$C69,UtilityList!$A$4:$A$251&amp;UtilityList!$B$4:$B$251&amp;UtilityList!$C$4:$C$251,0)),INDEX(UtilityList!Q$4:Q$251,MATCH('Table 2.3a'!$A69&amp;'Table 2.3a'!$C69,UtilityList!$A$4:$A$251&amp;UtilityList!$C$4:$C$251,0)))</f>
        <v>0</v>
      </c>
      <c r="M69" s="452" t="str">
        <f t="array" ref="M69">IFERROR(INDEX(UtilityList!J$4:J$251,MATCH('Table 2.3a'!$A69&amp;'Table 2.3a'!$B69&amp;'Table 2.3a'!$C69,UtilityList!$A$4:$A$251&amp;UtilityList!$B$4:$B$251&amp;UtilityList!$C$4:$C$251,0)),INDEX(UtilityList!J$4:J$251,MATCH('Table 2.3a'!$A69&amp;'Table 2.3a'!$C69,UtilityList!$A$4:$A$251&amp;UtilityList!$C$4:$C$251,0)))</f>
        <v>Lower Yukon-Kuskokwim</v>
      </c>
      <c r="N69" s="452" t="str">
        <f t="array" ref="N69">IFERROR(INDEX(UtilityList!K$4:K$251,MATCH('Table 2.3a'!$A69&amp;'Table 2.3a'!$B69&amp;'Table 2.3a'!$C69,UtilityList!$A$4:$A$251&amp;UtilityList!$B$4:$B$251&amp;UtilityList!$C$4:$C$251,0)),INDEX(UtilityList!K$4:K$251,MATCH('Table 2.3a'!$A69&amp;'Table 2.3a'!$C69,UtilityList!$A$4:$A$251&amp;UtilityList!$C$4:$C$251,0)))</f>
        <v>Bethel (CA)</v>
      </c>
      <c r="O69" s="452" t="str">
        <f t="array" ref="O69">IFERROR(INDEX(UtilityList!L$4:L$251,MATCH('Table 2.3a'!$A69&amp;'Table 2.3a'!$B69&amp;'Table 2.3a'!$C69,UtilityList!$A$4:$A$251&amp;UtilityList!$B$4:$B$251&amp;UtilityList!$C$4:$C$251,0)),INDEX(UtilityList!L$4:L$251,MATCH('Table 2.3a'!$A69&amp;'Table 2.3a'!$C69,UtilityList!$A$4:$A$251&amp;UtilityList!$C$4:$C$251,0)))</f>
        <v>Calista</v>
      </c>
      <c r="P69" s="452" t="str">
        <f t="array" ref="P69">IFERROR(INDEX(UtilityList!M$4:M$251,MATCH('Table 2.3a'!$A69&amp;'Table 2.3a'!$B69&amp;'Table 2.3a'!$C69,UtilityList!$A$4:$A$251&amp;UtilityList!$B$4:$B$251&amp;UtilityList!$C$4:$C$251,0)),INDEX(UtilityList!M$4:M$251,MATCH('Table 2.3a'!$A69&amp;'Table 2.3a'!$C69,UtilityList!$A$4:$A$251&amp;UtilityList!$C$4:$C$251,0)))</f>
        <v>SW</v>
      </c>
      <c r="Q69" s="187"/>
    </row>
    <row r="70" spans="1:17" s="344" customFormat="1" ht="30" customHeight="1" x14ac:dyDescent="0.25">
      <c r="A70" s="360" t="s">
        <v>524</v>
      </c>
      <c r="B70" s="360" t="s">
        <v>89</v>
      </c>
      <c r="C70" s="387" t="s">
        <v>89</v>
      </c>
      <c r="D70" s="637">
        <v>0</v>
      </c>
      <c r="E70" s="638">
        <v>652.66300000000001</v>
      </c>
      <c r="F70" s="638">
        <v>0</v>
      </c>
      <c r="G70" s="638">
        <v>0</v>
      </c>
      <c r="H70" s="639">
        <f t="shared" si="0"/>
        <v>652.66300000000001</v>
      </c>
      <c r="I70" s="638">
        <v>19.199000000000002</v>
      </c>
      <c r="J70" s="638">
        <f t="shared" si="1"/>
        <v>671.86199999999997</v>
      </c>
      <c r="K70" s="640" t="s">
        <v>356</v>
      </c>
      <c r="L70" s="627">
        <f t="array" ref="L70">IFERROR(INDEX(UtilityList!Q$4:Q$251,MATCH('Table 2.3a'!$A70&amp;'Table 2.3a'!$B70&amp;'Table 2.3a'!$C70,UtilityList!$A$4:$A$251&amp;UtilityList!$B$4:$B$251&amp;UtilityList!$C$4:$C$251,0)),INDEX(UtilityList!Q$4:Q$251,MATCH('Table 2.3a'!$A70&amp;'Table 2.3a'!$C70,UtilityList!$A$4:$A$251&amp;UtilityList!$C$4:$C$251,0)))</f>
        <v>0</v>
      </c>
      <c r="M70" s="452" t="str">
        <f t="array" ref="M70">IFERROR(INDEX(UtilityList!J$4:J$251,MATCH('Table 2.3a'!$A70&amp;'Table 2.3a'!$B70&amp;'Table 2.3a'!$C70,UtilityList!$A$4:$A$251&amp;UtilityList!$B$4:$B$251&amp;UtilityList!$C$4:$C$251,0)),INDEX(UtilityList!J$4:J$251,MATCH('Table 2.3a'!$A70&amp;'Table 2.3a'!$C70,UtilityList!$A$4:$A$251&amp;UtilityList!$C$4:$C$251,0)))</f>
        <v>Yukon-Koyukuk/Upper Tanana</v>
      </c>
      <c r="N70" s="452" t="str">
        <f t="array" ref="N70">IFERROR(INDEX(UtilityList!K$4:K$251,MATCH('Table 2.3a'!$A70&amp;'Table 2.3a'!$B70&amp;'Table 2.3a'!$C70,UtilityList!$A$4:$A$251&amp;UtilityList!$B$4:$B$251&amp;UtilityList!$C$4:$C$251,0)),INDEX(UtilityList!K$4:K$251,MATCH('Table 2.3a'!$A70&amp;'Table 2.3a'!$C70,UtilityList!$A$4:$A$251&amp;UtilityList!$C$4:$C$251,0)))</f>
        <v>Yukon-Koyukuk (CA)</v>
      </c>
      <c r="O70" s="452" t="str">
        <f t="array" ref="O70">IFERROR(INDEX(UtilityList!L$4:L$251,MATCH('Table 2.3a'!$A70&amp;'Table 2.3a'!$B70&amp;'Table 2.3a'!$C70,UtilityList!$A$4:$A$251&amp;UtilityList!$B$4:$B$251&amp;UtilityList!$C$4:$C$251,0)),INDEX(UtilityList!L$4:L$251,MATCH('Table 2.3a'!$A70&amp;'Table 2.3a'!$C70,UtilityList!$A$4:$A$251&amp;UtilityList!$C$4:$C$251,0)))</f>
        <v>Doyon</v>
      </c>
      <c r="P70" s="452" t="str">
        <f t="array" ref="P70">IFERROR(INDEX(UtilityList!M$4:M$251,MATCH('Table 2.3a'!$A70&amp;'Table 2.3a'!$B70&amp;'Table 2.3a'!$C70,UtilityList!$A$4:$A$251&amp;UtilityList!$B$4:$B$251&amp;UtilityList!$C$4:$C$251,0)),INDEX(UtilityList!M$4:M$251,MATCH('Table 2.3a'!$A70&amp;'Table 2.3a'!$C70,UtilityList!$A$4:$A$251&amp;UtilityList!$C$4:$C$251,0)))</f>
        <v>YU</v>
      </c>
    </row>
    <row r="71" spans="1:17" s="344" customFormat="1" ht="30" customHeight="1" x14ac:dyDescent="0.25">
      <c r="A71" s="360" t="s">
        <v>524</v>
      </c>
      <c r="B71" s="360" t="s">
        <v>90</v>
      </c>
      <c r="C71" s="387" t="s">
        <v>90</v>
      </c>
      <c r="D71" s="637">
        <v>0</v>
      </c>
      <c r="E71" s="638">
        <v>2796.866</v>
      </c>
      <c r="F71" s="638">
        <v>0</v>
      </c>
      <c r="G71" s="638">
        <v>0</v>
      </c>
      <c r="H71" s="639">
        <f t="shared" si="0"/>
        <v>2796.866</v>
      </c>
      <c r="I71" s="638">
        <v>42.1</v>
      </c>
      <c r="J71" s="638">
        <f t="shared" si="1"/>
        <v>2838.9659999999999</v>
      </c>
      <c r="K71" s="640" t="s">
        <v>356</v>
      </c>
      <c r="L71" s="627">
        <f t="array" ref="L71">IFERROR(INDEX(UtilityList!Q$4:Q$251,MATCH('Table 2.3a'!$A71&amp;'Table 2.3a'!$B71&amp;'Table 2.3a'!$C71,UtilityList!$A$4:$A$251&amp;UtilityList!$B$4:$B$251&amp;UtilityList!$C$4:$C$251,0)),INDEX(UtilityList!Q$4:Q$251,MATCH('Table 2.3a'!$A71&amp;'Table 2.3a'!$C71,UtilityList!$A$4:$A$251&amp;UtilityList!$C$4:$C$251,0)))</f>
        <v>0</v>
      </c>
      <c r="M71" s="452" t="str">
        <f t="array" ref="M71">IFERROR(INDEX(UtilityList!J$4:J$251,MATCH('Table 2.3a'!$A71&amp;'Table 2.3a'!$B71&amp;'Table 2.3a'!$C71,UtilityList!$A$4:$A$251&amp;UtilityList!$B$4:$B$251&amp;UtilityList!$C$4:$C$251,0)),INDEX(UtilityList!J$4:J$251,MATCH('Table 2.3a'!$A71&amp;'Table 2.3a'!$C71,UtilityList!$A$4:$A$251&amp;UtilityList!$C$4:$C$251,0)))</f>
        <v>Lower Yukon-Kuskokwim</v>
      </c>
      <c r="N71" s="452" t="str">
        <f t="array" ref="N71">IFERROR(INDEX(UtilityList!K$4:K$251,MATCH('Table 2.3a'!$A71&amp;'Table 2.3a'!$B71&amp;'Table 2.3a'!$C71,UtilityList!$A$4:$A$251&amp;UtilityList!$B$4:$B$251&amp;UtilityList!$C$4:$C$251,0)),INDEX(UtilityList!K$4:K$251,MATCH('Table 2.3a'!$A71&amp;'Table 2.3a'!$C71,UtilityList!$A$4:$A$251&amp;UtilityList!$C$4:$C$251,0)))</f>
        <v>Wade Hampton (CA)</v>
      </c>
      <c r="O71" s="452" t="str">
        <f t="array" ref="O71">IFERROR(INDEX(UtilityList!L$4:L$251,MATCH('Table 2.3a'!$A71&amp;'Table 2.3a'!$B71&amp;'Table 2.3a'!$C71,UtilityList!$A$4:$A$251&amp;UtilityList!$B$4:$B$251&amp;UtilityList!$C$4:$C$251,0)),INDEX(UtilityList!L$4:L$251,MATCH('Table 2.3a'!$A71&amp;'Table 2.3a'!$C71,UtilityList!$A$4:$A$251&amp;UtilityList!$C$4:$C$251,0)))</f>
        <v>Calista</v>
      </c>
      <c r="P71" s="452" t="str">
        <f t="array" ref="P71">IFERROR(INDEX(UtilityList!M$4:M$251,MATCH('Table 2.3a'!$A71&amp;'Table 2.3a'!$B71&amp;'Table 2.3a'!$C71,UtilityList!$A$4:$A$251&amp;UtilityList!$B$4:$B$251&amp;UtilityList!$C$4:$C$251,0)),INDEX(UtilityList!M$4:M$251,MATCH('Table 2.3a'!$A71&amp;'Table 2.3a'!$C71,UtilityList!$A$4:$A$251&amp;UtilityList!$C$4:$C$251,0)))</f>
        <v>YU</v>
      </c>
    </row>
    <row r="72" spans="1:17" s="344" customFormat="1" ht="30" customHeight="1" x14ac:dyDescent="0.25">
      <c r="A72" s="360" t="s">
        <v>524</v>
      </c>
      <c r="B72" s="360" t="s">
        <v>91</v>
      </c>
      <c r="C72" s="387" t="s">
        <v>91</v>
      </c>
      <c r="D72" s="637">
        <v>0</v>
      </c>
      <c r="E72" s="638">
        <v>1466.3779999999999</v>
      </c>
      <c r="F72" s="638">
        <v>0</v>
      </c>
      <c r="G72" s="638">
        <v>0</v>
      </c>
      <c r="H72" s="639">
        <f t="shared" si="0"/>
        <v>1466.3779999999999</v>
      </c>
      <c r="I72" s="638">
        <v>35.78</v>
      </c>
      <c r="J72" s="638">
        <f t="shared" si="1"/>
        <v>1502.1579999999999</v>
      </c>
      <c r="K72" s="640" t="s">
        <v>356</v>
      </c>
      <c r="L72" s="627">
        <f t="array" ref="L72">IFERROR(INDEX(UtilityList!Q$4:Q$251,MATCH('Table 2.3a'!$A72&amp;'Table 2.3a'!$B72&amp;'Table 2.3a'!$C72,UtilityList!$A$4:$A$251&amp;UtilityList!$B$4:$B$251&amp;UtilityList!$C$4:$C$251,0)),INDEX(UtilityList!Q$4:Q$251,MATCH('Table 2.3a'!$A72&amp;'Table 2.3a'!$C72,UtilityList!$A$4:$A$251&amp;UtilityList!$C$4:$C$251,0)))</f>
        <v>0</v>
      </c>
      <c r="M72" s="452" t="str">
        <f t="array" ref="M72">IFERROR(INDEX(UtilityList!J$4:J$251,MATCH('Table 2.3a'!$A72&amp;'Table 2.3a'!$B72&amp;'Table 2.3a'!$C72,UtilityList!$A$4:$A$251&amp;UtilityList!$B$4:$B$251&amp;UtilityList!$C$4:$C$251,0)),INDEX(UtilityList!J$4:J$251,MATCH('Table 2.3a'!$A72&amp;'Table 2.3a'!$C72,UtilityList!$A$4:$A$251&amp;UtilityList!$C$4:$C$251,0)))</f>
        <v>Bristol Bay</v>
      </c>
      <c r="N72" s="452" t="str">
        <f t="array" ref="N72">IFERROR(INDEX(UtilityList!K$4:K$251,MATCH('Table 2.3a'!$A72&amp;'Table 2.3a'!$B72&amp;'Table 2.3a'!$C72,UtilityList!$A$4:$A$251&amp;UtilityList!$B$4:$B$251&amp;UtilityList!$C$4:$C$251,0)),INDEX(UtilityList!K$4:K$251,MATCH('Table 2.3a'!$A72&amp;'Table 2.3a'!$C72,UtilityList!$A$4:$A$251&amp;UtilityList!$C$4:$C$251,0)))</f>
        <v>Dillingham (CA)</v>
      </c>
      <c r="O72" s="452" t="str">
        <f t="array" ref="O72">IFERROR(INDEX(UtilityList!L$4:L$251,MATCH('Table 2.3a'!$A72&amp;'Table 2.3a'!$B72&amp;'Table 2.3a'!$C72,UtilityList!$A$4:$A$251&amp;UtilityList!$B$4:$B$251&amp;UtilityList!$C$4:$C$251,0)),INDEX(UtilityList!L$4:L$251,MATCH('Table 2.3a'!$A72&amp;'Table 2.3a'!$C72,UtilityList!$A$4:$A$251&amp;UtilityList!$C$4:$C$251,0)))</f>
        <v>Bristol Bay</v>
      </c>
      <c r="P72" s="452" t="str">
        <f t="array" ref="P72">IFERROR(INDEX(UtilityList!M$4:M$251,MATCH('Table 2.3a'!$A72&amp;'Table 2.3a'!$B72&amp;'Table 2.3a'!$C72,UtilityList!$A$4:$A$251&amp;UtilityList!$B$4:$B$251&amp;UtilityList!$C$4:$C$251,0)),INDEX(UtilityList!M$4:M$251,MATCH('Table 2.3a'!$A72&amp;'Table 2.3a'!$C72,UtilityList!$A$4:$A$251&amp;UtilityList!$C$4:$C$251,0)))</f>
        <v>SW</v>
      </c>
    </row>
    <row r="73" spans="1:17" s="344" customFormat="1" ht="47.25" customHeight="1" x14ac:dyDescent="0.25">
      <c r="A73" s="360" t="s">
        <v>524</v>
      </c>
      <c r="B73" s="360" t="s">
        <v>92</v>
      </c>
      <c r="C73" s="387" t="s">
        <v>92</v>
      </c>
      <c r="D73" s="637">
        <v>0</v>
      </c>
      <c r="E73" s="638">
        <v>0</v>
      </c>
      <c r="F73" s="638">
        <v>0</v>
      </c>
      <c r="G73" s="638">
        <v>0</v>
      </c>
      <c r="H73" s="639">
        <f t="shared" ref="H73:H136" si="2">SUM(D73:G73)</f>
        <v>0</v>
      </c>
      <c r="I73" s="638">
        <v>0</v>
      </c>
      <c r="J73" s="638">
        <f t="shared" ref="J73:J136" si="3">IF(I73="","",SUM(H73:I73))</f>
        <v>0</v>
      </c>
      <c r="K73" s="640" t="s">
        <v>356</v>
      </c>
      <c r="L73" s="627" t="str">
        <f t="array" ref="L73">IFERROR(INDEX(UtilityList!Q$4:Q$251,MATCH('Table 2.3a'!$A73&amp;'Table 2.3a'!$B73&amp;'Table 2.3a'!$C73,UtilityList!$A$4:$A$251&amp;UtilityList!$B$4:$B$251&amp;UtilityList!$C$4:$C$251,0)),INDEX(UtilityList!Q$4:Q$251,MATCH('Table 2.3a'!$A73&amp;'Table 2.3a'!$C73,UtilityList!$A$4:$A$251&amp;UtilityList!$C$4:$C$251,0)))</f>
        <v>Receives power from Toksook Bay via intertie. For fuel use and cost, please refer to Toksook Bay.</v>
      </c>
      <c r="M73" s="452" t="str">
        <f t="array" ref="M73">IFERROR(INDEX(UtilityList!J$4:J$251,MATCH('Table 2.3a'!$A73&amp;'Table 2.3a'!$B73&amp;'Table 2.3a'!$C73,UtilityList!$A$4:$A$251&amp;UtilityList!$B$4:$B$251&amp;UtilityList!$C$4:$C$251,0)),INDEX(UtilityList!J$4:J$251,MATCH('Table 2.3a'!$A73&amp;'Table 2.3a'!$C73,UtilityList!$A$4:$A$251&amp;UtilityList!$C$4:$C$251,0)))</f>
        <v>Lower Yukon-Kuskokwim</v>
      </c>
      <c r="N73" s="452" t="str">
        <f t="array" ref="N73">IFERROR(INDEX(UtilityList!K$4:K$251,MATCH('Table 2.3a'!$A73&amp;'Table 2.3a'!$B73&amp;'Table 2.3a'!$C73,UtilityList!$A$4:$A$251&amp;UtilityList!$B$4:$B$251&amp;UtilityList!$C$4:$C$251,0)),INDEX(UtilityList!K$4:K$251,MATCH('Table 2.3a'!$A73&amp;'Table 2.3a'!$C73,UtilityList!$A$4:$A$251&amp;UtilityList!$C$4:$C$251,0)))</f>
        <v>Bethel (CA)</v>
      </c>
      <c r="O73" s="452" t="str">
        <f t="array" ref="O73">IFERROR(INDEX(UtilityList!L$4:L$251,MATCH('Table 2.3a'!$A73&amp;'Table 2.3a'!$B73&amp;'Table 2.3a'!$C73,UtilityList!$A$4:$A$251&amp;UtilityList!$B$4:$B$251&amp;UtilityList!$C$4:$C$251,0)),INDEX(UtilityList!L$4:L$251,MATCH('Table 2.3a'!$A73&amp;'Table 2.3a'!$C73,UtilityList!$A$4:$A$251&amp;UtilityList!$C$4:$C$251,0)))</f>
        <v>Calista</v>
      </c>
      <c r="P73" s="452" t="str">
        <f t="array" ref="P73">IFERROR(INDEX(UtilityList!M$4:M$251,MATCH('Table 2.3a'!$A73&amp;'Table 2.3a'!$B73&amp;'Table 2.3a'!$C73,UtilityList!$A$4:$A$251&amp;UtilityList!$B$4:$B$251&amp;UtilityList!$C$4:$C$251,0)),INDEX(UtilityList!M$4:M$251,MATCH('Table 2.3a'!$A73&amp;'Table 2.3a'!$C73,UtilityList!$A$4:$A$251&amp;UtilityList!$C$4:$C$251,0)))</f>
        <v>SW</v>
      </c>
      <c r="Q73" s="187"/>
    </row>
    <row r="74" spans="1:17" s="344" customFormat="1" ht="48" customHeight="1" x14ac:dyDescent="0.25">
      <c r="A74" s="360" t="s">
        <v>524</v>
      </c>
      <c r="B74" s="360" t="s">
        <v>93</v>
      </c>
      <c r="C74" s="387" t="s">
        <v>93</v>
      </c>
      <c r="D74" s="637">
        <v>0</v>
      </c>
      <c r="E74" s="638">
        <v>1800.64</v>
      </c>
      <c r="F74" s="638">
        <v>0</v>
      </c>
      <c r="G74" s="638">
        <v>0</v>
      </c>
      <c r="H74" s="639">
        <f t="shared" si="2"/>
        <v>1800.64</v>
      </c>
      <c r="I74" s="638">
        <v>39.457999999999998</v>
      </c>
      <c r="J74" s="638">
        <f t="shared" si="3"/>
        <v>1840.0980000000002</v>
      </c>
      <c r="K74" s="640" t="s">
        <v>356</v>
      </c>
      <c r="L74" s="627">
        <f t="array" ref="L74">IFERROR(INDEX(UtilityList!Q$4:Q$251,MATCH('Table 2.3a'!$A74&amp;'Table 2.3a'!$B74&amp;'Table 2.3a'!$C74,UtilityList!$A$4:$A$251&amp;UtilityList!$B$4:$B$251&amp;UtilityList!$C$4:$C$251,0)),INDEX(UtilityList!Q$4:Q$251,MATCH('Table 2.3a'!$A74&amp;'Table 2.3a'!$C74,UtilityList!$A$4:$A$251&amp;UtilityList!$C$4:$C$251,0)))</f>
        <v>0</v>
      </c>
      <c r="M74" s="452" t="str">
        <f t="array" ref="M74">IFERROR(INDEX(UtilityList!J$4:J$251,MATCH('Table 2.3a'!$A74&amp;'Table 2.3a'!$B74&amp;'Table 2.3a'!$C74,UtilityList!$A$4:$A$251&amp;UtilityList!$B$4:$B$251&amp;UtilityList!$C$4:$C$251,0)),INDEX(UtilityList!J$4:J$251,MATCH('Table 2.3a'!$A74&amp;'Table 2.3a'!$C74,UtilityList!$A$4:$A$251&amp;UtilityList!$C$4:$C$251,0)))</f>
        <v>Northwest Arctic</v>
      </c>
      <c r="N74" s="452" t="str">
        <f t="array" ref="N74">IFERROR(INDEX(UtilityList!K$4:K$251,MATCH('Table 2.3a'!$A74&amp;'Table 2.3a'!$B74&amp;'Table 2.3a'!$C74,UtilityList!$A$4:$A$251&amp;UtilityList!$B$4:$B$251&amp;UtilityList!$C$4:$C$251,0)),INDEX(UtilityList!K$4:K$251,MATCH('Table 2.3a'!$A74&amp;'Table 2.3a'!$C74,UtilityList!$A$4:$A$251&amp;UtilityList!$C$4:$C$251,0)))</f>
        <v>Northwest Arctic</v>
      </c>
      <c r="O74" s="452" t="str">
        <f t="array" ref="O74">IFERROR(INDEX(UtilityList!L$4:L$251,MATCH('Table 2.3a'!$A74&amp;'Table 2.3a'!$B74&amp;'Table 2.3a'!$C74,UtilityList!$A$4:$A$251&amp;UtilityList!$B$4:$B$251&amp;UtilityList!$C$4:$C$251,0)),INDEX(UtilityList!L$4:L$251,MATCH('Table 2.3a'!$A74&amp;'Table 2.3a'!$C74,UtilityList!$A$4:$A$251&amp;UtilityList!$C$4:$C$251,0)))</f>
        <v>NANA</v>
      </c>
      <c r="P74" s="452" t="str">
        <f t="array" ref="P74">IFERROR(INDEX(UtilityList!M$4:M$251,MATCH('Table 2.3a'!$A74&amp;'Table 2.3a'!$B74&amp;'Table 2.3a'!$C74,UtilityList!$A$4:$A$251&amp;UtilityList!$B$4:$B$251&amp;UtilityList!$C$4:$C$251,0)),INDEX(UtilityList!M$4:M$251,MATCH('Table 2.3a'!$A74&amp;'Table 2.3a'!$C74,UtilityList!$A$4:$A$251&amp;UtilityList!$C$4:$C$251,0)))</f>
        <v>AN</v>
      </c>
    </row>
    <row r="75" spans="1:17" s="344" customFormat="1" ht="30" customHeight="1" x14ac:dyDescent="0.25">
      <c r="A75" s="360" t="s">
        <v>524</v>
      </c>
      <c r="B75" s="360" t="s">
        <v>94</v>
      </c>
      <c r="C75" s="387" t="s">
        <v>94</v>
      </c>
      <c r="D75" s="637">
        <v>0</v>
      </c>
      <c r="E75" s="638">
        <v>2001.4739999999999</v>
      </c>
      <c r="F75" s="638">
        <v>0</v>
      </c>
      <c r="G75" s="638">
        <v>0</v>
      </c>
      <c r="H75" s="639">
        <f t="shared" si="2"/>
        <v>2001.4739999999999</v>
      </c>
      <c r="I75" s="638">
        <v>32.654000000000003</v>
      </c>
      <c r="J75" s="638">
        <f t="shared" si="3"/>
        <v>2034.1279999999999</v>
      </c>
      <c r="K75" s="640" t="s">
        <v>356</v>
      </c>
      <c r="L75" s="627">
        <f t="array" ref="L75">IFERROR(INDEX(UtilityList!Q$4:Q$251,MATCH('Table 2.3a'!$A75&amp;'Table 2.3a'!$B75&amp;'Table 2.3a'!$C75,UtilityList!$A$4:$A$251&amp;UtilityList!$B$4:$B$251&amp;UtilityList!$C$4:$C$251,0)),INDEX(UtilityList!Q$4:Q$251,MATCH('Table 2.3a'!$A75&amp;'Table 2.3a'!$C75,UtilityList!$A$4:$A$251&amp;UtilityList!$C$4:$C$251,0)))</f>
        <v>0</v>
      </c>
      <c r="M75" s="452" t="str">
        <f t="array" ref="M75">IFERROR(INDEX(UtilityList!J$4:J$251,MATCH('Table 2.3a'!$A75&amp;'Table 2.3a'!$B75&amp;'Table 2.3a'!$C75,UtilityList!$A$4:$A$251&amp;UtilityList!$B$4:$B$251&amp;UtilityList!$C$4:$C$251,0)),INDEX(UtilityList!J$4:J$251,MATCH('Table 2.3a'!$A75&amp;'Table 2.3a'!$C75,UtilityList!$A$4:$A$251&amp;UtilityList!$C$4:$C$251,0)))</f>
        <v>Northwest Arctic</v>
      </c>
      <c r="N75" s="452" t="str">
        <f t="array" ref="N75">IFERROR(INDEX(UtilityList!K$4:K$251,MATCH('Table 2.3a'!$A75&amp;'Table 2.3a'!$B75&amp;'Table 2.3a'!$C75,UtilityList!$A$4:$A$251&amp;UtilityList!$B$4:$B$251&amp;UtilityList!$C$4:$C$251,0)),INDEX(UtilityList!K$4:K$251,MATCH('Table 2.3a'!$A75&amp;'Table 2.3a'!$C75,UtilityList!$A$4:$A$251&amp;UtilityList!$C$4:$C$251,0)))</f>
        <v>Northwest Arctic</v>
      </c>
      <c r="O75" s="452" t="str">
        <f t="array" ref="O75">IFERROR(INDEX(UtilityList!L$4:L$251,MATCH('Table 2.3a'!$A75&amp;'Table 2.3a'!$B75&amp;'Table 2.3a'!$C75,UtilityList!$A$4:$A$251&amp;UtilityList!$B$4:$B$251&amp;UtilityList!$C$4:$C$251,0)),INDEX(UtilityList!L$4:L$251,MATCH('Table 2.3a'!$A75&amp;'Table 2.3a'!$C75,UtilityList!$A$4:$A$251&amp;UtilityList!$C$4:$C$251,0)))</f>
        <v>NANA</v>
      </c>
      <c r="P75" s="452" t="str">
        <f t="array" ref="P75">IFERROR(INDEX(UtilityList!M$4:M$251,MATCH('Table 2.3a'!$A75&amp;'Table 2.3a'!$B75&amp;'Table 2.3a'!$C75,UtilityList!$A$4:$A$251&amp;UtilityList!$B$4:$B$251&amp;UtilityList!$C$4:$C$251,0)),INDEX(UtilityList!M$4:M$251,MATCH('Table 2.3a'!$A75&amp;'Table 2.3a'!$C75,UtilityList!$A$4:$A$251&amp;UtilityList!$C$4:$C$251,0)))</f>
        <v>AN</v>
      </c>
    </row>
    <row r="76" spans="1:17" s="344" customFormat="1" ht="30" customHeight="1" x14ac:dyDescent="0.25">
      <c r="A76" s="360" t="s">
        <v>524</v>
      </c>
      <c r="B76" s="360" t="s">
        <v>95</v>
      </c>
      <c r="C76" s="387" t="s">
        <v>95</v>
      </c>
      <c r="D76" s="637">
        <v>0</v>
      </c>
      <c r="E76" s="638">
        <v>1110.2139999999999</v>
      </c>
      <c r="F76" s="638">
        <v>0</v>
      </c>
      <c r="G76" s="638">
        <v>0</v>
      </c>
      <c r="H76" s="639">
        <f t="shared" si="2"/>
        <v>1110.2139999999999</v>
      </c>
      <c r="I76" s="638">
        <v>19.234000000000002</v>
      </c>
      <c r="J76" s="638">
        <f t="shared" si="3"/>
        <v>1129.4479999999999</v>
      </c>
      <c r="K76" s="640" t="s">
        <v>356</v>
      </c>
      <c r="L76" s="627">
        <f t="array" ref="L76">IFERROR(INDEX(UtilityList!Q$4:Q$251,MATCH('Table 2.3a'!$A76&amp;'Table 2.3a'!$B76&amp;'Table 2.3a'!$C76,UtilityList!$A$4:$A$251&amp;UtilityList!$B$4:$B$251&amp;UtilityList!$C$4:$C$251,0)),INDEX(UtilityList!Q$4:Q$251,MATCH('Table 2.3a'!$A76&amp;'Table 2.3a'!$C76,UtilityList!$A$4:$A$251&amp;UtilityList!$C$4:$C$251,0)))</f>
        <v>0</v>
      </c>
      <c r="M76" s="452" t="str">
        <f t="array" ref="M76">IFERROR(INDEX(UtilityList!J$4:J$251,MATCH('Table 2.3a'!$A76&amp;'Table 2.3a'!$B76&amp;'Table 2.3a'!$C76,UtilityList!$A$4:$A$251&amp;UtilityList!$B$4:$B$251&amp;UtilityList!$C$4:$C$251,0)),INDEX(UtilityList!J$4:J$251,MATCH('Table 2.3a'!$A76&amp;'Table 2.3a'!$C76,UtilityList!$A$4:$A$251&amp;UtilityList!$C$4:$C$251,0)))</f>
        <v>Yukon-Koyukuk/Upper Tanana</v>
      </c>
      <c r="N76" s="452" t="str">
        <f t="array" ref="N76">IFERROR(INDEX(UtilityList!K$4:K$251,MATCH('Table 2.3a'!$A76&amp;'Table 2.3a'!$B76&amp;'Table 2.3a'!$C76,UtilityList!$A$4:$A$251&amp;UtilityList!$B$4:$B$251&amp;UtilityList!$C$4:$C$251,0)),INDEX(UtilityList!K$4:K$251,MATCH('Table 2.3a'!$A76&amp;'Table 2.3a'!$C76,UtilityList!$A$4:$A$251&amp;UtilityList!$C$4:$C$251,0)))</f>
        <v>Yukon-Koyukuk (CA)</v>
      </c>
      <c r="O76" s="452" t="str">
        <f t="array" ref="O76">IFERROR(INDEX(UtilityList!L$4:L$251,MATCH('Table 2.3a'!$A76&amp;'Table 2.3a'!$B76&amp;'Table 2.3a'!$C76,UtilityList!$A$4:$A$251&amp;UtilityList!$B$4:$B$251&amp;UtilityList!$C$4:$C$251,0)),INDEX(UtilityList!L$4:L$251,MATCH('Table 2.3a'!$A76&amp;'Table 2.3a'!$C76,UtilityList!$A$4:$A$251&amp;UtilityList!$C$4:$C$251,0)))</f>
        <v>Doyon</v>
      </c>
      <c r="P76" s="452" t="str">
        <f t="array" ref="P76">IFERROR(INDEX(UtilityList!M$4:M$251,MATCH('Table 2.3a'!$A76&amp;'Table 2.3a'!$B76&amp;'Table 2.3a'!$C76,UtilityList!$A$4:$A$251&amp;UtilityList!$B$4:$B$251&amp;UtilityList!$C$4:$C$251,0)),INDEX(UtilityList!M$4:M$251,MATCH('Table 2.3a'!$A76&amp;'Table 2.3a'!$C76,UtilityList!$A$4:$A$251&amp;UtilityList!$C$4:$C$251,0)))</f>
        <v>YU</v>
      </c>
      <c r="Q76" s="187"/>
    </row>
    <row r="77" spans="1:17" s="344" customFormat="1" ht="90.75" customHeight="1" x14ac:dyDescent="0.25">
      <c r="A77" s="360" t="s">
        <v>524</v>
      </c>
      <c r="B77" s="360" t="s">
        <v>96</v>
      </c>
      <c r="C77" s="387" t="s">
        <v>96</v>
      </c>
      <c r="D77" s="637">
        <v>0</v>
      </c>
      <c r="E77" s="638">
        <v>0</v>
      </c>
      <c r="F77" s="638">
        <v>0</v>
      </c>
      <c r="G77" s="638">
        <v>0</v>
      </c>
      <c r="H77" s="639">
        <f t="shared" si="2"/>
        <v>0</v>
      </c>
      <c r="I77" s="638">
        <v>0</v>
      </c>
      <c r="J77" s="638">
        <f t="shared" si="3"/>
        <v>0</v>
      </c>
      <c r="K77" s="640" t="s">
        <v>356</v>
      </c>
      <c r="L77" s="627" t="str">
        <f t="array" ref="L77">IFERROR(INDEX(UtilityList!Q$4:Q$251,MATCH('Table 2.3a'!$A77&amp;'Table 2.3a'!$B77&amp;'Table 2.3a'!$C77,UtilityList!$A$4:$A$251&amp;UtilityList!$B$4:$B$251&amp;UtilityList!$C$4:$C$251,0)),INDEX(UtilityList!Q$4:Q$251,MATCH('Table 2.3a'!$A77&amp;'Table 2.3a'!$C77,UtilityList!$A$4:$A$251&amp;UtilityList!$C$4:$C$251,0)))</f>
        <v>Receives power from Kasigluk. Please refer to Kasigluk for fuel use and cost.</v>
      </c>
      <c r="M77" s="452" t="str">
        <f t="array" ref="M77">IFERROR(INDEX(UtilityList!J$4:J$251,MATCH('Table 2.3a'!$A77&amp;'Table 2.3a'!$B77&amp;'Table 2.3a'!$C77,UtilityList!$A$4:$A$251&amp;UtilityList!$B$4:$B$251&amp;UtilityList!$C$4:$C$251,0)),INDEX(UtilityList!J$4:J$251,MATCH('Table 2.3a'!$A77&amp;'Table 2.3a'!$C77,UtilityList!$A$4:$A$251&amp;UtilityList!$C$4:$C$251,0)))</f>
        <v>Lower Yukon-Kuskokwim</v>
      </c>
      <c r="N77" s="452" t="str">
        <f t="array" ref="N77">IFERROR(INDEX(UtilityList!K$4:K$251,MATCH('Table 2.3a'!$A77&amp;'Table 2.3a'!$B77&amp;'Table 2.3a'!$C77,UtilityList!$A$4:$A$251&amp;UtilityList!$B$4:$B$251&amp;UtilityList!$C$4:$C$251,0)),INDEX(UtilityList!K$4:K$251,MATCH('Table 2.3a'!$A77&amp;'Table 2.3a'!$C77,UtilityList!$A$4:$A$251&amp;UtilityList!$C$4:$C$251,0)))</f>
        <v>Bethel (CA)</v>
      </c>
      <c r="O77" s="452" t="str">
        <f t="array" ref="O77">IFERROR(INDEX(UtilityList!L$4:L$251,MATCH('Table 2.3a'!$A77&amp;'Table 2.3a'!$B77&amp;'Table 2.3a'!$C77,UtilityList!$A$4:$A$251&amp;UtilityList!$B$4:$B$251&amp;UtilityList!$C$4:$C$251,0)),INDEX(UtilityList!L$4:L$251,MATCH('Table 2.3a'!$A77&amp;'Table 2.3a'!$C77,UtilityList!$A$4:$A$251&amp;UtilityList!$C$4:$C$251,0)))</f>
        <v>Calista</v>
      </c>
      <c r="P77" s="452" t="str">
        <f t="array" ref="P77">IFERROR(INDEX(UtilityList!M$4:M$251,MATCH('Table 2.3a'!$A77&amp;'Table 2.3a'!$B77&amp;'Table 2.3a'!$C77,UtilityList!$A$4:$A$251&amp;UtilityList!$B$4:$B$251&amp;UtilityList!$C$4:$C$251,0)),INDEX(UtilityList!M$4:M$251,MATCH('Table 2.3a'!$A77&amp;'Table 2.3a'!$C77,UtilityList!$A$4:$A$251&amp;UtilityList!$C$4:$C$251,0)))</f>
        <v>SW</v>
      </c>
    </row>
    <row r="78" spans="1:17" s="344" customFormat="1" ht="30" customHeight="1" x14ac:dyDescent="0.25">
      <c r="A78" s="360" t="s">
        <v>524</v>
      </c>
      <c r="B78" s="360" t="s">
        <v>97</v>
      </c>
      <c r="C78" s="387" t="s">
        <v>97</v>
      </c>
      <c r="D78" s="637">
        <v>0</v>
      </c>
      <c r="E78" s="638">
        <v>788.01900000000001</v>
      </c>
      <c r="F78" s="638">
        <v>0</v>
      </c>
      <c r="G78" s="638">
        <v>0</v>
      </c>
      <c r="H78" s="639">
        <f t="shared" si="2"/>
        <v>788.01900000000001</v>
      </c>
      <c r="I78" s="638">
        <v>30.751000000000001</v>
      </c>
      <c r="J78" s="638">
        <f t="shared" si="3"/>
        <v>818.77</v>
      </c>
      <c r="K78" s="640" t="s">
        <v>356</v>
      </c>
      <c r="L78" s="627">
        <f t="array" ref="L78">IFERROR(INDEX(UtilityList!Q$4:Q$251,MATCH('Table 2.3a'!$A78&amp;'Table 2.3a'!$B78&amp;'Table 2.3a'!$C78,UtilityList!$A$4:$A$251&amp;UtilityList!$B$4:$B$251&amp;UtilityList!$C$4:$C$251,0)),INDEX(UtilityList!Q$4:Q$251,MATCH('Table 2.3a'!$A78&amp;'Table 2.3a'!$C78,UtilityList!$A$4:$A$251&amp;UtilityList!$C$4:$C$251,0)))</f>
        <v>0</v>
      </c>
      <c r="M78" s="452" t="str">
        <f t="array" ref="M78">IFERROR(INDEX(UtilityList!J$4:J$251,MATCH('Table 2.3a'!$A78&amp;'Table 2.3a'!$B78&amp;'Table 2.3a'!$C78,UtilityList!$A$4:$A$251&amp;UtilityList!$B$4:$B$251&amp;UtilityList!$C$4:$C$251,0)),INDEX(UtilityList!J$4:J$251,MATCH('Table 2.3a'!$A78&amp;'Table 2.3a'!$C78,UtilityList!$A$4:$A$251&amp;UtilityList!$C$4:$C$251,0)))</f>
        <v>Kodiak</v>
      </c>
      <c r="N78" s="452" t="str">
        <f t="array" ref="N78">IFERROR(INDEX(UtilityList!K$4:K$251,MATCH('Table 2.3a'!$A78&amp;'Table 2.3a'!$B78&amp;'Table 2.3a'!$C78,UtilityList!$A$4:$A$251&amp;UtilityList!$B$4:$B$251&amp;UtilityList!$C$4:$C$251,0)),INDEX(UtilityList!K$4:K$251,MATCH('Table 2.3a'!$A78&amp;'Table 2.3a'!$C78,UtilityList!$A$4:$A$251&amp;UtilityList!$C$4:$C$251,0)))</f>
        <v>Kodiak Island</v>
      </c>
      <c r="O78" s="452" t="str">
        <f t="array" ref="O78">IFERROR(INDEX(UtilityList!L$4:L$251,MATCH('Table 2.3a'!$A78&amp;'Table 2.3a'!$B78&amp;'Table 2.3a'!$C78,UtilityList!$A$4:$A$251&amp;UtilityList!$B$4:$B$251&amp;UtilityList!$C$4:$C$251,0)),INDEX(UtilityList!L$4:L$251,MATCH('Table 2.3a'!$A78&amp;'Table 2.3a'!$C78,UtilityList!$A$4:$A$251&amp;UtilityList!$C$4:$C$251,0)))</f>
        <v>Koniag</v>
      </c>
      <c r="P78" s="452" t="str">
        <f t="array" ref="P78">IFERROR(INDEX(UtilityList!M$4:M$251,MATCH('Table 2.3a'!$A78&amp;'Table 2.3a'!$B78&amp;'Table 2.3a'!$C78,UtilityList!$A$4:$A$251&amp;UtilityList!$B$4:$B$251&amp;UtilityList!$C$4:$C$251,0)),INDEX(UtilityList!M$4:M$251,MATCH('Table 2.3a'!$A78&amp;'Table 2.3a'!$C78,UtilityList!$A$4:$A$251&amp;UtilityList!$C$4:$C$251,0)))</f>
        <v>SC</v>
      </c>
    </row>
    <row r="79" spans="1:17" s="344" customFormat="1" ht="30" x14ac:dyDescent="0.25">
      <c r="A79" s="360" t="s">
        <v>524</v>
      </c>
      <c r="B79" s="360" t="s">
        <v>98</v>
      </c>
      <c r="C79" s="387" t="s">
        <v>98</v>
      </c>
      <c r="D79" s="637">
        <v>0</v>
      </c>
      <c r="E79" s="638">
        <v>1750.671</v>
      </c>
      <c r="F79" s="638">
        <v>0</v>
      </c>
      <c r="G79" s="638">
        <v>0</v>
      </c>
      <c r="H79" s="639">
        <f t="shared" si="2"/>
        <v>1750.671</v>
      </c>
      <c r="I79" s="638">
        <v>19.63</v>
      </c>
      <c r="J79" s="638">
        <f t="shared" si="3"/>
        <v>1770.3010000000002</v>
      </c>
      <c r="K79" s="640" t="s">
        <v>356</v>
      </c>
      <c r="L79" s="627">
        <f t="array" ref="L79">IFERROR(INDEX(UtilityList!Q$4:Q$251,MATCH('Table 2.3a'!$A79&amp;'Table 2.3a'!$B79&amp;'Table 2.3a'!$C79,UtilityList!$A$4:$A$251&amp;UtilityList!$B$4:$B$251&amp;UtilityList!$C$4:$C$251,0)),INDEX(UtilityList!Q$4:Q$251,MATCH('Table 2.3a'!$A79&amp;'Table 2.3a'!$C79,UtilityList!$A$4:$A$251&amp;UtilityList!$C$4:$C$251,0)))</f>
        <v>0</v>
      </c>
      <c r="M79" s="452" t="str">
        <f t="array" ref="M79">IFERROR(INDEX(UtilityList!J$4:J$251,MATCH('Table 2.3a'!$A79&amp;'Table 2.3a'!$B79&amp;'Table 2.3a'!$C79,UtilityList!$A$4:$A$251&amp;UtilityList!$B$4:$B$251&amp;UtilityList!$C$4:$C$251,0)),INDEX(UtilityList!J$4:J$251,MATCH('Table 2.3a'!$A79&amp;'Table 2.3a'!$C79,UtilityList!$A$4:$A$251&amp;UtilityList!$C$4:$C$251,0)))</f>
        <v>Lower Yukon-Kuskokwim</v>
      </c>
      <c r="N79" s="452" t="str">
        <f t="array" ref="N79">IFERROR(INDEX(UtilityList!K$4:K$251,MATCH('Table 2.3a'!$A79&amp;'Table 2.3a'!$B79&amp;'Table 2.3a'!$C79,UtilityList!$A$4:$A$251&amp;UtilityList!$B$4:$B$251&amp;UtilityList!$C$4:$C$251,0)),INDEX(UtilityList!K$4:K$251,MATCH('Table 2.3a'!$A79&amp;'Table 2.3a'!$C79,UtilityList!$A$4:$A$251&amp;UtilityList!$C$4:$C$251,0)))</f>
        <v>Wade Hampton (CA)</v>
      </c>
      <c r="O79" s="452" t="str">
        <f t="array" ref="O79">IFERROR(INDEX(UtilityList!L$4:L$251,MATCH('Table 2.3a'!$A79&amp;'Table 2.3a'!$B79&amp;'Table 2.3a'!$C79,UtilityList!$A$4:$A$251&amp;UtilityList!$B$4:$B$251&amp;UtilityList!$C$4:$C$251,0)),INDEX(UtilityList!L$4:L$251,MATCH('Table 2.3a'!$A79&amp;'Table 2.3a'!$C79,UtilityList!$A$4:$A$251&amp;UtilityList!$C$4:$C$251,0)))</f>
        <v>Calista</v>
      </c>
      <c r="P79" s="452" t="str">
        <f t="array" ref="P79">IFERROR(INDEX(UtilityList!M$4:M$251,MATCH('Table 2.3a'!$A79&amp;'Table 2.3a'!$B79&amp;'Table 2.3a'!$C79,UtilityList!$A$4:$A$251&amp;UtilityList!$B$4:$B$251&amp;UtilityList!$C$4:$C$251,0)),INDEX(UtilityList!M$4:M$251,MATCH('Table 2.3a'!$A79&amp;'Table 2.3a'!$C79,UtilityList!$A$4:$A$251&amp;UtilityList!$C$4:$C$251,0)))</f>
        <v>YU</v>
      </c>
      <c r="Q79" s="187"/>
    </row>
    <row r="80" spans="1:17" s="344" customFormat="1" ht="60" x14ac:dyDescent="0.25">
      <c r="A80" s="360" t="s">
        <v>524</v>
      </c>
      <c r="B80" s="360" t="s">
        <v>538</v>
      </c>
      <c r="C80" s="387" t="s">
        <v>99</v>
      </c>
      <c r="D80" s="637">
        <v>0</v>
      </c>
      <c r="E80" s="638">
        <v>0</v>
      </c>
      <c r="F80" s="638">
        <v>0</v>
      </c>
      <c r="G80" s="638">
        <v>0</v>
      </c>
      <c r="H80" s="639">
        <f t="shared" si="2"/>
        <v>0</v>
      </c>
      <c r="I80" s="638">
        <v>0</v>
      </c>
      <c r="J80" s="638">
        <f t="shared" si="3"/>
        <v>0</v>
      </c>
      <c r="K80" s="640" t="s">
        <v>356</v>
      </c>
      <c r="L80" s="627" t="str">
        <f t="array" ref="L80">IFERROR(INDEX(UtilityList!Q$4:Q$251,MATCH('Table 2.3a'!$A80&amp;'Table 2.3a'!$B80&amp;'Table 2.3a'!$C80,UtilityList!$A$4:$A$251&amp;UtilityList!$B$4:$B$251&amp;UtilityList!$C$4:$C$251,0)),INDEX(UtilityList!Q$4:Q$251,MATCH('Table 2.3a'!$A80&amp;'Table 2.3a'!$C80,UtilityList!$A$4:$A$251&amp;UtilityList!$C$4:$C$251,0)))</f>
        <v>Receives power from Saint Mary's via intertie. For fuel use and cost, please refer to Saint Mary's.</v>
      </c>
      <c r="M80" s="452" t="str">
        <f t="array" ref="M80">IFERROR(INDEX(UtilityList!J$4:J$251,MATCH('Table 2.3a'!$A80&amp;'Table 2.3a'!$B80&amp;'Table 2.3a'!$C80,UtilityList!$A$4:$A$251&amp;UtilityList!$B$4:$B$251&amp;UtilityList!$C$4:$C$251,0)),INDEX(UtilityList!J$4:J$251,MATCH('Table 2.3a'!$A80&amp;'Table 2.3a'!$C80,UtilityList!$A$4:$A$251&amp;UtilityList!$C$4:$C$251,0)))</f>
        <v>Lower Yukon-Kuskokwim</v>
      </c>
      <c r="N80" s="452" t="str">
        <f t="array" ref="N80">IFERROR(INDEX(UtilityList!K$4:K$251,MATCH('Table 2.3a'!$A80&amp;'Table 2.3a'!$B80&amp;'Table 2.3a'!$C80,UtilityList!$A$4:$A$251&amp;UtilityList!$B$4:$B$251&amp;UtilityList!$C$4:$C$251,0)),INDEX(UtilityList!K$4:K$251,MATCH('Table 2.3a'!$A80&amp;'Table 2.3a'!$C80,UtilityList!$A$4:$A$251&amp;UtilityList!$C$4:$C$251,0)))</f>
        <v>Wade Hampton (CA)</v>
      </c>
      <c r="O80" s="452" t="str">
        <f t="array" ref="O80">IFERROR(INDEX(UtilityList!L$4:L$251,MATCH('Table 2.3a'!$A80&amp;'Table 2.3a'!$B80&amp;'Table 2.3a'!$C80,UtilityList!$A$4:$A$251&amp;UtilityList!$B$4:$B$251&amp;UtilityList!$C$4:$C$251,0)),INDEX(UtilityList!L$4:L$251,MATCH('Table 2.3a'!$A80&amp;'Table 2.3a'!$C80,UtilityList!$A$4:$A$251&amp;UtilityList!$C$4:$C$251,0)))</f>
        <v>Calista</v>
      </c>
      <c r="P80" s="452" t="str">
        <f t="array" ref="P80">IFERROR(INDEX(UtilityList!M$4:M$251,MATCH('Table 2.3a'!$A80&amp;'Table 2.3a'!$B80&amp;'Table 2.3a'!$C80,UtilityList!$A$4:$A$251&amp;UtilityList!$B$4:$B$251&amp;UtilityList!$C$4:$C$251,0)),INDEX(UtilityList!M$4:M$251,MATCH('Table 2.3a'!$A80&amp;'Table 2.3a'!$C80,UtilityList!$A$4:$A$251&amp;UtilityList!$C$4:$C$251,0)))</f>
        <v>YU</v>
      </c>
      <c r="Q80" s="126"/>
    </row>
    <row r="81" spans="1:17" s="344" customFormat="1" ht="72" customHeight="1" x14ac:dyDescent="0.25">
      <c r="A81" s="360" t="s">
        <v>524</v>
      </c>
      <c r="B81" s="360" t="s">
        <v>100</v>
      </c>
      <c r="C81" s="387" t="s">
        <v>100</v>
      </c>
      <c r="D81" s="637">
        <v>0</v>
      </c>
      <c r="E81" s="638">
        <v>1415.165</v>
      </c>
      <c r="F81" s="638">
        <v>0</v>
      </c>
      <c r="G81" s="638">
        <v>409.24</v>
      </c>
      <c r="H81" s="639">
        <f t="shared" si="2"/>
        <v>1824.405</v>
      </c>
      <c r="I81" s="638">
        <v>42.753</v>
      </c>
      <c r="J81" s="638">
        <f t="shared" si="3"/>
        <v>1867.1579999999999</v>
      </c>
      <c r="K81" s="640" t="s">
        <v>356</v>
      </c>
      <c r="L81" s="627">
        <f t="array" ref="L81">IFERROR(INDEX(UtilityList!Q$4:Q$251,MATCH('Table 2.3a'!$A81&amp;'Table 2.3a'!$B81&amp;'Table 2.3a'!$C81,UtilityList!$A$4:$A$251&amp;UtilityList!$B$4:$B$251&amp;UtilityList!$C$4:$C$251,0)),INDEX(UtilityList!Q$4:Q$251,MATCH('Table 2.3a'!$A81&amp;'Table 2.3a'!$C81,UtilityList!$A$4:$A$251&amp;UtilityList!$C$4:$C$251,0)))</f>
        <v>0</v>
      </c>
      <c r="M81" s="452" t="str">
        <f t="array" ref="M81">IFERROR(INDEX(UtilityList!J$4:J$251,MATCH('Table 2.3a'!$A81&amp;'Table 2.3a'!$B81&amp;'Table 2.3a'!$C81,UtilityList!$A$4:$A$251&amp;UtilityList!$B$4:$B$251&amp;UtilityList!$C$4:$C$251,0)),INDEX(UtilityList!J$4:J$251,MATCH('Table 2.3a'!$A81&amp;'Table 2.3a'!$C81,UtilityList!$A$4:$A$251&amp;UtilityList!$C$4:$C$251,0)))</f>
        <v>Lower Yukon-Kuskokwim</v>
      </c>
      <c r="N81" s="452" t="str">
        <f t="array" ref="N81">IFERROR(INDEX(UtilityList!K$4:K$251,MATCH('Table 2.3a'!$A81&amp;'Table 2.3a'!$B81&amp;'Table 2.3a'!$C81,UtilityList!$A$4:$A$251&amp;UtilityList!$B$4:$B$251&amp;UtilityList!$C$4:$C$251,0)),INDEX(UtilityList!K$4:K$251,MATCH('Table 2.3a'!$A81&amp;'Table 2.3a'!$C81,UtilityList!$A$4:$A$251&amp;UtilityList!$C$4:$C$251,0)))</f>
        <v>Bethel (CA)</v>
      </c>
      <c r="O81" s="452" t="str">
        <f t="array" ref="O81">IFERROR(INDEX(UtilityList!L$4:L$251,MATCH('Table 2.3a'!$A81&amp;'Table 2.3a'!$B81&amp;'Table 2.3a'!$C81,UtilityList!$A$4:$A$251&amp;UtilityList!$B$4:$B$251&amp;UtilityList!$C$4:$C$251,0)),INDEX(UtilityList!L$4:L$251,MATCH('Table 2.3a'!$A81&amp;'Table 2.3a'!$C81,UtilityList!$A$4:$A$251&amp;UtilityList!$C$4:$C$251,0)))</f>
        <v>Calista</v>
      </c>
      <c r="P81" s="452" t="str">
        <f t="array" ref="P81">IFERROR(INDEX(UtilityList!M$4:M$251,MATCH('Table 2.3a'!$A81&amp;'Table 2.3a'!$B81&amp;'Table 2.3a'!$C81,UtilityList!$A$4:$A$251&amp;UtilityList!$B$4:$B$251&amp;UtilityList!$C$4:$C$251,0)),INDEX(UtilityList!M$4:M$251,MATCH('Table 2.3a'!$A81&amp;'Table 2.3a'!$C81,UtilityList!$A$4:$A$251&amp;UtilityList!$C$4:$C$251,0)))</f>
        <v>SW</v>
      </c>
      <c r="Q81" s="126"/>
    </row>
    <row r="82" spans="1:17" s="344" customFormat="1" ht="30" customHeight="1" x14ac:dyDescent="0.25">
      <c r="A82" s="360" t="s">
        <v>524</v>
      </c>
      <c r="B82" s="360" t="s">
        <v>101</v>
      </c>
      <c r="C82" s="387" t="s">
        <v>101</v>
      </c>
      <c r="D82" s="637">
        <v>0</v>
      </c>
      <c r="E82" s="638">
        <v>1123.7860000000001</v>
      </c>
      <c r="F82" s="638">
        <v>0</v>
      </c>
      <c r="G82" s="638">
        <v>0</v>
      </c>
      <c r="H82" s="639">
        <f t="shared" si="2"/>
        <v>1123.7860000000001</v>
      </c>
      <c r="I82" s="638">
        <v>17.751999999999999</v>
      </c>
      <c r="J82" s="638">
        <f t="shared" si="3"/>
        <v>1141.538</v>
      </c>
      <c r="K82" s="640" t="s">
        <v>356</v>
      </c>
      <c r="L82" s="627">
        <f t="array" ref="L82">IFERROR(INDEX(UtilityList!Q$4:Q$251,MATCH('Table 2.3a'!$A82&amp;'Table 2.3a'!$B82&amp;'Table 2.3a'!$C82,UtilityList!$A$4:$A$251&amp;UtilityList!$B$4:$B$251&amp;UtilityList!$C$4:$C$251,0)),INDEX(UtilityList!Q$4:Q$251,MATCH('Table 2.3a'!$A82&amp;'Table 2.3a'!$C82,UtilityList!$A$4:$A$251&amp;UtilityList!$C$4:$C$251,0)))</f>
        <v>0</v>
      </c>
      <c r="M82" s="452" t="str">
        <f t="array" ref="M82">IFERROR(INDEX(UtilityList!J$4:J$251,MATCH('Table 2.3a'!$A82&amp;'Table 2.3a'!$B82&amp;'Table 2.3a'!$C82,UtilityList!$A$4:$A$251&amp;UtilityList!$B$4:$B$251&amp;UtilityList!$C$4:$C$251,0)),INDEX(UtilityList!J$4:J$251,MATCH('Table 2.3a'!$A82&amp;'Table 2.3a'!$C82,UtilityList!$A$4:$A$251&amp;UtilityList!$C$4:$C$251,0)))</f>
        <v>Lower Yukon-Kuskokwim</v>
      </c>
      <c r="N82" s="452" t="str">
        <f t="array" ref="N82">IFERROR(INDEX(UtilityList!K$4:K$251,MATCH('Table 2.3a'!$A82&amp;'Table 2.3a'!$B82&amp;'Table 2.3a'!$C82,UtilityList!$A$4:$A$251&amp;UtilityList!$B$4:$B$251&amp;UtilityList!$C$4:$C$251,0)),INDEX(UtilityList!K$4:K$251,MATCH('Table 2.3a'!$A82&amp;'Table 2.3a'!$C82,UtilityList!$A$4:$A$251&amp;UtilityList!$C$4:$C$251,0)))</f>
        <v>Wade Hampton (CA)</v>
      </c>
      <c r="O82" s="452" t="str">
        <f t="array" ref="O82">IFERROR(INDEX(UtilityList!L$4:L$251,MATCH('Table 2.3a'!$A82&amp;'Table 2.3a'!$B82&amp;'Table 2.3a'!$C82,UtilityList!$A$4:$A$251&amp;UtilityList!$B$4:$B$251&amp;UtilityList!$C$4:$C$251,0)),INDEX(UtilityList!L$4:L$251,MATCH('Table 2.3a'!$A82&amp;'Table 2.3a'!$C82,UtilityList!$A$4:$A$251&amp;UtilityList!$C$4:$C$251,0)))</f>
        <v>Calista</v>
      </c>
      <c r="P82" s="452" t="str">
        <f t="array" ref="P82">IFERROR(INDEX(UtilityList!M$4:M$251,MATCH('Table 2.3a'!$A82&amp;'Table 2.3a'!$B82&amp;'Table 2.3a'!$C82,UtilityList!$A$4:$A$251&amp;UtilityList!$B$4:$B$251&amp;UtilityList!$C$4:$C$251,0)),INDEX(UtilityList!M$4:M$251,MATCH('Table 2.3a'!$A82&amp;'Table 2.3a'!$C82,UtilityList!$A$4:$A$251&amp;UtilityList!$C$4:$C$251,0)))</f>
        <v>YU</v>
      </c>
      <c r="Q82" s="126"/>
    </row>
    <row r="83" spans="1:17" s="344" customFormat="1" ht="75" x14ac:dyDescent="0.25">
      <c r="A83" s="360" t="s">
        <v>524</v>
      </c>
      <c r="B83" s="360" t="s">
        <v>538</v>
      </c>
      <c r="C83" s="387" t="s">
        <v>993</v>
      </c>
      <c r="D83" s="637">
        <v>0</v>
      </c>
      <c r="E83" s="638">
        <v>3172.4340000000002</v>
      </c>
      <c r="F83" s="638">
        <v>0</v>
      </c>
      <c r="G83" s="638">
        <v>0</v>
      </c>
      <c r="H83" s="639">
        <f t="shared" si="2"/>
        <v>3172.4340000000002</v>
      </c>
      <c r="I83" s="638">
        <v>47.848999999999997</v>
      </c>
      <c r="J83" s="638">
        <f t="shared" si="3"/>
        <v>3220.2830000000004</v>
      </c>
      <c r="K83" s="640" t="s">
        <v>356</v>
      </c>
      <c r="L83" s="627" t="str">
        <f t="array" ref="L83">IFERROR(INDEX(UtilityList!Q$4:Q$251,MATCH('Table 2.3a'!$A83&amp;'Table 2.3a'!$B83&amp;'Table 2.3a'!$C83,UtilityList!$A$4:$A$251&amp;UtilityList!$B$4:$B$251&amp;UtilityList!$C$4:$C$251,0)),INDEX(UtilityList!Q$4:Q$251,MATCH('Table 2.3a'!$A83&amp;'Table 2.3a'!$C83,UtilityList!$A$4:$A$251&amp;UtilityList!$C$4:$C$251,0)))</f>
        <v>Provides power to Andreafsky and Pitkas Point via intertie. Includes Andreafsky's information. Fuel use and cost also includes Pitkas Point.</v>
      </c>
      <c r="M83" s="452" t="str">
        <f t="array" ref="M83">IFERROR(INDEX(UtilityList!J$4:J$251,MATCH('Table 2.3a'!$A83&amp;'Table 2.3a'!$B83&amp;'Table 2.3a'!$C83,UtilityList!$A$4:$A$251&amp;UtilityList!$B$4:$B$251&amp;UtilityList!$C$4:$C$251,0)),INDEX(UtilityList!J$4:J$251,MATCH('Table 2.3a'!$A83&amp;'Table 2.3a'!$C83,UtilityList!$A$4:$A$251&amp;UtilityList!$C$4:$C$251,0)))</f>
        <v>Lower Yukon-Kuskokwim</v>
      </c>
      <c r="N83" s="452" t="str">
        <f t="array" ref="N83">IFERROR(INDEX(UtilityList!K$4:K$251,MATCH('Table 2.3a'!$A83&amp;'Table 2.3a'!$B83&amp;'Table 2.3a'!$C83,UtilityList!$A$4:$A$251&amp;UtilityList!$B$4:$B$251&amp;UtilityList!$C$4:$C$251,0)),INDEX(UtilityList!K$4:K$251,MATCH('Table 2.3a'!$A83&amp;'Table 2.3a'!$C83,UtilityList!$A$4:$A$251&amp;UtilityList!$C$4:$C$251,0)))</f>
        <v>Wade Hampton (CA)</v>
      </c>
      <c r="O83" s="452" t="str">
        <f t="array" ref="O83">IFERROR(INDEX(UtilityList!L$4:L$251,MATCH('Table 2.3a'!$A83&amp;'Table 2.3a'!$B83&amp;'Table 2.3a'!$C83,UtilityList!$A$4:$A$251&amp;UtilityList!$B$4:$B$251&amp;UtilityList!$C$4:$C$251,0)),INDEX(UtilityList!L$4:L$251,MATCH('Table 2.3a'!$A83&amp;'Table 2.3a'!$C83,UtilityList!$A$4:$A$251&amp;UtilityList!$C$4:$C$251,0)))</f>
        <v>Calista</v>
      </c>
      <c r="P83" s="452" t="str">
        <f t="array" ref="P83">IFERROR(INDEX(UtilityList!M$4:M$251,MATCH('Table 2.3a'!$A83&amp;'Table 2.3a'!$B83&amp;'Table 2.3a'!$C83,UtilityList!$A$4:$A$251&amp;UtilityList!$B$4:$B$251&amp;UtilityList!$C$4:$C$251,0)),INDEX(UtilityList!M$4:M$251,MATCH('Table 2.3a'!$A83&amp;'Table 2.3a'!$C83,UtilityList!$A$4:$A$251&amp;UtilityList!$C$4:$C$251,0)))</f>
        <v>YU</v>
      </c>
      <c r="Q83" s="126"/>
    </row>
    <row r="84" spans="1:17" s="344" customFormat="1" ht="76.5" customHeight="1" x14ac:dyDescent="0.25">
      <c r="A84" s="360" t="s">
        <v>524</v>
      </c>
      <c r="B84" s="360" t="s">
        <v>102</v>
      </c>
      <c r="C84" s="387" t="s">
        <v>102</v>
      </c>
      <c r="D84" s="637">
        <v>0</v>
      </c>
      <c r="E84" s="638">
        <v>1734.962</v>
      </c>
      <c r="F84" s="638">
        <v>0</v>
      </c>
      <c r="G84" s="638">
        <v>0</v>
      </c>
      <c r="H84" s="639">
        <f t="shared" si="2"/>
        <v>1734.962</v>
      </c>
      <c r="I84" s="638">
        <v>45.811999999999998</v>
      </c>
      <c r="J84" s="638">
        <f t="shared" si="3"/>
        <v>1780.7739999999999</v>
      </c>
      <c r="K84" s="640" t="s">
        <v>356</v>
      </c>
      <c r="L84" s="627">
        <f t="array" ref="L84">IFERROR(INDEX(UtilityList!Q$4:Q$251,MATCH('Table 2.3a'!$A84&amp;'Table 2.3a'!$B84&amp;'Table 2.3a'!$C84,UtilityList!$A$4:$A$251&amp;UtilityList!$B$4:$B$251&amp;UtilityList!$C$4:$C$251,0)),INDEX(UtilityList!Q$4:Q$251,MATCH('Table 2.3a'!$A84&amp;'Table 2.3a'!$C84,UtilityList!$A$4:$A$251&amp;UtilityList!$C$4:$C$251,0)))</f>
        <v>0</v>
      </c>
      <c r="M84" s="452" t="str">
        <f t="array" ref="M84">IFERROR(INDEX(UtilityList!J$4:J$251,MATCH('Table 2.3a'!$A84&amp;'Table 2.3a'!$B84&amp;'Table 2.3a'!$C84,UtilityList!$A$4:$A$251&amp;UtilityList!$B$4:$B$251&amp;UtilityList!$C$4:$C$251,0)),INDEX(UtilityList!J$4:J$251,MATCH('Table 2.3a'!$A84&amp;'Table 2.3a'!$C84,UtilityList!$A$4:$A$251&amp;UtilityList!$C$4:$C$251,0)))</f>
        <v>Bering Straits</v>
      </c>
      <c r="N84" s="452" t="str">
        <f t="array" ref="N84">IFERROR(INDEX(UtilityList!K$4:K$251,MATCH('Table 2.3a'!$A84&amp;'Table 2.3a'!$B84&amp;'Table 2.3a'!$C84,UtilityList!$A$4:$A$251&amp;UtilityList!$B$4:$B$251&amp;UtilityList!$C$4:$C$251,0)),INDEX(UtilityList!K$4:K$251,MATCH('Table 2.3a'!$A84&amp;'Table 2.3a'!$C84,UtilityList!$A$4:$A$251&amp;UtilityList!$C$4:$C$251,0)))</f>
        <v>Nome (CA)</v>
      </c>
      <c r="O84" s="452" t="str">
        <f t="array" ref="O84">IFERROR(INDEX(UtilityList!L$4:L$251,MATCH('Table 2.3a'!$A84&amp;'Table 2.3a'!$B84&amp;'Table 2.3a'!$C84,UtilityList!$A$4:$A$251&amp;UtilityList!$B$4:$B$251&amp;UtilityList!$C$4:$C$251,0)),INDEX(UtilityList!L$4:L$251,MATCH('Table 2.3a'!$A84&amp;'Table 2.3a'!$C84,UtilityList!$A$4:$A$251&amp;UtilityList!$C$4:$C$251,0)))</f>
        <v>Bering Straits</v>
      </c>
      <c r="P84" s="452" t="str">
        <f t="array" ref="P84">IFERROR(INDEX(UtilityList!M$4:M$251,MATCH('Table 2.3a'!$A84&amp;'Table 2.3a'!$B84&amp;'Table 2.3a'!$C84,UtilityList!$A$4:$A$251&amp;UtilityList!$B$4:$B$251&amp;UtilityList!$C$4:$C$251,0)),INDEX(UtilityList!M$4:M$251,MATCH('Table 2.3a'!$A84&amp;'Table 2.3a'!$C84,UtilityList!$A$4:$A$251&amp;UtilityList!$C$4:$C$251,0)))</f>
        <v>AN</v>
      </c>
      <c r="Q84" s="187"/>
    </row>
    <row r="85" spans="1:17" s="126" customFormat="1" ht="84.75" customHeight="1" x14ac:dyDescent="0.25">
      <c r="A85" s="360" t="s">
        <v>524</v>
      </c>
      <c r="B85" s="360" t="s">
        <v>103</v>
      </c>
      <c r="C85" s="387" t="s">
        <v>103</v>
      </c>
      <c r="D85" s="637">
        <v>0</v>
      </c>
      <c r="E85" s="638">
        <v>1753.6369999999999</v>
      </c>
      <c r="F85" s="638">
        <v>0</v>
      </c>
      <c r="G85" s="638">
        <v>359.92399999999998</v>
      </c>
      <c r="H85" s="639">
        <f t="shared" si="2"/>
        <v>2113.5609999999997</v>
      </c>
      <c r="I85" s="638">
        <v>33.889000000000003</v>
      </c>
      <c r="J85" s="638">
        <f t="shared" si="3"/>
        <v>2147.4499999999998</v>
      </c>
      <c r="K85" s="640" t="s">
        <v>356</v>
      </c>
      <c r="L85" s="627">
        <f t="array" ref="L85">IFERROR(INDEX(UtilityList!Q$4:Q$251,MATCH('Table 2.3a'!$A85&amp;'Table 2.3a'!$B85&amp;'Table 2.3a'!$C85,UtilityList!$A$4:$A$251&amp;UtilityList!$B$4:$B$251&amp;UtilityList!$C$4:$C$251,0)),INDEX(UtilityList!Q$4:Q$251,MATCH('Table 2.3a'!$A85&amp;'Table 2.3a'!$C85,UtilityList!$A$4:$A$251&amp;UtilityList!$C$4:$C$251,0)))</f>
        <v>0</v>
      </c>
      <c r="M85" s="452" t="str">
        <f t="array" ref="M85">IFERROR(INDEX(UtilityList!J$4:J$251,MATCH('Table 2.3a'!$A85&amp;'Table 2.3a'!$B85&amp;'Table 2.3a'!$C85,UtilityList!$A$4:$A$251&amp;UtilityList!$B$4:$B$251&amp;UtilityList!$C$4:$C$251,0)),INDEX(UtilityList!J$4:J$251,MATCH('Table 2.3a'!$A85&amp;'Table 2.3a'!$C85,UtilityList!$A$4:$A$251&amp;UtilityList!$C$4:$C$251,0)))</f>
        <v>Bering Straits</v>
      </c>
      <c r="N85" s="452" t="str">
        <f t="array" ref="N85">IFERROR(INDEX(UtilityList!K$4:K$251,MATCH('Table 2.3a'!$A85&amp;'Table 2.3a'!$B85&amp;'Table 2.3a'!$C85,UtilityList!$A$4:$A$251&amp;UtilityList!$B$4:$B$251&amp;UtilityList!$C$4:$C$251,0)),INDEX(UtilityList!K$4:K$251,MATCH('Table 2.3a'!$A85&amp;'Table 2.3a'!$C85,UtilityList!$A$4:$A$251&amp;UtilityList!$C$4:$C$251,0)))</f>
        <v>Nome (CA)</v>
      </c>
      <c r="O85" s="452" t="str">
        <f t="array" ref="O85">IFERROR(INDEX(UtilityList!L$4:L$251,MATCH('Table 2.3a'!$A85&amp;'Table 2.3a'!$B85&amp;'Table 2.3a'!$C85,UtilityList!$A$4:$A$251&amp;UtilityList!$B$4:$B$251&amp;UtilityList!$C$4:$C$251,0)),INDEX(UtilityList!L$4:L$251,MATCH('Table 2.3a'!$A85&amp;'Table 2.3a'!$C85,UtilityList!$A$4:$A$251&amp;UtilityList!$C$4:$C$251,0)))</f>
        <v>Bering Straits</v>
      </c>
      <c r="P85" s="452" t="str">
        <f t="array" ref="P85">IFERROR(INDEX(UtilityList!M$4:M$251,MATCH('Table 2.3a'!$A85&amp;'Table 2.3a'!$B85&amp;'Table 2.3a'!$C85,UtilityList!$A$4:$A$251&amp;UtilityList!$B$4:$B$251&amp;UtilityList!$C$4:$C$251,0)),INDEX(UtilityList!M$4:M$251,MATCH('Table 2.3a'!$A85&amp;'Table 2.3a'!$C85,UtilityList!$A$4:$A$251&amp;UtilityList!$C$4:$C$251,0)))</f>
        <v>AN</v>
      </c>
      <c r="Q85" s="344"/>
    </row>
    <row r="86" spans="1:17" s="187" customFormat="1" ht="30" customHeight="1" x14ac:dyDescent="0.25">
      <c r="A86" s="360" t="s">
        <v>524</v>
      </c>
      <c r="B86" s="360" t="s">
        <v>104</v>
      </c>
      <c r="C86" s="387" t="s">
        <v>104</v>
      </c>
      <c r="D86" s="637">
        <v>0</v>
      </c>
      <c r="E86" s="638">
        <v>1735.5519999999999</v>
      </c>
      <c r="F86" s="638">
        <v>0</v>
      </c>
      <c r="G86" s="638">
        <v>0</v>
      </c>
      <c r="H86" s="639">
        <f t="shared" si="2"/>
        <v>1735.5519999999999</v>
      </c>
      <c r="I86" s="638">
        <v>31.4</v>
      </c>
      <c r="J86" s="638">
        <f t="shared" si="3"/>
        <v>1766.952</v>
      </c>
      <c r="K86" s="640" t="s">
        <v>356</v>
      </c>
      <c r="L86" s="627">
        <f t="array" ref="L86">IFERROR(INDEX(UtilityList!Q$4:Q$251,MATCH('Table 2.3a'!$A86&amp;'Table 2.3a'!$B86&amp;'Table 2.3a'!$C86,UtilityList!$A$4:$A$251&amp;UtilityList!$B$4:$B$251&amp;UtilityList!$C$4:$C$251,0)),INDEX(UtilityList!Q$4:Q$251,MATCH('Table 2.3a'!$A86&amp;'Table 2.3a'!$C86,UtilityList!$A$4:$A$251&amp;UtilityList!$C$4:$C$251,0)))</f>
        <v>0</v>
      </c>
      <c r="M86" s="452" t="str">
        <f t="array" ref="M86">IFERROR(INDEX(UtilityList!J$4:J$251,MATCH('Table 2.3a'!$A86&amp;'Table 2.3a'!$B86&amp;'Table 2.3a'!$C86,UtilityList!$A$4:$A$251&amp;UtilityList!$B$4:$B$251&amp;UtilityList!$C$4:$C$251,0)),INDEX(UtilityList!J$4:J$251,MATCH('Table 2.3a'!$A86&amp;'Table 2.3a'!$C86,UtilityList!$A$4:$A$251&amp;UtilityList!$C$4:$C$251,0)))</f>
        <v>Lower Yukon-Kuskokwim</v>
      </c>
      <c r="N86" s="452" t="str">
        <f t="array" ref="N86">IFERROR(INDEX(UtilityList!K$4:K$251,MATCH('Table 2.3a'!$A86&amp;'Table 2.3a'!$B86&amp;'Table 2.3a'!$C86,UtilityList!$A$4:$A$251&amp;UtilityList!$B$4:$B$251&amp;UtilityList!$C$4:$C$251,0)),INDEX(UtilityList!K$4:K$251,MATCH('Table 2.3a'!$A86&amp;'Table 2.3a'!$C86,UtilityList!$A$4:$A$251&amp;UtilityList!$C$4:$C$251,0)))</f>
        <v>Wade Hampton (CA)</v>
      </c>
      <c r="O86" s="452" t="str">
        <f t="array" ref="O86">IFERROR(INDEX(UtilityList!L$4:L$251,MATCH('Table 2.3a'!$A86&amp;'Table 2.3a'!$B86&amp;'Table 2.3a'!$C86,UtilityList!$A$4:$A$251&amp;UtilityList!$B$4:$B$251&amp;UtilityList!$C$4:$C$251,0)),INDEX(UtilityList!L$4:L$251,MATCH('Table 2.3a'!$A86&amp;'Table 2.3a'!$C86,UtilityList!$A$4:$A$251&amp;UtilityList!$C$4:$C$251,0)))</f>
        <v>Calista</v>
      </c>
      <c r="P86" s="452" t="str">
        <f t="array" ref="P86">IFERROR(INDEX(UtilityList!M$4:M$251,MATCH('Table 2.3a'!$A86&amp;'Table 2.3a'!$B86&amp;'Table 2.3a'!$C86,UtilityList!$A$4:$A$251&amp;UtilityList!$B$4:$B$251&amp;UtilityList!$C$4:$C$251,0)),INDEX(UtilityList!M$4:M$251,MATCH('Table 2.3a'!$A86&amp;'Table 2.3a'!$C86,UtilityList!$A$4:$A$251&amp;UtilityList!$C$4:$C$251,0)))</f>
        <v>YU</v>
      </c>
      <c r="Q86" s="344"/>
    </row>
    <row r="87" spans="1:17" s="344" customFormat="1" ht="47.25" customHeight="1" x14ac:dyDescent="0.25">
      <c r="A87" s="360" t="s">
        <v>524</v>
      </c>
      <c r="B87" s="360" t="s">
        <v>105</v>
      </c>
      <c r="C87" s="387" t="s">
        <v>105</v>
      </c>
      <c r="D87" s="637">
        <v>0</v>
      </c>
      <c r="E87" s="638">
        <v>2745.7550000000001</v>
      </c>
      <c r="F87" s="638">
        <v>0</v>
      </c>
      <c r="G87" s="638">
        <v>107.907</v>
      </c>
      <c r="H87" s="639">
        <f t="shared" si="2"/>
        <v>2853.6620000000003</v>
      </c>
      <c r="I87" s="638">
        <v>51.783999999999999</v>
      </c>
      <c r="J87" s="638">
        <f t="shared" si="3"/>
        <v>2905.4460000000004</v>
      </c>
      <c r="K87" s="640" t="s">
        <v>356</v>
      </c>
      <c r="L87" s="627">
        <f t="array" ref="L87">IFERROR(INDEX(UtilityList!Q$4:Q$251,MATCH('Table 2.3a'!$A87&amp;'Table 2.3a'!$B87&amp;'Table 2.3a'!$C87,UtilityList!$A$4:$A$251&amp;UtilityList!$B$4:$B$251&amp;UtilityList!$C$4:$C$251,0)),INDEX(UtilityList!Q$4:Q$251,MATCH('Table 2.3a'!$A87&amp;'Table 2.3a'!$C87,UtilityList!$A$4:$A$251&amp;UtilityList!$C$4:$C$251,0)))</f>
        <v>0</v>
      </c>
      <c r="M87" s="452" t="str">
        <f t="array" ref="M87">IFERROR(INDEX(UtilityList!J$4:J$251,MATCH('Table 2.3a'!$A87&amp;'Table 2.3a'!$B87&amp;'Table 2.3a'!$C87,UtilityList!$A$4:$A$251&amp;UtilityList!$B$4:$B$251&amp;UtilityList!$C$4:$C$251,0)),INDEX(UtilityList!J$4:J$251,MATCH('Table 2.3a'!$A87&amp;'Table 2.3a'!$C87,UtilityList!$A$4:$A$251&amp;UtilityList!$C$4:$C$251,0)))</f>
        <v>Northwest Arctic</v>
      </c>
      <c r="N87" s="452" t="str">
        <f t="array" ref="N87">IFERROR(INDEX(UtilityList!K$4:K$251,MATCH('Table 2.3a'!$A87&amp;'Table 2.3a'!$B87&amp;'Table 2.3a'!$C87,UtilityList!$A$4:$A$251&amp;UtilityList!$B$4:$B$251&amp;UtilityList!$C$4:$C$251,0)),INDEX(UtilityList!K$4:K$251,MATCH('Table 2.3a'!$A87&amp;'Table 2.3a'!$C87,UtilityList!$A$4:$A$251&amp;UtilityList!$C$4:$C$251,0)))</f>
        <v>Northwest Arctic</v>
      </c>
      <c r="O87" s="452" t="str">
        <f t="array" ref="O87">IFERROR(INDEX(UtilityList!L$4:L$251,MATCH('Table 2.3a'!$A87&amp;'Table 2.3a'!$B87&amp;'Table 2.3a'!$C87,UtilityList!$A$4:$A$251&amp;UtilityList!$B$4:$B$251&amp;UtilityList!$C$4:$C$251,0)),INDEX(UtilityList!L$4:L$251,MATCH('Table 2.3a'!$A87&amp;'Table 2.3a'!$C87,UtilityList!$A$4:$A$251&amp;UtilityList!$C$4:$C$251,0)))</f>
        <v>NANA</v>
      </c>
      <c r="P87" s="452" t="str">
        <f t="array" ref="P87">IFERROR(INDEX(UtilityList!M$4:M$251,MATCH('Table 2.3a'!$A87&amp;'Table 2.3a'!$B87&amp;'Table 2.3a'!$C87,UtilityList!$A$4:$A$251&amp;UtilityList!$B$4:$B$251&amp;UtilityList!$C$4:$C$251,0)),INDEX(UtilityList!M$4:M$251,MATCH('Table 2.3a'!$A87&amp;'Table 2.3a'!$C87,UtilityList!$A$4:$A$251&amp;UtilityList!$C$4:$C$251,0)))</f>
        <v>AN</v>
      </c>
    </row>
    <row r="88" spans="1:17" s="344" customFormat="1" ht="91.5" customHeight="1" x14ac:dyDescent="0.25">
      <c r="A88" s="360" t="s">
        <v>524</v>
      </c>
      <c r="B88" s="360" t="s">
        <v>106</v>
      </c>
      <c r="C88" s="387" t="s">
        <v>106</v>
      </c>
      <c r="D88" s="637">
        <v>0</v>
      </c>
      <c r="E88" s="638">
        <v>369.01499999999999</v>
      </c>
      <c r="F88" s="638">
        <v>0</v>
      </c>
      <c r="G88" s="638">
        <v>0</v>
      </c>
      <c r="H88" s="639">
        <f t="shared" si="2"/>
        <v>369.01499999999999</v>
      </c>
      <c r="I88" s="638">
        <v>12.250999999999999</v>
      </c>
      <c r="J88" s="638">
        <f t="shared" si="3"/>
        <v>381.26599999999996</v>
      </c>
      <c r="K88" s="640" t="s">
        <v>356</v>
      </c>
      <c r="L88" s="627">
        <f t="array" ref="L88">IFERROR(INDEX(UtilityList!Q$4:Q$251,MATCH('Table 2.3a'!$A88&amp;'Table 2.3a'!$B88&amp;'Table 2.3a'!$C88,UtilityList!$A$4:$A$251&amp;UtilityList!$B$4:$B$251&amp;UtilityList!$C$4:$C$251,0)),INDEX(UtilityList!Q$4:Q$251,MATCH('Table 2.3a'!$A88&amp;'Table 2.3a'!$C88,UtilityList!$A$4:$A$251&amp;UtilityList!$C$4:$C$251,0)))</f>
        <v>0</v>
      </c>
      <c r="M88" s="452" t="str">
        <f t="array" ref="M88">IFERROR(INDEX(UtilityList!J$4:J$251,MATCH('Table 2.3a'!$A88&amp;'Table 2.3a'!$B88&amp;'Table 2.3a'!$C88,UtilityList!$A$4:$A$251&amp;UtilityList!$B$4:$B$251&amp;UtilityList!$C$4:$C$251,0)),INDEX(UtilityList!J$4:J$251,MATCH('Table 2.3a'!$A88&amp;'Table 2.3a'!$C88,UtilityList!$A$4:$A$251&amp;UtilityList!$C$4:$C$251,0)))</f>
        <v>Yukon-Koyukuk/Upper Tanana</v>
      </c>
      <c r="N88" s="452" t="str">
        <f t="array" ref="N88">IFERROR(INDEX(UtilityList!K$4:K$251,MATCH('Table 2.3a'!$A88&amp;'Table 2.3a'!$B88&amp;'Table 2.3a'!$C88,UtilityList!$A$4:$A$251&amp;UtilityList!$B$4:$B$251&amp;UtilityList!$C$4:$C$251,0)),INDEX(UtilityList!K$4:K$251,MATCH('Table 2.3a'!$A88&amp;'Table 2.3a'!$C88,UtilityList!$A$4:$A$251&amp;UtilityList!$C$4:$C$251,0)))</f>
        <v>Yukon-Koyukuk (CA)</v>
      </c>
      <c r="O88" s="452" t="str">
        <f t="array" ref="O88">IFERROR(INDEX(UtilityList!L$4:L$251,MATCH('Table 2.3a'!$A88&amp;'Table 2.3a'!$B88&amp;'Table 2.3a'!$C88,UtilityList!$A$4:$A$251&amp;UtilityList!$B$4:$B$251&amp;UtilityList!$C$4:$C$251,0)),INDEX(UtilityList!L$4:L$251,MATCH('Table 2.3a'!$A88&amp;'Table 2.3a'!$C88,UtilityList!$A$4:$A$251&amp;UtilityList!$C$4:$C$251,0)))</f>
        <v>Doyon</v>
      </c>
      <c r="P88" s="452" t="str">
        <f t="array" ref="P88">IFERROR(INDEX(UtilityList!M$4:M$251,MATCH('Table 2.3a'!$A88&amp;'Table 2.3a'!$B88&amp;'Table 2.3a'!$C88,UtilityList!$A$4:$A$251&amp;UtilityList!$B$4:$B$251&amp;UtilityList!$C$4:$C$251,0)),INDEX(UtilityList!M$4:M$251,MATCH('Table 2.3a'!$A88&amp;'Table 2.3a'!$C88,UtilityList!$A$4:$A$251&amp;UtilityList!$C$4:$C$251,0)))</f>
        <v>YU</v>
      </c>
    </row>
    <row r="89" spans="1:17" s="187" customFormat="1" ht="30" customHeight="1" x14ac:dyDescent="0.25">
      <c r="A89" s="360" t="s">
        <v>524</v>
      </c>
      <c r="B89" s="360" t="s">
        <v>107</v>
      </c>
      <c r="C89" s="387" t="s">
        <v>107</v>
      </c>
      <c r="D89" s="637">
        <v>0</v>
      </c>
      <c r="E89" s="638">
        <v>903.83900000000006</v>
      </c>
      <c r="F89" s="638">
        <v>0</v>
      </c>
      <c r="G89" s="638">
        <v>8.2000000000000003E-2</v>
      </c>
      <c r="H89" s="639">
        <f t="shared" si="2"/>
        <v>903.92100000000005</v>
      </c>
      <c r="I89" s="638">
        <v>22.062999999999999</v>
      </c>
      <c r="J89" s="638">
        <f t="shared" si="3"/>
        <v>925.98400000000004</v>
      </c>
      <c r="K89" s="640" t="s">
        <v>356</v>
      </c>
      <c r="L89" s="627">
        <f t="array" ref="L89">IFERROR(INDEX(UtilityList!Q$4:Q$251,MATCH('Table 2.3a'!$A89&amp;'Table 2.3a'!$B89&amp;'Table 2.3a'!$C89,UtilityList!$A$4:$A$251&amp;UtilityList!$B$4:$B$251&amp;UtilityList!$C$4:$C$251,0)),INDEX(UtilityList!Q$4:Q$251,MATCH('Table 2.3a'!$A89&amp;'Table 2.3a'!$C89,UtilityList!$A$4:$A$251&amp;UtilityList!$C$4:$C$251,0)))</f>
        <v>0</v>
      </c>
      <c r="M89" s="452" t="str">
        <f t="array" ref="M89">IFERROR(INDEX(UtilityList!J$4:J$251,MATCH('Table 2.3a'!$A89&amp;'Table 2.3a'!$B89&amp;'Table 2.3a'!$C89,UtilityList!$A$4:$A$251&amp;UtilityList!$B$4:$B$251&amp;UtilityList!$C$4:$C$251,0)),INDEX(UtilityList!J$4:J$251,MATCH('Table 2.3a'!$A89&amp;'Table 2.3a'!$C89,UtilityList!$A$4:$A$251&amp;UtilityList!$C$4:$C$251,0)))</f>
        <v>Bering Straits</v>
      </c>
      <c r="N89" s="452" t="str">
        <f t="array" ref="N89">IFERROR(INDEX(UtilityList!K$4:K$251,MATCH('Table 2.3a'!$A89&amp;'Table 2.3a'!$B89&amp;'Table 2.3a'!$C89,UtilityList!$A$4:$A$251&amp;UtilityList!$B$4:$B$251&amp;UtilityList!$C$4:$C$251,0)),INDEX(UtilityList!K$4:K$251,MATCH('Table 2.3a'!$A89&amp;'Table 2.3a'!$C89,UtilityList!$A$4:$A$251&amp;UtilityList!$C$4:$C$251,0)))</f>
        <v>Nome (CA)</v>
      </c>
      <c r="O89" s="452" t="str">
        <f t="array" ref="O89">IFERROR(INDEX(UtilityList!L$4:L$251,MATCH('Table 2.3a'!$A89&amp;'Table 2.3a'!$B89&amp;'Table 2.3a'!$C89,UtilityList!$A$4:$A$251&amp;UtilityList!$B$4:$B$251&amp;UtilityList!$C$4:$C$251,0)),INDEX(UtilityList!L$4:L$251,MATCH('Table 2.3a'!$A89&amp;'Table 2.3a'!$C89,UtilityList!$A$4:$A$251&amp;UtilityList!$C$4:$C$251,0)))</f>
        <v>Bering Straits</v>
      </c>
      <c r="P89" s="452" t="str">
        <f t="array" ref="P89">IFERROR(INDEX(UtilityList!M$4:M$251,MATCH('Table 2.3a'!$A89&amp;'Table 2.3a'!$B89&amp;'Table 2.3a'!$C89,UtilityList!$A$4:$A$251&amp;UtilityList!$B$4:$B$251&amp;UtilityList!$C$4:$C$251,0)),INDEX(UtilityList!M$4:M$251,MATCH('Table 2.3a'!$A89&amp;'Table 2.3a'!$C89,UtilityList!$A$4:$A$251&amp;UtilityList!$C$4:$C$251,0)))</f>
        <v>AN</v>
      </c>
      <c r="Q89" s="344"/>
    </row>
    <row r="90" spans="1:17" s="344" customFormat="1" ht="30" customHeight="1" x14ac:dyDescent="0.25">
      <c r="A90" s="360" t="s">
        <v>524</v>
      </c>
      <c r="B90" s="360" t="s">
        <v>108</v>
      </c>
      <c r="C90" s="387" t="s">
        <v>108</v>
      </c>
      <c r="D90" s="637">
        <v>0</v>
      </c>
      <c r="E90" s="638">
        <v>1593.91</v>
      </c>
      <c r="F90" s="638">
        <v>0</v>
      </c>
      <c r="G90" s="638">
        <v>0</v>
      </c>
      <c r="H90" s="639">
        <f t="shared" si="2"/>
        <v>1593.91</v>
      </c>
      <c r="I90" s="638">
        <v>46.843000000000004</v>
      </c>
      <c r="J90" s="638">
        <f t="shared" si="3"/>
        <v>1640.7530000000002</v>
      </c>
      <c r="K90" s="640" t="s">
        <v>356</v>
      </c>
      <c r="L90" s="627">
        <f t="array" ref="L90">IFERROR(INDEX(UtilityList!Q$4:Q$251,MATCH('Table 2.3a'!$A90&amp;'Table 2.3a'!$B90&amp;'Table 2.3a'!$C90,UtilityList!$A$4:$A$251&amp;UtilityList!$B$4:$B$251&amp;UtilityList!$C$4:$C$251,0)),INDEX(UtilityList!Q$4:Q$251,MATCH('Table 2.3a'!$A90&amp;'Table 2.3a'!$C90,UtilityList!$A$4:$A$251&amp;UtilityList!$C$4:$C$251,0)))</f>
        <v>0</v>
      </c>
      <c r="M90" s="452" t="str">
        <f t="array" ref="M90">IFERROR(INDEX(UtilityList!J$4:J$251,MATCH('Table 2.3a'!$A90&amp;'Table 2.3a'!$B90&amp;'Table 2.3a'!$C90,UtilityList!$A$4:$A$251&amp;UtilityList!$B$4:$B$251&amp;UtilityList!$C$4:$C$251,0)),INDEX(UtilityList!J$4:J$251,MATCH('Table 2.3a'!$A90&amp;'Table 2.3a'!$C90,UtilityList!$A$4:$A$251&amp;UtilityList!$C$4:$C$251,0)))</f>
        <v>Bering Straits</v>
      </c>
      <c r="N90" s="452" t="str">
        <f t="array" ref="N90">IFERROR(INDEX(UtilityList!K$4:K$251,MATCH('Table 2.3a'!$A90&amp;'Table 2.3a'!$B90&amp;'Table 2.3a'!$C90,UtilityList!$A$4:$A$251&amp;UtilityList!$B$4:$B$251&amp;UtilityList!$C$4:$C$251,0)),INDEX(UtilityList!K$4:K$251,MATCH('Table 2.3a'!$A90&amp;'Table 2.3a'!$C90,UtilityList!$A$4:$A$251&amp;UtilityList!$C$4:$C$251,0)))</f>
        <v>Nome (CA)</v>
      </c>
      <c r="O90" s="452" t="str">
        <f t="array" ref="O90">IFERROR(INDEX(UtilityList!L$4:L$251,MATCH('Table 2.3a'!$A90&amp;'Table 2.3a'!$B90&amp;'Table 2.3a'!$C90,UtilityList!$A$4:$A$251&amp;UtilityList!$B$4:$B$251&amp;UtilityList!$C$4:$C$251,0)),INDEX(UtilityList!L$4:L$251,MATCH('Table 2.3a'!$A90&amp;'Table 2.3a'!$C90,UtilityList!$A$4:$A$251&amp;UtilityList!$C$4:$C$251,0)))</f>
        <v>Bering Straits</v>
      </c>
      <c r="P90" s="452" t="str">
        <f t="array" ref="P90">IFERROR(INDEX(UtilityList!M$4:M$251,MATCH('Table 2.3a'!$A90&amp;'Table 2.3a'!$B90&amp;'Table 2.3a'!$C90,UtilityList!$A$4:$A$251&amp;UtilityList!$B$4:$B$251&amp;UtilityList!$C$4:$C$251,0)),INDEX(UtilityList!M$4:M$251,MATCH('Table 2.3a'!$A90&amp;'Table 2.3a'!$C90,UtilityList!$A$4:$A$251&amp;UtilityList!$C$4:$C$251,0)))</f>
        <v>AN</v>
      </c>
    </row>
    <row r="91" spans="1:17" s="187" customFormat="1" ht="30" customHeight="1" x14ac:dyDescent="0.25">
      <c r="A91" s="360" t="s">
        <v>524</v>
      </c>
      <c r="B91" s="360" t="s">
        <v>109</v>
      </c>
      <c r="C91" s="387" t="s">
        <v>994</v>
      </c>
      <c r="D91" s="637">
        <v>0</v>
      </c>
      <c r="E91" s="638">
        <v>1527.3440000000001</v>
      </c>
      <c r="F91" s="638">
        <v>0</v>
      </c>
      <c r="G91" s="638">
        <v>0</v>
      </c>
      <c r="H91" s="639">
        <f t="shared" si="2"/>
        <v>1527.3440000000001</v>
      </c>
      <c r="I91" s="638">
        <v>42.13</v>
      </c>
      <c r="J91" s="638">
        <f t="shared" si="3"/>
        <v>1569.4740000000002</v>
      </c>
      <c r="K91" s="640" t="s">
        <v>356</v>
      </c>
      <c r="L91" s="627" t="str">
        <f t="array" ref="L91">IFERROR(INDEX(UtilityList!Q$4:Q$251,MATCH('Table 2.3a'!$A91&amp;'Table 2.3a'!$B91&amp;'Table 2.3a'!$C91,UtilityList!$A$4:$A$251&amp;UtilityList!$B$4:$B$251&amp;UtilityList!$C$4:$C$251,0)),INDEX(UtilityList!Q$4:Q$251,MATCH('Table 2.3a'!$A91&amp;'Table 2.3a'!$C91,UtilityList!$A$4:$A$251&amp;UtilityList!$C$4:$C$251,0)))</f>
        <v>Provides power to Kobuk via intertie. Fuel use and cost includes Kobuk's information.</v>
      </c>
      <c r="M91" s="452" t="str">
        <f t="array" ref="M91">IFERROR(INDEX(UtilityList!J$4:J$251,MATCH('Table 2.3a'!$A91&amp;'Table 2.3a'!$B91&amp;'Table 2.3a'!$C91,UtilityList!$A$4:$A$251&amp;UtilityList!$B$4:$B$251&amp;UtilityList!$C$4:$C$251,0)),INDEX(UtilityList!J$4:J$251,MATCH('Table 2.3a'!$A91&amp;'Table 2.3a'!$C91,UtilityList!$A$4:$A$251&amp;UtilityList!$C$4:$C$251,0)))</f>
        <v>Northwest Arctic</v>
      </c>
      <c r="N91" s="452" t="str">
        <f t="array" ref="N91">IFERROR(INDEX(UtilityList!K$4:K$251,MATCH('Table 2.3a'!$A91&amp;'Table 2.3a'!$B91&amp;'Table 2.3a'!$C91,UtilityList!$A$4:$A$251&amp;UtilityList!$B$4:$B$251&amp;UtilityList!$C$4:$C$251,0)),INDEX(UtilityList!K$4:K$251,MATCH('Table 2.3a'!$A91&amp;'Table 2.3a'!$C91,UtilityList!$A$4:$A$251&amp;UtilityList!$C$4:$C$251,0)))</f>
        <v>Northwest Arctic</v>
      </c>
      <c r="O91" s="452" t="str">
        <f t="array" ref="O91">IFERROR(INDEX(UtilityList!L$4:L$251,MATCH('Table 2.3a'!$A91&amp;'Table 2.3a'!$B91&amp;'Table 2.3a'!$C91,UtilityList!$A$4:$A$251&amp;UtilityList!$B$4:$B$251&amp;UtilityList!$C$4:$C$251,0)),INDEX(UtilityList!L$4:L$251,MATCH('Table 2.3a'!$A91&amp;'Table 2.3a'!$C91,UtilityList!$A$4:$A$251&amp;UtilityList!$C$4:$C$251,0)))</f>
        <v>NANA</v>
      </c>
      <c r="P91" s="452" t="str">
        <f t="array" ref="P91">IFERROR(INDEX(UtilityList!M$4:M$251,MATCH('Table 2.3a'!$A91&amp;'Table 2.3a'!$B91&amp;'Table 2.3a'!$C91,UtilityList!$A$4:$A$251&amp;UtilityList!$B$4:$B$251&amp;UtilityList!$C$4:$C$251,0)),INDEX(UtilityList!M$4:M$251,MATCH('Table 2.3a'!$A91&amp;'Table 2.3a'!$C91,UtilityList!$A$4:$A$251&amp;UtilityList!$C$4:$C$251,0)))</f>
        <v>AN</v>
      </c>
      <c r="Q91" s="344"/>
    </row>
    <row r="92" spans="1:17" s="344" customFormat="1" ht="30" customHeight="1" x14ac:dyDescent="0.25">
      <c r="A92" s="360" t="s">
        <v>524</v>
      </c>
      <c r="B92" s="360" t="s">
        <v>110</v>
      </c>
      <c r="C92" s="387" t="s">
        <v>110</v>
      </c>
      <c r="D92" s="637">
        <v>0</v>
      </c>
      <c r="E92" s="638">
        <v>1354.2349999999999</v>
      </c>
      <c r="F92" s="638">
        <v>0</v>
      </c>
      <c r="G92" s="638">
        <v>0</v>
      </c>
      <c r="H92" s="639">
        <f t="shared" si="2"/>
        <v>1354.2349999999999</v>
      </c>
      <c r="I92" s="638">
        <v>33.317</v>
      </c>
      <c r="J92" s="638">
        <f t="shared" si="3"/>
        <v>1387.5519999999999</v>
      </c>
      <c r="K92" s="640" t="s">
        <v>356</v>
      </c>
      <c r="L92" s="627">
        <f t="array" ref="L92">IFERROR(INDEX(UtilityList!Q$4:Q$251,MATCH('Table 2.3a'!$A92&amp;'Table 2.3a'!$B92&amp;'Table 2.3a'!$C92,UtilityList!$A$4:$A$251&amp;UtilityList!$B$4:$B$251&amp;UtilityList!$C$4:$C$251,0)),INDEX(UtilityList!Q$4:Q$251,MATCH('Table 2.3a'!$A92&amp;'Table 2.3a'!$C92,UtilityList!$A$4:$A$251&amp;UtilityList!$C$4:$C$251,0)))</f>
        <v>0</v>
      </c>
      <c r="M92" s="452" t="str">
        <f t="array" ref="M92">IFERROR(INDEX(UtilityList!J$4:J$251,MATCH('Table 2.3a'!$A92&amp;'Table 2.3a'!$B92&amp;'Table 2.3a'!$C92,UtilityList!$A$4:$A$251&amp;UtilityList!$B$4:$B$251&amp;UtilityList!$C$4:$C$251,0)),INDEX(UtilityList!J$4:J$251,MATCH('Table 2.3a'!$A92&amp;'Table 2.3a'!$C92,UtilityList!$A$4:$A$251&amp;UtilityList!$C$4:$C$251,0)))</f>
        <v>Bering Straits</v>
      </c>
      <c r="N92" s="452" t="str">
        <f t="array" ref="N92">IFERROR(INDEX(UtilityList!K$4:K$251,MATCH('Table 2.3a'!$A92&amp;'Table 2.3a'!$B92&amp;'Table 2.3a'!$C92,UtilityList!$A$4:$A$251&amp;UtilityList!$B$4:$B$251&amp;UtilityList!$C$4:$C$251,0)),INDEX(UtilityList!K$4:K$251,MATCH('Table 2.3a'!$A92&amp;'Table 2.3a'!$C92,UtilityList!$A$4:$A$251&amp;UtilityList!$C$4:$C$251,0)))</f>
        <v>Nome (CA)</v>
      </c>
      <c r="O92" s="452" t="str">
        <f t="array" ref="O92">IFERROR(INDEX(UtilityList!L$4:L$251,MATCH('Table 2.3a'!$A92&amp;'Table 2.3a'!$B92&amp;'Table 2.3a'!$C92,UtilityList!$A$4:$A$251&amp;UtilityList!$B$4:$B$251&amp;UtilityList!$C$4:$C$251,0)),INDEX(UtilityList!L$4:L$251,MATCH('Table 2.3a'!$A92&amp;'Table 2.3a'!$C92,UtilityList!$A$4:$A$251&amp;UtilityList!$C$4:$C$251,0)))</f>
        <v>Bering Straits</v>
      </c>
      <c r="P92" s="452" t="str">
        <f t="array" ref="P92">IFERROR(INDEX(UtilityList!M$4:M$251,MATCH('Table 2.3a'!$A92&amp;'Table 2.3a'!$B92&amp;'Table 2.3a'!$C92,UtilityList!$A$4:$A$251&amp;UtilityList!$B$4:$B$251&amp;UtilityList!$C$4:$C$251,0)),INDEX(UtilityList!M$4:M$251,MATCH('Table 2.3a'!$A92&amp;'Table 2.3a'!$C92,UtilityList!$A$4:$A$251&amp;UtilityList!$C$4:$C$251,0)))</f>
        <v>AN</v>
      </c>
    </row>
    <row r="93" spans="1:17" s="187" customFormat="1" ht="30" customHeight="1" x14ac:dyDescent="0.25">
      <c r="A93" s="360" t="s">
        <v>524</v>
      </c>
      <c r="B93" s="360" t="s">
        <v>111</v>
      </c>
      <c r="C93" s="387" t="s">
        <v>111</v>
      </c>
      <c r="D93" s="637">
        <v>0</v>
      </c>
      <c r="E93" s="638">
        <v>837.98900000000003</v>
      </c>
      <c r="F93" s="638">
        <v>0</v>
      </c>
      <c r="G93" s="638">
        <v>0</v>
      </c>
      <c r="H93" s="639">
        <f t="shared" si="2"/>
        <v>837.98900000000003</v>
      </c>
      <c r="I93" s="638">
        <v>44.378999999999998</v>
      </c>
      <c r="J93" s="638">
        <f t="shared" si="3"/>
        <v>882.36800000000005</v>
      </c>
      <c r="K93" s="640" t="s">
        <v>356</v>
      </c>
      <c r="L93" s="627">
        <f t="array" ref="L93">IFERROR(INDEX(UtilityList!Q$4:Q$251,MATCH('Table 2.3a'!$A93&amp;'Table 2.3a'!$B93&amp;'Table 2.3a'!$C93,UtilityList!$A$4:$A$251&amp;UtilityList!$B$4:$B$251&amp;UtilityList!$C$4:$C$251,0)),INDEX(UtilityList!Q$4:Q$251,MATCH('Table 2.3a'!$A93&amp;'Table 2.3a'!$C93,UtilityList!$A$4:$A$251&amp;UtilityList!$C$4:$C$251,0)))</f>
        <v>0</v>
      </c>
      <c r="M93" s="452" t="str">
        <f t="array" ref="M93">IFERROR(INDEX(UtilityList!J$4:J$251,MATCH('Table 2.3a'!$A93&amp;'Table 2.3a'!$B93&amp;'Table 2.3a'!$C93,UtilityList!$A$4:$A$251&amp;UtilityList!$B$4:$B$251&amp;UtilityList!$C$4:$C$251,0)),INDEX(UtilityList!J$4:J$251,MATCH('Table 2.3a'!$A93&amp;'Table 2.3a'!$C93,UtilityList!$A$4:$A$251&amp;UtilityList!$C$4:$C$251,0)))</f>
        <v>Bering Straits</v>
      </c>
      <c r="N93" s="452" t="str">
        <f t="array" ref="N93">IFERROR(INDEX(UtilityList!K$4:K$251,MATCH('Table 2.3a'!$A93&amp;'Table 2.3a'!$B93&amp;'Table 2.3a'!$C93,UtilityList!$A$4:$A$251&amp;UtilityList!$B$4:$B$251&amp;UtilityList!$C$4:$C$251,0)),INDEX(UtilityList!K$4:K$251,MATCH('Table 2.3a'!$A93&amp;'Table 2.3a'!$C93,UtilityList!$A$4:$A$251&amp;UtilityList!$C$4:$C$251,0)))</f>
        <v>Nome (CA)</v>
      </c>
      <c r="O93" s="452" t="str">
        <f t="array" ref="O93">IFERROR(INDEX(UtilityList!L$4:L$251,MATCH('Table 2.3a'!$A93&amp;'Table 2.3a'!$B93&amp;'Table 2.3a'!$C93,UtilityList!$A$4:$A$251&amp;UtilityList!$B$4:$B$251&amp;UtilityList!$C$4:$C$251,0)),INDEX(UtilityList!L$4:L$251,MATCH('Table 2.3a'!$A93&amp;'Table 2.3a'!$C93,UtilityList!$A$4:$A$251&amp;UtilityList!$C$4:$C$251,0)))</f>
        <v>Bering Straits</v>
      </c>
      <c r="P93" s="452" t="str">
        <f t="array" ref="P93">IFERROR(INDEX(UtilityList!M$4:M$251,MATCH('Table 2.3a'!$A93&amp;'Table 2.3a'!$B93&amp;'Table 2.3a'!$C93,UtilityList!$A$4:$A$251&amp;UtilityList!$B$4:$B$251&amp;UtilityList!$C$4:$C$251,0)),INDEX(UtilityList!M$4:M$251,MATCH('Table 2.3a'!$A93&amp;'Table 2.3a'!$C93,UtilityList!$A$4:$A$251&amp;UtilityList!$C$4:$C$251,0)))</f>
        <v>AN</v>
      </c>
      <c r="Q93" s="126"/>
    </row>
    <row r="94" spans="1:17" s="187" customFormat="1" ht="30" customHeight="1" x14ac:dyDescent="0.25">
      <c r="A94" s="360" t="s">
        <v>524</v>
      </c>
      <c r="B94" s="360" t="s">
        <v>112</v>
      </c>
      <c r="C94" s="387" t="s">
        <v>112</v>
      </c>
      <c r="D94" s="637">
        <v>0</v>
      </c>
      <c r="E94" s="638">
        <v>3044.7559999999999</v>
      </c>
      <c r="F94" s="638">
        <v>0</v>
      </c>
      <c r="G94" s="638">
        <v>0</v>
      </c>
      <c r="H94" s="639">
        <f t="shared" si="2"/>
        <v>3044.7559999999999</v>
      </c>
      <c r="I94" s="638">
        <v>34.622999999999998</v>
      </c>
      <c r="J94" s="638">
        <f t="shared" si="3"/>
        <v>3079.3789999999999</v>
      </c>
      <c r="K94" s="640" t="s">
        <v>356</v>
      </c>
      <c r="L94" s="627">
        <f t="array" ref="L94">IFERROR(INDEX(UtilityList!Q$4:Q$251,MATCH('Table 2.3a'!$A94&amp;'Table 2.3a'!$B94&amp;'Table 2.3a'!$C94,UtilityList!$A$4:$A$251&amp;UtilityList!$B$4:$B$251&amp;UtilityList!$C$4:$C$251,0)),INDEX(UtilityList!Q$4:Q$251,MATCH('Table 2.3a'!$A94&amp;'Table 2.3a'!$C94,UtilityList!$A$4:$A$251&amp;UtilityList!$C$4:$C$251,0)))</f>
        <v>0</v>
      </c>
      <c r="M94" s="452" t="str">
        <f t="array" ref="M94">IFERROR(INDEX(UtilityList!J$4:J$251,MATCH('Table 2.3a'!$A94&amp;'Table 2.3a'!$B94&amp;'Table 2.3a'!$C94,UtilityList!$A$4:$A$251&amp;UtilityList!$B$4:$B$251&amp;UtilityList!$C$4:$C$251,0)),INDEX(UtilityList!J$4:J$251,MATCH('Table 2.3a'!$A94&amp;'Table 2.3a'!$C94,UtilityList!$A$4:$A$251&amp;UtilityList!$C$4:$C$251,0)))</f>
        <v>Bristol Bay</v>
      </c>
      <c r="N94" s="452" t="str">
        <f t="array" ref="N94">IFERROR(INDEX(UtilityList!K$4:K$251,MATCH('Table 2.3a'!$A94&amp;'Table 2.3a'!$B94&amp;'Table 2.3a'!$C94,UtilityList!$A$4:$A$251&amp;UtilityList!$B$4:$B$251&amp;UtilityList!$C$4:$C$251,0)),INDEX(UtilityList!K$4:K$251,MATCH('Table 2.3a'!$A94&amp;'Table 2.3a'!$C94,UtilityList!$A$4:$A$251&amp;UtilityList!$C$4:$C$251,0)))</f>
        <v>Dillingham (CA)</v>
      </c>
      <c r="O94" s="452" t="str">
        <f t="array" ref="O94">IFERROR(INDEX(UtilityList!L$4:L$251,MATCH('Table 2.3a'!$A94&amp;'Table 2.3a'!$B94&amp;'Table 2.3a'!$C94,UtilityList!$A$4:$A$251&amp;UtilityList!$B$4:$B$251&amp;UtilityList!$C$4:$C$251,0)),INDEX(UtilityList!L$4:L$251,MATCH('Table 2.3a'!$A94&amp;'Table 2.3a'!$C94,UtilityList!$A$4:$A$251&amp;UtilityList!$C$4:$C$251,0)))</f>
        <v>Bristol Bay</v>
      </c>
      <c r="P94" s="452" t="str">
        <f t="array" ref="P94">IFERROR(INDEX(UtilityList!M$4:M$251,MATCH('Table 2.3a'!$A94&amp;'Table 2.3a'!$B94&amp;'Table 2.3a'!$C94,UtilityList!$A$4:$A$251&amp;UtilityList!$B$4:$B$251&amp;UtilityList!$C$4:$C$251,0)),INDEX(UtilityList!M$4:M$251,MATCH('Table 2.3a'!$A94&amp;'Table 2.3a'!$C94,UtilityList!$A$4:$A$251&amp;UtilityList!$C$4:$C$251,0)))</f>
        <v>SW</v>
      </c>
      <c r="Q94" s="126"/>
    </row>
    <row r="95" spans="1:17" s="344" customFormat="1" ht="30" customHeight="1" x14ac:dyDescent="0.25">
      <c r="A95" s="360" t="s">
        <v>524</v>
      </c>
      <c r="B95" s="360" t="s">
        <v>113</v>
      </c>
      <c r="C95" s="387" t="s">
        <v>996</v>
      </c>
      <c r="D95" s="637">
        <v>0</v>
      </c>
      <c r="E95" s="638">
        <v>2592.1080000000002</v>
      </c>
      <c r="F95" s="638">
        <v>0</v>
      </c>
      <c r="G95" s="638">
        <v>559.97299999999996</v>
      </c>
      <c r="H95" s="639">
        <f t="shared" si="2"/>
        <v>3152.0810000000001</v>
      </c>
      <c r="I95" s="638">
        <v>140.43100000000001</v>
      </c>
      <c r="J95" s="638">
        <f t="shared" si="3"/>
        <v>3292.5120000000002</v>
      </c>
      <c r="K95" s="640" t="s">
        <v>356</v>
      </c>
      <c r="L95" s="627" t="str">
        <f t="array" ref="L95">IFERROR(INDEX(UtilityList!Q$4:Q$251,MATCH('Table 2.3a'!$A95&amp;'Table 2.3a'!$B95&amp;'Table 2.3a'!$C95,UtilityList!$A$4:$A$251&amp;UtilityList!$B$4:$B$251&amp;UtilityList!$C$4:$C$251,0)),INDEX(UtilityList!Q$4:Q$251,MATCH('Table 2.3a'!$A95&amp;'Table 2.3a'!$C95,UtilityList!$A$4:$A$251&amp;UtilityList!$C$4:$C$251,0)))</f>
        <v>Provides power to Nightmute and Tununak via intertie. Fuel use and cost includes Nightmute's and Tununak's information.</v>
      </c>
      <c r="M95" s="452" t="str">
        <f t="array" ref="M95">IFERROR(INDEX(UtilityList!J$4:J$251,MATCH('Table 2.3a'!$A95&amp;'Table 2.3a'!$B95&amp;'Table 2.3a'!$C95,UtilityList!$A$4:$A$251&amp;UtilityList!$B$4:$B$251&amp;UtilityList!$C$4:$C$251,0)),INDEX(UtilityList!J$4:J$251,MATCH('Table 2.3a'!$A95&amp;'Table 2.3a'!$C95,UtilityList!$A$4:$A$251&amp;UtilityList!$C$4:$C$251,0)))</f>
        <v>Lower Yukon-Kuskokwim</v>
      </c>
      <c r="N95" s="452" t="str">
        <f t="array" ref="N95">IFERROR(INDEX(UtilityList!K$4:K$251,MATCH('Table 2.3a'!$A95&amp;'Table 2.3a'!$B95&amp;'Table 2.3a'!$C95,UtilityList!$A$4:$A$251&amp;UtilityList!$B$4:$B$251&amp;UtilityList!$C$4:$C$251,0)),INDEX(UtilityList!K$4:K$251,MATCH('Table 2.3a'!$A95&amp;'Table 2.3a'!$C95,UtilityList!$A$4:$A$251&amp;UtilityList!$C$4:$C$251,0)))</f>
        <v>Bethel (CA)</v>
      </c>
      <c r="O95" s="452" t="str">
        <f t="array" ref="O95">IFERROR(INDEX(UtilityList!L$4:L$251,MATCH('Table 2.3a'!$A95&amp;'Table 2.3a'!$B95&amp;'Table 2.3a'!$C95,UtilityList!$A$4:$A$251&amp;UtilityList!$B$4:$B$251&amp;UtilityList!$C$4:$C$251,0)),INDEX(UtilityList!L$4:L$251,MATCH('Table 2.3a'!$A95&amp;'Table 2.3a'!$C95,UtilityList!$A$4:$A$251&amp;UtilityList!$C$4:$C$251,0)))</f>
        <v>Calista</v>
      </c>
      <c r="P95" s="452" t="str">
        <f t="array" ref="P95">IFERROR(INDEX(UtilityList!M$4:M$251,MATCH('Table 2.3a'!$A95&amp;'Table 2.3a'!$B95&amp;'Table 2.3a'!$C95,UtilityList!$A$4:$A$251&amp;UtilityList!$B$4:$B$251&amp;UtilityList!$C$4:$C$251,0)),INDEX(UtilityList!M$4:M$251,MATCH('Table 2.3a'!$A95&amp;'Table 2.3a'!$C95,UtilityList!$A$4:$A$251&amp;UtilityList!$C$4:$C$251,0)))</f>
        <v>SW</v>
      </c>
      <c r="Q95" s="126"/>
    </row>
    <row r="96" spans="1:17" s="344" customFormat="1" ht="60" x14ac:dyDescent="0.25">
      <c r="A96" s="360" t="s">
        <v>524</v>
      </c>
      <c r="B96" s="360" t="s">
        <v>114</v>
      </c>
      <c r="C96" s="387" t="s">
        <v>114</v>
      </c>
      <c r="D96" s="637">
        <v>0</v>
      </c>
      <c r="E96" s="638">
        <v>0</v>
      </c>
      <c r="F96" s="638">
        <v>0</v>
      </c>
      <c r="G96" s="638">
        <v>0</v>
      </c>
      <c r="H96" s="639">
        <f t="shared" si="2"/>
        <v>0</v>
      </c>
      <c r="I96" s="638">
        <v>0</v>
      </c>
      <c r="J96" s="638">
        <f t="shared" si="3"/>
        <v>0</v>
      </c>
      <c r="K96" s="640" t="s">
        <v>356</v>
      </c>
      <c r="L96" s="627" t="str">
        <f t="array" ref="L96">IFERROR(INDEX(UtilityList!Q$4:Q$251,MATCH('Table 2.3a'!$A96&amp;'Table 2.3a'!$B96&amp;'Table 2.3a'!$C96,UtilityList!$A$4:$A$251&amp;UtilityList!$B$4:$B$251&amp;UtilityList!$C$4:$C$251,0)),INDEX(UtilityList!Q$4:Q$251,MATCH('Table 2.3a'!$A96&amp;'Table 2.3a'!$C96,UtilityList!$A$4:$A$251&amp;UtilityList!$C$4:$C$251,0)))</f>
        <v>Receives power from Toksook Bay via intertie. For fuel use and cost, please refer to Toksook Bay.</v>
      </c>
      <c r="M96" s="452" t="str">
        <f t="array" ref="M96">IFERROR(INDEX(UtilityList!J$4:J$251,MATCH('Table 2.3a'!$A96&amp;'Table 2.3a'!$B96&amp;'Table 2.3a'!$C96,UtilityList!$A$4:$A$251&amp;UtilityList!$B$4:$B$251&amp;UtilityList!$C$4:$C$251,0)),INDEX(UtilityList!J$4:J$251,MATCH('Table 2.3a'!$A96&amp;'Table 2.3a'!$C96,UtilityList!$A$4:$A$251&amp;UtilityList!$C$4:$C$251,0)))</f>
        <v>Lower Yukon-Kuskokwim</v>
      </c>
      <c r="N96" s="452" t="str">
        <f t="array" ref="N96">IFERROR(INDEX(UtilityList!K$4:K$251,MATCH('Table 2.3a'!$A96&amp;'Table 2.3a'!$B96&amp;'Table 2.3a'!$C96,UtilityList!$A$4:$A$251&amp;UtilityList!$B$4:$B$251&amp;UtilityList!$C$4:$C$251,0)),INDEX(UtilityList!K$4:K$251,MATCH('Table 2.3a'!$A96&amp;'Table 2.3a'!$C96,UtilityList!$A$4:$A$251&amp;UtilityList!$C$4:$C$251,0)))</f>
        <v>Bethel (CA)</v>
      </c>
      <c r="O96" s="452" t="str">
        <f t="array" ref="O96">IFERROR(INDEX(UtilityList!L$4:L$251,MATCH('Table 2.3a'!$A96&amp;'Table 2.3a'!$B96&amp;'Table 2.3a'!$C96,UtilityList!$A$4:$A$251&amp;UtilityList!$B$4:$B$251&amp;UtilityList!$C$4:$C$251,0)),INDEX(UtilityList!L$4:L$251,MATCH('Table 2.3a'!$A96&amp;'Table 2.3a'!$C96,UtilityList!$A$4:$A$251&amp;UtilityList!$C$4:$C$251,0)))</f>
        <v>Calista</v>
      </c>
      <c r="P96" s="452" t="str">
        <f t="array" ref="P96">IFERROR(INDEX(UtilityList!M$4:M$251,MATCH('Table 2.3a'!$A96&amp;'Table 2.3a'!$B96&amp;'Table 2.3a'!$C96,UtilityList!$A$4:$A$251&amp;UtilityList!$B$4:$B$251&amp;UtilityList!$C$4:$C$251,0)),INDEX(UtilityList!M$4:M$251,MATCH('Table 2.3a'!$A96&amp;'Table 2.3a'!$C96,UtilityList!$A$4:$A$251&amp;UtilityList!$C$4:$C$251,0)))</f>
        <v>SW</v>
      </c>
      <c r="Q96" s="126"/>
    </row>
    <row r="97" spans="1:17" s="187" customFormat="1" ht="30" x14ac:dyDescent="0.25">
      <c r="A97" s="360" t="s">
        <v>524</v>
      </c>
      <c r="B97" s="360" t="s">
        <v>116</v>
      </c>
      <c r="C97" s="387" t="s">
        <v>116</v>
      </c>
      <c r="D97" s="637">
        <v>0</v>
      </c>
      <c r="E97" s="638">
        <v>582.09500000000003</v>
      </c>
      <c r="F97" s="638">
        <v>0</v>
      </c>
      <c r="G97" s="638">
        <v>0</v>
      </c>
      <c r="H97" s="639">
        <f t="shared" si="2"/>
        <v>582.09500000000003</v>
      </c>
      <c r="I97" s="638">
        <v>35.036999999999999</v>
      </c>
      <c r="J97" s="638">
        <f t="shared" si="3"/>
        <v>617.13200000000006</v>
      </c>
      <c r="K97" s="640" t="s">
        <v>356</v>
      </c>
      <c r="L97" s="627">
        <f t="array" ref="L97">IFERROR(INDEX(UtilityList!Q$4:Q$251,MATCH('Table 2.3a'!$A97&amp;'Table 2.3a'!$B97&amp;'Table 2.3a'!$C97,UtilityList!$A$4:$A$251&amp;UtilityList!$B$4:$B$251&amp;UtilityList!$C$4:$C$251,0)),INDEX(UtilityList!Q$4:Q$251,MATCH('Table 2.3a'!$A97&amp;'Table 2.3a'!$C97,UtilityList!$A$4:$A$251&amp;UtilityList!$C$4:$C$251,0)))</f>
        <v>0</v>
      </c>
      <c r="M97" s="452" t="str">
        <f t="array" ref="M97">IFERROR(INDEX(UtilityList!J$4:J$251,MATCH('Table 2.3a'!$A97&amp;'Table 2.3a'!$B97&amp;'Table 2.3a'!$C97,UtilityList!$A$4:$A$251&amp;UtilityList!$B$4:$B$251&amp;UtilityList!$C$4:$C$251,0)),INDEX(UtilityList!J$4:J$251,MATCH('Table 2.3a'!$A97&amp;'Table 2.3a'!$C97,UtilityList!$A$4:$A$251&amp;UtilityList!$C$4:$C$251,0)))</f>
        <v>Bering Straits</v>
      </c>
      <c r="N97" s="452" t="str">
        <f t="array" ref="N97">IFERROR(INDEX(UtilityList!K$4:K$251,MATCH('Table 2.3a'!$A97&amp;'Table 2.3a'!$B97&amp;'Table 2.3a'!$C97,UtilityList!$A$4:$A$251&amp;UtilityList!$B$4:$B$251&amp;UtilityList!$C$4:$C$251,0)),INDEX(UtilityList!K$4:K$251,MATCH('Table 2.3a'!$A97&amp;'Table 2.3a'!$C97,UtilityList!$A$4:$A$251&amp;UtilityList!$C$4:$C$251,0)))</f>
        <v>Nome (CA)</v>
      </c>
      <c r="O97" s="452" t="str">
        <f t="array" ref="O97">IFERROR(INDEX(UtilityList!L$4:L$251,MATCH('Table 2.3a'!$A97&amp;'Table 2.3a'!$B97&amp;'Table 2.3a'!$C97,UtilityList!$A$4:$A$251&amp;UtilityList!$B$4:$B$251&amp;UtilityList!$C$4:$C$251,0)),INDEX(UtilityList!L$4:L$251,MATCH('Table 2.3a'!$A97&amp;'Table 2.3a'!$C97,UtilityList!$A$4:$A$251&amp;UtilityList!$C$4:$C$251,0)))</f>
        <v>Bering Straits</v>
      </c>
      <c r="P97" s="452" t="str">
        <f t="array" ref="P97">IFERROR(INDEX(UtilityList!M$4:M$251,MATCH('Table 2.3a'!$A97&amp;'Table 2.3a'!$B97&amp;'Table 2.3a'!$C97,UtilityList!$A$4:$A$251&amp;UtilityList!$B$4:$B$251&amp;UtilityList!$C$4:$C$251,0)),INDEX(UtilityList!M$4:M$251,MATCH('Table 2.3a'!$A97&amp;'Table 2.3a'!$C97,UtilityList!$A$4:$A$251&amp;UtilityList!$C$4:$C$251,0)))</f>
        <v>AN</v>
      </c>
      <c r="Q97" s="126"/>
    </row>
    <row r="98" spans="1:17" s="344" customFormat="1" ht="30" customHeight="1" x14ac:dyDescent="0.25">
      <c r="A98" s="360" t="s">
        <v>117</v>
      </c>
      <c r="B98" s="360" t="s">
        <v>118</v>
      </c>
      <c r="C98" s="387" t="s">
        <v>118</v>
      </c>
      <c r="D98" s="637">
        <v>0</v>
      </c>
      <c r="E98" s="638">
        <v>252.608</v>
      </c>
      <c r="F98" s="638">
        <v>0</v>
      </c>
      <c r="G98" s="638">
        <v>0</v>
      </c>
      <c r="H98" s="639">
        <f t="shared" si="2"/>
        <v>252.608</v>
      </c>
      <c r="I98" s="638">
        <v>3.2810000000000001</v>
      </c>
      <c r="J98" s="638">
        <f t="shared" si="3"/>
        <v>255.88900000000001</v>
      </c>
      <c r="K98" s="640" t="s">
        <v>356</v>
      </c>
      <c r="L98" s="627">
        <f t="array" ref="L98">IFERROR(INDEX(UtilityList!Q$4:Q$251,MATCH('Table 2.3a'!$A98&amp;'Table 2.3a'!$B98&amp;'Table 2.3a'!$C98,UtilityList!$A$4:$A$251&amp;UtilityList!$B$4:$B$251&amp;UtilityList!$C$4:$C$251,0)),INDEX(UtilityList!Q$4:Q$251,MATCH('Table 2.3a'!$A98&amp;'Table 2.3a'!$C98,UtilityList!$A$4:$A$251&amp;UtilityList!$C$4:$C$251,0)))</f>
        <v>0</v>
      </c>
      <c r="M98" s="452" t="str">
        <f t="array" ref="M98">IFERROR(INDEX(UtilityList!J$4:J$251,MATCH('Table 2.3a'!$A98&amp;'Table 2.3a'!$B98&amp;'Table 2.3a'!$C98,UtilityList!$A$4:$A$251&amp;UtilityList!$B$4:$B$251&amp;UtilityList!$C$4:$C$251,0)),INDEX(UtilityList!J$4:J$251,MATCH('Table 2.3a'!$A98&amp;'Table 2.3a'!$C98,UtilityList!$A$4:$A$251&amp;UtilityList!$C$4:$C$251,0)))</f>
        <v>Kodiak</v>
      </c>
      <c r="N98" s="452" t="str">
        <f t="array" ref="N98">IFERROR(INDEX(UtilityList!K$4:K$251,MATCH('Table 2.3a'!$A98&amp;'Table 2.3a'!$B98&amp;'Table 2.3a'!$C98,UtilityList!$A$4:$A$251&amp;UtilityList!$B$4:$B$251&amp;UtilityList!$C$4:$C$251,0)),INDEX(UtilityList!K$4:K$251,MATCH('Table 2.3a'!$A98&amp;'Table 2.3a'!$C98,UtilityList!$A$4:$A$251&amp;UtilityList!$C$4:$C$251,0)))</f>
        <v>Kodiak Island</v>
      </c>
      <c r="O98" s="452" t="str">
        <f t="array" ref="O98">IFERROR(INDEX(UtilityList!L$4:L$251,MATCH('Table 2.3a'!$A98&amp;'Table 2.3a'!$B98&amp;'Table 2.3a'!$C98,UtilityList!$A$4:$A$251&amp;UtilityList!$B$4:$B$251&amp;UtilityList!$C$4:$C$251,0)),INDEX(UtilityList!L$4:L$251,MATCH('Table 2.3a'!$A98&amp;'Table 2.3a'!$C98,UtilityList!$A$4:$A$251&amp;UtilityList!$C$4:$C$251,0)))</f>
        <v>Koniag</v>
      </c>
      <c r="P98" s="452" t="str">
        <f t="array" ref="P98">IFERROR(INDEX(UtilityList!M$4:M$251,MATCH('Table 2.3a'!$A98&amp;'Table 2.3a'!$B98&amp;'Table 2.3a'!$C98,UtilityList!$A$4:$A$251&amp;UtilityList!$B$4:$B$251&amp;UtilityList!$C$4:$C$251,0)),INDEX(UtilityList!M$4:M$251,MATCH('Table 2.3a'!$A98&amp;'Table 2.3a'!$C98,UtilityList!$A$4:$A$251&amp;UtilityList!$C$4:$C$251,0)))</f>
        <v>SC</v>
      </c>
      <c r="Q98" s="187"/>
    </row>
    <row r="99" spans="1:17" s="344" customFormat="1" ht="30" customHeight="1" x14ac:dyDescent="0.25">
      <c r="A99" s="360" t="s">
        <v>119</v>
      </c>
      <c r="B99" s="452" t="s">
        <v>120</v>
      </c>
      <c r="C99" s="388" t="s">
        <v>121</v>
      </c>
      <c r="D99" s="637">
        <v>91339</v>
      </c>
      <c r="E99" s="642">
        <v>0</v>
      </c>
      <c r="F99" s="642">
        <v>0</v>
      </c>
      <c r="G99" s="641">
        <v>0</v>
      </c>
      <c r="H99" s="639">
        <f t="shared" si="2"/>
        <v>91339</v>
      </c>
      <c r="I99" s="641">
        <v>2837</v>
      </c>
      <c r="J99" s="638">
        <f t="shared" si="3"/>
        <v>94176</v>
      </c>
      <c r="K99" s="636" t="s">
        <v>558</v>
      </c>
      <c r="L99" s="627">
        <f t="array" ref="L99">IFERROR(INDEX(UtilityList!Q$4:Q$251,MATCH('Table 2.3a'!$A99&amp;'Table 2.3a'!$B99&amp;'Table 2.3a'!$C99,UtilityList!$A$4:$A$251&amp;UtilityList!$B$4:$B$251&amp;UtilityList!$C$4:$C$251,0)),INDEX(UtilityList!Q$4:Q$251,MATCH('Table 2.3a'!$A99&amp;'Table 2.3a'!$C99,UtilityList!$A$4:$A$251&amp;UtilityList!$C$4:$C$251,0)))</f>
        <v>0</v>
      </c>
      <c r="M99" s="452" t="str">
        <f t="array" ref="M99">IFERROR(INDEX(UtilityList!J$4:J$251,MATCH('Table 2.3a'!$A99&amp;'Table 2.3a'!$B99&amp;'Table 2.3a'!$C99,UtilityList!$A$4:$A$251&amp;UtilityList!$B$4:$B$251&amp;UtilityList!$C$4:$C$251,0)),INDEX(UtilityList!J$4:J$251,MATCH('Table 2.3a'!$A99&amp;'Table 2.3a'!$C99,UtilityList!$A$4:$A$251&amp;UtilityList!$C$4:$C$251,0)))</f>
        <v>Railbelt</v>
      </c>
      <c r="N99" s="452" t="str">
        <f t="array" ref="N99">IFERROR(INDEX(UtilityList!K$4:K$251,MATCH('Table 2.3a'!$A99&amp;'Table 2.3a'!$B99&amp;'Table 2.3a'!$C99,UtilityList!$A$4:$A$251&amp;UtilityList!$B$4:$B$251&amp;UtilityList!$C$4:$C$251,0)),INDEX(UtilityList!K$4:K$251,MATCH('Table 2.3a'!$A99&amp;'Table 2.3a'!$C99,UtilityList!$A$4:$A$251&amp;UtilityList!$C$4:$C$251,0)))</f>
        <v>Anchorage</v>
      </c>
      <c r="O99" s="452" t="str">
        <f t="array" ref="O99">IFERROR(INDEX(UtilityList!L$4:L$251,MATCH('Table 2.3a'!$A99&amp;'Table 2.3a'!$B99&amp;'Table 2.3a'!$C99,UtilityList!$A$4:$A$251&amp;UtilityList!$B$4:$B$251&amp;UtilityList!$C$4:$C$251,0)),INDEX(UtilityList!L$4:L$251,MATCH('Table 2.3a'!$A99&amp;'Table 2.3a'!$C99,UtilityList!$A$4:$A$251&amp;UtilityList!$C$4:$C$251,0)))</f>
        <v>Cook Inlet</v>
      </c>
      <c r="P99" s="452" t="str">
        <f t="array" ref="P99">IFERROR(INDEX(UtilityList!M$4:M$251,MATCH('Table 2.3a'!$A99&amp;'Table 2.3a'!$B99&amp;'Table 2.3a'!$C99,UtilityList!$A$4:$A$251&amp;UtilityList!$B$4:$B$251&amp;UtilityList!$C$4:$C$251,0)),INDEX(UtilityList!M$4:M$251,MATCH('Table 2.3a'!$A99&amp;'Table 2.3a'!$C99,UtilityList!$A$4:$A$251&amp;UtilityList!$C$4:$C$251,0)))</f>
        <v>SC</v>
      </c>
      <c r="Q99" s="126"/>
    </row>
    <row r="100" spans="1:17" s="344" customFormat="1" ht="30" customHeight="1" x14ac:dyDescent="0.25">
      <c r="A100" s="360" t="s">
        <v>119</v>
      </c>
      <c r="B100" s="452" t="s">
        <v>534</v>
      </c>
      <c r="C100" s="388" t="s">
        <v>121</v>
      </c>
      <c r="D100" s="637">
        <v>0</v>
      </c>
      <c r="E100" s="641">
        <v>0</v>
      </c>
      <c r="F100" s="642">
        <v>66088</v>
      </c>
      <c r="G100" s="641">
        <v>0</v>
      </c>
      <c r="H100" s="639">
        <f t="shared" si="2"/>
        <v>66088</v>
      </c>
      <c r="I100" s="641">
        <v>0</v>
      </c>
      <c r="J100" s="638">
        <f t="shared" si="3"/>
        <v>66088</v>
      </c>
      <c r="K100" s="636" t="s">
        <v>558</v>
      </c>
      <c r="L100" s="627">
        <f t="array" ref="L100">IFERROR(INDEX(UtilityList!Q$4:Q$251,MATCH('Table 2.3a'!$A100&amp;'Table 2.3a'!$B100&amp;'Table 2.3a'!$C100,UtilityList!$A$4:$A$251&amp;UtilityList!$B$4:$B$251&amp;UtilityList!$C$4:$C$251,0)),INDEX(UtilityList!Q$4:Q$251,MATCH('Table 2.3a'!$A100&amp;'Table 2.3a'!$C100,UtilityList!$A$4:$A$251&amp;UtilityList!$C$4:$C$251,0)))</f>
        <v>0</v>
      </c>
      <c r="M100" s="452" t="str">
        <f t="array" ref="M100">IFERROR(INDEX(UtilityList!J$4:J$251,MATCH('Table 2.3a'!$A100&amp;'Table 2.3a'!$B100&amp;'Table 2.3a'!$C100,UtilityList!$A$4:$A$251&amp;UtilityList!$B$4:$B$251&amp;UtilityList!$C$4:$C$251,0)),INDEX(UtilityList!J$4:J$251,MATCH('Table 2.3a'!$A100&amp;'Table 2.3a'!$C100,UtilityList!$A$4:$A$251&amp;UtilityList!$C$4:$C$251,0)))</f>
        <v>Railbelt</v>
      </c>
      <c r="N100" s="452" t="str">
        <f t="array" ref="N100">IFERROR(INDEX(UtilityList!K$4:K$251,MATCH('Table 2.3a'!$A100&amp;'Table 2.3a'!$B100&amp;'Table 2.3a'!$C100,UtilityList!$A$4:$A$251&amp;UtilityList!$B$4:$B$251&amp;UtilityList!$C$4:$C$251,0)),INDEX(UtilityList!K$4:K$251,MATCH('Table 2.3a'!$A100&amp;'Table 2.3a'!$C100,UtilityList!$A$4:$A$251&amp;UtilityList!$C$4:$C$251,0)))</f>
        <v>Anchorage</v>
      </c>
      <c r="O100" s="452" t="str">
        <f t="array" ref="O100">IFERROR(INDEX(UtilityList!L$4:L$251,MATCH('Table 2.3a'!$A100&amp;'Table 2.3a'!$B100&amp;'Table 2.3a'!$C100,UtilityList!$A$4:$A$251&amp;UtilityList!$B$4:$B$251&amp;UtilityList!$C$4:$C$251,0)),INDEX(UtilityList!L$4:L$251,MATCH('Table 2.3a'!$A100&amp;'Table 2.3a'!$C100,UtilityList!$A$4:$A$251&amp;UtilityList!$C$4:$C$251,0)))</f>
        <v>Cook Inlet</v>
      </c>
      <c r="P100" s="452" t="str">
        <f t="array" ref="P100">IFERROR(INDEX(UtilityList!M$4:M$251,MATCH('Table 2.3a'!$A100&amp;'Table 2.3a'!$B100&amp;'Table 2.3a'!$C100,UtilityList!$A$4:$A$251&amp;UtilityList!$B$4:$B$251&amp;UtilityList!$C$4:$C$251,0)),INDEX(UtilityList!M$4:M$251,MATCH('Table 2.3a'!$A100&amp;'Table 2.3a'!$C100,UtilityList!$A$4:$A$251&amp;UtilityList!$C$4:$C$251,0)))</f>
        <v>SC</v>
      </c>
      <c r="Q100" s="126"/>
    </row>
    <row r="101" spans="1:17" s="344" customFormat="1" ht="30" customHeight="1" x14ac:dyDescent="0.25">
      <c r="A101" s="360" t="s">
        <v>119</v>
      </c>
      <c r="B101" s="452" t="s">
        <v>122</v>
      </c>
      <c r="C101" s="388" t="s">
        <v>121</v>
      </c>
      <c r="D101" s="637">
        <v>1083003</v>
      </c>
      <c r="E101" s="641">
        <v>0</v>
      </c>
      <c r="F101" s="642">
        <v>0</v>
      </c>
      <c r="G101" s="642">
        <v>0</v>
      </c>
      <c r="H101" s="639">
        <f t="shared" si="2"/>
        <v>1083003</v>
      </c>
      <c r="I101" s="641">
        <v>18195</v>
      </c>
      <c r="J101" s="638">
        <f t="shared" si="3"/>
        <v>1101198</v>
      </c>
      <c r="K101" s="636" t="s">
        <v>558</v>
      </c>
      <c r="L101" s="627">
        <f t="array" ref="L101">IFERROR(INDEX(UtilityList!Q$4:Q$251,MATCH('Table 2.3a'!$A101&amp;'Table 2.3a'!$B101&amp;'Table 2.3a'!$C101,UtilityList!$A$4:$A$251&amp;UtilityList!$B$4:$B$251&amp;UtilityList!$C$4:$C$251,0)),INDEX(UtilityList!Q$4:Q$251,MATCH('Table 2.3a'!$A101&amp;'Table 2.3a'!$C101,UtilityList!$A$4:$A$251&amp;UtilityList!$C$4:$C$251,0)))</f>
        <v>0</v>
      </c>
      <c r="M101" s="452" t="str">
        <f t="array" ref="M101">IFERROR(INDEX(UtilityList!J$4:J$251,MATCH('Table 2.3a'!$A101&amp;'Table 2.3a'!$B101&amp;'Table 2.3a'!$C101,UtilityList!$A$4:$A$251&amp;UtilityList!$B$4:$B$251&amp;UtilityList!$C$4:$C$251,0)),INDEX(UtilityList!J$4:J$251,MATCH('Table 2.3a'!$A101&amp;'Table 2.3a'!$C101,UtilityList!$A$4:$A$251&amp;UtilityList!$C$4:$C$251,0)))</f>
        <v>Railbelt</v>
      </c>
      <c r="N101" s="452" t="str">
        <f t="array" ref="N101">IFERROR(INDEX(UtilityList!K$4:K$251,MATCH('Table 2.3a'!$A101&amp;'Table 2.3a'!$B101&amp;'Table 2.3a'!$C101,UtilityList!$A$4:$A$251&amp;UtilityList!$B$4:$B$251&amp;UtilityList!$C$4:$C$251,0)),INDEX(UtilityList!K$4:K$251,MATCH('Table 2.3a'!$A101&amp;'Table 2.3a'!$C101,UtilityList!$A$4:$A$251&amp;UtilityList!$C$4:$C$251,0)))</f>
        <v>Anchorage</v>
      </c>
      <c r="O101" s="452" t="str">
        <f t="array" ref="O101">IFERROR(INDEX(UtilityList!L$4:L$251,MATCH('Table 2.3a'!$A101&amp;'Table 2.3a'!$B101&amp;'Table 2.3a'!$C101,UtilityList!$A$4:$A$251&amp;UtilityList!$B$4:$B$251&amp;UtilityList!$C$4:$C$251,0)),INDEX(UtilityList!L$4:L$251,MATCH('Table 2.3a'!$A101&amp;'Table 2.3a'!$C101,UtilityList!$A$4:$A$251&amp;UtilityList!$C$4:$C$251,0)))</f>
        <v>Cook Inlet</v>
      </c>
      <c r="P101" s="452" t="str">
        <f t="array" ref="P101">IFERROR(INDEX(UtilityList!M$4:M$251,MATCH('Table 2.3a'!$A101&amp;'Table 2.3a'!$B101&amp;'Table 2.3a'!$C101,UtilityList!$A$4:$A$251&amp;UtilityList!$B$4:$B$251&amp;UtilityList!$C$4:$C$251,0)),INDEX(UtilityList!M$4:M$251,MATCH('Table 2.3a'!$A101&amp;'Table 2.3a'!$C101,UtilityList!$A$4:$A$251&amp;UtilityList!$C$4:$C$251,0)))</f>
        <v>SC</v>
      </c>
      <c r="Q101" s="126"/>
    </row>
    <row r="102" spans="1:17" s="344" customFormat="1" ht="30" customHeight="1" x14ac:dyDescent="0.25">
      <c r="A102" s="360" t="s">
        <v>123</v>
      </c>
      <c r="B102" s="360" t="s">
        <v>124</v>
      </c>
      <c r="C102" s="387" t="s">
        <v>124</v>
      </c>
      <c r="D102" s="637">
        <v>0</v>
      </c>
      <c r="E102" s="638">
        <v>2618.598</v>
      </c>
      <c r="F102" s="638">
        <v>0</v>
      </c>
      <c r="G102" s="638">
        <v>0</v>
      </c>
      <c r="H102" s="639">
        <f t="shared" si="2"/>
        <v>2618.598</v>
      </c>
      <c r="I102" s="638">
        <v>34.101999999999997</v>
      </c>
      <c r="J102" s="638">
        <f t="shared" si="3"/>
        <v>2652.7</v>
      </c>
      <c r="K102" s="640" t="s">
        <v>356</v>
      </c>
      <c r="L102" s="627">
        <f t="array" ref="L102">IFERROR(INDEX(UtilityList!Q$4:Q$251,MATCH('Table 2.3a'!$A102&amp;'Table 2.3a'!$B102&amp;'Table 2.3a'!$C102,UtilityList!$A$4:$A$251&amp;UtilityList!$B$4:$B$251&amp;UtilityList!$C$4:$C$251,0)),INDEX(UtilityList!Q$4:Q$251,MATCH('Table 2.3a'!$A102&amp;'Table 2.3a'!$C102,UtilityList!$A$4:$A$251&amp;UtilityList!$C$4:$C$251,0)))</f>
        <v>0</v>
      </c>
      <c r="M102" s="452" t="str">
        <f t="array" ref="M102">IFERROR(INDEX(UtilityList!J$4:J$251,MATCH('Table 2.3a'!$A102&amp;'Table 2.3a'!$B102&amp;'Table 2.3a'!$C102,UtilityList!$A$4:$A$251&amp;UtilityList!$B$4:$B$251&amp;UtilityList!$C$4:$C$251,0)),INDEX(UtilityList!J$4:J$251,MATCH('Table 2.3a'!$A102&amp;'Table 2.3a'!$C102,UtilityList!$A$4:$A$251&amp;UtilityList!$C$4:$C$251,0)))</f>
        <v>Lower Yukon-Kuskokwim</v>
      </c>
      <c r="N102" s="452" t="str">
        <f t="array" ref="N102">IFERROR(INDEX(UtilityList!K$4:K$251,MATCH('Table 2.3a'!$A102&amp;'Table 2.3a'!$B102&amp;'Table 2.3a'!$C102,UtilityList!$A$4:$A$251&amp;UtilityList!$B$4:$B$251&amp;UtilityList!$C$4:$C$251,0)),INDEX(UtilityList!K$4:K$251,MATCH('Table 2.3a'!$A102&amp;'Table 2.3a'!$C102,UtilityList!$A$4:$A$251&amp;UtilityList!$C$4:$C$251,0)))</f>
        <v>Bethel (CA)</v>
      </c>
      <c r="O102" s="452" t="str">
        <f t="array" ref="O102">IFERROR(INDEX(UtilityList!L$4:L$251,MATCH('Table 2.3a'!$A102&amp;'Table 2.3a'!$B102&amp;'Table 2.3a'!$C102,UtilityList!$A$4:$A$251&amp;UtilityList!$B$4:$B$251&amp;UtilityList!$C$4:$C$251,0)),INDEX(UtilityList!L$4:L$251,MATCH('Table 2.3a'!$A102&amp;'Table 2.3a'!$C102,UtilityList!$A$4:$A$251&amp;UtilityList!$C$4:$C$251,0)))</f>
        <v>Calista</v>
      </c>
      <c r="P102" s="452" t="str">
        <f t="array" ref="P102">IFERROR(INDEX(UtilityList!M$4:M$251,MATCH('Table 2.3a'!$A102&amp;'Table 2.3a'!$B102&amp;'Table 2.3a'!$C102,UtilityList!$A$4:$A$251&amp;UtilityList!$B$4:$B$251&amp;UtilityList!$C$4:$C$251,0)),INDEX(UtilityList!M$4:M$251,MATCH('Table 2.3a'!$A102&amp;'Table 2.3a'!$C102,UtilityList!$A$4:$A$251&amp;UtilityList!$C$4:$C$251,0)))</f>
        <v>SW</v>
      </c>
      <c r="Q102" s="187"/>
    </row>
    <row r="103" spans="1:17" s="187" customFormat="1" ht="30" customHeight="1" x14ac:dyDescent="0.25">
      <c r="A103" s="360" t="s">
        <v>127</v>
      </c>
      <c r="B103" s="360" t="s">
        <v>128</v>
      </c>
      <c r="C103" s="387" t="s">
        <v>128</v>
      </c>
      <c r="D103" s="637">
        <v>0</v>
      </c>
      <c r="E103" s="638">
        <v>444.322</v>
      </c>
      <c r="F103" s="638">
        <v>0</v>
      </c>
      <c r="G103" s="638">
        <v>0</v>
      </c>
      <c r="H103" s="639">
        <f t="shared" si="2"/>
        <v>444.322</v>
      </c>
      <c r="I103" s="638">
        <v>27.303999999999998</v>
      </c>
      <c r="J103" s="638">
        <f t="shared" si="3"/>
        <v>471.62599999999998</v>
      </c>
      <c r="K103" s="640" t="s">
        <v>356</v>
      </c>
      <c r="L103" s="627">
        <f t="array" ref="L103">IFERROR(INDEX(UtilityList!Q$4:Q$251,MATCH('Table 2.3a'!$A103&amp;'Table 2.3a'!$B103&amp;'Table 2.3a'!$C103,UtilityList!$A$4:$A$251&amp;UtilityList!$B$4:$B$251&amp;UtilityList!$C$4:$C$251,0)),INDEX(UtilityList!Q$4:Q$251,MATCH('Table 2.3a'!$A103&amp;'Table 2.3a'!$C103,UtilityList!$A$4:$A$251&amp;UtilityList!$C$4:$C$251,0)))</f>
        <v>0</v>
      </c>
      <c r="M103" s="452" t="str">
        <f t="array" ref="M103">IFERROR(INDEX(UtilityList!J$4:J$251,MATCH('Table 2.3a'!$A103&amp;'Table 2.3a'!$B103&amp;'Table 2.3a'!$C103,UtilityList!$A$4:$A$251&amp;UtilityList!$B$4:$B$251&amp;UtilityList!$C$4:$C$251,0)),INDEX(UtilityList!J$4:J$251,MATCH('Table 2.3a'!$A103&amp;'Table 2.3a'!$C103,UtilityList!$A$4:$A$251&amp;UtilityList!$C$4:$C$251,0)))</f>
        <v>Aleutians</v>
      </c>
      <c r="N103" s="452" t="str">
        <f t="array" ref="N103">IFERROR(INDEX(UtilityList!K$4:K$251,MATCH('Table 2.3a'!$A103&amp;'Table 2.3a'!$B103&amp;'Table 2.3a'!$C103,UtilityList!$A$4:$A$251&amp;UtilityList!$B$4:$B$251&amp;UtilityList!$C$4:$C$251,0)),INDEX(UtilityList!K$4:K$251,MATCH('Table 2.3a'!$A103&amp;'Table 2.3a'!$C103,UtilityList!$A$4:$A$251&amp;UtilityList!$C$4:$C$251,0)))</f>
        <v>Aleutians West (CA)</v>
      </c>
      <c r="O103" s="452" t="str">
        <f t="array" ref="O103">IFERROR(INDEX(UtilityList!L$4:L$251,MATCH('Table 2.3a'!$A103&amp;'Table 2.3a'!$B103&amp;'Table 2.3a'!$C103,UtilityList!$A$4:$A$251&amp;UtilityList!$B$4:$B$251&amp;UtilityList!$C$4:$C$251,0)),INDEX(UtilityList!L$4:L$251,MATCH('Table 2.3a'!$A103&amp;'Table 2.3a'!$C103,UtilityList!$A$4:$A$251&amp;UtilityList!$C$4:$C$251,0)))</f>
        <v>Aleut</v>
      </c>
      <c r="P103" s="452" t="str">
        <f t="array" ref="P103">IFERROR(INDEX(UtilityList!M$4:M$251,MATCH('Table 2.3a'!$A103&amp;'Table 2.3a'!$B103&amp;'Table 2.3a'!$C103,UtilityList!$A$4:$A$251&amp;UtilityList!$B$4:$B$251&amp;UtilityList!$C$4:$C$251,0)),INDEX(UtilityList!M$4:M$251,MATCH('Table 2.3a'!$A103&amp;'Table 2.3a'!$C103,UtilityList!$A$4:$A$251&amp;UtilityList!$C$4:$C$251,0)))</f>
        <v>SW</v>
      </c>
      <c r="Q103" s="344"/>
    </row>
    <row r="104" spans="1:17" s="344" customFormat="1" x14ac:dyDescent="0.25">
      <c r="A104" s="360" t="s">
        <v>129</v>
      </c>
      <c r="B104" s="360" t="s">
        <v>130</v>
      </c>
      <c r="C104" s="387" t="s">
        <v>130</v>
      </c>
      <c r="D104" s="637">
        <v>0</v>
      </c>
      <c r="E104" s="638">
        <v>796.81399999999996</v>
      </c>
      <c r="F104" s="638">
        <v>0</v>
      </c>
      <c r="G104" s="638">
        <v>0</v>
      </c>
      <c r="H104" s="639">
        <f t="shared" si="2"/>
        <v>796.81399999999996</v>
      </c>
      <c r="I104" s="638">
        <v>21.849</v>
      </c>
      <c r="J104" s="638">
        <f t="shared" si="3"/>
        <v>818.66300000000001</v>
      </c>
      <c r="K104" s="640" t="s">
        <v>356</v>
      </c>
      <c r="L104" s="627">
        <f t="array" ref="L104">IFERROR(INDEX(UtilityList!Q$4:Q$251,MATCH('Table 2.3a'!$A104&amp;'Table 2.3a'!$B104&amp;'Table 2.3a'!$C104,UtilityList!$A$4:$A$251&amp;UtilityList!$B$4:$B$251&amp;UtilityList!$C$4:$C$251,0)),INDEX(UtilityList!Q$4:Q$251,MATCH('Table 2.3a'!$A104&amp;'Table 2.3a'!$C104,UtilityList!$A$4:$A$251&amp;UtilityList!$C$4:$C$251,0)))</f>
        <v>0</v>
      </c>
      <c r="M104" s="452" t="str">
        <f t="array" ref="M104">IFERROR(INDEX(UtilityList!J$4:J$251,MATCH('Table 2.3a'!$A104&amp;'Table 2.3a'!$B104&amp;'Table 2.3a'!$C104,UtilityList!$A$4:$A$251&amp;UtilityList!$B$4:$B$251&amp;UtilityList!$C$4:$C$251,0)),INDEX(UtilityList!J$4:J$251,MATCH('Table 2.3a'!$A104&amp;'Table 2.3a'!$C104,UtilityList!$A$4:$A$251&amp;UtilityList!$C$4:$C$251,0)))</f>
        <v>Lower Yukon-Kuskokwim</v>
      </c>
      <c r="N104" s="452" t="str">
        <f t="array" ref="N104">IFERROR(INDEX(UtilityList!K$4:K$251,MATCH('Table 2.3a'!$A104&amp;'Table 2.3a'!$B104&amp;'Table 2.3a'!$C104,UtilityList!$A$4:$A$251&amp;UtilityList!$B$4:$B$251&amp;UtilityList!$C$4:$C$251,0)),INDEX(UtilityList!K$4:K$251,MATCH('Table 2.3a'!$A104&amp;'Table 2.3a'!$C104,UtilityList!$A$4:$A$251&amp;UtilityList!$C$4:$C$251,0)))</f>
        <v>Bethel (CA)</v>
      </c>
      <c r="O104" s="452" t="str">
        <f t="array" ref="O104">IFERROR(INDEX(UtilityList!L$4:L$251,MATCH('Table 2.3a'!$A104&amp;'Table 2.3a'!$B104&amp;'Table 2.3a'!$C104,UtilityList!$A$4:$A$251&amp;UtilityList!$B$4:$B$251&amp;UtilityList!$C$4:$C$251,0)),INDEX(UtilityList!L$4:L$251,MATCH('Table 2.3a'!$A104&amp;'Table 2.3a'!$C104,UtilityList!$A$4:$A$251&amp;UtilityList!$C$4:$C$251,0)))</f>
        <v>Calista</v>
      </c>
      <c r="P104" s="452" t="str">
        <f t="array" ref="P104">IFERROR(INDEX(UtilityList!M$4:M$251,MATCH('Table 2.3a'!$A104&amp;'Table 2.3a'!$B104&amp;'Table 2.3a'!$C104,UtilityList!$A$4:$A$251&amp;UtilityList!$B$4:$B$251&amp;UtilityList!$C$4:$C$251,0)),INDEX(UtilityList!M$4:M$251,MATCH('Table 2.3a'!$A104&amp;'Table 2.3a'!$C104,UtilityList!$A$4:$A$251&amp;UtilityList!$C$4:$C$251,0)))</f>
        <v>SW</v>
      </c>
    </row>
    <row r="105" spans="1:17" s="187" customFormat="1" ht="30" customHeight="1" x14ac:dyDescent="0.25">
      <c r="A105" s="385" t="s">
        <v>131</v>
      </c>
      <c r="B105" s="455" t="s">
        <v>668</v>
      </c>
      <c r="C105" s="643" t="s">
        <v>132</v>
      </c>
      <c r="D105" s="637">
        <v>209150</v>
      </c>
      <c r="E105" s="641">
        <v>0</v>
      </c>
      <c r="F105" s="641">
        <v>0</v>
      </c>
      <c r="G105" s="641">
        <v>0</v>
      </c>
      <c r="H105" s="639">
        <f t="shared" si="2"/>
        <v>209150</v>
      </c>
      <c r="I105" s="641">
        <v>15339</v>
      </c>
      <c r="J105" s="638">
        <f t="shared" si="3"/>
        <v>224489</v>
      </c>
      <c r="K105" s="645" t="s">
        <v>558</v>
      </c>
      <c r="L105" s="627" t="str">
        <f t="array" ref="L105">IFERROR(INDEX(UtilityList!Q$4:Q$251,MATCH('Table 2.3a'!$A105&amp;'Table 2.3a'!$B105&amp;'Table 2.3a'!$C105,UtilityList!$A$4:$A$251&amp;UtilityList!$B$4:$B$251&amp;UtilityList!$C$4:$C$251,0)),INDEX(UtilityList!Q$4:Q$251,MATCH('Table 2.3a'!$A105&amp;'Table 2.3a'!$C105,UtilityList!$A$4:$A$251&amp;UtilityList!$C$4:$C$251,0)))</f>
        <v xml:space="preserve"> Aurora Energy LLC is an independent power producer that sells all its power to GVEA.</v>
      </c>
      <c r="M105" s="452" t="str">
        <f t="array" ref="M105">IFERROR(INDEX(UtilityList!J$4:J$251,MATCH('Table 2.3a'!$A105&amp;'Table 2.3a'!$B105&amp;'Table 2.3a'!$C105,UtilityList!$A$4:$A$251&amp;UtilityList!$B$4:$B$251&amp;UtilityList!$C$4:$C$251,0)),INDEX(UtilityList!J$4:J$251,MATCH('Table 2.3a'!$A105&amp;'Table 2.3a'!$C105,UtilityList!$A$4:$A$251&amp;UtilityList!$C$4:$C$251,0)))</f>
        <v>Railbelt</v>
      </c>
      <c r="N105" s="452" t="str">
        <f t="array" ref="N105">IFERROR(INDEX(UtilityList!K$4:K$251,MATCH('Table 2.3a'!$A105&amp;'Table 2.3a'!$B105&amp;'Table 2.3a'!$C105,UtilityList!$A$4:$A$251&amp;UtilityList!$B$4:$B$251&amp;UtilityList!$C$4:$C$251,0)),INDEX(UtilityList!K$4:K$251,MATCH('Table 2.3a'!$A105&amp;'Table 2.3a'!$C105,UtilityList!$A$4:$A$251&amp;UtilityList!$C$4:$C$251,0)))</f>
        <v>Fairbanks North Star</v>
      </c>
      <c r="O105" s="452" t="str">
        <f t="array" ref="O105">IFERROR(INDEX(UtilityList!L$4:L$251,MATCH('Table 2.3a'!$A105&amp;'Table 2.3a'!$B105&amp;'Table 2.3a'!$C105,UtilityList!$A$4:$A$251&amp;UtilityList!$B$4:$B$251&amp;UtilityList!$C$4:$C$251,0)),INDEX(UtilityList!L$4:L$251,MATCH('Table 2.3a'!$A105&amp;'Table 2.3a'!$C105,UtilityList!$A$4:$A$251&amp;UtilityList!$C$4:$C$251,0)))</f>
        <v>Doyon</v>
      </c>
      <c r="P105" s="452" t="str">
        <f t="array" ref="P105">IFERROR(INDEX(UtilityList!M$4:M$251,MATCH('Table 2.3a'!$A105&amp;'Table 2.3a'!$B105&amp;'Table 2.3a'!$C105,UtilityList!$A$4:$A$251&amp;UtilityList!$B$4:$B$251&amp;UtilityList!$C$4:$C$251,0)),INDEX(UtilityList!M$4:M$251,MATCH('Table 2.3a'!$A105&amp;'Table 2.3a'!$C105,UtilityList!$A$4:$A$251&amp;UtilityList!$C$4:$C$251,0)))</f>
        <v>YU</v>
      </c>
      <c r="Q105" s="344"/>
    </row>
    <row r="106" spans="1:17" s="126" customFormat="1" ht="30" customHeight="1" x14ac:dyDescent="0.25">
      <c r="A106" s="619" t="s">
        <v>671</v>
      </c>
      <c r="B106" s="361" t="s">
        <v>639</v>
      </c>
      <c r="C106" s="350" t="s">
        <v>276</v>
      </c>
      <c r="D106" s="637">
        <v>0</v>
      </c>
      <c r="E106" s="631">
        <v>0</v>
      </c>
      <c r="F106" s="631">
        <v>0</v>
      </c>
      <c r="G106" s="631">
        <v>955.14800000000002</v>
      </c>
      <c r="H106" s="639">
        <f t="shared" si="2"/>
        <v>955.14800000000002</v>
      </c>
      <c r="I106" s="598">
        <v>0</v>
      </c>
      <c r="J106" s="638">
        <f t="shared" si="3"/>
        <v>955.14800000000002</v>
      </c>
      <c r="K106" s="646" t="s">
        <v>356</v>
      </c>
      <c r="L106" s="627" t="str">
        <f t="array" ref="L106">IFERROR(INDEX(UtilityList!Q$4:Q$251,MATCH('Table 2.3a'!$A106&amp;'Table 2.3a'!$B106&amp;'Table 2.3a'!$C106,UtilityList!$A$4:$A$251&amp;UtilityList!$B$4:$B$251&amp;UtilityList!$C$4:$C$251,0)),INDEX(UtilityList!Q$4:Q$251,MATCH('Table 2.3a'!$A106&amp;'Table 2.3a'!$C106,UtilityList!$A$4:$A$251&amp;UtilityList!$C$4:$C$251,0)))</f>
        <v>Banner Wind, LLC. is an independent power proucer, who sells all its power to Nome Joint Utility Systems.</v>
      </c>
      <c r="M106" s="452" t="str">
        <f t="array" ref="M106">IFERROR(INDEX(UtilityList!J$4:J$251,MATCH('Table 2.3a'!$A106&amp;'Table 2.3a'!$B106&amp;'Table 2.3a'!$C106,UtilityList!$A$4:$A$251&amp;UtilityList!$B$4:$B$251&amp;UtilityList!$C$4:$C$251,0)),INDEX(UtilityList!J$4:J$251,MATCH('Table 2.3a'!$A106&amp;'Table 2.3a'!$C106,UtilityList!$A$4:$A$251&amp;UtilityList!$C$4:$C$251,0)))</f>
        <v>Bering Straits</v>
      </c>
      <c r="N106" s="452" t="str">
        <f t="array" ref="N106">IFERROR(INDEX(UtilityList!K$4:K$251,MATCH('Table 2.3a'!$A106&amp;'Table 2.3a'!$B106&amp;'Table 2.3a'!$C106,UtilityList!$A$4:$A$251&amp;UtilityList!$B$4:$B$251&amp;UtilityList!$C$4:$C$251,0)),INDEX(UtilityList!K$4:K$251,MATCH('Table 2.3a'!$A106&amp;'Table 2.3a'!$C106,UtilityList!$A$4:$A$251&amp;UtilityList!$C$4:$C$251,0)))</f>
        <v>Nome (CA)</v>
      </c>
      <c r="O106" s="452" t="str">
        <f t="array" ref="O106">IFERROR(INDEX(UtilityList!L$4:L$251,MATCH('Table 2.3a'!$A106&amp;'Table 2.3a'!$B106&amp;'Table 2.3a'!$C106,UtilityList!$A$4:$A$251&amp;UtilityList!$B$4:$B$251&amp;UtilityList!$C$4:$C$251,0)),INDEX(UtilityList!L$4:L$251,MATCH('Table 2.3a'!$A106&amp;'Table 2.3a'!$C106,UtilityList!$A$4:$A$251&amp;UtilityList!$C$4:$C$251,0)))</f>
        <v>Bering Straits</v>
      </c>
      <c r="P106" s="452" t="str">
        <f t="array" ref="P106">IFERROR(INDEX(UtilityList!M$4:M$251,MATCH('Table 2.3a'!$A106&amp;'Table 2.3a'!$B106&amp;'Table 2.3a'!$C106,UtilityList!$A$4:$A$251&amp;UtilityList!$B$4:$B$251&amp;UtilityList!$C$4:$C$251,0)),INDEX(UtilityList!M$4:M$251,MATCH('Table 2.3a'!$A106&amp;'Table 2.3a'!$C106,UtilityList!$A$4:$A$251&amp;UtilityList!$C$4:$C$251,0)))</f>
        <v>AN</v>
      </c>
      <c r="Q106" s="344"/>
    </row>
    <row r="107" spans="1:17" s="126" customFormat="1" ht="56.25" customHeight="1" x14ac:dyDescent="0.25">
      <c r="A107" s="385" t="s">
        <v>570</v>
      </c>
      <c r="B107" s="455" t="s">
        <v>133</v>
      </c>
      <c r="C107" s="643" t="s">
        <v>133</v>
      </c>
      <c r="D107" s="637">
        <v>50211</v>
      </c>
      <c r="E107" s="641">
        <v>0</v>
      </c>
      <c r="F107" s="641">
        <v>0</v>
      </c>
      <c r="G107" s="641">
        <v>0</v>
      </c>
      <c r="H107" s="639">
        <f t="shared" si="2"/>
        <v>50211</v>
      </c>
      <c r="I107" s="641">
        <v>993</v>
      </c>
      <c r="J107" s="638">
        <f t="shared" si="3"/>
        <v>51204</v>
      </c>
      <c r="K107" s="645" t="s">
        <v>558</v>
      </c>
      <c r="L107" s="627">
        <f t="array" ref="L107">IFERROR(INDEX(UtilityList!Q$4:Q$251,MATCH('Table 2.3a'!$A107&amp;'Table 2.3a'!$B107&amp;'Table 2.3a'!$C107,UtilityList!$A$4:$A$251&amp;UtilityList!$B$4:$B$251&amp;UtilityList!$C$4:$C$251,0)),INDEX(UtilityList!Q$4:Q$251,MATCH('Table 2.3a'!$A107&amp;'Table 2.3a'!$C107,UtilityList!$A$4:$A$251&amp;UtilityList!$C$4:$C$251,0)))</f>
        <v>0</v>
      </c>
      <c r="M107" s="452" t="str">
        <f t="array" ref="M107">IFERROR(INDEX(UtilityList!J$4:J$251,MATCH('Table 2.3a'!$A107&amp;'Table 2.3a'!$B107&amp;'Table 2.3a'!$C107,UtilityList!$A$4:$A$251&amp;UtilityList!$B$4:$B$251&amp;UtilityList!$C$4:$C$251,0)),INDEX(UtilityList!J$4:J$251,MATCH('Table 2.3a'!$A107&amp;'Table 2.3a'!$C107,UtilityList!$A$4:$A$251&amp;UtilityList!$C$4:$C$251,0)))</f>
        <v>North Slope</v>
      </c>
      <c r="N107" s="452" t="str">
        <f t="array" ref="N107">IFERROR(INDEX(UtilityList!K$4:K$251,MATCH('Table 2.3a'!$A107&amp;'Table 2.3a'!$B107&amp;'Table 2.3a'!$C107,UtilityList!$A$4:$A$251&amp;UtilityList!$B$4:$B$251&amp;UtilityList!$C$4:$C$251,0)),INDEX(UtilityList!K$4:K$251,MATCH('Table 2.3a'!$A107&amp;'Table 2.3a'!$C107,UtilityList!$A$4:$A$251&amp;UtilityList!$C$4:$C$251,0)))</f>
        <v>North Slope</v>
      </c>
      <c r="O107" s="452" t="str">
        <f t="array" ref="O107">IFERROR(INDEX(UtilityList!L$4:L$251,MATCH('Table 2.3a'!$A107&amp;'Table 2.3a'!$B107&amp;'Table 2.3a'!$C107,UtilityList!$A$4:$A$251&amp;UtilityList!$B$4:$B$251&amp;UtilityList!$C$4:$C$251,0)),INDEX(UtilityList!L$4:L$251,MATCH('Table 2.3a'!$A107&amp;'Table 2.3a'!$C107,UtilityList!$A$4:$A$251&amp;UtilityList!$C$4:$C$251,0)))</f>
        <v>Arctic Slope</v>
      </c>
      <c r="P107" s="452" t="str">
        <f t="array" ref="P107">IFERROR(INDEX(UtilityList!M$4:M$251,MATCH('Table 2.3a'!$A107&amp;'Table 2.3a'!$B107&amp;'Table 2.3a'!$C107,UtilityList!$A$4:$A$251&amp;UtilityList!$B$4:$B$251&amp;UtilityList!$C$4:$C$251,0)),INDEX(UtilityList!M$4:M$251,MATCH('Table 2.3a'!$A107&amp;'Table 2.3a'!$C107,UtilityList!$A$4:$A$251&amp;UtilityList!$C$4:$C$251,0)))</f>
        <v>AN</v>
      </c>
    </row>
    <row r="108" spans="1:17" s="126" customFormat="1" ht="56.25" customHeight="1" x14ac:dyDescent="0.25">
      <c r="A108" s="385" t="s">
        <v>134</v>
      </c>
      <c r="B108" s="385" t="s">
        <v>135</v>
      </c>
      <c r="C108" s="635" t="s">
        <v>135</v>
      </c>
      <c r="D108" s="637">
        <v>0</v>
      </c>
      <c r="E108" s="638">
        <v>318.02999999999997</v>
      </c>
      <c r="F108" s="638">
        <v>0</v>
      </c>
      <c r="G108" s="638">
        <v>0</v>
      </c>
      <c r="H108" s="639">
        <f t="shared" si="2"/>
        <v>318.02999999999997</v>
      </c>
      <c r="I108" s="638"/>
      <c r="J108" s="638" t="str">
        <f t="shared" si="3"/>
        <v/>
      </c>
      <c r="K108" s="646" t="s">
        <v>356</v>
      </c>
      <c r="L108" s="627">
        <f t="array" ref="L108">IFERROR(INDEX(UtilityList!Q$4:Q$251,MATCH('Table 2.3a'!$A108&amp;'Table 2.3a'!$B108&amp;'Table 2.3a'!$C108,UtilityList!$A$4:$A$251&amp;UtilityList!$B$4:$B$251&amp;UtilityList!$C$4:$C$251,0)),INDEX(UtilityList!Q$4:Q$251,MATCH('Table 2.3a'!$A108&amp;'Table 2.3a'!$C108,UtilityList!$A$4:$A$251&amp;UtilityList!$C$4:$C$251,0)))</f>
        <v>0</v>
      </c>
      <c r="M108" s="452" t="str">
        <f t="array" ref="M108">IFERROR(INDEX(UtilityList!J$4:J$251,MATCH('Table 2.3a'!$A108&amp;'Table 2.3a'!$B108&amp;'Table 2.3a'!$C108,UtilityList!$A$4:$A$251&amp;UtilityList!$B$4:$B$251&amp;UtilityList!$C$4:$C$251,0)),INDEX(UtilityList!J$4:J$251,MATCH('Table 2.3a'!$A108&amp;'Table 2.3a'!$C108,UtilityList!$A$4:$A$251&amp;UtilityList!$C$4:$C$251,0)))</f>
        <v>Yukon-Koyukuk/Upper Tanana</v>
      </c>
      <c r="N108" s="452" t="str">
        <f t="array" ref="N108">IFERROR(INDEX(UtilityList!K$4:K$251,MATCH('Table 2.3a'!$A108&amp;'Table 2.3a'!$B108&amp;'Table 2.3a'!$C108,UtilityList!$A$4:$A$251&amp;UtilityList!$B$4:$B$251&amp;UtilityList!$C$4:$C$251,0)),INDEX(UtilityList!K$4:K$251,MATCH('Table 2.3a'!$A108&amp;'Table 2.3a'!$C108,UtilityList!$A$4:$A$251&amp;UtilityList!$C$4:$C$251,0)))</f>
        <v>Yukon-Koyukuk (CA)</v>
      </c>
      <c r="O108" s="452" t="str">
        <f t="array" ref="O108">IFERROR(INDEX(UtilityList!L$4:L$251,MATCH('Table 2.3a'!$A108&amp;'Table 2.3a'!$B108&amp;'Table 2.3a'!$C108,UtilityList!$A$4:$A$251&amp;UtilityList!$B$4:$B$251&amp;UtilityList!$C$4:$C$251,0)),INDEX(UtilityList!L$4:L$251,MATCH('Table 2.3a'!$A108&amp;'Table 2.3a'!$C108,UtilityList!$A$4:$A$251&amp;UtilityList!$C$4:$C$251,0)))</f>
        <v>Doyon</v>
      </c>
      <c r="P108" s="452" t="str">
        <f t="array" ref="P108">IFERROR(INDEX(UtilityList!M$4:M$251,MATCH('Table 2.3a'!$A108&amp;'Table 2.3a'!$B108&amp;'Table 2.3a'!$C108,UtilityList!$A$4:$A$251&amp;UtilityList!$B$4:$B$251&amp;UtilityList!$C$4:$C$251,0)),INDEX(UtilityList!M$4:M$251,MATCH('Table 2.3a'!$A108&amp;'Table 2.3a'!$C108,UtilityList!$A$4:$A$251&amp;UtilityList!$C$4:$C$251,0)))</f>
        <v>YU</v>
      </c>
      <c r="Q108" s="344"/>
    </row>
    <row r="109" spans="1:17" s="126" customFormat="1" ht="30" customHeight="1" x14ac:dyDescent="0.25">
      <c r="A109" s="360" t="s">
        <v>502</v>
      </c>
      <c r="B109" s="360" t="s">
        <v>136</v>
      </c>
      <c r="C109" s="387" t="s">
        <v>679</v>
      </c>
      <c r="D109" s="637">
        <v>0</v>
      </c>
      <c r="E109" s="638">
        <v>41800</v>
      </c>
      <c r="F109" s="638">
        <v>0</v>
      </c>
      <c r="G109" s="638">
        <v>0</v>
      </c>
      <c r="H109" s="639">
        <f t="shared" si="2"/>
        <v>41800</v>
      </c>
      <c r="I109" s="638">
        <v>635.6</v>
      </c>
      <c r="J109" s="638">
        <f t="shared" si="3"/>
        <v>42435.6</v>
      </c>
      <c r="K109" s="640" t="s">
        <v>356</v>
      </c>
      <c r="L109" s="627" t="str">
        <f t="array" ref="L109">IFERROR(INDEX(UtilityList!Q$4:Q$251,MATCH('Table 2.3a'!$A109&amp;'Table 2.3a'!$B109&amp;'Table 2.3a'!$C109,UtilityList!$A$4:$A$251&amp;UtilityList!$B$4:$B$251&amp;UtilityList!$C$4:$C$251,0)),INDEX(UtilityList!Q$4:Q$251,MATCH('Table 2.3a'!$A109&amp;'Table 2.3a'!$C109,UtilityList!$A$4:$A$251&amp;UtilityList!$C$4:$C$251,0)))</f>
        <v>Provides power to Oscarville and sells power to Napakiak Ircinraq via intertie. Data includes Oscarville's information.</v>
      </c>
      <c r="M109" s="452" t="str">
        <f t="array" ref="M109">IFERROR(INDEX(UtilityList!J$4:J$251,MATCH('Table 2.3a'!$A109&amp;'Table 2.3a'!$B109&amp;'Table 2.3a'!$C109,UtilityList!$A$4:$A$251&amp;UtilityList!$B$4:$B$251&amp;UtilityList!$C$4:$C$251,0)),INDEX(UtilityList!J$4:J$251,MATCH('Table 2.3a'!$A109&amp;'Table 2.3a'!$C109,UtilityList!$A$4:$A$251&amp;UtilityList!$C$4:$C$251,0)))</f>
        <v>Lower Yukon-Kuskokwim</v>
      </c>
      <c r="N109" s="452" t="str">
        <f t="array" ref="N109">IFERROR(INDEX(UtilityList!K$4:K$251,MATCH('Table 2.3a'!$A109&amp;'Table 2.3a'!$B109&amp;'Table 2.3a'!$C109,UtilityList!$A$4:$A$251&amp;UtilityList!$B$4:$B$251&amp;UtilityList!$C$4:$C$251,0)),INDEX(UtilityList!K$4:K$251,MATCH('Table 2.3a'!$A109&amp;'Table 2.3a'!$C109,UtilityList!$A$4:$A$251&amp;UtilityList!$C$4:$C$251,0)))</f>
        <v>Bethel (CA)</v>
      </c>
      <c r="O109" s="452" t="str">
        <f t="array" ref="O109">IFERROR(INDEX(UtilityList!L$4:L$251,MATCH('Table 2.3a'!$A109&amp;'Table 2.3a'!$B109&amp;'Table 2.3a'!$C109,UtilityList!$A$4:$A$251&amp;UtilityList!$B$4:$B$251&amp;UtilityList!$C$4:$C$251,0)),INDEX(UtilityList!L$4:L$251,MATCH('Table 2.3a'!$A109&amp;'Table 2.3a'!$C109,UtilityList!$A$4:$A$251&amp;UtilityList!$C$4:$C$251,0)))</f>
        <v>Calista</v>
      </c>
      <c r="P109" s="452" t="str">
        <f t="array" ref="P109">IFERROR(INDEX(UtilityList!M$4:M$251,MATCH('Table 2.3a'!$A109&amp;'Table 2.3a'!$B109&amp;'Table 2.3a'!$C109,UtilityList!$A$4:$A$251&amp;UtilityList!$B$4:$B$251&amp;UtilityList!$C$4:$C$251,0)),INDEX(UtilityList!M$4:M$251,MATCH('Table 2.3a'!$A109&amp;'Table 2.3a'!$C109,UtilityList!$A$4:$A$251&amp;UtilityList!$C$4:$C$251,0)))</f>
        <v>SW</v>
      </c>
      <c r="Q109" s="344"/>
    </row>
    <row r="110" spans="1:17" s="126" customFormat="1" ht="30" customHeight="1" x14ac:dyDescent="0.25">
      <c r="A110" s="360" t="s">
        <v>139</v>
      </c>
      <c r="B110" s="360" t="s">
        <v>140</v>
      </c>
      <c r="C110" s="387" t="s">
        <v>140</v>
      </c>
      <c r="D110" s="637">
        <v>0</v>
      </c>
      <c r="E110" s="638">
        <v>1592.204</v>
      </c>
      <c r="F110" s="638">
        <v>0</v>
      </c>
      <c r="G110" s="638">
        <v>0</v>
      </c>
      <c r="H110" s="639">
        <f t="shared" si="2"/>
        <v>1592.204</v>
      </c>
      <c r="I110" s="638">
        <v>33.616</v>
      </c>
      <c r="J110" s="638">
        <f t="shared" si="3"/>
        <v>1625.82</v>
      </c>
      <c r="K110" s="640" t="s">
        <v>356</v>
      </c>
      <c r="L110" s="627">
        <f t="array" ref="L110">IFERROR(INDEX(UtilityList!Q$4:Q$251,MATCH('Table 2.3a'!$A110&amp;'Table 2.3a'!$B110&amp;'Table 2.3a'!$C110,UtilityList!$A$4:$A$251&amp;UtilityList!$B$4:$B$251&amp;UtilityList!$C$4:$C$251,0)),INDEX(UtilityList!Q$4:Q$251,MATCH('Table 2.3a'!$A110&amp;'Table 2.3a'!$C110,UtilityList!$A$4:$A$251&amp;UtilityList!$C$4:$C$251,0)))</f>
        <v>0</v>
      </c>
      <c r="M110" s="452" t="str">
        <f t="array" ref="M110">IFERROR(INDEX(UtilityList!J$4:J$251,MATCH('Table 2.3a'!$A110&amp;'Table 2.3a'!$B110&amp;'Table 2.3a'!$C110,UtilityList!$A$4:$A$251&amp;UtilityList!$B$4:$B$251&amp;UtilityList!$C$4:$C$251,0)),INDEX(UtilityList!J$4:J$251,MATCH('Table 2.3a'!$A110&amp;'Table 2.3a'!$C110,UtilityList!$A$4:$A$251&amp;UtilityList!$C$4:$C$251,0)))</f>
        <v>Northwest Arctic</v>
      </c>
      <c r="N110" s="452" t="str">
        <f t="array" ref="N110">IFERROR(INDEX(UtilityList!K$4:K$251,MATCH('Table 2.3a'!$A110&amp;'Table 2.3a'!$B110&amp;'Table 2.3a'!$C110,UtilityList!$A$4:$A$251&amp;UtilityList!$B$4:$B$251&amp;UtilityList!$C$4:$C$251,0)),INDEX(UtilityList!K$4:K$251,MATCH('Table 2.3a'!$A110&amp;'Table 2.3a'!$C110,UtilityList!$A$4:$A$251&amp;UtilityList!$C$4:$C$251,0)))</f>
        <v>Northwest Arctic</v>
      </c>
      <c r="O110" s="452" t="str">
        <f t="array" ref="O110">IFERROR(INDEX(UtilityList!L$4:L$251,MATCH('Table 2.3a'!$A110&amp;'Table 2.3a'!$B110&amp;'Table 2.3a'!$C110,UtilityList!$A$4:$A$251&amp;UtilityList!$B$4:$B$251&amp;UtilityList!$C$4:$C$251,0)),INDEX(UtilityList!L$4:L$251,MATCH('Table 2.3a'!$A110&amp;'Table 2.3a'!$C110,UtilityList!$A$4:$A$251&amp;UtilityList!$C$4:$C$251,0)))</f>
        <v>NANA</v>
      </c>
      <c r="P110" s="452" t="str">
        <f t="array" ref="P110">IFERROR(INDEX(UtilityList!M$4:M$251,MATCH('Table 2.3a'!$A110&amp;'Table 2.3a'!$B110&amp;'Table 2.3a'!$C110,UtilityList!$A$4:$A$251&amp;UtilityList!$B$4:$B$251&amp;UtilityList!$C$4:$C$251,0)),INDEX(UtilityList!M$4:M$251,MATCH('Table 2.3a'!$A110&amp;'Table 2.3a'!$C110,UtilityList!$A$4:$A$251&amp;UtilityList!$C$4:$C$251,0)))</f>
        <v>AN</v>
      </c>
      <c r="Q110" s="187"/>
    </row>
    <row r="111" spans="1:17" s="344" customFormat="1" ht="30" customHeight="1" x14ac:dyDescent="0.25">
      <c r="A111" s="360" t="s">
        <v>141</v>
      </c>
      <c r="B111" s="360" t="s">
        <v>142</v>
      </c>
      <c r="C111" s="387" t="s">
        <v>142</v>
      </c>
      <c r="D111" s="637">
        <v>0</v>
      </c>
      <c r="E111" s="638">
        <v>304.16500000000002</v>
      </c>
      <c r="F111" s="638">
        <v>0</v>
      </c>
      <c r="G111" s="638">
        <v>0</v>
      </c>
      <c r="H111" s="639">
        <f t="shared" si="2"/>
        <v>304.16500000000002</v>
      </c>
      <c r="I111" s="638">
        <v>27.405000000000001</v>
      </c>
      <c r="J111" s="638">
        <f t="shared" si="3"/>
        <v>331.57000000000005</v>
      </c>
      <c r="K111" s="640" t="s">
        <v>356</v>
      </c>
      <c r="L111" s="627">
        <f t="array" ref="L111">IFERROR(INDEX(UtilityList!Q$4:Q$251,MATCH('Table 2.3a'!$A111&amp;'Table 2.3a'!$B111&amp;'Table 2.3a'!$C111,UtilityList!$A$4:$A$251&amp;UtilityList!$B$4:$B$251&amp;UtilityList!$C$4:$C$251,0)),INDEX(UtilityList!Q$4:Q$251,MATCH('Table 2.3a'!$A111&amp;'Table 2.3a'!$C111,UtilityList!$A$4:$A$251&amp;UtilityList!$C$4:$C$251,0)))</f>
        <v>0</v>
      </c>
      <c r="M111" s="452" t="str">
        <f t="array" ref="M111">IFERROR(INDEX(UtilityList!J$4:J$251,MATCH('Table 2.3a'!$A111&amp;'Table 2.3a'!$B111&amp;'Table 2.3a'!$C111,UtilityList!$A$4:$A$251&amp;UtilityList!$B$4:$B$251&amp;UtilityList!$C$4:$C$251,0)),INDEX(UtilityList!J$4:J$251,MATCH('Table 2.3a'!$A111&amp;'Table 2.3a'!$C111,UtilityList!$A$4:$A$251&amp;UtilityList!$C$4:$C$251,0)))</f>
        <v>Yukon-Koyukuk/Upper Tanana</v>
      </c>
      <c r="N111" s="452" t="str">
        <f t="array" ref="N111">IFERROR(INDEX(UtilityList!K$4:K$251,MATCH('Table 2.3a'!$A111&amp;'Table 2.3a'!$B111&amp;'Table 2.3a'!$C111,UtilityList!$A$4:$A$251&amp;UtilityList!$B$4:$B$251&amp;UtilityList!$C$4:$C$251,0)),INDEX(UtilityList!K$4:K$251,MATCH('Table 2.3a'!$A111&amp;'Table 2.3a'!$C111,UtilityList!$A$4:$A$251&amp;UtilityList!$C$4:$C$251,0)))</f>
        <v>Yukon-Koyukuk (CA)</v>
      </c>
      <c r="O111" s="452" t="str">
        <f t="array" ref="O111">IFERROR(INDEX(UtilityList!L$4:L$251,MATCH('Table 2.3a'!$A111&amp;'Table 2.3a'!$B111&amp;'Table 2.3a'!$C111,UtilityList!$A$4:$A$251&amp;UtilityList!$B$4:$B$251&amp;UtilityList!$C$4:$C$251,0)),INDEX(UtilityList!L$4:L$251,MATCH('Table 2.3a'!$A111&amp;'Table 2.3a'!$C111,UtilityList!$A$4:$A$251&amp;UtilityList!$C$4:$C$251,0)))</f>
        <v>Doyon</v>
      </c>
      <c r="P111" s="452" t="str">
        <f t="array" ref="P111">IFERROR(INDEX(UtilityList!M$4:M$251,MATCH('Table 2.3a'!$A111&amp;'Table 2.3a'!$B111&amp;'Table 2.3a'!$C111,UtilityList!$A$4:$A$251&amp;UtilityList!$B$4:$B$251&amp;UtilityList!$C$4:$C$251,0)),INDEX(UtilityList!M$4:M$251,MATCH('Table 2.3a'!$A111&amp;'Table 2.3a'!$C111,UtilityList!$A$4:$A$251&amp;UtilityList!$C$4:$C$251,0)))</f>
        <v>YU</v>
      </c>
    </row>
    <row r="112" spans="1:17" s="344" customFormat="1" ht="70.5" customHeight="1" x14ac:dyDescent="0.25">
      <c r="A112" s="385" t="s">
        <v>143</v>
      </c>
      <c r="B112" s="385" t="s">
        <v>144</v>
      </c>
      <c r="C112" s="635" t="s">
        <v>144</v>
      </c>
      <c r="D112" s="637">
        <v>0</v>
      </c>
      <c r="E112" s="638">
        <v>308.27600000000001</v>
      </c>
      <c r="F112" s="638">
        <v>0</v>
      </c>
      <c r="G112" s="638">
        <v>0</v>
      </c>
      <c r="H112" s="639">
        <f t="shared" si="2"/>
        <v>308.27600000000001</v>
      </c>
      <c r="I112" s="638">
        <v>12.419</v>
      </c>
      <c r="J112" s="638">
        <f t="shared" si="3"/>
        <v>320.69499999999999</v>
      </c>
      <c r="K112" s="646" t="s">
        <v>356</v>
      </c>
      <c r="L112" s="627">
        <f t="array" ref="L112">IFERROR(INDEX(UtilityList!Q$4:Q$251,MATCH('Table 2.3a'!$A112&amp;'Table 2.3a'!$B112&amp;'Table 2.3a'!$C112,UtilityList!$A$4:$A$251&amp;UtilityList!$B$4:$B$251&amp;UtilityList!$C$4:$C$251,0)),INDEX(UtilityList!Q$4:Q$251,MATCH('Table 2.3a'!$A112&amp;'Table 2.3a'!$C112,UtilityList!$A$4:$A$251&amp;UtilityList!$C$4:$C$251,0)))</f>
        <v>0</v>
      </c>
      <c r="M112" s="452" t="str">
        <f t="array" ref="M112">IFERROR(INDEX(UtilityList!J$4:J$251,MATCH('Table 2.3a'!$A112&amp;'Table 2.3a'!$B112&amp;'Table 2.3a'!$C112,UtilityList!$A$4:$A$251&amp;UtilityList!$B$4:$B$251&amp;UtilityList!$C$4:$C$251,0)),INDEX(UtilityList!J$4:J$251,MATCH('Table 2.3a'!$A112&amp;'Table 2.3a'!$C112,UtilityList!$A$4:$A$251&amp;UtilityList!$C$4:$C$251,0)))</f>
        <v>Copper River/Chugach</v>
      </c>
      <c r="N112" s="452" t="str">
        <f t="array" ref="N112">IFERROR(INDEX(UtilityList!K$4:K$251,MATCH('Table 2.3a'!$A112&amp;'Table 2.3a'!$B112&amp;'Table 2.3a'!$C112,UtilityList!$A$4:$A$251&amp;UtilityList!$B$4:$B$251&amp;UtilityList!$C$4:$C$251,0)),INDEX(UtilityList!K$4:K$251,MATCH('Table 2.3a'!$A112&amp;'Table 2.3a'!$C112,UtilityList!$A$4:$A$251&amp;UtilityList!$C$4:$C$251,0)))</f>
        <v>Valdez-Cordova (CA)</v>
      </c>
      <c r="O112" s="452" t="str">
        <f t="array" ref="O112">IFERROR(INDEX(UtilityList!L$4:L$251,MATCH('Table 2.3a'!$A112&amp;'Table 2.3a'!$B112&amp;'Table 2.3a'!$C112,UtilityList!$A$4:$A$251&amp;UtilityList!$B$4:$B$251&amp;UtilityList!$C$4:$C$251,0)),INDEX(UtilityList!L$4:L$251,MATCH('Table 2.3a'!$A112&amp;'Table 2.3a'!$C112,UtilityList!$A$4:$A$251&amp;UtilityList!$C$4:$C$251,0)))</f>
        <v>Chugach</v>
      </c>
      <c r="P112" s="452" t="str">
        <f t="array" ref="P112">IFERROR(INDEX(UtilityList!M$4:M$251,MATCH('Table 2.3a'!$A112&amp;'Table 2.3a'!$B112&amp;'Table 2.3a'!$C112,UtilityList!$A$4:$A$251&amp;UtilityList!$B$4:$B$251&amp;UtilityList!$C$4:$C$251,0)),INDEX(UtilityList!M$4:M$251,MATCH('Table 2.3a'!$A112&amp;'Table 2.3a'!$C112,UtilityList!$A$4:$A$251&amp;UtilityList!$C$4:$C$251,0)))</f>
        <v>SC</v>
      </c>
    </row>
    <row r="113" spans="1:17" s="187" customFormat="1" ht="30" customHeight="1" x14ac:dyDescent="0.25">
      <c r="A113" s="360" t="s">
        <v>145</v>
      </c>
      <c r="B113" s="360" t="s">
        <v>146</v>
      </c>
      <c r="C113" s="387" t="s">
        <v>146</v>
      </c>
      <c r="D113" s="637">
        <v>0</v>
      </c>
      <c r="E113" s="638">
        <v>506.53100000000001</v>
      </c>
      <c r="F113" s="638">
        <v>0</v>
      </c>
      <c r="G113" s="638">
        <v>0</v>
      </c>
      <c r="H113" s="639">
        <f t="shared" si="2"/>
        <v>506.53100000000001</v>
      </c>
      <c r="I113" s="638">
        <v>17.363</v>
      </c>
      <c r="J113" s="638">
        <f t="shared" si="3"/>
        <v>523.89400000000001</v>
      </c>
      <c r="K113" s="640" t="s">
        <v>356</v>
      </c>
      <c r="L113" s="627">
        <f t="array" ref="L113">IFERROR(INDEX(UtilityList!Q$4:Q$251,MATCH('Table 2.3a'!$A113&amp;'Table 2.3a'!$B113&amp;'Table 2.3a'!$C113,UtilityList!$A$4:$A$251&amp;UtilityList!$B$4:$B$251&amp;UtilityList!$C$4:$C$251,0)),INDEX(UtilityList!Q$4:Q$251,MATCH('Table 2.3a'!$A113&amp;'Table 2.3a'!$C113,UtilityList!$A$4:$A$251&amp;UtilityList!$C$4:$C$251,0)))</f>
        <v>0</v>
      </c>
      <c r="M113" s="452" t="str">
        <f t="array" ref="M113">IFERROR(INDEX(UtilityList!J$4:J$251,MATCH('Table 2.3a'!$A113&amp;'Table 2.3a'!$B113&amp;'Table 2.3a'!$C113,UtilityList!$A$4:$A$251&amp;UtilityList!$B$4:$B$251&amp;UtilityList!$C$4:$C$251,0)),INDEX(UtilityList!J$4:J$251,MATCH('Table 2.3a'!$A113&amp;'Table 2.3a'!$C113,UtilityList!$A$4:$A$251&amp;UtilityList!$C$4:$C$251,0)))</f>
        <v>Bristol Bay</v>
      </c>
      <c r="N113" s="452" t="str">
        <f t="array" ref="N113">IFERROR(INDEX(UtilityList!K$4:K$251,MATCH('Table 2.3a'!$A113&amp;'Table 2.3a'!$B113&amp;'Table 2.3a'!$C113,UtilityList!$A$4:$A$251&amp;UtilityList!$B$4:$B$251&amp;UtilityList!$C$4:$C$251,0)),INDEX(UtilityList!K$4:K$251,MATCH('Table 2.3a'!$A113&amp;'Table 2.3a'!$C113,UtilityList!$A$4:$A$251&amp;UtilityList!$C$4:$C$251,0)))</f>
        <v>Lake and Peninsula</v>
      </c>
      <c r="O113" s="452" t="str">
        <f t="array" ref="O113">IFERROR(INDEX(UtilityList!L$4:L$251,MATCH('Table 2.3a'!$A113&amp;'Table 2.3a'!$B113&amp;'Table 2.3a'!$C113,UtilityList!$A$4:$A$251&amp;UtilityList!$B$4:$B$251&amp;UtilityList!$C$4:$C$251,0)),INDEX(UtilityList!L$4:L$251,MATCH('Table 2.3a'!$A113&amp;'Table 2.3a'!$C113,UtilityList!$A$4:$A$251&amp;UtilityList!$C$4:$C$251,0)))</f>
        <v>Bristol Bay</v>
      </c>
      <c r="P113" s="452" t="str">
        <f t="array" ref="P113">IFERROR(INDEX(UtilityList!M$4:M$251,MATCH('Table 2.3a'!$A113&amp;'Table 2.3a'!$B113&amp;'Table 2.3a'!$C113,UtilityList!$A$4:$A$251&amp;UtilityList!$B$4:$B$251&amp;UtilityList!$C$4:$C$251,0)),INDEX(UtilityList!M$4:M$251,MATCH('Table 2.3a'!$A113&amp;'Table 2.3a'!$C113,UtilityList!$A$4:$A$251&amp;UtilityList!$C$4:$C$251,0)))</f>
        <v>SW</v>
      </c>
      <c r="Q113" s="344"/>
    </row>
    <row r="114" spans="1:17" s="187" customFormat="1" ht="30" customHeight="1" x14ac:dyDescent="0.25">
      <c r="A114" s="385" t="s">
        <v>147</v>
      </c>
      <c r="B114" s="385" t="s">
        <v>148</v>
      </c>
      <c r="C114" s="635" t="s">
        <v>148</v>
      </c>
      <c r="D114" s="637">
        <v>0</v>
      </c>
      <c r="E114" s="638">
        <v>199.04300000000001</v>
      </c>
      <c r="F114" s="638">
        <v>0</v>
      </c>
      <c r="G114" s="638">
        <v>0</v>
      </c>
      <c r="H114" s="639">
        <f t="shared" si="2"/>
        <v>199.04300000000001</v>
      </c>
      <c r="I114" s="638">
        <v>7.1349999999999998</v>
      </c>
      <c r="J114" s="638">
        <f t="shared" si="3"/>
        <v>206.178</v>
      </c>
      <c r="K114" s="646" t="s">
        <v>356</v>
      </c>
      <c r="L114" s="627">
        <f t="array" ref="L114">IFERROR(INDEX(UtilityList!Q$4:Q$251,MATCH('Table 2.3a'!$A114&amp;'Table 2.3a'!$B114&amp;'Table 2.3a'!$C114,UtilityList!$A$4:$A$251&amp;UtilityList!$B$4:$B$251&amp;UtilityList!$C$4:$C$251,0)),INDEX(UtilityList!Q$4:Q$251,MATCH('Table 2.3a'!$A114&amp;'Table 2.3a'!$C114,UtilityList!$A$4:$A$251&amp;UtilityList!$C$4:$C$251,0)))</f>
        <v>0</v>
      </c>
      <c r="M114" s="452" t="str">
        <f t="array" ref="M114">IFERROR(INDEX(UtilityList!J$4:J$251,MATCH('Table 2.3a'!$A114&amp;'Table 2.3a'!$B114&amp;'Table 2.3a'!$C114,UtilityList!$A$4:$A$251&amp;UtilityList!$B$4:$B$251&amp;UtilityList!$C$4:$C$251,0)),INDEX(UtilityList!J$4:J$251,MATCH('Table 2.3a'!$A114&amp;'Table 2.3a'!$C114,UtilityList!$A$4:$A$251&amp;UtilityList!$C$4:$C$251,0)))</f>
        <v>Bristol Bay</v>
      </c>
      <c r="N114" s="452" t="str">
        <f t="array" ref="N114">IFERROR(INDEX(UtilityList!K$4:K$251,MATCH('Table 2.3a'!$A114&amp;'Table 2.3a'!$B114&amp;'Table 2.3a'!$C114,UtilityList!$A$4:$A$251&amp;UtilityList!$B$4:$B$251&amp;UtilityList!$C$4:$C$251,0)),INDEX(UtilityList!K$4:K$251,MATCH('Table 2.3a'!$A114&amp;'Table 2.3a'!$C114,UtilityList!$A$4:$A$251&amp;UtilityList!$C$4:$C$251,0)))</f>
        <v>Lake and Peninsula</v>
      </c>
      <c r="O114" s="452" t="str">
        <f t="array" ref="O114">IFERROR(INDEX(UtilityList!L$4:L$251,MATCH('Table 2.3a'!$A114&amp;'Table 2.3a'!$B114&amp;'Table 2.3a'!$C114,UtilityList!$A$4:$A$251&amp;UtilityList!$B$4:$B$251&amp;UtilityList!$C$4:$C$251,0)),INDEX(UtilityList!L$4:L$251,MATCH('Table 2.3a'!$A114&amp;'Table 2.3a'!$C114,UtilityList!$A$4:$A$251&amp;UtilityList!$C$4:$C$251,0)))</f>
        <v>Bristol Bay</v>
      </c>
      <c r="P114" s="452" t="str">
        <f t="array" ref="P114">IFERROR(INDEX(UtilityList!M$4:M$251,MATCH('Table 2.3a'!$A114&amp;'Table 2.3a'!$B114&amp;'Table 2.3a'!$C114,UtilityList!$A$4:$A$251&amp;UtilityList!$B$4:$B$251&amp;UtilityList!$C$4:$C$251,0)),INDEX(UtilityList!M$4:M$251,MATCH('Table 2.3a'!$A114&amp;'Table 2.3a'!$C114,UtilityList!$A$4:$A$251&amp;UtilityList!$C$4:$C$251,0)))</f>
        <v>SW</v>
      </c>
      <c r="Q114" s="344"/>
    </row>
    <row r="115" spans="1:17" s="344" customFormat="1" ht="30" customHeight="1" x14ac:dyDescent="0.25">
      <c r="A115" s="360" t="s">
        <v>149</v>
      </c>
      <c r="B115" s="360" t="s">
        <v>150</v>
      </c>
      <c r="C115" s="387" t="s">
        <v>150</v>
      </c>
      <c r="D115" s="637">
        <v>0</v>
      </c>
      <c r="E115" s="638">
        <v>868.08199999999999</v>
      </c>
      <c r="F115" s="638">
        <v>0</v>
      </c>
      <c r="G115" s="638">
        <v>0</v>
      </c>
      <c r="H115" s="639">
        <f t="shared" si="2"/>
        <v>868.08199999999999</v>
      </c>
      <c r="I115" s="638">
        <v>33.249000000000002</v>
      </c>
      <c r="J115" s="638">
        <f t="shared" si="3"/>
        <v>901.33100000000002</v>
      </c>
      <c r="K115" s="640" t="s">
        <v>356</v>
      </c>
      <c r="L115" s="627">
        <f t="array" ref="L115">IFERROR(INDEX(UtilityList!Q$4:Q$251,MATCH('Table 2.3a'!$A115&amp;'Table 2.3a'!$B115&amp;'Table 2.3a'!$C115,UtilityList!$A$4:$A$251&amp;UtilityList!$B$4:$B$251&amp;UtilityList!$C$4:$C$251,0)),INDEX(UtilityList!Q$4:Q$251,MATCH('Table 2.3a'!$A115&amp;'Table 2.3a'!$C115,UtilityList!$A$4:$A$251&amp;UtilityList!$C$4:$C$251,0)))</f>
        <v>0</v>
      </c>
      <c r="M115" s="452" t="str">
        <f t="array" ref="M115">IFERROR(INDEX(UtilityList!J$4:J$251,MATCH('Table 2.3a'!$A115&amp;'Table 2.3a'!$B115&amp;'Table 2.3a'!$C115,UtilityList!$A$4:$A$251&amp;UtilityList!$B$4:$B$251&amp;UtilityList!$C$4:$C$251,0)),INDEX(UtilityList!J$4:J$251,MATCH('Table 2.3a'!$A115&amp;'Table 2.3a'!$C115,UtilityList!$A$4:$A$251&amp;UtilityList!$C$4:$C$251,0)))</f>
        <v>Bristol Bay</v>
      </c>
      <c r="N115" s="452" t="str">
        <f t="array" ref="N115">IFERROR(INDEX(UtilityList!K$4:K$251,MATCH('Table 2.3a'!$A115&amp;'Table 2.3a'!$B115&amp;'Table 2.3a'!$C115,UtilityList!$A$4:$A$251&amp;UtilityList!$B$4:$B$251&amp;UtilityList!$C$4:$C$251,0)),INDEX(UtilityList!K$4:K$251,MATCH('Table 2.3a'!$A115&amp;'Table 2.3a'!$C115,UtilityList!$A$4:$A$251&amp;UtilityList!$C$4:$C$251,0)))</f>
        <v>Lake and Peninsula</v>
      </c>
      <c r="O115" s="452" t="str">
        <f t="array" ref="O115">IFERROR(INDEX(UtilityList!L$4:L$251,MATCH('Table 2.3a'!$A115&amp;'Table 2.3a'!$B115&amp;'Table 2.3a'!$C115,UtilityList!$A$4:$A$251&amp;UtilityList!$B$4:$B$251&amp;UtilityList!$C$4:$C$251,0)),INDEX(UtilityList!L$4:L$251,MATCH('Table 2.3a'!$A115&amp;'Table 2.3a'!$C115,UtilityList!$A$4:$A$251&amp;UtilityList!$C$4:$C$251,0)))</f>
        <v>Bristol Bay</v>
      </c>
      <c r="P115" s="452" t="str">
        <f t="array" ref="P115">IFERROR(INDEX(UtilityList!M$4:M$251,MATCH('Table 2.3a'!$A115&amp;'Table 2.3a'!$B115&amp;'Table 2.3a'!$C115,UtilityList!$A$4:$A$251&amp;UtilityList!$B$4:$B$251&amp;UtilityList!$C$4:$C$251,0)),INDEX(UtilityList!M$4:M$251,MATCH('Table 2.3a'!$A115&amp;'Table 2.3a'!$C115,UtilityList!$A$4:$A$251&amp;UtilityList!$C$4:$C$251,0)))</f>
        <v>SW</v>
      </c>
    </row>
    <row r="116" spans="1:17" s="344" customFormat="1" ht="30" customHeight="1" x14ac:dyDescent="0.25">
      <c r="A116" s="360" t="s">
        <v>151</v>
      </c>
      <c r="B116" s="360" t="s">
        <v>152</v>
      </c>
      <c r="C116" s="387" t="s">
        <v>152</v>
      </c>
      <c r="D116" s="637">
        <v>0</v>
      </c>
      <c r="E116" s="638">
        <v>519.23599999999999</v>
      </c>
      <c r="F116" s="638">
        <v>0</v>
      </c>
      <c r="G116" s="638">
        <v>0</v>
      </c>
      <c r="H116" s="639">
        <f t="shared" si="2"/>
        <v>519.23599999999999</v>
      </c>
      <c r="I116" s="638">
        <v>40.692</v>
      </c>
      <c r="J116" s="638">
        <f t="shared" si="3"/>
        <v>559.928</v>
      </c>
      <c r="K116" s="640" t="s">
        <v>356</v>
      </c>
      <c r="L116" s="627">
        <f t="array" ref="L116">IFERROR(INDEX(UtilityList!Q$4:Q$251,MATCH('Table 2.3a'!$A116&amp;'Table 2.3a'!$B116&amp;'Table 2.3a'!$C116,UtilityList!$A$4:$A$251&amp;UtilityList!$B$4:$B$251&amp;UtilityList!$C$4:$C$251,0)),INDEX(UtilityList!Q$4:Q$251,MATCH('Table 2.3a'!$A116&amp;'Table 2.3a'!$C116,UtilityList!$A$4:$A$251&amp;UtilityList!$C$4:$C$251,0)))</f>
        <v>0</v>
      </c>
      <c r="M116" s="452" t="str">
        <f t="array" ref="M116">IFERROR(INDEX(UtilityList!J$4:J$251,MATCH('Table 2.3a'!$A116&amp;'Table 2.3a'!$B116&amp;'Table 2.3a'!$C116,UtilityList!$A$4:$A$251&amp;UtilityList!$B$4:$B$251&amp;UtilityList!$C$4:$C$251,0)),INDEX(UtilityList!J$4:J$251,MATCH('Table 2.3a'!$A116&amp;'Table 2.3a'!$C116,UtilityList!$A$4:$A$251&amp;UtilityList!$C$4:$C$251,0)))</f>
        <v>Copper River/Chugach</v>
      </c>
      <c r="N116" s="452" t="str">
        <f t="array" ref="N116">IFERROR(INDEX(UtilityList!K$4:K$251,MATCH('Table 2.3a'!$A116&amp;'Table 2.3a'!$B116&amp;'Table 2.3a'!$C116,UtilityList!$A$4:$A$251&amp;UtilityList!$B$4:$B$251&amp;UtilityList!$C$4:$C$251,0)),INDEX(UtilityList!K$4:K$251,MATCH('Table 2.3a'!$A116&amp;'Table 2.3a'!$C116,UtilityList!$A$4:$A$251&amp;UtilityList!$C$4:$C$251,0)))</f>
        <v>Valdez-Cordova (CA)</v>
      </c>
      <c r="O116" s="452" t="str">
        <f t="array" ref="O116">IFERROR(INDEX(UtilityList!L$4:L$251,MATCH('Table 2.3a'!$A116&amp;'Table 2.3a'!$B116&amp;'Table 2.3a'!$C116,UtilityList!$A$4:$A$251&amp;UtilityList!$B$4:$B$251&amp;UtilityList!$C$4:$C$251,0)),INDEX(UtilityList!L$4:L$251,MATCH('Table 2.3a'!$A116&amp;'Table 2.3a'!$C116,UtilityList!$A$4:$A$251&amp;UtilityList!$C$4:$C$251,0)))</f>
        <v>Ahtna</v>
      </c>
      <c r="P116" s="452" t="str">
        <f t="array" ref="P116">IFERROR(INDEX(UtilityList!M$4:M$251,MATCH('Table 2.3a'!$A116&amp;'Table 2.3a'!$B116&amp;'Table 2.3a'!$C116,UtilityList!$A$4:$A$251&amp;UtilityList!$B$4:$B$251&amp;UtilityList!$C$4:$C$251,0)),INDEX(UtilityList!M$4:M$251,MATCH('Table 2.3a'!$A116&amp;'Table 2.3a'!$C116,UtilityList!$A$4:$A$251&amp;UtilityList!$C$4:$C$251,0)))</f>
        <v>SC</v>
      </c>
    </row>
    <row r="117" spans="1:17" s="344" customFormat="1" ht="30" customHeight="1" x14ac:dyDescent="0.25">
      <c r="A117" s="360" t="s">
        <v>153</v>
      </c>
      <c r="B117" s="452" t="s">
        <v>157</v>
      </c>
      <c r="C117" s="388"/>
      <c r="D117" s="637">
        <v>2281306</v>
      </c>
      <c r="E117" s="641">
        <v>0</v>
      </c>
      <c r="F117" s="642">
        <v>0</v>
      </c>
      <c r="G117" s="642">
        <v>0</v>
      </c>
      <c r="H117" s="639">
        <f t="shared" si="2"/>
        <v>2281306</v>
      </c>
      <c r="I117" s="641">
        <v>18554</v>
      </c>
      <c r="J117" s="638">
        <f t="shared" si="3"/>
        <v>2299860</v>
      </c>
      <c r="K117" s="636" t="s">
        <v>558</v>
      </c>
      <c r="L117" s="627">
        <f t="array" ref="L117">IFERROR(INDEX(UtilityList!Q$4:Q$251,MATCH('Table 2.3a'!$A117&amp;'Table 2.3a'!$B117&amp;'Table 2.3a'!$C117,UtilityList!$A$4:$A$251&amp;UtilityList!$B$4:$B$251&amp;UtilityList!$C$4:$C$251,0)),INDEX(UtilityList!Q$4:Q$251,MATCH('Table 2.3a'!$A117&amp;'Table 2.3a'!$C117,UtilityList!$A$4:$A$251&amp;UtilityList!$C$4:$C$251,0)))</f>
        <v>0</v>
      </c>
      <c r="M117" s="452" t="str">
        <f t="array" ref="M117">IFERROR(INDEX(UtilityList!J$4:J$251,MATCH('Table 2.3a'!$A117&amp;'Table 2.3a'!$B117&amp;'Table 2.3a'!$C117,UtilityList!$A$4:$A$251&amp;UtilityList!$B$4:$B$251&amp;UtilityList!$C$4:$C$251,0)),INDEX(UtilityList!J$4:J$251,MATCH('Table 2.3a'!$A117&amp;'Table 2.3a'!$C117,UtilityList!$A$4:$A$251&amp;UtilityList!$C$4:$C$251,0)))</f>
        <v>Railbelt</v>
      </c>
      <c r="N117" s="452" t="str">
        <f t="array" ref="N117">IFERROR(INDEX(UtilityList!K$4:K$251,MATCH('Table 2.3a'!$A117&amp;'Table 2.3a'!$B117&amp;'Table 2.3a'!$C117,UtilityList!$A$4:$A$251&amp;UtilityList!$B$4:$B$251&amp;UtilityList!$C$4:$C$251,0)),INDEX(UtilityList!K$4:K$251,MATCH('Table 2.3a'!$A117&amp;'Table 2.3a'!$C117,UtilityList!$A$4:$A$251&amp;UtilityList!$C$4:$C$251,0)))</f>
        <v>Anchorage</v>
      </c>
      <c r="O117" s="452" t="str">
        <f t="array" ref="O117">IFERROR(INDEX(UtilityList!L$4:L$251,MATCH('Table 2.3a'!$A117&amp;'Table 2.3a'!$B117&amp;'Table 2.3a'!$C117,UtilityList!$A$4:$A$251&amp;UtilityList!$B$4:$B$251&amp;UtilityList!$C$4:$C$251,0)),INDEX(UtilityList!L$4:L$251,MATCH('Table 2.3a'!$A117&amp;'Table 2.3a'!$C117,UtilityList!$A$4:$A$251&amp;UtilityList!$C$4:$C$251,0)))</f>
        <v>Cook Inlet</v>
      </c>
      <c r="P117" s="452" t="str">
        <f t="array" ref="P117">IFERROR(INDEX(UtilityList!M$4:M$251,MATCH('Table 2.3a'!$A117&amp;'Table 2.3a'!$B117&amp;'Table 2.3a'!$C117,UtilityList!$A$4:$A$251&amp;UtilityList!$B$4:$B$251&amp;UtilityList!$C$4:$C$251,0)),INDEX(UtilityList!M$4:M$251,MATCH('Table 2.3a'!$A117&amp;'Table 2.3a'!$C117,UtilityList!$A$4:$A$251&amp;UtilityList!$C$4:$C$251,0)))</f>
        <v>SC</v>
      </c>
      <c r="Q117" s="126"/>
    </row>
    <row r="118" spans="1:17" s="187" customFormat="1" ht="57.75" customHeight="1" x14ac:dyDescent="0.25">
      <c r="A118" s="360" t="s">
        <v>153</v>
      </c>
      <c r="B118" s="388" t="s">
        <v>155</v>
      </c>
      <c r="C118" s="388"/>
      <c r="D118" s="637">
        <v>41995</v>
      </c>
      <c r="E118" s="641">
        <v>0</v>
      </c>
      <c r="F118" s="642">
        <v>0</v>
      </c>
      <c r="G118" s="641">
        <v>0</v>
      </c>
      <c r="H118" s="639">
        <f t="shared" si="2"/>
        <v>41995</v>
      </c>
      <c r="I118" s="641">
        <v>950</v>
      </c>
      <c r="J118" s="638">
        <f t="shared" si="3"/>
        <v>42945</v>
      </c>
      <c r="K118" s="636" t="s">
        <v>558</v>
      </c>
      <c r="L118" s="627">
        <f t="array" ref="L118">IFERROR(INDEX(UtilityList!Q$4:Q$251,MATCH('Table 2.3a'!$A118&amp;'Table 2.3a'!$B118&amp;'Table 2.3a'!$C118,UtilityList!$A$4:$A$251&amp;UtilityList!$B$4:$B$251&amp;UtilityList!$C$4:$C$251,0)),INDEX(UtilityList!Q$4:Q$251,MATCH('Table 2.3a'!$A118&amp;'Table 2.3a'!$C118,UtilityList!$A$4:$A$251&amp;UtilityList!$C$4:$C$251,0)))</f>
        <v>0</v>
      </c>
      <c r="M118" s="452" t="str">
        <f t="array" ref="M118">IFERROR(INDEX(UtilityList!J$4:J$251,MATCH('Table 2.3a'!$A118&amp;'Table 2.3a'!$B118&amp;'Table 2.3a'!$C118,UtilityList!$A$4:$A$251&amp;UtilityList!$B$4:$B$251&amp;UtilityList!$C$4:$C$251,0)),INDEX(UtilityList!J$4:J$251,MATCH('Table 2.3a'!$A118&amp;'Table 2.3a'!$C118,UtilityList!$A$4:$A$251&amp;UtilityList!$C$4:$C$251,0)))</f>
        <v>Railbelt</v>
      </c>
      <c r="N118" s="452" t="str">
        <f t="array" ref="N118">IFERROR(INDEX(UtilityList!K$4:K$251,MATCH('Table 2.3a'!$A118&amp;'Table 2.3a'!$B118&amp;'Table 2.3a'!$C118,UtilityList!$A$4:$A$251&amp;UtilityList!$B$4:$B$251&amp;UtilityList!$C$4:$C$251,0)),INDEX(UtilityList!K$4:K$251,MATCH('Table 2.3a'!$A118&amp;'Table 2.3a'!$C118,UtilityList!$A$4:$A$251&amp;UtilityList!$C$4:$C$251,0)))</f>
        <v>Kenai Peninsula</v>
      </c>
      <c r="O118" s="452" t="str">
        <f t="array" ref="O118">IFERROR(INDEX(UtilityList!L$4:L$251,MATCH('Table 2.3a'!$A118&amp;'Table 2.3a'!$B118&amp;'Table 2.3a'!$C118,UtilityList!$A$4:$A$251&amp;UtilityList!$B$4:$B$251&amp;UtilityList!$C$4:$C$251,0)),INDEX(UtilityList!L$4:L$251,MATCH('Table 2.3a'!$A118&amp;'Table 2.3a'!$C118,UtilityList!$A$4:$A$251&amp;UtilityList!$C$4:$C$251,0)))</f>
        <v>Cook Inlet</v>
      </c>
      <c r="P118" s="452" t="str">
        <f t="array" ref="P118">IFERROR(INDEX(UtilityList!M$4:M$251,MATCH('Table 2.3a'!$A118&amp;'Table 2.3a'!$B118&amp;'Table 2.3a'!$C118,UtilityList!$A$4:$A$251&amp;UtilityList!$B$4:$B$251&amp;UtilityList!$C$4:$C$251,0)),INDEX(UtilityList!M$4:M$251,MATCH('Table 2.3a'!$A118&amp;'Table 2.3a'!$C118,UtilityList!$A$4:$A$251&amp;UtilityList!$C$4:$C$251,0)))</f>
        <v>SC</v>
      </c>
      <c r="Q118" s="126"/>
    </row>
    <row r="119" spans="1:17" s="344" customFormat="1" ht="30" customHeight="1" x14ac:dyDescent="0.25">
      <c r="A119" s="360" t="s">
        <v>153</v>
      </c>
      <c r="B119" s="388" t="s">
        <v>159</v>
      </c>
      <c r="C119" s="388"/>
      <c r="D119" s="637">
        <v>0</v>
      </c>
      <c r="E119" s="641">
        <v>0</v>
      </c>
      <c r="F119" s="642">
        <v>28759</v>
      </c>
      <c r="G119" s="641">
        <v>0</v>
      </c>
      <c r="H119" s="639">
        <f t="shared" si="2"/>
        <v>28759</v>
      </c>
      <c r="I119" s="641">
        <v>1044</v>
      </c>
      <c r="J119" s="638">
        <f t="shared" si="3"/>
        <v>29803</v>
      </c>
      <c r="K119" s="636" t="s">
        <v>558</v>
      </c>
      <c r="L119" s="627">
        <f t="array" ref="L119">IFERROR(INDEX(UtilityList!Q$4:Q$251,MATCH('Table 2.3a'!$A119&amp;'Table 2.3a'!$B119&amp;'Table 2.3a'!$C119,UtilityList!$A$4:$A$251&amp;UtilityList!$B$4:$B$251&amp;UtilityList!$C$4:$C$251,0)),INDEX(UtilityList!Q$4:Q$251,MATCH('Table 2.3a'!$A119&amp;'Table 2.3a'!$C119,UtilityList!$A$4:$A$251&amp;UtilityList!$C$4:$C$251,0)))</f>
        <v>0</v>
      </c>
      <c r="M119" s="452" t="str">
        <f t="array" ref="M119">IFERROR(INDEX(UtilityList!J$4:J$251,MATCH('Table 2.3a'!$A119&amp;'Table 2.3a'!$B119&amp;'Table 2.3a'!$C119,UtilityList!$A$4:$A$251&amp;UtilityList!$B$4:$B$251&amp;UtilityList!$C$4:$C$251,0)),INDEX(UtilityList!J$4:J$251,MATCH('Table 2.3a'!$A119&amp;'Table 2.3a'!$C119,UtilityList!$A$4:$A$251&amp;UtilityList!$C$4:$C$251,0)))</f>
        <v>Railbelt</v>
      </c>
      <c r="N119" s="452" t="str">
        <f t="array" ref="N119">IFERROR(INDEX(UtilityList!K$4:K$251,MATCH('Table 2.3a'!$A119&amp;'Table 2.3a'!$B119&amp;'Table 2.3a'!$C119,UtilityList!$A$4:$A$251&amp;UtilityList!$B$4:$B$251&amp;UtilityList!$C$4:$C$251,0)),INDEX(UtilityList!K$4:K$251,MATCH('Table 2.3a'!$A119&amp;'Table 2.3a'!$C119,UtilityList!$A$4:$A$251&amp;UtilityList!$C$4:$C$251,0)))</f>
        <v>Anchorage</v>
      </c>
      <c r="O119" s="452" t="str">
        <f t="array" ref="O119">IFERROR(INDEX(UtilityList!L$4:L$251,MATCH('Table 2.3a'!$A119&amp;'Table 2.3a'!$B119&amp;'Table 2.3a'!$C119,UtilityList!$A$4:$A$251&amp;UtilityList!$B$4:$B$251&amp;UtilityList!$C$4:$C$251,0)),INDEX(UtilityList!L$4:L$251,MATCH('Table 2.3a'!$A119&amp;'Table 2.3a'!$C119,UtilityList!$A$4:$A$251&amp;UtilityList!$C$4:$C$251,0)))</f>
        <v>Cook Inlet</v>
      </c>
      <c r="P119" s="452" t="str">
        <f t="array" ref="P119">IFERROR(INDEX(UtilityList!M$4:M$251,MATCH('Table 2.3a'!$A119&amp;'Table 2.3a'!$B119&amp;'Table 2.3a'!$C119,UtilityList!$A$4:$A$251&amp;UtilityList!$B$4:$B$251&amp;UtilityList!$C$4:$C$251,0)),INDEX(UtilityList!M$4:M$251,MATCH('Table 2.3a'!$A119&amp;'Table 2.3a'!$C119,UtilityList!$A$4:$A$251&amp;UtilityList!$C$4:$C$251,0)))</f>
        <v>SC</v>
      </c>
      <c r="Q119" s="126"/>
    </row>
    <row r="120" spans="1:17" s="344" customFormat="1" ht="30" customHeight="1" x14ac:dyDescent="0.25">
      <c r="A120" s="360" t="s">
        <v>153</v>
      </c>
      <c r="B120" s="388" t="s">
        <v>154</v>
      </c>
      <c r="C120" s="388"/>
      <c r="D120" s="637">
        <v>21789</v>
      </c>
      <c r="E120" s="641">
        <v>0</v>
      </c>
      <c r="F120" s="642">
        <v>0</v>
      </c>
      <c r="G120" s="641">
        <v>0</v>
      </c>
      <c r="H120" s="639">
        <f t="shared" si="2"/>
        <v>21789</v>
      </c>
      <c r="I120" s="641">
        <v>980</v>
      </c>
      <c r="J120" s="638">
        <f t="shared" si="3"/>
        <v>22769</v>
      </c>
      <c r="K120" s="636" t="s">
        <v>558</v>
      </c>
      <c r="L120" s="627">
        <f t="array" ref="L120">IFERROR(INDEX(UtilityList!Q$4:Q$251,MATCH('Table 2.3a'!$A120&amp;'Table 2.3a'!$B120&amp;'Table 2.3a'!$C120,UtilityList!$A$4:$A$251&amp;UtilityList!$B$4:$B$251&amp;UtilityList!$C$4:$C$251,0)),INDEX(UtilityList!Q$4:Q$251,MATCH('Table 2.3a'!$A120&amp;'Table 2.3a'!$C120,UtilityList!$A$4:$A$251&amp;UtilityList!$C$4:$C$251,0)))</f>
        <v>0</v>
      </c>
      <c r="M120" s="452" t="str">
        <f t="array" ref="M120">IFERROR(INDEX(UtilityList!J$4:J$251,MATCH('Table 2.3a'!$A120&amp;'Table 2.3a'!$B120&amp;'Table 2.3a'!$C120,UtilityList!$A$4:$A$251&amp;UtilityList!$B$4:$B$251&amp;UtilityList!$C$4:$C$251,0)),INDEX(UtilityList!J$4:J$251,MATCH('Table 2.3a'!$A120&amp;'Table 2.3a'!$C120,UtilityList!$A$4:$A$251&amp;UtilityList!$C$4:$C$251,0)))</f>
        <v>Railbelt</v>
      </c>
      <c r="N120" s="452" t="str">
        <f t="array" ref="N120">IFERROR(INDEX(UtilityList!K$4:K$251,MATCH('Table 2.3a'!$A120&amp;'Table 2.3a'!$B120&amp;'Table 2.3a'!$C120,UtilityList!$A$4:$A$251&amp;UtilityList!$B$4:$B$251&amp;UtilityList!$C$4:$C$251,0)),INDEX(UtilityList!K$4:K$251,MATCH('Table 2.3a'!$A120&amp;'Table 2.3a'!$C120,UtilityList!$A$4:$A$251&amp;UtilityList!$C$4:$C$251,0)))</f>
        <v>Anchorage</v>
      </c>
      <c r="O120" s="452" t="str">
        <f t="array" ref="O120">IFERROR(INDEX(UtilityList!L$4:L$251,MATCH('Table 2.3a'!$A120&amp;'Table 2.3a'!$B120&amp;'Table 2.3a'!$C120,UtilityList!$A$4:$A$251&amp;UtilityList!$B$4:$B$251&amp;UtilityList!$C$4:$C$251,0)),INDEX(UtilityList!L$4:L$251,MATCH('Table 2.3a'!$A120&amp;'Table 2.3a'!$C120,UtilityList!$A$4:$A$251&amp;UtilityList!$C$4:$C$251,0)))</f>
        <v>Cook Inlet</v>
      </c>
      <c r="P120" s="452" t="str">
        <f t="array" ref="P120">IFERROR(INDEX(UtilityList!M$4:M$251,MATCH('Table 2.3a'!$A120&amp;'Table 2.3a'!$B120&amp;'Table 2.3a'!$C120,UtilityList!$A$4:$A$251&amp;UtilityList!$B$4:$B$251&amp;UtilityList!$C$4:$C$251,0)),INDEX(UtilityList!M$4:M$251,MATCH('Table 2.3a'!$A120&amp;'Table 2.3a'!$C120,UtilityList!$A$4:$A$251&amp;UtilityList!$C$4:$C$251,0)))</f>
        <v>SC</v>
      </c>
      <c r="Q120" s="126"/>
    </row>
    <row r="121" spans="1:17" s="187" customFormat="1" ht="30" customHeight="1" x14ac:dyDescent="0.25">
      <c r="A121" s="360" t="s">
        <v>160</v>
      </c>
      <c r="B121" s="360" t="s">
        <v>161</v>
      </c>
      <c r="C121" s="387" t="s">
        <v>161</v>
      </c>
      <c r="D121" s="637">
        <v>0</v>
      </c>
      <c r="E121" s="638">
        <v>389.51</v>
      </c>
      <c r="F121" s="638">
        <v>0</v>
      </c>
      <c r="G121" s="638">
        <v>0</v>
      </c>
      <c r="H121" s="639">
        <f t="shared" si="2"/>
        <v>389.51</v>
      </c>
      <c r="I121" s="638">
        <v>4.6100000000000003</v>
      </c>
      <c r="J121" s="638">
        <f t="shared" si="3"/>
        <v>394.12</v>
      </c>
      <c r="K121" s="640" t="s">
        <v>356</v>
      </c>
      <c r="L121" s="627">
        <f t="array" ref="L121">IFERROR(INDEX(UtilityList!Q$4:Q$251,MATCH('Table 2.3a'!$A121&amp;'Table 2.3a'!$B121&amp;'Table 2.3a'!$C121,UtilityList!$A$4:$A$251&amp;UtilityList!$B$4:$B$251&amp;UtilityList!$C$4:$C$251,0)),INDEX(UtilityList!Q$4:Q$251,MATCH('Table 2.3a'!$A121&amp;'Table 2.3a'!$C121,UtilityList!$A$4:$A$251&amp;UtilityList!$C$4:$C$251,0)))</f>
        <v>0</v>
      </c>
      <c r="M121" s="452" t="str">
        <f t="array" ref="M121">IFERROR(INDEX(UtilityList!J$4:J$251,MATCH('Table 2.3a'!$A121&amp;'Table 2.3a'!$B121&amp;'Table 2.3a'!$C121,UtilityList!$A$4:$A$251&amp;UtilityList!$B$4:$B$251&amp;UtilityList!$C$4:$C$251,0)),INDEX(UtilityList!J$4:J$251,MATCH('Table 2.3a'!$A121&amp;'Table 2.3a'!$C121,UtilityList!$A$4:$A$251&amp;UtilityList!$C$4:$C$251,0)))</f>
        <v>Yukon-Koyukuk/Upper Tanana</v>
      </c>
      <c r="N121" s="452" t="str">
        <f t="array" ref="N121">IFERROR(INDEX(UtilityList!K$4:K$251,MATCH('Table 2.3a'!$A121&amp;'Table 2.3a'!$B121&amp;'Table 2.3a'!$C121,UtilityList!$A$4:$A$251&amp;UtilityList!$B$4:$B$251&amp;UtilityList!$C$4:$C$251,0)),INDEX(UtilityList!K$4:K$251,MATCH('Table 2.3a'!$A121&amp;'Table 2.3a'!$C121,UtilityList!$A$4:$A$251&amp;UtilityList!$C$4:$C$251,0)))</f>
        <v>Yukon-Koyukuk (CA)</v>
      </c>
      <c r="O121" s="452" t="str">
        <f t="array" ref="O121">IFERROR(INDEX(UtilityList!L$4:L$251,MATCH('Table 2.3a'!$A121&amp;'Table 2.3a'!$B121&amp;'Table 2.3a'!$C121,UtilityList!$A$4:$A$251&amp;UtilityList!$B$4:$B$251&amp;UtilityList!$C$4:$C$251,0)),INDEX(UtilityList!L$4:L$251,MATCH('Table 2.3a'!$A121&amp;'Table 2.3a'!$C121,UtilityList!$A$4:$A$251&amp;UtilityList!$C$4:$C$251,0)))</f>
        <v>Doyon</v>
      </c>
      <c r="P121" s="452" t="str">
        <f t="array" ref="P121">IFERROR(INDEX(UtilityList!M$4:M$251,MATCH('Table 2.3a'!$A121&amp;'Table 2.3a'!$B121&amp;'Table 2.3a'!$C121,UtilityList!$A$4:$A$251&amp;UtilityList!$B$4:$B$251&amp;UtilityList!$C$4:$C$251,0)),INDEX(UtilityList!M$4:M$251,MATCH('Table 2.3a'!$A121&amp;'Table 2.3a'!$C121,UtilityList!$A$4:$A$251&amp;UtilityList!$C$4:$C$251,0)))</f>
        <v>YU</v>
      </c>
    </row>
    <row r="122" spans="1:17" s="344" customFormat="1" ht="47.25" customHeight="1" x14ac:dyDescent="0.25">
      <c r="A122" s="385" t="s">
        <v>164</v>
      </c>
      <c r="B122" s="455" t="s">
        <v>165</v>
      </c>
      <c r="C122" s="643" t="s">
        <v>165</v>
      </c>
      <c r="D122" s="637">
        <v>0</v>
      </c>
      <c r="E122" s="641">
        <v>15113</v>
      </c>
      <c r="F122" s="641">
        <v>0</v>
      </c>
      <c r="G122" s="641">
        <v>0</v>
      </c>
      <c r="H122" s="639">
        <f t="shared" si="2"/>
        <v>15113</v>
      </c>
      <c r="I122" s="641">
        <v>888</v>
      </c>
      <c r="J122" s="638">
        <f t="shared" si="3"/>
        <v>16001</v>
      </c>
      <c r="K122" s="645" t="s">
        <v>558</v>
      </c>
      <c r="L122" s="627">
        <f t="array" ref="L122">IFERROR(INDEX(UtilityList!Q$4:Q$251,MATCH('Table 2.3a'!$A122&amp;'Table 2.3a'!$B122&amp;'Table 2.3a'!$C122,UtilityList!$A$4:$A$251&amp;UtilityList!$B$4:$B$251&amp;UtilityList!$C$4:$C$251,0)),INDEX(UtilityList!Q$4:Q$251,MATCH('Table 2.3a'!$A122&amp;'Table 2.3a'!$C122,UtilityList!$A$4:$A$251&amp;UtilityList!$C$4:$C$251,0)))</f>
        <v>0</v>
      </c>
      <c r="M122" s="452" t="str">
        <f t="array" ref="M122">IFERROR(INDEX(UtilityList!J$4:J$251,MATCH('Table 2.3a'!$A122&amp;'Table 2.3a'!$B122&amp;'Table 2.3a'!$C122,UtilityList!$A$4:$A$251&amp;UtilityList!$B$4:$B$251&amp;UtilityList!$C$4:$C$251,0)),INDEX(UtilityList!J$4:J$251,MATCH('Table 2.3a'!$A122&amp;'Table 2.3a'!$C122,UtilityList!$A$4:$A$251&amp;UtilityList!$C$4:$C$251,0)))</f>
        <v>Copper River/Chugach</v>
      </c>
      <c r="N122" s="452" t="str">
        <f t="array" ref="N122">IFERROR(INDEX(UtilityList!K$4:K$251,MATCH('Table 2.3a'!$A122&amp;'Table 2.3a'!$B122&amp;'Table 2.3a'!$C122,UtilityList!$A$4:$A$251&amp;UtilityList!$B$4:$B$251&amp;UtilityList!$C$4:$C$251,0)),INDEX(UtilityList!K$4:K$251,MATCH('Table 2.3a'!$A122&amp;'Table 2.3a'!$C122,UtilityList!$A$4:$A$251&amp;UtilityList!$C$4:$C$251,0)))</f>
        <v>Valdez-Cordova (CA)</v>
      </c>
      <c r="O122" s="452" t="str">
        <f t="array" ref="O122">IFERROR(INDEX(UtilityList!L$4:L$251,MATCH('Table 2.3a'!$A122&amp;'Table 2.3a'!$B122&amp;'Table 2.3a'!$C122,UtilityList!$A$4:$A$251&amp;UtilityList!$B$4:$B$251&amp;UtilityList!$C$4:$C$251,0)),INDEX(UtilityList!L$4:L$251,MATCH('Table 2.3a'!$A122&amp;'Table 2.3a'!$C122,UtilityList!$A$4:$A$251&amp;UtilityList!$C$4:$C$251,0)))</f>
        <v>Ahtna</v>
      </c>
      <c r="P122" s="452" t="str">
        <f t="array" ref="P122">IFERROR(INDEX(UtilityList!M$4:M$251,MATCH('Table 2.3a'!$A122&amp;'Table 2.3a'!$B122&amp;'Table 2.3a'!$C122,UtilityList!$A$4:$A$251&amp;UtilityList!$B$4:$B$251&amp;UtilityList!$C$4:$C$251,0)),INDEX(UtilityList!M$4:M$251,MATCH('Table 2.3a'!$A122&amp;'Table 2.3a'!$C122,UtilityList!$A$4:$A$251&amp;UtilityList!$C$4:$C$251,0)))</f>
        <v>SC</v>
      </c>
      <c r="Q122" s="126"/>
    </row>
    <row r="123" spans="1:17" s="344" customFormat="1" ht="30" customHeight="1" x14ac:dyDescent="0.25">
      <c r="A123" s="385" t="s">
        <v>164</v>
      </c>
      <c r="B123" s="455" t="s">
        <v>166</v>
      </c>
      <c r="C123" s="643" t="s">
        <v>656</v>
      </c>
      <c r="D123" s="637">
        <v>0</v>
      </c>
      <c r="E123" s="641">
        <v>0</v>
      </c>
      <c r="F123" s="641">
        <v>46189</v>
      </c>
      <c r="G123" s="641">
        <v>0</v>
      </c>
      <c r="H123" s="639">
        <f t="shared" si="2"/>
        <v>46189</v>
      </c>
      <c r="I123" s="641">
        <v>449</v>
      </c>
      <c r="J123" s="638">
        <f t="shared" si="3"/>
        <v>46638</v>
      </c>
      <c r="K123" s="645" t="s">
        <v>558</v>
      </c>
      <c r="L123" s="627">
        <f t="array" ref="L123">IFERROR(INDEX(UtilityList!Q$4:Q$251,MATCH('Table 2.3a'!$A123&amp;'Table 2.3a'!$B123&amp;'Table 2.3a'!$C123,UtilityList!$A$4:$A$251&amp;UtilityList!$B$4:$B$251&amp;UtilityList!$C$4:$C$251,0)),INDEX(UtilityList!Q$4:Q$251,MATCH('Table 2.3a'!$A123&amp;'Table 2.3a'!$C123,UtilityList!$A$4:$A$251&amp;UtilityList!$C$4:$C$251,0)))</f>
        <v>0</v>
      </c>
      <c r="M123" s="452" t="str">
        <f t="array" ref="M123">IFERROR(INDEX(UtilityList!J$4:J$251,MATCH('Table 2.3a'!$A123&amp;'Table 2.3a'!$B123&amp;'Table 2.3a'!$C123,UtilityList!$A$4:$A$251&amp;UtilityList!$B$4:$B$251&amp;UtilityList!$C$4:$C$251,0)),INDEX(UtilityList!J$4:J$251,MATCH('Table 2.3a'!$A123&amp;'Table 2.3a'!$C123,UtilityList!$A$4:$A$251&amp;UtilityList!$C$4:$C$251,0)))</f>
        <v>Copper River/Chugach</v>
      </c>
      <c r="N123" s="452" t="str">
        <f t="array" ref="N123">IFERROR(INDEX(UtilityList!K$4:K$251,MATCH('Table 2.3a'!$A123&amp;'Table 2.3a'!$B123&amp;'Table 2.3a'!$C123,UtilityList!$A$4:$A$251&amp;UtilityList!$B$4:$B$251&amp;UtilityList!$C$4:$C$251,0)),INDEX(UtilityList!K$4:K$251,MATCH('Table 2.3a'!$A123&amp;'Table 2.3a'!$C123,UtilityList!$A$4:$A$251&amp;UtilityList!$C$4:$C$251,0)))</f>
        <v>Valdez-Cordova (CA)</v>
      </c>
      <c r="O123" s="452" t="str">
        <f t="array" ref="O123">IFERROR(INDEX(UtilityList!L$4:L$251,MATCH('Table 2.3a'!$A123&amp;'Table 2.3a'!$B123&amp;'Table 2.3a'!$C123,UtilityList!$A$4:$A$251&amp;UtilityList!$B$4:$B$251&amp;UtilityList!$C$4:$C$251,0)),INDEX(UtilityList!L$4:L$251,MATCH('Table 2.3a'!$A123&amp;'Table 2.3a'!$C123,UtilityList!$A$4:$A$251&amp;UtilityList!$C$4:$C$251,0)))</f>
        <v>Chugach</v>
      </c>
      <c r="P123" s="452" t="str">
        <f t="array" ref="P123">IFERROR(INDEX(UtilityList!M$4:M$251,MATCH('Table 2.3a'!$A123&amp;'Table 2.3a'!$B123&amp;'Table 2.3a'!$C123,UtilityList!$A$4:$A$251&amp;UtilityList!$B$4:$B$251&amp;UtilityList!$C$4:$C$251,0)),INDEX(UtilityList!M$4:M$251,MATCH('Table 2.3a'!$A123&amp;'Table 2.3a'!$C123,UtilityList!$A$4:$A$251&amp;UtilityList!$C$4:$C$251,0)))</f>
        <v>SC</v>
      </c>
      <c r="Q123" s="187"/>
    </row>
    <row r="124" spans="1:17" s="187" customFormat="1" ht="45.75" customHeight="1" x14ac:dyDescent="0.25">
      <c r="A124" s="385" t="s">
        <v>164</v>
      </c>
      <c r="B124" s="455" t="s">
        <v>167</v>
      </c>
      <c r="C124" s="643" t="s">
        <v>167</v>
      </c>
      <c r="D124" s="637">
        <v>47</v>
      </c>
      <c r="E124" s="641">
        <v>7291</v>
      </c>
      <c r="F124" s="641">
        <v>0</v>
      </c>
      <c r="G124" s="641">
        <v>0</v>
      </c>
      <c r="H124" s="639">
        <f t="shared" si="2"/>
        <v>7338</v>
      </c>
      <c r="I124" s="641">
        <v>835</v>
      </c>
      <c r="J124" s="638">
        <f t="shared" si="3"/>
        <v>8173</v>
      </c>
      <c r="K124" s="645" t="s">
        <v>558</v>
      </c>
      <c r="L124" s="627">
        <f t="array" ref="L124">IFERROR(INDEX(UtilityList!Q$4:Q$251,MATCH('Table 2.3a'!$A124&amp;'Table 2.3a'!$B124&amp;'Table 2.3a'!$C124,UtilityList!$A$4:$A$251&amp;UtilityList!$B$4:$B$251&amp;UtilityList!$C$4:$C$251,0)),INDEX(UtilityList!Q$4:Q$251,MATCH('Table 2.3a'!$A124&amp;'Table 2.3a'!$C124,UtilityList!$A$4:$A$251&amp;UtilityList!$C$4:$C$251,0)))</f>
        <v>0</v>
      </c>
      <c r="M124" s="452" t="str">
        <f t="array" ref="M124">IFERROR(INDEX(UtilityList!J$4:J$251,MATCH('Table 2.3a'!$A124&amp;'Table 2.3a'!$B124&amp;'Table 2.3a'!$C124,UtilityList!$A$4:$A$251&amp;UtilityList!$B$4:$B$251&amp;UtilityList!$C$4:$C$251,0)),INDEX(UtilityList!J$4:J$251,MATCH('Table 2.3a'!$A124&amp;'Table 2.3a'!$C124,UtilityList!$A$4:$A$251&amp;UtilityList!$C$4:$C$251,0)))</f>
        <v>Copper River/Chugach</v>
      </c>
      <c r="N124" s="452" t="str">
        <f t="array" ref="N124">IFERROR(INDEX(UtilityList!K$4:K$251,MATCH('Table 2.3a'!$A124&amp;'Table 2.3a'!$B124&amp;'Table 2.3a'!$C124,UtilityList!$A$4:$A$251&amp;UtilityList!$B$4:$B$251&amp;UtilityList!$C$4:$C$251,0)),INDEX(UtilityList!K$4:K$251,MATCH('Table 2.3a'!$A124&amp;'Table 2.3a'!$C124,UtilityList!$A$4:$A$251&amp;UtilityList!$C$4:$C$251,0)))</f>
        <v>Valdez-Cordova (CA)</v>
      </c>
      <c r="O124" s="452" t="str">
        <f t="array" ref="O124">IFERROR(INDEX(UtilityList!L$4:L$251,MATCH('Table 2.3a'!$A124&amp;'Table 2.3a'!$B124&amp;'Table 2.3a'!$C124,UtilityList!$A$4:$A$251&amp;UtilityList!$B$4:$B$251&amp;UtilityList!$C$4:$C$251,0)),INDEX(UtilityList!L$4:L$251,MATCH('Table 2.3a'!$A124&amp;'Table 2.3a'!$C124,UtilityList!$A$4:$A$251&amp;UtilityList!$C$4:$C$251,0)))</f>
        <v>Chugach</v>
      </c>
      <c r="P124" s="452" t="str">
        <f t="array" ref="P124">IFERROR(INDEX(UtilityList!M$4:M$251,MATCH('Table 2.3a'!$A124&amp;'Table 2.3a'!$B124&amp;'Table 2.3a'!$C124,UtilityList!$A$4:$A$251&amp;UtilityList!$B$4:$B$251&amp;UtilityList!$C$4:$C$251,0)),INDEX(UtilityList!M$4:M$251,MATCH('Table 2.3a'!$A124&amp;'Table 2.3a'!$C124,UtilityList!$A$4:$A$251&amp;UtilityList!$C$4:$C$251,0)))</f>
        <v>SC</v>
      </c>
    </row>
    <row r="125" spans="1:17" s="126" customFormat="1" ht="30" customHeight="1" x14ac:dyDescent="0.25">
      <c r="A125" s="385" t="s">
        <v>164</v>
      </c>
      <c r="B125" s="455" t="s">
        <v>168</v>
      </c>
      <c r="C125" s="643" t="s">
        <v>167</v>
      </c>
      <c r="D125" s="637">
        <v>17519</v>
      </c>
      <c r="E125" s="641">
        <v>0</v>
      </c>
      <c r="F125" s="641">
        <v>0</v>
      </c>
      <c r="G125" s="641">
        <v>0</v>
      </c>
      <c r="H125" s="639">
        <f t="shared" si="2"/>
        <v>17519</v>
      </c>
      <c r="I125" s="641">
        <v>304</v>
      </c>
      <c r="J125" s="638">
        <f t="shared" si="3"/>
        <v>17823</v>
      </c>
      <c r="K125" s="645" t="s">
        <v>558</v>
      </c>
      <c r="L125" s="627">
        <f t="array" ref="L125">IFERROR(INDEX(UtilityList!Q$4:Q$251,MATCH('Table 2.3a'!$A125&amp;'Table 2.3a'!$B125&amp;'Table 2.3a'!$C125,UtilityList!$A$4:$A$251&amp;UtilityList!$B$4:$B$251&amp;UtilityList!$C$4:$C$251,0)),INDEX(UtilityList!Q$4:Q$251,MATCH('Table 2.3a'!$A125&amp;'Table 2.3a'!$C125,UtilityList!$A$4:$A$251&amp;UtilityList!$C$4:$C$251,0)))</f>
        <v>0</v>
      </c>
      <c r="M125" s="452" t="str">
        <f t="array" ref="M125">IFERROR(INDEX(UtilityList!J$4:J$251,MATCH('Table 2.3a'!$A125&amp;'Table 2.3a'!$B125&amp;'Table 2.3a'!$C125,UtilityList!$A$4:$A$251&amp;UtilityList!$B$4:$B$251&amp;UtilityList!$C$4:$C$251,0)),INDEX(UtilityList!J$4:J$251,MATCH('Table 2.3a'!$A125&amp;'Table 2.3a'!$C125,UtilityList!$A$4:$A$251&amp;UtilityList!$C$4:$C$251,0)))</f>
        <v>Copper River/Chugach</v>
      </c>
      <c r="N125" s="452" t="str">
        <f t="array" ref="N125">IFERROR(INDEX(UtilityList!K$4:K$251,MATCH('Table 2.3a'!$A125&amp;'Table 2.3a'!$B125&amp;'Table 2.3a'!$C125,UtilityList!$A$4:$A$251&amp;UtilityList!$B$4:$B$251&amp;UtilityList!$C$4:$C$251,0)),INDEX(UtilityList!K$4:K$251,MATCH('Table 2.3a'!$A125&amp;'Table 2.3a'!$C125,UtilityList!$A$4:$A$251&amp;UtilityList!$C$4:$C$251,0)))</f>
        <v>Valdez-Cordova (CA)</v>
      </c>
      <c r="O125" s="452" t="str">
        <f t="array" ref="O125">IFERROR(INDEX(UtilityList!L$4:L$251,MATCH('Table 2.3a'!$A125&amp;'Table 2.3a'!$B125&amp;'Table 2.3a'!$C125,UtilityList!$A$4:$A$251&amp;UtilityList!$B$4:$B$251&amp;UtilityList!$C$4:$C$251,0)),INDEX(UtilityList!L$4:L$251,MATCH('Table 2.3a'!$A125&amp;'Table 2.3a'!$C125,UtilityList!$A$4:$A$251&amp;UtilityList!$C$4:$C$251,0)))</f>
        <v>Chugach</v>
      </c>
      <c r="P125" s="452" t="str">
        <f t="array" ref="P125">IFERROR(INDEX(UtilityList!M$4:M$251,MATCH('Table 2.3a'!$A125&amp;'Table 2.3a'!$B125&amp;'Table 2.3a'!$C125,UtilityList!$A$4:$A$251&amp;UtilityList!$B$4:$B$251&amp;UtilityList!$C$4:$C$251,0)),INDEX(UtilityList!M$4:M$251,MATCH('Table 2.3a'!$A125&amp;'Table 2.3a'!$C125,UtilityList!$A$4:$A$251&amp;UtilityList!$C$4:$C$251,0)))</f>
        <v>SC</v>
      </c>
      <c r="Q125" s="187"/>
    </row>
    <row r="126" spans="1:17" s="126" customFormat="1" ht="30" customHeight="1" x14ac:dyDescent="0.25">
      <c r="A126" s="385" t="s">
        <v>533</v>
      </c>
      <c r="B126" s="385" t="s">
        <v>505</v>
      </c>
      <c r="C126" s="635" t="s">
        <v>1092</v>
      </c>
      <c r="D126" s="637">
        <v>0</v>
      </c>
      <c r="E126" s="638">
        <v>9068</v>
      </c>
      <c r="F126" s="647">
        <v>0</v>
      </c>
      <c r="G126" s="638">
        <v>0</v>
      </c>
      <c r="H126" s="639">
        <f t="shared" si="2"/>
        <v>9068</v>
      </c>
      <c r="I126" s="638">
        <v>518.41800000000001</v>
      </c>
      <c r="J126" s="638">
        <f t="shared" si="3"/>
        <v>9586.4179999999997</v>
      </c>
      <c r="K126" s="646" t="s">
        <v>356</v>
      </c>
      <c r="L126" s="627">
        <f t="array" ref="L126">IFERROR(INDEX(UtilityList!Q$4:Q$251,MATCH('Table 2.3a'!$A126&amp;'Table 2.3a'!$B126&amp;'Table 2.3a'!$C126,UtilityList!$A$4:$A$251&amp;UtilityList!$B$4:$B$251&amp;UtilityList!$C$4:$C$251,0)),INDEX(UtilityList!Q$4:Q$251,MATCH('Table 2.3a'!$A126&amp;'Table 2.3a'!$C126,UtilityList!$A$4:$A$251&amp;UtilityList!$C$4:$C$251,0)))</f>
        <v>0</v>
      </c>
      <c r="M126" s="452" t="str">
        <f t="array" ref="M126">IFERROR(INDEX(UtilityList!J$4:J$251,MATCH('Table 2.3a'!$A126&amp;'Table 2.3a'!$B126&amp;'Table 2.3a'!$C126,UtilityList!$A$4:$A$251&amp;UtilityList!$B$4:$B$251&amp;UtilityList!$C$4:$C$251,0)),INDEX(UtilityList!J$4:J$251,MATCH('Table 2.3a'!$A126&amp;'Table 2.3a'!$C126,UtilityList!$A$4:$A$251&amp;UtilityList!$C$4:$C$251,0)))</f>
        <v>Copper River/Chugach</v>
      </c>
      <c r="N126" s="452" t="str">
        <f t="array" ref="N126">IFERROR(INDEX(UtilityList!K$4:K$251,MATCH('Table 2.3a'!$A126&amp;'Table 2.3a'!$B126&amp;'Table 2.3a'!$C126,UtilityList!$A$4:$A$251&amp;UtilityList!$B$4:$B$251&amp;UtilityList!$C$4:$C$251,0)),INDEX(UtilityList!K$4:K$251,MATCH('Table 2.3a'!$A126&amp;'Table 2.3a'!$C126,UtilityList!$A$4:$A$251&amp;UtilityList!$C$4:$C$251,0)))</f>
        <v>Valdez-Cordova (CA)</v>
      </c>
      <c r="O126" s="452" t="str">
        <f t="array" ref="O126">IFERROR(INDEX(UtilityList!L$4:L$251,MATCH('Table 2.3a'!$A126&amp;'Table 2.3a'!$B126&amp;'Table 2.3a'!$C126,UtilityList!$A$4:$A$251&amp;UtilityList!$B$4:$B$251&amp;UtilityList!$C$4:$C$251,0)),INDEX(UtilityList!L$4:L$251,MATCH('Table 2.3a'!$A126&amp;'Table 2.3a'!$C126,UtilityList!$A$4:$A$251&amp;UtilityList!$C$4:$C$251,0)))</f>
        <v>Chugach</v>
      </c>
      <c r="P126" s="452" t="str">
        <f t="array" ref="P126">IFERROR(INDEX(UtilityList!M$4:M$251,MATCH('Table 2.3a'!$A126&amp;'Table 2.3a'!$B126&amp;'Table 2.3a'!$C126,UtilityList!$A$4:$A$251&amp;UtilityList!$B$4:$B$251&amp;UtilityList!$C$4:$C$251,0)),INDEX(UtilityList!M$4:M$251,MATCH('Table 2.3a'!$A126&amp;'Table 2.3a'!$C126,UtilityList!$A$4:$A$251&amp;UtilityList!$C$4:$C$251,0)))</f>
        <v>SC</v>
      </c>
      <c r="Q126" s="344"/>
    </row>
    <row r="127" spans="1:17" s="126" customFormat="1" ht="30" customHeight="1" x14ac:dyDescent="0.25">
      <c r="A127" s="385" t="s">
        <v>533</v>
      </c>
      <c r="B127" s="385" t="s">
        <v>506</v>
      </c>
      <c r="C127" s="635" t="s">
        <v>1092</v>
      </c>
      <c r="D127" s="637">
        <v>0</v>
      </c>
      <c r="E127" s="631">
        <v>0</v>
      </c>
      <c r="F127" s="638">
        <v>16759.928</v>
      </c>
      <c r="G127" s="631">
        <v>0</v>
      </c>
      <c r="H127" s="639">
        <f t="shared" si="2"/>
        <v>16759.928</v>
      </c>
      <c r="I127" s="452"/>
      <c r="J127" s="638" t="str">
        <f t="shared" si="3"/>
        <v/>
      </c>
      <c r="K127" s="640" t="s">
        <v>356</v>
      </c>
      <c r="L127" s="627">
        <f t="array" ref="L127">IFERROR(INDEX(UtilityList!Q$4:Q$251,MATCH('Table 2.3a'!$A127&amp;'Table 2.3a'!$B127&amp;'Table 2.3a'!$C127,UtilityList!$A$4:$A$251&amp;UtilityList!$B$4:$B$251&amp;UtilityList!$C$4:$C$251,0)),INDEX(UtilityList!Q$4:Q$251,MATCH('Table 2.3a'!$A127&amp;'Table 2.3a'!$C127,UtilityList!$A$4:$A$251&amp;UtilityList!$C$4:$C$251,0)))</f>
        <v>0</v>
      </c>
      <c r="M127" s="452" t="str">
        <f t="array" ref="M127">IFERROR(INDEX(UtilityList!J$4:J$251,MATCH('Table 2.3a'!$A127&amp;'Table 2.3a'!$B127&amp;'Table 2.3a'!$C127,UtilityList!$A$4:$A$251&amp;UtilityList!$B$4:$B$251&amp;UtilityList!$C$4:$C$251,0)),INDEX(UtilityList!J$4:J$251,MATCH('Table 2.3a'!$A127&amp;'Table 2.3a'!$C127,UtilityList!$A$4:$A$251&amp;UtilityList!$C$4:$C$251,0)))</f>
        <v>Copper River/Chugach</v>
      </c>
      <c r="N127" s="452" t="str">
        <f t="array" ref="N127">IFERROR(INDEX(UtilityList!K$4:K$251,MATCH('Table 2.3a'!$A127&amp;'Table 2.3a'!$B127&amp;'Table 2.3a'!$C127,UtilityList!$A$4:$A$251&amp;UtilityList!$B$4:$B$251&amp;UtilityList!$C$4:$C$251,0)),INDEX(UtilityList!K$4:K$251,MATCH('Table 2.3a'!$A127&amp;'Table 2.3a'!$C127,UtilityList!$A$4:$A$251&amp;UtilityList!$C$4:$C$251,0)))</f>
        <v>Valdez-Cordova (CA)</v>
      </c>
      <c r="O127" s="452" t="str">
        <f t="array" ref="O127">IFERROR(INDEX(UtilityList!L$4:L$251,MATCH('Table 2.3a'!$A127&amp;'Table 2.3a'!$B127&amp;'Table 2.3a'!$C127,UtilityList!$A$4:$A$251&amp;UtilityList!$B$4:$B$251&amp;UtilityList!$C$4:$C$251,0)),INDEX(UtilityList!L$4:L$251,MATCH('Table 2.3a'!$A127&amp;'Table 2.3a'!$C127,UtilityList!$A$4:$A$251&amp;UtilityList!$C$4:$C$251,0)))</f>
        <v>Chugach</v>
      </c>
      <c r="P127" s="452" t="str">
        <f t="array" ref="P127">IFERROR(INDEX(UtilityList!M$4:M$251,MATCH('Table 2.3a'!$A127&amp;'Table 2.3a'!$B127&amp;'Table 2.3a'!$C127,UtilityList!$A$4:$A$251&amp;UtilityList!$B$4:$B$251&amp;UtilityList!$C$4:$C$251,0)),INDEX(UtilityList!M$4:M$251,MATCH('Table 2.3a'!$A127&amp;'Table 2.3a'!$C127,UtilityList!$A$4:$A$251&amp;UtilityList!$C$4:$C$251,0)))</f>
        <v>SC</v>
      </c>
      <c r="Q127" s="344"/>
    </row>
    <row r="128" spans="1:17" s="126" customFormat="1" ht="87" customHeight="1" x14ac:dyDescent="0.25">
      <c r="A128" s="385" t="s">
        <v>640</v>
      </c>
      <c r="B128" s="385" t="s">
        <v>170</v>
      </c>
      <c r="C128" s="635" t="s">
        <v>170</v>
      </c>
      <c r="D128" s="637">
        <v>0</v>
      </c>
      <c r="E128" s="638">
        <v>438.73590000000002</v>
      </c>
      <c r="F128" s="638">
        <v>0</v>
      </c>
      <c r="G128" s="638">
        <v>0</v>
      </c>
      <c r="H128" s="639">
        <f t="shared" si="2"/>
        <v>438.73590000000002</v>
      </c>
      <c r="I128" s="638">
        <v>38.558110999999997</v>
      </c>
      <c r="J128" s="638">
        <f t="shared" si="3"/>
        <v>477.29401100000001</v>
      </c>
      <c r="K128" s="646" t="s">
        <v>356</v>
      </c>
      <c r="L128" s="627">
        <f t="array" ref="L128">IFERROR(INDEX(UtilityList!Q$4:Q$251,MATCH('Table 2.3a'!$A128&amp;'Table 2.3a'!$B128&amp;'Table 2.3a'!$C128,UtilityList!$A$4:$A$251&amp;UtilityList!$B$4:$B$251&amp;UtilityList!$C$4:$C$251,0)),INDEX(UtilityList!Q$4:Q$251,MATCH('Table 2.3a'!$A128&amp;'Table 2.3a'!$C128,UtilityList!$A$4:$A$251&amp;UtilityList!$C$4:$C$251,0)))</f>
        <v>0</v>
      </c>
      <c r="M128" s="452" t="str">
        <f t="array" ref="M128">IFERROR(INDEX(UtilityList!J$4:J$251,MATCH('Table 2.3a'!$A128&amp;'Table 2.3a'!$B128&amp;'Table 2.3a'!$C128,UtilityList!$A$4:$A$251&amp;UtilityList!$B$4:$B$251&amp;UtilityList!$C$4:$C$251,0)),INDEX(UtilityList!J$4:J$251,MATCH('Table 2.3a'!$A128&amp;'Table 2.3a'!$C128,UtilityList!$A$4:$A$251&amp;UtilityList!$C$4:$C$251,0)))</f>
        <v>Bering Straits</v>
      </c>
      <c r="N128" s="452" t="str">
        <f t="array" ref="N128">IFERROR(INDEX(UtilityList!K$4:K$251,MATCH('Table 2.3a'!$A128&amp;'Table 2.3a'!$B128&amp;'Table 2.3a'!$C128,UtilityList!$A$4:$A$251&amp;UtilityList!$B$4:$B$251&amp;UtilityList!$C$4:$C$251,0)),INDEX(UtilityList!K$4:K$251,MATCH('Table 2.3a'!$A128&amp;'Table 2.3a'!$C128,UtilityList!$A$4:$A$251&amp;UtilityList!$C$4:$C$251,0)))</f>
        <v>Nome (CA)</v>
      </c>
      <c r="O128" s="452" t="str">
        <f t="array" ref="O128">IFERROR(INDEX(UtilityList!L$4:L$251,MATCH('Table 2.3a'!$A128&amp;'Table 2.3a'!$B128&amp;'Table 2.3a'!$C128,UtilityList!$A$4:$A$251&amp;UtilityList!$B$4:$B$251&amp;UtilityList!$C$4:$C$251,0)),INDEX(UtilityList!L$4:L$251,MATCH('Table 2.3a'!$A128&amp;'Table 2.3a'!$C128,UtilityList!$A$4:$A$251&amp;UtilityList!$C$4:$C$251,0)))</f>
        <v>Bering Straits</v>
      </c>
      <c r="P128" s="452" t="str">
        <f t="array" ref="P128">IFERROR(INDEX(UtilityList!M$4:M$251,MATCH('Table 2.3a'!$A128&amp;'Table 2.3a'!$B128&amp;'Table 2.3a'!$C128,UtilityList!$A$4:$A$251&amp;UtilityList!$B$4:$B$251&amp;UtilityList!$C$4:$C$251,0)),INDEX(UtilityList!M$4:M$251,MATCH('Table 2.3a'!$A128&amp;'Table 2.3a'!$C128,UtilityList!$A$4:$A$251&amp;UtilityList!$C$4:$C$251,0)))</f>
        <v>AN</v>
      </c>
      <c r="Q128" s="344"/>
    </row>
    <row r="129" spans="1:17" s="187" customFormat="1" x14ac:dyDescent="0.25">
      <c r="A129" s="360" t="s">
        <v>171</v>
      </c>
      <c r="B129" s="360" t="s">
        <v>172</v>
      </c>
      <c r="C129" s="387" t="s">
        <v>172</v>
      </c>
      <c r="D129" s="637">
        <v>0</v>
      </c>
      <c r="E129" s="638">
        <v>281.745</v>
      </c>
      <c r="F129" s="638">
        <v>0</v>
      </c>
      <c r="G129" s="638">
        <v>0</v>
      </c>
      <c r="H129" s="639">
        <f t="shared" si="2"/>
        <v>281.745</v>
      </c>
      <c r="I129" s="638">
        <v>0.505</v>
      </c>
      <c r="J129" s="638">
        <f t="shared" si="3"/>
        <v>282.25</v>
      </c>
      <c r="K129" s="640" t="s">
        <v>356</v>
      </c>
      <c r="L129" s="627">
        <f t="array" ref="L129">IFERROR(INDEX(UtilityList!Q$4:Q$251,MATCH('Table 2.3a'!$A129&amp;'Table 2.3a'!$B129&amp;'Table 2.3a'!$C129,UtilityList!$A$4:$A$251&amp;UtilityList!$B$4:$B$251&amp;UtilityList!$C$4:$C$251,0)),INDEX(UtilityList!Q$4:Q$251,MATCH('Table 2.3a'!$A129&amp;'Table 2.3a'!$C129,UtilityList!$A$4:$A$251&amp;UtilityList!$C$4:$C$251,0)))</f>
        <v>0</v>
      </c>
      <c r="M129" s="452" t="str">
        <f t="array" ref="M129">IFERROR(INDEX(UtilityList!J$4:J$251,MATCH('Table 2.3a'!$A129&amp;'Table 2.3a'!$B129&amp;'Table 2.3a'!$C129,UtilityList!$A$4:$A$251&amp;UtilityList!$B$4:$B$251&amp;UtilityList!$C$4:$C$251,0)),INDEX(UtilityList!J$4:J$251,MATCH('Table 2.3a'!$A129&amp;'Table 2.3a'!$C129,UtilityList!$A$4:$A$251&amp;UtilityList!$C$4:$C$251,0)))</f>
        <v>Bristol Bay</v>
      </c>
      <c r="N129" s="452" t="str">
        <f t="array" ref="N129">IFERROR(INDEX(UtilityList!K$4:K$251,MATCH('Table 2.3a'!$A129&amp;'Table 2.3a'!$B129&amp;'Table 2.3a'!$C129,UtilityList!$A$4:$A$251&amp;UtilityList!$B$4:$B$251&amp;UtilityList!$C$4:$C$251,0)),INDEX(UtilityList!K$4:K$251,MATCH('Table 2.3a'!$A129&amp;'Table 2.3a'!$C129,UtilityList!$A$4:$A$251&amp;UtilityList!$C$4:$C$251,0)))</f>
        <v>Lake and Peninsula</v>
      </c>
      <c r="O129" s="452" t="str">
        <f t="array" ref="O129">IFERROR(INDEX(UtilityList!L$4:L$251,MATCH('Table 2.3a'!$A129&amp;'Table 2.3a'!$B129&amp;'Table 2.3a'!$C129,UtilityList!$A$4:$A$251&amp;UtilityList!$B$4:$B$251&amp;UtilityList!$C$4:$C$251,0)),INDEX(UtilityList!L$4:L$251,MATCH('Table 2.3a'!$A129&amp;'Table 2.3a'!$C129,UtilityList!$A$4:$A$251&amp;UtilityList!$C$4:$C$251,0)))</f>
        <v>Bristol Bay</v>
      </c>
      <c r="P129" s="452" t="str">
        <f t="array" ref="P129">IFERROR(INDEX(UtilityList!M$4:M$251,MATCH('Table 2.3a'!$A129&amp;'Table 2.3a'!$B129&amp;'Table 2.3a'!$C129,UtilityList!$A$4:$A$251&amp;UtilityList!$B$4:$B$251&amp;UtilityList!$C$4:$C$251,0)),INDEX(UtilityList!M$4:M$251,MATCH('Table 2.3a'!$A129&amp;'Table 2.3a'!$C129,UtilityList!$A$4:$A$251&amp;UtilityList!$C$4:$C$251,0)))</f>
        <v>SW</v>
      </c>
      <c r="Q129" s="344"/>
    </row>
    <row r="130" spans="1:17" s="344" customFormat="1" ht="30" customHeight="1" x14ac:dyDescent="0.25">
      <c r="A130" s="360" t="s">
        <v>174</v>
      </c>
      <c r="B130" s="360" t="s">
        <v>175</v>
      </c>
      <c r="C130" s="387" t="s">
        <v>175</v>
      </c>
      <c r="D130" s="637">
        <v>0</v>
      </c>
      <c r="E130" s="638">
        <v>277.4572</v>
      </c>
      <c r="F130" s="638">
        <v>0</v>
      </c>
      <c r="G130" s="638">
        <v>0</v>
      </c>
      <c r="H130" s="639">
        <f t="shared" si="2"/>
        <v>277.4572</v>
      </c>
      <c r="I130" s="638">
        <v>20.122799999999998</v>
      </c>
      <c r="J130" s="638">
        <f t="shared" si="3"/>
        <v>297.58</v>
      </c>
      <c r="K130" s="640" t="s">
        <v>356</v>
      </c>
      <c r="L130" s="627">
        <f t="array" ref="L130">IFERROR(INDEX(UtilityList!Q$4:Q$251,MATCH('Table 2.3a'!$A130&amp;'Table 2.3a'!$B130&amp;'Table 2.3a'!$C130,UtilityList!$A$4:$A$251&amp;UtilityList!$B$4:$B$251&amp;UtilityList!$C$4:$C$251,0)),INDEX(UtilityList!Q$4:Q$251,MATCH('Table 2.3a'!$A130&amp;'Table 2.3a'!$C130,UtilityList!$A$4:$A$251&amp;UtilityList!$C$4:$C$251,0)))</f>
        <v>0</v>
      </c>
      <c r="M130" s="452" t="str">
        <f t="array" ref="M130">IFERROR(INDEX(UtilityList!J$4:J$251,MATCH('Table 2.3a'!$A130&amp;'Table 2.3a'!$B130&amp;'Table 2.3a'!$C130,UtilityList!$A$4:$A$251&amp;UtilityList!$B$4:$B$251&amp;UtilityList!$C$4:$C$251,0)),INDEX(UtilityList!J$4:J$251,MATCH('Table 2.3a'!$A130&amp;'Table 2.3a'!$C130,UtilityList!$A$4:$A$251&amp;UtilityList!$C$4:$C$251,0)))</f>
        <v>Southeast</v>
      </c>
      <c r="N130" s="452" t="str">
        <f t="array" ref="N130">IFERROR(INDEX(UtilityList!K$4:K$251,MATCH('Table 2.3a'!$A130&amp;'Table 2.3a'!$B130&amp;'Table 2.3a'!$C130,UtilityList!$A$4:$A$251&amp;UtilityList!$B$4:$B$251&amp;UtilityList!$C$4:$C$251,0)),INDEX(UtilityList!K$4:K$251,MATCH('Table 2.3a'!$A130&amp;'Table 2.3a'!$C130,UtilityList!$A$4:$A$251&amp;UtilityList!$C$4:$C$251,0)))</f>
        <v>Hoonah-Angoon (CA)</v>
      </c>
      <c r="O130" s="452" t="str">
        <f t="array" ref="O130">IFERROR(INDEX(UtilityList!L$4:L$251,MATCH('Table 2.3a'!$A130&amp;'Table 2.3a'!$B130&amp;'Table 2.3a'!$C130,UtilityList!$A$4:$A$251&amp;UtilityList!$B$4:$B$251&amp;UtilityList!$C$4:$C$251,0)),INDEX(UtilityList!L$4:L$251,MATCH('Table 2.3a'!$A130&amp;'Table 2.3a'!$C130,UtilityList!$A$4:$A$251&amp;UtilityList!$C$4:$C$251,0)))</f>
        <v>Sealaska</v>
      </c>
      <c r="P130" s="452" t="str">
        <f t="array" ref="P130">IFERROR(INDEX(UtilityList!M$4:M$251,MATCH('Table 2.3a'!$A130&amp;'Table 2.3a'!$B130&amp;'Table 2.3a'!$C130,UtilityList!$A$4:$A$251&amp;UtilityList!$B$4:$B$251&amp;UtilityList!$C$4:$C$251,0)),INDEX(UtilityList!M$4:M$251,MATCH('Table 2.3a'!$A130&amp;'Table 2.3a'!$C130,UtilityList!$A$4:$A$251&amp;UtilityList!$C$4:$C$251,0)))</f>
        <v>SE</v>
      </c>
      <c r="Q130" s="126"/>
    </row>
    <row r="131" spans="1:17" s="344" customFormat="1" ht="30" customHeight="1" x14ac:dyDescent="0.25">
      <c r="A131" s="385" t="s">
        <v>176</v>
      </c>
      <c r="B131" s="385" t="s">
        <v>177</v>
      </c>
      <c r="C131" s="635" t="s">
        <v>177</v>
      </c>
      <c r="D131" s="637">
        <v>0</v>
      </c>
      <c r="E131" s="638">
        <v>461.351</v>
      </c>
      <c r="F131" s="638">
        <v>0</v>
      </c>
      <c r="G131" s="638">
        <v>0</v>
      </c>
      <c r="H131" s="639">
        <f t="shared" si="2"/>
        <v>461.351</v>
      </c>
      <c r="I131" s="638">
        <v>39.195</v>
      </c>
      <c r="J131" s="638">
        <f t="shared" si="3"/>
        <v>500.54599999999999</v>
      </c>
      <c r="K131" s="646" t="s">
        <v>356</v>
      </c>
      <c r="L131" s="627">
        <f t="array" ref="L131">IFERROR(INDEX(UtilityList!Q$4:Q$251,MATCH('Table 2.3a'!$A131&amp;'Table 2.3a'!$B131&amp;'Table 2.3a'!$C131,UtilityList!$A$4:$A$251&amp;UtilityList!$B$4:$B$251&amp;UtilityList!$C$4:$C$251,0)),INDEX(UtilityList!Q$4:Q$251,MATCH('Table 2.3a'!$A131&amp;'Table 2.3a'!$C131,UtilityList!$A$4:$A$251&amp;UtilityList!$C$4:$C$251,0)))</f>
        <v>0</v>
      </c>
      <c r="M131" s="452" t="str">
        <f t="array" ref="M131">IFERROR(INDEX(UtilityList!J$4:J$251,MATCH('Table 2.3a'!$A131&amp;'Table 2.3a'!$B131&amp;'Table 2.3a'!$C131,UtilityList!$A$4:$A$251&amp;UtilityList!$B$4:$B$251&amp;UtilityList!$C$4:$C$251,0)),INDEX(UtilityList!J$4:J$251,MATCH('Table 2.3a'!$A131&amp;'Table 2.3a'!$C131,UtilityList!$A$4:$A$251&amp;UtilityList!$C$4:$C$251,0)))</f>
        <v>Aleutians</v>
      </c>
      <c r="N131" s="452" t="str">
        <f t="array" ref="N131">IFERROR(INDEX(UtilityList!K$4:K$251,MATCH('Table 2.3a'!$A131&amp;'Table 2.3a'!$B131&amp;'Table 2.3a'!$C131,UtilityList!$A$4:$A$251&amp;UtilityList!$B$4:$B$251&amp;UtilityList!$C$4:$C$251,0)),INDEX(UtilityList!K$4:K$251,MATCH('Table 2.3a'!$A131&amp;'Table 2.3a'!$C131,UtilityList!$A$4:$A$251&amp;UtilityList!$C$4:$C$251,0)))</f>
        <v>Aleutians East</v>
      </c>
      <c r="O131" s="452" t="str">
        <f t="array" ref="O131">IFERROR(INDEX(UtilityList!L$4:L$251,MATCH('Table 2.3a'!$A131&amp;'Table 2.3a'!$B131&amp;'Table 2.3a'!$C131,UtilityList!$A$4:$A$251&amp;UtilityList!$B$4:$B$251&amp;UtilityList!$C$4:$C$251,0)),INDEX(UtilityList!L$4:L$251,MATCH('Table 2.3a'!$A131&amp;'Table 2.3a'!$C131,UtilityList!$A$4:$A$251&amp;UtilityList!$C$4:$C$251,0)))</f>
        <v>Aleut</v>
      </c>
      <c r="P131" s="452" t="str">
        <f t="array" ref="P131">IFERROR(INDEX(UtilityList!M$4:M$251,MATCH('Table 2.3a'!$A131&amp;'Table 2.3a'!$B131&amp;'Table 2.3a'!$C131,UtilityList!$A$4:$A$251&amp;UtilityList!$B$4:$B$251&amp;UtilityList!$C$4:$C$251,0)),INDEX(UtilityList!M$4:M$251,MATCH('Table 2.3a'!$A131&amp;'Table 2.3a'!$C131,UtilityList!$A$4:$A$251&amp;UtilityList!$C$4:$C$251,0)))</f>
        <v>SW</v>
      </c>
    </row>
    <row r="132" spans="1:17" s="344" customFormat="1" ht="30" customHeight="1" x14ac:dyDescent="0.25">
      <c r="A132" s="360" t="s">
        <v>178</v>
      </c>
      <c r="B132" s="360" t="s">
        <v>179</v>
      </c>
      <c r="C132" s="387" t="s">
        <v>179</v>
      </c>
      <c r="D132" s="637">
        <v>0</v>
      </c>
      <c r="E132" s="638">
        <v>2566.9209999999998</v>
      </c>
      <c r="F132" s="638">
        <v>0</v>
      </c>
      <c r="G132" s="638">
        <v>0</v>
      </c>
      <c r="H132" s="639">
        <f t="shared" si="2"/>
        <v>2566.9209999999998</v>
      </c>
      <c r="I132" s="638">
        <v>158.48967000000002</v>
      </c>
      <c r="J132" s="638">
        <f t="shared" si="3"/>
        <v>2725.4106699999998</v>
      </c>
      <c r="K132" s="640" t="s">
        <v>356</v>
      </c>
      <c r="L132" s="627">
        <f t="array" ref="L132">IFERROR(INDEX(UtilityList!Q$4:Q$251,MATCH('Table 2.3a'!$A132&amp;'Table 2.3a'!$B132&amp;'Table 2.3a'!$C132,UtilityList!$A$4:$A$251&amp;UtilityList!$B$4:$B$251&amp;UtilityList!$C$4:$C$251,0)),INDEX(UtilityList!Q$4:Q$251,MATCH('Table 2.3a'!$A132&amp;'Table 2.3a'!$C132,UtilityList!$A$4:$A$251&amp;UtilityList!$C$4:$C$251,0)))</f>
        <v>0</v>
      </c>
      <c r="M132" s="452" t="str">
        <f t="array" ref="M132">IFERROR(INDEX(UtilityList!J$4:J$251,MATCH('Table 2.3a'!$A132&amp;'Table 2.3a'!$B132&amp;'Table 2.3a'!$C132,UtilityList!$A$4:$A$251&amp;UtilityList!$B$4:$B$251&amp;UtilityList!$C$4:$C$251,0)),INDEX(UtilityList!J$4:J$251,MATCH('Table 2.3a'!$A132&amp;'Table 2.3a'!$C132,UtilityList!$A$4:$A$251&amp;UtilityList!$C$4:$C$251,0)))</f>
        <v>Aleutians</v>
      </c>
      <c r="N132" s="452" t="str">
        <f t="array" ref="N132">IFERROR(INDEX(UtilityList!K$4:K$251,MATCH('Table 2.3a'!$A132&amp;'Table 2.3a'!$B132&amp;'Table 2.3a'!$C132,UtilityList!$A$4:$A$251&amp;UtilityList!$B$4:$B$251&amp;UtilityList!$C$4:$C$251,0)),INDEX(UtilityList!K$4:K$251,MATCH('Table 2.3a'!$A132&amp;'Table 2.3a'!$C132,UtilityList!$A$4:$A$251&amp;UtilityList!$C$4:$C$251,0)))</f>
        <v>Aleutians East</v>
      </c>
      <c r="O132" s="452" t="str">
        <f t="array" ref="O132">IFERROR(INDEX(UtilityList!L$4:L$251,MATCH('Table 2.3a'!$A132&amp;'Table 2.3a'!$B132&amp;'Table 2.3a'!$C132,UtilityList!$A$4:$A$251&amp;UtilityList!$B$4:$B$251&amp;UtilityList!$C$4:$C$251,0)),INDEX(UtilityList!L$4:L$251,MATCH('Table 2.3a'!$A132&amp;'Table 2.3a'!$C132,UtilityList!$A$4:$A$251&amp;UtilityList!$C$4:$C$251,0)))</f>
        <v>Aleut</v>
      </c>
      <c r="P132" s="452" t="str">
        <f t="array" ref="P132">IFERROR(INDEX(UtilityList!M$4:M$251,MATCH('Table 2.3a'!$A132&amp;'Table 2.3a'!$B132&amp;'Table 2.3a'!$C132,UtilityList!$A$4:$A$251&amp;UtilityList!$B$4:$B$251&amp;UtilityList!$C$4:$C$251,0)),INDEX(UtilityList!M$4:M$251,MATCH('Table 2.3a'!$A132&amp;'Table 2.3a'!$C132,UtilityList!$A$4:$A$251&amp;UtilityList!$C$4:$C$251,0)))</f>
        <v>SW</v>
      </c>
      <c r="Q132" s="126"/>
    </row>
    <row r="133" spans="1:17" s="344" customFormat="1" ht="30" customHeight="1" x14ac:dyDescent="0.25">
      <c r="A133" s="360" t="s">
        <v>180</v>
      </c>
      <c r="B133" s="360" t="s">
        <v>181</v>
      </c>
      <c r="C133" s="387" t="s">
        <v>181</v>
      </c>
      <c r="D133" s="637">
        <v>0</v>
      </c>
      <c r="E133" s="638">
        <v>2907.3449999999998</v>
      </c>
      <c r="F133" s="638">
        <v>0</v>
      </c>
      <c r="G133" s="638">
        <v>0</v>
      </c>
      <c r="H133" s="639">
        <f t="shared" si="2"/>
        <v>2907.3449999999998</v>
      </c>
      <c r="I133" s="638">
        <v>76.578999999999994</v>
      </c>
      <c r="J133" s="638">
        <f t="shared" si="3"/>
        <v>2983.924</v>
      </c>
      <c r="K133" s="640" t="s">
        <v>356</v>
      </c>
      <c r="L133" s="627">
        <f t="array" ref="L133">IFERROR(INDEX(UtilityList!Q$4:Q$251,MATCH('Table 2.3a'!$A133&amp;'Table 2.3a'!$B133&amp;'Table 2.3a'!$C133,UtilityList!$A$4:$A$251&amp;UtilityList!$B$4:$B$251&amp;UtilityList!$C$4:$C$251,0)),INDEX(UtilityList!Q$4:Q$251,MATCH('Table 2.3a'!$A133&amp;'Table 2.3a'!$C133,UtilityList!$A$4:$A$251&amp;UtilityList!$C$4:$C$251,0)))</f>
        <v>0</v>
      </c>
      <c r="M133" s="452" t="str">
        <f t="array" ref="M133">IFERROR(INDEX(UtilityList!J$4:J$251,MATCH('Table 2.3a'!$A133&amp;'Table 2.3a'!$B133&amp;'Table 2.3a'!$C133,UtilityList!$A$4:$A$251&amp;UtilityList!$B$4:$B$251&amp;UtilityList!$C$4:$C$251,0)),INDEX(UtilityList!J$4:J$251,MATCH('Table 2.3a'!$A133&amp;'Table 2.3a'!$C133,UtilityList!$A$4:$A$251&amp;UtilityList!$C$4:$C$251,0)))</f>
        <v>Yukon-Koyukuk/Upper Tanana</v>
      </c>
      <c r="N133" s="452" t="str">
        <f t="array" ref="N133">IFERROR(INDEX(UtilityList!K$4:K$251,MATCH('Table 2.3a'!$A133&amp;'Table 2.3a'!$B133&amp;'Table 2.3a'!$C133,UtilityList!$A$4:$A$251&amp;UtilityList!$B$4:$B$251&amp;UtilityList!$C$4:$C$251,0)),INDEX(UtilityList!K$4:K$251,MATCH('Table 2.3a'!$A133&amp;'Table 2.3a'!$C133,UtilityList!$A$4:$A$251&amp;UtilityList!$C$4:$C$251,0)))</f>
        <v>Yukon-Koyukuk (CA)</v>
      </c>
      <c r="O133" s="452" t="str">
        <f t="array" ref="O133">IFERROR(INDEX(UtilityList!L$4:L$251,MATCH('Table 2.3a'!$A133&amp;'Table 2.3a'!$B133&amp;'Table 2.3a'!$C133,UtilityList!$A$4:$A$251&amp;UtilityList!$B$4:$B$251&amp;UtilityList!$C$4:$C$251,0)),INDEX(UtilityList!L$4:L$251,MATCH('Table 2.3a'!$A133&amp;'Table 2.3a'!$C133,UtilityList!$A$4:$A$251&amp;UtilityList!$C$4:$C$251,0)))</f>
        <v>Doyon</v>
      </c>
      <c r="P133" s="452" t="str">
        <f t="array" ref="P133">IFERROR(INDEX(UtilityList!M$4:M$251,MATCH('Table 2.3a'!$A133&amp;'Table 2.3a'!$B133&amp;'Table 2.3a'!$C133,UtilityList!$A$4:$A$251&amp;UtilityList!$B$4:$B$251&amp;UtilityList!$C$4:$C$251,0)),INDEX(UtilityList!M$4:M$251,MATCH('Table 2.3a'!$A133&amp;'Table 2.3a'!$C133,UtilityList!$A$4:$A$251&amp;UtilityList!$C$4:$C$251,0)))</f>
        <v>YU</v>
      </c>
      <c r="Q133" s="126"/>
    </row>
    <row r="134" spans="1:17" s="344" customFormat="1" ht="30" customHeight="1" x14ac:dyDescent="0.25">
      <c r="A134" s="360" t="s">
        <v>182</v>
      </c>
      <c r="B134" s="360" t="s">
        <v>183</v>
      </c>
      <c r="C134" s="387" t="s">
        <v>183</v>
      </c>
      <c r="D134" s="637">
        <v>0</v>
      </c>
      <c r="E134" s="638">
        <v>474.60300000000001</v>
      </c>
      <c r="F134" s="638">
        <v>0</v>
      </c>
      <c r="G134" s="638">
        <v>0</v>
      </c>
      <c r="H134" s="639">
        <f t="shared" si="2"/>
        <v>474.60300000000001</v>
      </c>
      <c r="I134" s="638">
        <v>19.251000000000001</v>
      </c>
      <c r="J134" s="638">
        <f t="shared" si="3"/>
        <v>493.85399999999998</v>
      </c>
      <c r="K134" s="640" t="s">
        <v>356</v>
      </c>
      <c r="L134" s="627">
        <f t="array" ref="L134">IFERROR(INDEX(UtilityList!Q$4:Q$251,MATCH('Table 2.3a'!$A134&amp;'Table 2.3a'!$B134&amp;'Table 2.3a'!$C134,UtilityList!$A$4:$A$251&amp;UtilityList!$B$4:$B$251&amp;UtilityList!$C$4:$C$251,0)),INDEX(UtilityList!Q$4:Q$251,MATCH('Table 2.3a'!$A134&amp;'Table 2.3a'!$C134,UtilityList!$A$4:$A$251&amp;UtilityList!$C$4:$C$251,0)))</f>
        <v>0</v>
      </c>
      <c r="M134" s="452" t="str">
        <f t="array" ref="M134">IFERROR(INDEX(UtilityList!J$4:J$251,MATCH('Table 2.3a'!$A134&amp;'Table 2.3a'!$B134&amp;'Table 2.3a'!$C134,UtilityList!$A$4:$A$251&amp;UtilityList!$B$4:$B$251&amp;UtilityList!$C$4:$C$251,0)),INDEX(UtilityList!J$4:J$251,MATCH('Table 2.3a'!$A134&amp;'Table 2.3a'!$C134,UtilityList!$A$4:$A$251&amp;UtilityList!$C$4:$C$251,0)))</f>
        <v>Yukon-Koyukuk/Upper Tanana</v>
      </c>
      <c r="N134" s="452" t="str">
        <f t="array" ref="N134">IFERROR(INDEX(UtilityList!K$4:K$251,MATCH('Table 2.3a'!$A134&amp;'Table 2.3a'!$B134&amp;'Table 2.3a'!$C134,UtilityList!$A$4:$A$251&amp;UtilityList!$B$4:$B$251&amp;UtilityList!$C$4:$C$251,0)),INDEX(UtilityList!K$4:K$251,MATCH('Table 2.3a'!$A134&amp;'Table 2.3a'!$C134,UtilityList!$A$4:$A$251&amp;UtilityList!$C$4:$C$251,0)))</f>
        <v>Yukon-Koyukuk (CA)</v>
      </c>
      <c r="O134" s="452" t="str">
        <f t="array" ref="O134">IFERROR(INDEX(UtilityList!L$4:L$251,MATCH('Table 2.3a'!$A134&amp;'Table 2.3a'!$B134&amp;'Table 2.3a'!$C134,UtilityList!$A$4:$A$251&amp;UtilityList!$B$4:$B$251&amp;UtilityList!$C$4:$C$251,0)),INDEX(UtilityList!L$4:L$251,MATCH('Table 2.3a'!$A134&amp;'Table 2.3a'!$C134,UtilityList!$A$4:$A$251&amp;UtilityList!$C$4:$C$251,0)))</f>
        <v>Doyon</v>
      </c>
      <c r="P134" s="452" t="str">
        <f t="array" ref="P134">IFERROR(INDEX(UtilityList!M$4:M$251,MATCH('Table 2.3a'!$A134&amp;'Table 2.3a'!$B134&amp;'Table 2.3a'!$C134,UtilityList!$A$4:$A$251&amp;UtilityList!$B$4:$B$251&amp;UtilityList!$C$4:$C$251,0)),INDEX(UtilityList!M$4:M$251,MATCH('Table 2.3a'!$A134&amp;'Table 2.3a'!$C134,UtilityList!$A$4:$A$251&amp;UtilityList!$C$4:$C$251,0)))</f>
        <v>YU</v>
      </c>
      <c r="Q134" s="126"/>
    </row>
    <row r="135" spans="1:17" s="344" customFormat="1" x14ac:dyDescent="0.25">
      <c r="A135" s="360" t="s">
        <v>184</v>
      </c>
      <c r="B135" s="360" t="s">
        <v>185</v>
      </c>
      <c r="C135" s="643"/>
      <c r="D135" s="637">
        <v>-170</v>
      </c>
      <c r="E135" s="641">
        <v>0</v>
      </c>
      <c r="F135" s="641">
        <v>0</v>
      </c>
      <c r="G135" s="641">
        <v>0</v>
      </c>
      <c r="H135" s="639">
        <f t="shared" si="2"/>
        <v>-170</v>
      </c>
      <c r="I135" s="641">
        <v>170</v>
      </c>
      <c r="J135" s="638">
        <f t="shared" si="3"/>
        <v>0</v>
      </c>
      <c r="K135" s="645" t="s">
        <v>558</v>
      </c>
      <c r="L135" s="627">
        <f t="array" ref="L135">IFERROR(INDEX(UtilityList!Q$4:Q$251,MATCH('Table 2.3a'!$A135&amp;'Table 2.3a'!$B135&amp;'Table 2.3a'!$C135,UtilityList!$A$4:$A$251&amp;UtilityList!$B$4:$B$251&amp;UtilityList!$C$4:$C$251,0)),INDEX(UtilityList!Q$4:Q$251,MATCH('Table 2.3a'!$A135&amp;'Table 2.3a'!$C135,UtilityList!$A$4:$A$251&amp;UtilityList!$C$4:$C$251,0)))</f>
        <v>0</v>
      </c>
      <c r="M135" s="452" t="str">
        <f t="array" ref="M135">IFERROR(INDEX(UtilityList!J$4:J$251,MATCH('Table 2.3a'!$A135&amp;'Table 2.3a'!$B135&amp;'Table 2.3a'!$C135,UtilityList!$A$4:$A$251&amp;UtilityList!$B$4:$B$251&amp;UtilityList!$C$4:$C$251,0)),INDEX(UtilityList!J$4:J$251,MATCH('Table 2.3a'!$A135&amp;'Table 2.3a'!$C135,UtilityList!$A$4:$A$251&amp;UtilityList!$C$4:$C$251,0)))</f>
        <v>Railbelt</v>
      </c>
      <c r="N135" s="452" t="str">
        <f t="array" ref="N135">IFERROR(INDEX(UtilityList!K$4:K$251,MATCH('Table 2.3a'!$A135&amp;'Table 2.3a'!$B135&amp;'Table 2.3a'!$C135,UtilityList!$A$4:$A$251&amp;UtilityList!$B$4:$B$251&amp;UtilityList!$C$4:$C$251,0)),INDEX(UtilityList!K$4:K$251,MATCH('Table 2.3a'!$A135&amp;'Table 2.3a'!$C135,UtilityList!$A$4:$A$251&amp;UtilityList!$C$4:$C$251,0)))</f>
        <v>Fairbanks North Star</v>
      </c>
      <c r="O135" s="452" t="str">
        <f t="array" ref="O135">IFERROR(INDEX(UtilityList!L$4:L$251,MATCH('Table 2.3a'!$A135&amp;'Table 2.3a'!$B135&amp;'Table 2.3a'!$C135,UtilityList!$A$4:$A$251&amp;UtilityList!$B$4:$B$251&amp;UtilityList!$C$4:$C$251,0)),INDEX(UtilityList!L$4:L$251,MATCH('Table 2.3a'!$A135&amp;'Table 2.3a'!$C135,UtilityList!$A$4:$A$251&amp;UtilityList!$C$4:$C$251,0)))</f>
        <v>Doyon</v>
      </c>
      <c r="P135" s="452" t="str">
        <f t="array" ref="P135">IFERROR(INDEX(UtilityList!M$4:M$251,MATCH('Table 2.3a'!$A135&amp;'Table 2.3a'!$B135&amp;'Table 2.3a'!$C135,UtilityList!$A$4:$A$251&amp;UtilityList!$B$4:$B$251&amp;UtilityList!$C$4:$C$251,0)),INDEX(UtilityList!M$4:M$251,MATCH('Table 2.3a'!$A135&amp;'Table 2.3a'!$C135,UtilityList!$A$4:$A$251&amp;UtilityList!$C$4:$C$251,0)))</f>
        <v>YU</v>
      </c>
      <c r="Q135" s="187"/>
    </row>
    <row r="136" spans="1:17" s="344" customFormat="1" x14ac:dyDescent="0.25">
      <c r="A136" s="385" t="s">
        <v>184</v>
      </c>
      <c r="B136" s="643" t="s">
        <v>132</v>
      </c>
      <c r="C136" s="643"/>
      <c r="D136" s="637">
        <v>8550</v>
      </c>
      <c r="E136" s="641">
        <v>-21</v>
      </c>
      <c r="F136" s="641">
        <v>0</v>
      </c>
      <c r="G136" s="642">
        <v>0</v>
      </c>
      <c r="H136" s="639">
        <f t="shared" si="2"/>
        <v>8529</v>
      </c>
      <c r="I136" s="641">
        <v>786</v>
      </c>
      <c r="J136" s="638">
        <f t="shared" si="3"/>
        <v>9315</v>
      </c>
      <c r="K136" s="645" t="s">
        <v>558</v>
      </c>
      <c r="L136" s="627">
        <f t="array" ref="L136">IFERROR(INDEX(UtilityList!Q$4:Q$251,MATCH('Table 2.3a'!$A136&amp;'Table 2.3a'!$B136&amp;'Table 2.3a'!$C136,UtilityList!$A$4:$A$251&amp;UtilityList!$B$4:$B$251&amp;UtilityList!$C$4:$C$251,0)),INDEX(UtilityList!Q$4:Q$251,MATCH('Table 2.3a'!$A136&amp;'Table 2.3a'!$C136,UtilityList!$A$4:$A$251&amp;UtilityList!$C$4:$C$251,0)))</f>
        <v>0</v>
      </c>
      <c r="M136" s="452" t="str">
        <f t="array" ref="M136">IFERROR(INDEX(UtilityList!J$4:J$251,MATCH('Table 2.3a'!$A136&amp;'Table 2.3a'!$B136&amp;'Table 2.3a'!$C136,UtilityList!$A$4:$A$251&amp;UtilityList!$B$4:$B$251&amp;UtilityList!$C$4:$C$251,0)),INDEX(UtilityList!J$4:J$251,MATCH('Table 2.3a'!$A136&amp;'Table 2.3a'!$C136,UtilityList!$A$4:$A$251&amp;UtilityList!$C$4:$C$251,0)))</f>
        <v>Railbelt</v>
      </c>
      <c r="N136" s="452" t="str">
        <f t="array" ref="N136">IFERROR(INDEX(UtilityList!K$4:K$251,MATCH('Table 2.3a'!$A136&amp;'Table 2.3a'!$B136&amp;'Table 2.3a'!$C136,UtilityList!$A$4:$A$251&amp;UtilityList!$B$4:$B$251&amp;UtilityList!$C$4:$C$251,0)),INDEX(UtilityList!K$4:K$251,MATCH('Table 2.3a'!$A136&amp;'Table 2.3a'!$C136,UtilityList!$A$4:$A$251&amp;UtilityList!$C$4:$C$251,0)))</f>
        <v>Fairbanks North Star</v>
      </c>
      <c r="O136" s="452" t="str">
        <f t="array" ref="O136">IFERROR(INDEX(UtilityList!L$4:L$251,MATCH('Table 2.3a'!$A136&amp;'Table 2.3a'!$B136&amp;'Table 2.3a'!$C136,UtilityList!$A$4:$A$251&amp;UtilityList!$B$4:$B$251&amp;UtilityList!$C$4:$C$251,0)),INDEX(UtilityList!L$4:L$251,MATCH('Table 2.3a'!$A136&amp;'Table 2.3a'!$C136,UtilityList!$A$4:$A$251&amp;UtilityList!$C$4:$C$251,0)))</f>
        <v>Doyon</v>
      </c>
      <c r="P136" s="452" t="str">
        <f t="array" ref="P136">IFERROR(INDEX(UtilityList!M$4:M$251,MATCH('Table 2.3a'!$A136&amp;'Table 2.3a'!$B136&amp;'Table 2.3a'!$C136,UtilityList!$A$4:$A$251&amp;UtilityList!$B$4:$B$251&amp;UtilityList!$C$4:$C$251,0)),INDEX(UtilityList!M$4:M$251,MATCH('Table 2.3a'!$A136&amp;'Table 2.3a'!$C136,UtilityList!$A$4:$A$251&amp;UtilityList!$C$4:$C$251,0)))</f>
        <v>YU</v>
      </c>
    </row>
    <row r="137" spans="1:17" s="344" customFormat="1" x14ac:dyDescent="0.25">
      <c r="A137" s="385" t="s">
        <v>184</v>
      </c>
      <c r="B137" s="455" t="s">
        <v>186</v>
      </c>
      <c r="C137" s="643"/>
      <c r="D137" s="637">
        <v>178163</v>
      </c>
      <c r="E137" s="641">
        <v>25</v>
      </c>
      <c r="F137" s="641">
        <v>0</v>
      </c>
      <c r="G137" s="642">
        <v>0</v>
      </c>
      <c r="H137" s="639">
        <f t="shared" ref="H137:H200" si="4">SUM(D137:G137)</f>
        <v>178188</v>
      </c>
      <c r="I137" s="641">
        <v>17064</v>
      </c>
      <c r="J137" s="638">
        <f t="shared" ref="J137:J200" si="5">IF(I137="","",SUM(H137:I137))</f>
        <v>195252</v>
      </c>
      <c r="K137" s="645" t="s">
        <v>558</v>
      </c>
      <c r="L137" s="627">
        <f t="array" ref="L137">IFERROR(INDEX(UtilityList!Q$4:Q$251,MATCH('Table 2.3a'!$A137&amp;'Table 2.3a'!$B137&amp;'Table 2.3a'!$C137,UtilityList!$A$4:$A$251&amp;UtilityList!$B$4:$B$251&amp;UtilityList!$C$4:$C$251,0)),INDEX(UtilityList!Q$4:Q$251,MATCH('Table 2.3a'!$A137&amp;'Table 2.3a'!$C137,UtilityList!$A$4:$A$251&amp;UtilityList!$C$4:$C$251,0)))</f>
        <v>0</v>
      </c>
      <c r="M137" s="452" t="str">
        <f t="array" ref="M137">IFERROR(INDEX(UtilityList!J$4:J$251,MATCH('Table 2.3a'!$A137&amp;'Table 2.3a'!$B137&amp;'Table 2.3a'!$C137,UtilityList!$A$4:$A$251&amp;UtilityList!$B$4:$B$251&amp;UtilityList!$C$4:$C$251,0)),INDEX(UtilityList!J$4:J$251,MATCH('Table 2.3a'!$A137&amp;'Table 2.3a'!$C137,UtilityList!$A$4:$A$251&amp;UtilityList!$C$4:$C$251,0)))</f>
        <v>Railbelt</v>
      </c>
      <c r="N137" s="452" t="str">
        <f t="array" ref="N137">IFERROR(INDEX(UtilityList!K$4:K$251,MATCH('Table 2.3a'!$A137&amp;'Table 2.3a'!$B137&amp;'Table 2.3a'!$C137,UtilityList!$A$4:$A$251&amp;UtilityList!$B$4:$B$251&amp;UtilityList!$C$4:$C$251,0)),INDEX(UtilityList!K$4:K$251,MATCH('Table 2.3a'!$A137&amp;'Table 2.3a'!$C137,UtilityList!$A$4:$A$251&amp;UtilityList!$C$4:$C$251,0)))</f>
        <v>Denali</v>
      </c>
      <c r="O137" s="452" t="str">
        <f t="array" ref="O137">IFERROR(INDEX(UtilityList!L$4:L$251,MATCH('Table 2.3a'!$A137&amp;'Table 2.3a'!$B137&amp;'Table 2.3a'!$C137,UtilityList!$A$4:$A$251&amp;UtilityList!$B$4:$B$251&amp;UtilityList!$C$4:$C$251,0)),INDEX(UtilityList!L$4:L$251,MATCH('Table 2.3a'!$A137&amp;'Table 2.3a'!$C137,UtilityList!$A$4:$A$251&amp;UtilityList!$C$4:$C$251,0)))</f>
        <v>Doyon</v>
      </c>
      <c r="P137" s="452" t="str">
        <f t="array" ref="P137">IFERROR(INDEX(UtilityList!M$4:M$251,MATCH('Table 2.3a'!$A137&amp;'Table 2.3a'!$B137&amp;'Table 2.3a'!$C137,UtilityList!$A$4:$A$251&amp;UtilityList!$B$4:$B$251&amp;UtilityList!$C$4:$C$251,0)),INDEX(UtilityList!M$4:M$251,MATCH('Table 2.3a'!$A137&amp;'Table 2.3a'!$C137,UtilityList!$A$4:$A$251&amp;UtilityList!$C$4:$C$251,0)))</f>
        <v>YU</v>
      </c>
    </row>
    <row r="138" spans="1:17" s="344" customFormat="1" ht="30" customHeight="1" x14ac:dyDescent="0.25">
      <c r="A138" s="385" t="s">
        <v>184</v>
      </c>
      <c r="B138" s="455" t="s">
        <v>187</v>
      </c>
      <c r="C138" s="643"/>
      <c r="D138" s="637">
        <v>486541</v>
      </c>
      <c r="E138" s="641">
        <v>0</v>
      </c>
      <c r="F138" s="641">
        <v>0</v>
      </c>
      <c r="G138" s="642">
        <v>0</v>
      </c>
      <c r="H138" s="639">
        <f t="shared" si="4"/>
        <v>486541</v>
      </c>
      <c r="I138" s="641">
        <v>15843</v>
      </c>
      <c r="J138" s="638">
        <f t="shared" si="5"/>
        <v>502384</v>
      </c>
      <c r="K138" s="645" t="s">
        <v>558</v>
      </c>
      <c r="L138" s="627">
        <f t="array" ref="L138">IFERROR(INDEX(UtilityList!Q$4:Q$251,MATCH('Table 2.3a'!$A138&amp;'Table 2.3a'!$B138&amp;'Table 2.3a'!$C138,UtilityList!$A$4:$A$251&amp;UtilityList!$B$4:$B$251&amp;UtilityList!$C$4:$C$251,0)),INDEX(UtilityList!Q$4:Q$251,MATCH('Table 2.3a'!$A138&amp;'Table 2.3a'!$C138,UtilityList!$A$4:$A$251&amp;UtilityList!$C$4:$C$251,0)))</f>
        <v>0</v>
      </c>
      <c r="M138" s="452" t="str">
        <f t="array" ref="M138">IFERROR(INDEX(UtilityList!J$4:J$251,MATCH('Table 2.3a'!$A138&amp;'Table 2.3a'!$B138&amp;'Table 2.3a'!$C138,UtilityList!$A$4:$A$251&amp;UtilityList!$B$4:$B$251&amp;UtilityList!$C$4:$C$251,0)),INDEX(UtilityList!J$4:J$251,MATCH('Table 2.3a'!$A138&amp;'Table 2.3a'!$C138,UtilityList!$A$4:$A$251&amp;UtilityList!$C$4:$C$251,0)))</f>
        <v>Railbelt</v>
      </c>
      <c r="N138" s="452" t="str">
        <f t="array" ref="N138">IFERROR(INDEX(UtilityList!K$4:K$251,MATCH('Table 2.3a'!$A138&amp;'Table 2.3a'!$B138&amp;'Table 2.3a'!$C138,UtilityList!$A$4:$A$251&amp;UtilityList!$B$4:$B$251&amp;UtilityList!$C$4:$C$251,0)),INDEX(UtilityList!K$4:K$251,MATCH('Table 2.3a'!$A138&amp;'Table 2.3a'!$C138,UtilityList!$A$4:$A$251&amp;UtilityList!$C$4:$C$251,0)))</f>
        <v>Fairbanks North Star</v>
      </c>
      <c r="O138" s="452" t="str">
        <f t="array" ref="O138">IFERROR(INDEX(UtilityList!L$4:L$251,MATCH('Table 2.3a'!$A138&amp;'Table 2.3a'!$B138&amp;'Table 2.3a'!$C138,UtilityList!$A$4:$A$251&amp;UtilityList!$B$4:$B$251&amp;UtilityList!$C$4:$C$251,0)),INDEX(UtilityList!L$4:L$251,MATCH('Table 2.3a'!$A138&amp;'Table 2.3a'!$C138,UtilityList!$A$4:$A$251&amp;UtilityList!$C$4:$C$251,0)))</f>
        <v>Doyon</v>
      </c>
      <c r="P138" s="452" t="str">
        <f t="array" ref="P138">IFERROR(INDEX(UtilityList!M$4:M$251,MATCH('Table 2.3a'!$A138&amp;'Table 2.3a'!$B138&amp;'Table 2.3a'!$C138,UtilityList!$A$4:$A$251&amp;UtilityList!$B$4:$B$251&amp;UtilityList!$C$4:$C$251,0)),INDEX(UtilityList!M$4:M$251,MATCH('Table 2.3a'!$A138&amp;'Table 2.3a'!$C138,UtilityList!$A$4:$A$251&amp;UtilityList!$C$4:$C$251,0)))</f>
        <v>YU</v>
      </c>
      <c r="Q138" s="187"/>
    </row>
    <row r="139" spans="1:17" s="126" customFormat="1" ht="30" customHeight="1" x14ac:dyDescent="0.25">
      <c r="A139" s="360" t="s">
        <v>188</v>
      </c>
      <c r="B139" s="360" t="s">
        <v>189</v>
      </c>
      <c r="C139" s="387" t="s">
        <v>189</v>
      </c>
      <c r="D139" s="637">
        <v>0</v>
      </c>
      <c r="E139" s="638">
        <v>755.70100000000002</v>
      </c>
      <c r="F139" s="638">
        <v>0</v>
      </c>
      <c r="G139" s="638">
        <v>0</v>
      </c>
      <c r="H139" s="639">
        <f t="shared" si="4"/>
        <v>755.70100000000002</v>
      </c>
      <c r="I139" s="638">
        <v>25.998999999999999</v>
      </c>
      <c r="J139" s="638">
        <f t="shared" si="5"/>
        <v>781.7</v>
      </c>
      <c r="K139" s="640" t="s">
        <v>356</v>
      </c>
      <c r="L139" s="627">
        <f t="array" ref="L139">IFERROR(INDEX(UtilityList!Q$4:Q$251,MATCH('Table 2.3a'!$A139&amp;'Table 2.3a'!$B139&amp;'Table 2.3a'!$C139,UtilityList!$A$4:$A$251&amp;UtilityList!$B$4:$B$251&amp;UtilityList!$C$4:$C$251,0)),INDEX(UtilityList!Q$4:Q$251,MATCH('Table 2.3a'!$A139&amp;'Table 2.3a'!$C139,UtilityList!$A$4:$A$251&amp;UtilityList!$C$4:$C$251,0)))</f>
        <v>0</v>
      </c>
      <c r="M139" s="452" t="str">
        <f t="array" ref="M139">IFERROR(INDEX(UtilityList!J$4:J$251,MATCH('Table 2.3a'!$A139&amp;'Table 2.3a'!$B139&amp;'Table 2.3a'!$C139,UtilityList!$A$4:$A$251&amp;UtilityList!$B$4:$B$251&amp;UtilityList!$C$4:$C$251,0)),INDEX(UtilityList!J$4:J$251,MATCH('Table 2.3a'!$A139&amp;'Table 2.3a'!$C139,UtilityList!$A$4:$A$251&amp;UtilityList!$C$4:$C$251,0)))</f>
        <v>Bering Straits</v>
      </c>
      <c r="N139" s="452" t="str">
        <f t="array" ref="N139">IFERROR(INDEX(UtilityList!K$4:K$251,MATCH('Table 2.3a'!$A139&amp;'Table 2.3a'!$B139&amp;'Table 2.3a'!$C139,UtilityList!$A$4:$A$251&amp;UtilityList!$B$4:$B$251&amp;UtilityList!$C$4:$C$251,0)),INDEX(UtilityList!K$4:K$251,MATCH('Table 2.3a'!$A139&amp;'Table 2.3a'!$C139,UtilityList!$A$4:$A$251&amp;UtilityList!$C$4:$C$251,0)))</f>
        <v>Nome (CA)</v>
      </c>
      <c r="O139" s="452" t="str">
        <f t="array" ref="O139">IFERROR(INDEX(UtilityList!L$4:L$251,MATCH('Table 2.3a'!$A139&amp;'Table 2.3a'!$B139&amp;'Table 2.3a'!$C139,UtilityList!$A$4:$A$251&amp;UtilityList!$B$4:$B$251&amp;UtilityList!$C$4:$C$251,0)),INDEX(UtilityList!L$4:L$251,MATCH('Table 2.3a'!$A139&amp;'Table 2.3a'!$C139,UtilityList!$A$4:$A$251&amp;UtilityList!$C$4:$C$251,0)))</f>
        <v>Bering Straits</v>
      </c>
      <c r="P139" s="452" t="str">
        <f t="array" ref="P139">IFERROR(INDEX(UtilityList!M$4:M$251,MATCH('Table 2.3a'!$A139&amp;'Table 2.3a'!$B139&amp;'Table 2.3a'!$C139,UtilityList!$A$4:$A$251&amp;UtilityList!$B$4:$B$251&amp;UtilityList!$C$4:$C$251,0)),INDEX(UtilityList!M$4:M$251,MATCH('Table 2.3a'!$A139&amp;'Table 2.3a'!$C139,UtilityList!$A$4:$A$251&amp;UtilityList!$C$4:$C$251,0)))</f>
        <v>AN</v>
      </c>
    </row>
    <row r="140" spans="1:17" s="126" customFormat="1" ht="30" customHeight="1" x14ac:dyDescent="0.25">
      <c r="A140" s="360" t="s">
        <v>190</v>
      </c>
      <c r="B140" s="360" t="s">
        <v>520</v>
      </c>
      <c r="C140" s="387" t="s">
        <v>191</v>
      </c>
      <c r="D140" s="637">
        <v>0</v>
      </c>
      <c r="E140" s="638">
        <v>0</v>
      </c>
      <c r="F140" s="638">
        <v>1955</v>
      </c>
      <c r="G140" s="638">
        <v>0</v>
      </c>
      <c r="H140" s="639">
        <f t="shared" si="4"/>
        <v>1955</v>
      </c>
      <c r="I140" s="638"/>
      <c r="J140" s="638" t="str">
        <f t="shared" si="5"/>
        <v/>
      </c>
      <c r="K140" s="640" t="s">
        <v>356</v>
      </c>
      <c r="L140" s="627">
        <f t="array" ref="L140">IFERROR(INDEX(UtilityList!Q$4:Q$251,MATCH('Table 2.3a'!$A140&amp;'Table 2.3a'!$B140&amp;'Table 2.3a'!$C140,UtilityList!$A$4:$A$251&amp;UtilityList!$B$4:$B$251&amp;UtilityList!$C$4:$C$251,0)),INDEX(UtilityList!Q$4:Q$251,MATCH('Table 2.3a'!$A140&amp;'Table 2.3a'!$C140,UtilityList!$A$4:$A$251&amp;UtilityList!$C$4:$C$251,0)))</f>
        <v>0</v>
      </c>
      <c r="M140" s="452" t="str">
        <f t="array" ref="M140">IFERROR(INDEX(UtilityList!J$4:J$251,MATCH('Table 2.3a'!$A140&amp;'Table 2.3a'!$B140&amp;'Table 2.3a'!$C140,UtilityList!$A$4:$A$251&amp;UtilityList!$B$4:$B$251&amp;UtilityList!$C$4:$C$251,0)),INDEX(UtilityList!J$4:J$251,MATCH('Table 2.3a'!$A140&amp;'Table 2.3a'!$C140,UtilityList!$A$4:$A$251&amp;UtilityList!$C$4:$C$251,0)))</f>
        <v>Southeast</v>
      </c>
      <c r="N140" s="452" t="str">
        <f t="array" ref="N140">IFERROR(INDEX(UtilityList!K$4:K$251,MATCH('Table 2.3a'!$A140&amp;'Table 2.3a'!$B140&amp;'Table 2.3a'!$C140,UtilityList!$A$4:$A$251&amp;UtilityList!$B$4:$B$251&amp;UtilityList!$C$4:$C$251,0)),INDEX(UtilityList!K$4:K$251,MATCH('Table 2.3a'!$A140&amp;'Table 2.3a'!$C140,UtilityList!$A$4:$A$251&amp;UtilityList!$C$4:$C$251,0)))</f>
        <v>Hoonah-Angoon (CA)</v>
      </c>
      <c r="O140" s="452" t="str">
        <f t="array" ref="O140">IFERROR(INDEX(UtilityList!L$4:L$251,MATCH('Table 2.3a'!$A140&amp;'Table 2.3a'!$B140&amp;'Table 2.3a'!$C140,UtilityList!$A$4:$A$251&amp;UtilityList!$B$4:$B$251&amp;UtilityList!$C$4:$C$251,0)),INDEX(UtilityList!L$4:L$251,MATCH('Table 2.3a'!$A140&amp;'Table 2.3a'!$C140,UtilityList!$A$4:$A$251&amp;UtilityList!$C$4:$C$251,0)))</f>
        <v>Sealaska</v>
      </c>
      <c r="P140" s="452" t="str">
        <f t="array" ref="P140">IFERROR(INDEX(UtilityList!M$4:M$251,MATCH('Table 2.3a'!$A140&amp;'Table 2.3a'!$B140&amp;'Table 2.3a'!$C140,UtilityList!$A$4:$A$251&amp;UtilityList!$B$4:$B$251&amp;UtilityList!$C$4:$C$251,0)),INDEX(UtilityList!M$4:M$251,MATCH('Table 2.3a'!$A140&amp;'Table 2.3a'!$C140,UtilityList!$A$4:$A$251&amp;UtilityList!$C$4:$C$251,0)))</f>
        <v>SE</v>
      </c>
    </row>
    <row r="141" spans="1:17" s="126" customFormat="1" x14ac:dyDescent="0.25">
      <c r="A141" s="360" t="s">
        <v>190</v>
      </c>
      <c r="B141" s="360" t="s">
        <v>191</v>
      </c>
      <c r="C141" s="387" t="s">
        <v>191</v>
      </c>
      <c r="D141" s="637">
        <v>0</v>
      </c>
      <c r="E141" s="638">
        <v>98.196960000000004</v>
      </c>
      <c r="F141" s="638">
        <v>0</v>
      </c>
      <c r="G141" s="638">
        <v>0</v>
      </c>
      <c r="H141" s="639">
        <f t="shared" si="4"/>
        <v>98.196960000000004</v>
      </c>
      <c r="I141" s="638">
        <v>41.488</v>
      </c>
      <c r="J141" s="638">
        <f t="shared" si="5"/>
        <v>139.68495999999999</v>
      </c>
      <c r="K141" s="640" t="s">
        <v>356</v>
      </c>
      <c r="L141" s="627">
        <f t="array" ref="L141">IFERROR(INDEX(UtilityList!Q$4:Q$251,MATCH('Table 2.3a'!$A141&amp;'Table 2.3a'!$B141&amp;'Table 2.3a'!$C141,UtilityList!$A$4:$A$251&amp;UtilityList!$B$4:$B$251&amp;UtilityList!$C$4:$C$251,0)),INDEX(UtilityList!Q$4:Q$251,MATCH('Table 2.3a'!$A141&amp;'Table 2.3a'!$C141,UtilityList!$A$4:$A$251&amp;UtilityList!$C$4:$C$251,0)))</f>
        <v>0</v>
      </c>
      <c r="M141" s="452" t="str">
        <f t="array" ref="M141">IFERROR(INDEX(UtilityList!J$4:J$251,MATCH('Table 2.3a'!$A141&amp;'Table 2.3a'!$B141&amp;'Table 2.3a'!$C141,UtilityList!$A$4:$A$251&amp;UtilityList!$B$4:$B$251&amp;UtilityList!$C$4:$C$251,0)),INDEX(UtilityList!J$4:J$251,MATCH('Table 2.3a'!$A141&amp;'Table 2.3a'!$C141,UtilityList!$A$4:$A$251&amp;UtilityList!$C$4:$C$251,0)))</f>
        <v>Southeast</v>
      </c>
      <c r="N141" s="452" t="str">
        <f t="array" ref="N141">IFERROR(INDEX(UtilityList!K$4:K$251,MATCH('Table 2.3a'!$A141&amp;'Table 2.3a'!$B141&amp;'Table 2.3a'!$C141,UtilityList!$A$4:$A$251&amp;UtilityList!$B$4:$B$251&amp;UtilityList!$C$4:$C$251,0)),INDEX(UtilityList!K$4:K$251,MATCH('Table 2.3a'!$A141&amp;'Table 2.3a'!$C141,UtilityList!$A$4:$A$251&amp;UtilityList!$C$4:$C$251,0)))</f>
        <v>Hoonah-Angoon (CA)</v>
      </c>
      <c r="O141" s="452" t="str">
        <f t="array" ref="O141">IFERROR(INDEX(UtilityList!L$4:L$251,MATCH('Table 2.3a'!$A141&amp;'Table 2.3a'!$B141&amp;'Table 2.3a'!$C141,UtilityList!$A$4:$A$251&amp;UtilityList!$B$4:$B$251&amp;UtilityList!$C$4:$C$251,0)),INDEX(UtilityList!L$4:L$251,MATCH('Table 2.3a'!$A141&amp;'Table 2.3a'!$C141,UtilityList!$A$4:$A$251&amp;UtilityList!$C$4:$C$251,0)))</f>
        <v>Sealaska</v>
      </c>
      <c r="P141" s="452" t="str">
        <f t="array" ref="P141">IFERROR(INDEX(UtilityList!M$4:M$251,MATCH('Table 2.3a'!$A141&amp;'Table 2.3a'!$B141&amp;'Table 2.3a'!$C141,UtilityList!$A$4:$A$251&amp;UtilityList!$B$4:$B$251&amp;UtilityList!$C$4:$C$251,0)),INDEX(UtilityList!M$4:M$251,MATCH('Table 2.3a'!$A141&amp;'Table 2.3a'!$C141,UtilityList!$A$4:$A$251&amp;UtilityList!$C$4:$C$251,0)))</f>
        <v>SE</v>
      </c>
    </row>
    <row r="142" spans="1:17" s="126" customFormat="1" ht="30" customHeight="1" x14ac:dyDescent="0.25">
      <c r="A142" s="385" t="s">
        <v>535</v>
      </c>
      <c r="B142" s="385" t="s">
        <v>192</v>
      </c>
      <c r="C142" s="635" t="s">
        <v>192</v>
      </c>
      <c r="D142" s="637">
        <v>0</v>
      </c>
      <c r="E142" s="638">
        <v>3061.62</v>
      </c>
      <c r="F142" s="638">
        <v>0</v>
      </c>
      <c r="G142" s="638">
        <v>0</v>
      </c>
      <c r="H142" s="639">
        <f t="shared" si="4"/>
        <v>3061.62</v>
      </c>
      <c r="I142" s="638">
        <v>30.38</v>
      </c>
      <c r="J142" s="638">
        <f t="shared" si="5"/>
        <v>3092</v>
      </c>
      <c r="K142" s="646" t="s">
        <v>356</v>
      </c>
      <c r="L142" s="627">
        <f t="array" ref="L142">IFERROR(INDEX(UtilityList!Q$4:Q$251,MATCH('Table 2.3a'!$A142&amp;'Table 2.3a'!$B142&amp;'Table 2.3a'!$C142,UtilityList!$A$4:$A$251&amp;UtilityList!$B$4:$B$251&amp;UtilityList!$C$4:$C$251,0)),INDEX(UtilityList!Q$4:Q$251,MATCH('Table 2.3a'!$A142&amp;'Table 2.3a'!$C142,UtilityList!$A$4:$A$251&amp;UtilityList!$C$4:$C$251,0)))</f>
        <v>0</v>
      </c>
      <c r="M142" s="452" t="str">
        <f t="array" ref="M142">IFERROR(INDEX(UtilityList!J$4:J$251,MATCH('Table 2.3a'!$A142&amp;'Table 2.3a'!$B142&amp;'Table 2.3a'!$C142,UtilityList!$A$4:$A$251&amp;UtilityList!$B$4:$B$251&amp;UtilityList!$C$4:$C$251,0)),INDEX(UtilityList!J$4:J$251,MATCH('Table 2.3a'!$A142&amp;'Table 2.3a'!$C142,UtilityList!$A$4:$A$251&amp;UtilityList!$C$4:$C$251,0)))</f>
        <v>Yukon-Koyukuk/Upper Tanana</v>
      </c>
      <c r="N142" s="452" t="str">
        <f t="array" ref="N142">IFERROR(INDEX(UtilityList!K$4:K$251,MATCH('Table 2.3a'!$A142&amp;'Table 2.3a'!$B142&amp;'Table 2.3a'!$C142,UtilityList!$A$4:$A$251&amp;UtilityList!$B$4:$B$251&amp;UtilityList!$C$4:$C$251,0)),INDEX(UtilityList!K$4:K$251,MATCH('Table 2.3a'!$A142&amp;'Table 2.3a'!$C142,UtilityList!$A$4:$A$251&amp;UtilityList!$C$4:$C$251,0)))</f>
        <v>Yukon-Koyukuk (CA)</v>
      </c>
      <c r="O142" s="452" t="str">
        <f t="array" ref="O142">IFERROR(INDEX(UtilityList!L$4:L$251,MATCH('Table 2.3a'!$A142&amp;'Table 2.3a'!$B142&amp;'Table 2.3a'!$C142,UtilityList!$A$4:$A$251&amp;UtilityList!$B$4:$B$251&amp;UtilityList!$C$4:$C$251,0)),INDEX(UtilityList!L$4:L$251,MATCH('Table 2.3a'!$A142&amp;'Table 2.3a'!$C142,UtilityList!$A$4:$A$251&amp;UtilityList!$C$4:$C$251,0)))</f>
        <v>Doyon</v>
      </c>
      <c r="P142" s="452" t="str">
        <f t="array" ref="P142">IFERROR(INDEX(UtilityList!M$4:M$251,MATCH('Table 2.3a'!$A142&amp;'Table 2.3a'!$B142&amp;'Table 2.3a'!$C142,UtilityList!$A$4:$A$251&amp;UtilityList!$B$4:$B$251&amp;UtilityList!$C$4:$C$251,0)),INDEX(UtilityList!M$4:M$251,MATCH('Table 2.3a'!$A142&amp;'Table 2.3a'!$C142,UtilityList!$A$4:$A$251&amp;UtilityList!$C$4:$C$251,0)))</f>
        <v>YU</v>
      </c>
      <c r="Q142" s="344"/>
    </row>
    <row r="143" spans="1:17" s="126" customFormat="1" ht="30" customHeight="1" x14ac:dyDescent="0.25">
      <c r="A143" s="360" t="s">
        <v>193</v>
      </c>
      <c r="B143" s="452" t="s">
        <v>194</v>
      </c>
      <c r="C143" s="388"/>
      <c r="D143" s="637">
        <v>276289</v>
      </c>
      <c r="E143" s="641">
        <v>0</v>
      </c>
      <c r="F143" s="642">
        <v>0</v>
      </c>
      <c r="G143" s="642">
        <v>0</v>
      </c>
      <c r="H143" s="639">
        <f t="shared" si="4"/>
        <v>276289</v>
      </c>
      <c r="I143" s="641">
        <v>1486</v>
      </c>
      <c r="J143" s="638">
        <f t="shared" si="5"/>
        <v>277775</v>
      </c>
      <c r="K143" s="636" t="s">
        <v>558</v>
      </c>
      <c r="L143" s="627">
        <f t="array" ref="L143">IFERROR(INDEX(UtilityList!Q$4:Q$251,MATCH('Table 2.3a'!$A143&amp;'Table 2.3a'!$B143&amp;'Table 2.3a'!$C143,UtilityList!$A$4:$A$251&amp;UtilityList!$B$4:$B$251&amp;UtilityList!$C$4:$C$251,0)),INDEX(UtilityList!Q$4:Q$251,MATCH('Table 2.3a'!$A143&amp;'Table 2.3a'!$C143,UtilityList!$A$4:$A$251&amp;UtilityList!$C$4:$C$251,0)))</f>
        <v>0</v>
      </c>
      <c r="M143" s="452" t="str">
        <f t="array" ref="M143">IFERROR(INDEX(UtilityList!J$4:J$251,MATCH('Table 2.3a'!$A143&amp;'Table 2.3a'!$B143&amp;'Table 2.3a'!$C143,UtilityList!$A$4:$A$251&amp;UtilityList!$B$4:$B$251&amp;UtilityList!$C$4:$C$251,0)),INDEX(UtilityList!J$4:J$251,MATCH('Table 2.3a'!$A143&amp;'Table 2.3a'!$C143,UtilityList!$A$4:$A$251&amp;UtilityList!$C$4:$C$251,0)))</f>
        <v>Railbelt</v>
      </c>
      <c r="N143" s="452" t="str">
        <f t="array" ref="N143">IFERROR(INDEX(UtilityList!K$4:K$251,MATCH('Table 2.3a'!$A143&amp;'Table 2.3a'!$B143&amp;'Table 2.3a'!$C143,UtilityList!$A$4:$A$251&amp;UtilityList!$B$4:$B$251&amp;UtilityList!$C$4:$C$251,0)),INDEX(UtilityList!K$4:K$251,MATCH('Table 2.3a'!$A143&amp;'Table 2.3a'!$C143,UtilityList!$A$4:$A$251&amp;UtilityList!$C$4:$C$251,0)))</f>
        <v>Kenai Peninsula</v>
      </c>
      <c r="O143" s="452" t="str">
        <f t="array" ref="O143">IFERROR(INDEX(UtilityList!L$4:L$251,MATCH('Table 2.3a'!$A143&amp;'Table 2.3a'!$B143&amp;'Table 2.3a'!$C143,UtilityList!$A$4:$A$251&amp;UtilityList!$B$4:$B$251&amp;UtilityList!$C$4:$C$251,0)),INDEX(UtilityList!L$4:L$251,MATCH('Table 2.3a'!$A143&amp;'Table 2.3a'!$C143,UtilityList!$A$4:$A$251&amp;UtilityList!$C$4:$C$251,0)))</f>
        <v>Cook Inlet</v>
      </c>
      <c r="P143" s="452" t="str">
        <f t="array" ref="P143">IFERROR(INDEX(UtilityList!M$4:M$251,MATCH('Table 2.3a'!$A143&amp;'Table 2.3a'!$B143&amp;'Table 2.3a'!$C143,UtilityList!$A$4:$A$251&amp;UtilityList!$B$4:$B$251&amp;UtilityList!$C$4:$C$251,0)),INDEX(UtilityList!M$4:M$251,MATCH('Table 2.3a'!$A143&amp;'Table 2.3a'!$C143,UtilityList!$A$4:$A$251&amp;UtilityList!$C$4:$C$251,0)))</f>
        <v>SC</v>
      </c>
      <c r="Q143" s="187"/>
    </row>
    <row r="144" spans="1:17" s="187" customFormat="1" ht="30" customHeight="1" x14ac:dyDescent="0.25">
      <c r="A144" s="360" t="s">
        <v>193</v>
      </c>
      <c r="B144" s="452" t="s">
        <v>195</v>
      </c>
      <c r="C144" s="388"/>
      <c r="D144" s="637">
        <v>0</v>
      </c>
      <c r="E144" s="642">
        <v>143</v>
      </c>
      <c r="F144" s="642">
        <v>0</v>
      </c>
      <c r="G144" s="642">
        <v>0</v>
      </c>
      <c r="H144" s="639">
        <f t="shared" si="4"/>
        <v>143</v>
      </c>
      <c r="I144" s="641"/>
      <c r="J144" s="638" t="str">
        <f t="shared" si="5"/>
        <v/>
      </c>
      <c r="K144" s="361" t="s">
        <v>558</v>
      </c>
      <c r="L144" s="627">
        <f t="array" ref="L144">IFERROR(INDEX(UtilityList!Q$4:Q$251,MATCH('Table 2.3a'!$A144&amp;'Table 2.3a'!$B144&amp;'Table 2.3a'!$C144,UtilityList!$A$4:$A$251&amp;UtilityList!$B$4:$B$251&amp;UtilityList!$C$4:$C$251,0)),INDEX(UtilityList!Q$4:Q$251,MATCH('Table 2.3a'!$A144&amp;'Table 2.3a'!$C144,UtilityList!$A$4:$A$251&amp;UtilityList!$C$4:$C$251,0)))</f>
        <v>0</v>
      </c>
      <c r="M144" s="452" t="str">
        <f t="array" ref="M144">IFERROR(INDEX(UtilityList!J$4:J$251,MATCH('Table 2.3a'!$A144&amp;'Table 2.3a'!$B144&amp;'Table 2.3a'!$C144,UtilityList!$A$4:$A$251&amp;UtilityList!$B$4:$B$251&amp;UtilityList!$C$4:$C$251,0)),INDEX(UtilityList!J$4:J$251,MATCH('Table 2.3a'!$A144&amp;'Table 2.3a'!$C144,UtilityList!$A$4:$A$251&amp;UtilityList!$C$4:$C$251,0)))</f>
        <v>Railbelt</v>
      </c>
      <c r="N144" s="452" t="str">
        <f t="array" ref="N144">IFERROR(INDEX(UtilityList!K$4:K$251,MATCH('Table 2.3a'!$A144&amp;'Table 2.3a'!$B144&amp;'Table 2.3a'!$C144,UtilityList!$A$4:$A$251&amp;UtilityList!$B$4:$B$251&amp;UtilityList!$C$4:$C$251,0)),INDEX(UtilityList!K$4:K$251,MATCH('Table 2.3a'!$A144&amp;'Table 2.3a'!$C144,UtilityList!$A$4:$A$251&amp;UtilityList!$C$4:$C$251,0)))</f>
        <v>Kenai Peninsula</v>
      </c>
      <c r="O144" s="452" t="str">
        <f t="array" ref="O144">IFERROR(INDEX(UtilityList!L$4:L$251,MATCH('Table 2.3a'!$A144&amp;'Table 2.3a'!$B144&amp;'Table 2.3a'!$C144,UtilityList!$A$4:$A$251&amp;UtilityList!$B$4:$B$251&amp;UtilityList!$C$4:$C$251,0)),INDEX(UtilityList!L$4:L$251,MATCH('Table 2.3a'!$A144&amp;'Table 2.3a'!$C144,UtilityList!$A$4:$A$251&amp;UtilityList!$C$4:$C$251,0)))</f>
        <v>Cook Inlet</v>
      </c>
      <c r="P144" s="452" t="str">
        <f t="array" ref="P144">IFERROR(INDEX(UtilityList!M$4:M$251,MATCH('Table 2.3a'!$A144&amp;'Table 2.3a'!$B144&amp;'Table 2.3a'!$C144,UtilityList!$A$4:$A$251&amp;UtilityList!$B$4:$B$251&amp;UtilityList!$C$4:$C$251,0)),INDEX(UtilityList!M$4:M$251,MATCH('Table 2.3a'!$A144&amp;'Table 2.3a'!$C144,UtilityList!$A$4:$A$251&amp;UtilityList!$C$4:$C$251,0)))</f>
        <v>SC</v>
      </c>
    </row>
    <row r="145" spans="1:17" s="187" customFormat="1" ht="60" x14ac:dyDescent="0.25">
      <c r="A145" s="360" t="s">
        <v>193</v>
      </c>
      <c r="B145" s="385" t="s">
        <v>312</v>
      </c>
      <c r="C145" s="635"/>
      <c r="D145" s="637">
        <v>0</v>
      </c>
      <c r="E145" s="648">
        <v>0</v>
      </c>
      <c r="F145" s="648">
        <v>303900</v>
      </c>
      <c r="G145" s="648">
        <v>0</v>
      </c>
      <c r="H145" s="639">
        <f t="shared" si="4"/>
        <v>303900</v>
      </c>
      <c r="I145" s="648"/>
      <c r="J145" s="638" t="str">
        <f t="shared" si="5"/>
        <v/>
      </c>
      <c r="K145" s="646" t="s">
        <v>558</v>
      </c>
      <c r="L145" s="627" t="str">
        <f t="array" ref="L145">IFERROR(INDEX(UtilityList!Q$4:Q$251,MATCH('Table 2.3a'!$A145&amp;'Table 2.3a'!$B145&amp;'Table 2.3a'!$C145,UtilityList!$A$4:$A$251&amp;UtilityList!$B$4:$B$251&amp;UtilityList!$C$4:$C$251,0)),INDEX(UtilityList!Q$4:Q$251,MATCH('Table 2.3a'!$A145&amp;'Table 2.3a'!$C145,UtilityList!$A$4:$A$251&amp;UtilityList!$C$4:$C$251,0)))</f>
        <v>Generation from Bradley Lake is shared among Chugach, AML&amp;P, HEA, MEA, Seward Electric and GVEA</v>
      </c>
      <c r="M145" s="452" t="str">
        <f t="array" ref="M145">IFERROR(INDEX(UtilityList!J$4:J$251,MATCH('Table 2.3a'!$A145&amp;'Table 2.3a'!$B145&amp;'Table 2.3a'!$C145,UtilityList!$A$4:$A$251&amp;UtilityList!$B$4:$B$251&amp;UtilityList!$C$4:$C$251,0)),INDEX(UtilityList!J$4:J$251,MATCH('Table 2.3a'!$A145&amp;'Table 2.3a'!$C145,UtilityList!$A$4:$A$251&amp;UtilityList!$C$4:$C$251,0)))</f>
        <v>Railbelt</v>
      </c>
      <c r="N145" s="452" t="str">
        <f t="array" ref="N145">IFERROR(INDEX(UtilityList!K$4:K$251,MATCH('Table 2.3a'!$A145&amp;'Table 2.3a'!$B145&amp;'Table 2.3a'!$C145,UtilityList!$A$4:$A$251&amp;UtilityList!$B$4:$B$251&amp;UtilityList!$C$4:$C$251,0)),INDEX(UtilityList!K$4:K$251,MATCH('Table 2.3a'!$A145&amp;'Table 2.3a'!$C145,UtilityList!$A$4:$A$251&amp;UtilityList!$C$4:$C$251,0)))</f>
        <v>Anchorage</v>
      </c>
      <c r="O145" s="452" t="str">
        <f t="array" ref="O145">IFERROR(INDEX(UtilityList!L$4:L$251,MATCH('Table 2.3a'!$A145&amp;'Table 2.3a'!$B145&amp;'Table 2.3a'!$C145,UtilityList!$A$4:$A$251&amp;UtilityList!$B$4:$B$251&amp;UtilityList!$C$4:$C$251,0)),INDEX(UtilityList!L$4:L$251,MATCH('Table 2.3a'!$A145&amp;'Table 2.3a'!$C145,UtilityList!$A$4:$A$251&amp;UtilityList!$C$4:$C$251,0)))</f>
        <v>Cook Inlet</v>
      </c>
      <c r="P145" s="452" t="str">
        <f t="array" ref="P145">IFERROR(INDEX(UtilityList!M$4:M$251,MATCH('Table 2.3a'!$A145&amp;'Table 2.3a'!$B145&amp;'Table 2.3a'!$C145,UtilityList!$A$4:$A$251&amp;UtilityList!$B$4:$B$251&amp;UtilityList!$C$4:$C$251,0)),INDEX(UtilityList!M$4:M$251,MATCH('Table 2.3a'!$A145&amp;'Table 2.3a'!$C145,UtilityList!$A$4:$A$251&amp;UtilityList!$C$4:$C$251,0)))</f>
        <v>SC</v>
      </c>
    </row>
    <row r="146" spans="1:17" s="344" customFormat="1" ht="30" customHeight="1" x14ac:dyDescent="0.25">
      <c r="A146" s="360" t="s">
        <v>196</v>
      </c>
      <c r="B146" s="360" t="s">
        <v>197</v>
      </c>
      <c r="C146" s="387" t="s">
        <v>197</v>
      </c>
      <c r="D146" s="637">
        <v>0</v>
      </c>
      <c r="E146" s="638">
        <v>372.29500000000002</v>
      </c>
      <c r="F146" s="638">
        <v>0</v>
      </c>
      <c r="G146" s="638">
        <v>0</v>
      </c>
      <c r="H146" s="639">
        <f t="shared" si="4"/>
        <v>372.29500000000002</v>
      </c>
      <c r="I146" s="638">
        <v>36.365000000000002</v>
      </c>
      <c r="J146" s="638">
        <f t="shared" si="5"/>
        <v>408.66</v>
      </c>
      <c r="K146" s="640" t="s">
        <v>356</v>
      </c>
      <c r="L146" s="627">
        <f t="array" ref="L146">IFERROR(INDEX(UtilityList!Q$4:Q$251,MATCH('Table 2.3a'!$A146&amp;'Table 2.3a'!$B146&amp;'Table 2.3a'!$C146,UtilityList!$A$4:$A$251&amp;UtilityList!$B$4:$B$251&amp;UtilityList!$C$4:$C$251,0)),INDEX(UtilityList!Q$4:Q$251,MATCH('Table 2.3a'!$A146&amp;'Table 2.3a'!$C146,UtilityList!$A$4:$A$251&amp;UtilityList!$C$4:$C$251,0)))</f>
        <v>0</v>
      </c>
      <c r="M146" s="452" t="str">
        <f t="array" ref="M146">IFERROR(INDEX(UtilityList!J$4:J$251,MATCH('Table 2.3a'!$A146&amp;'Table 2.3a'!$B146&amp;'Table 2.3a'!$C146,UtilityList!$A$4:$A$251&amp;UtilityList!$B$4:$B$251&amp;UtilityList!$C$4:$C$251,0)),INDEX(UtilityList!J$4:J$251,MATCH('Table 2.3a'!$A146&amp;'Table 2.3a'!$C146,UtilityList!$A$4:$A$251&amp;UtilityList!$C$4:$C$251,0)))</f>
        <v>Yukon-Koyukuk/Upper Tanana</v>
      </c>
      <c r="N146" s="452" t="str">
        <f t="array" ref="N146">IFERROR(INDEX(UtilityList!K$4:K$251,MATCH('Table 2.3a'!$A146&amp;'Table 2.3a'!$B146&amp;'Table 2.3a'!$C146,UtilityList!$A$4:$A$251&amp;UtilityList!$B$4:$B$251&amp;UtilityList!$C$4:$C$251,0)),INDEX(UtilityList!K$4:K$251,MATCH('Table 2.3a'!$A146&amp;'Table 2.3a'!$C146,UtilityList!$A$4:$A$251&amp;UtilityList!$C$4:$C$251,0)))</f>
        <v>Yukon-Koyukuk (CA)</v>
      </c>
      <c r="O146" s="452" t="str">
        <f t="array" ref="O146">IFERROR(INDEX(UtilityList!L$4:L$251,MATCH('Table 2.3a'!$A146&amp;'Table 2.3a'!$B146&amp;'Table 2.3a'!$C146,UtilityList!$A$4:$A$251&amp;UtilityList!$B$4:$B$251&amp;UtilityList!$C$4:$C$251,0)),INDEX(UtilityList!L$4:L$251,MATCH('Table 2.3a'!$A146&amp;'Table 2.3a'!$C146,UtilityList!$A$4:$A$251&amp;UtilityList!$C$4:$C$251,0)))</f>
        <v>Doyon</v>
      </c>
      <c r="P146" s="452" t="str">
        <f t="array" ref="P146">IFERROR(INDEX(UtilityList!M$4:M$251,MATCH('Table 2.3a'!$A146&amp;'Table 2.3a'!$B146&amp;'Table 2.3a'!$C146,UtilityList!$A$4:$A$251&amp;UtilityList!$B$4:$B$251&amp;UtilityList!$C$4:$C$251,0)),INDEX(UtilityList!M$4:M$251,MATCH('Table 2.3a'!$A146&amp;'Table 2.3a'!$C146,UtilityList!$A$4:$A$251&amp;UtilityList!$C$4:$C$251,0)))</f>
        <v>YU</v>
      </c>
    </row>
    <row r="147" spans="1:17" s="344" customFormat="1" ht="30" customHeight="1" x14ac:dyDescent="0.25">
      <c r="A147" s="385" t="s">
        <v>198</v>
      </c>
      <c r="B147" s="385" t="s">
        <v>199</v>
      </c>
      <c r="C147" s="635" t="s">
        <v>199</v>
      </c>
      <c r="D147" s="637">
        <v>0</v>
      </c>
      <c r="E147" s="638">
        <v>307.7185455</v>
      </c>
      <c r="F147" s="638">
        <v>0</v>
      </c>
      <c r="G147" s="638">
        <v>0</v>
      </c>
      <c r="H147" s="639">
        <f t="shared" si="4"/>
        <v>307.7185455</v>
      </c>
      <c r="I147" s="638">
        <v>13.513727000000001</v>
      </c>
      <c r="J147" s="638">
        <f t="shared" si="5"/>
        <v>321.23227250000002</v>
      </c>
      <c r="K147" s="646" t="s">
        <v>356</v>
      </c>
      <c r="L147" s="627">
        <f t="array" ref="L147">IFERROR(INDEX(UtilityList!Q$4:Q$251,MATCH('Table 2.3a'!$A147&amp;'Table 2.3a'!$B147&amp;'Table 2.3a'!$C147,UtilityList!$A$4:$A$251&amp;UtilityList!$B$4:$B$251&amp;UtilityList!$C$4:$C$251,0)),INDEX(UtilityList!Q$4:Q$251,MATCH('Table 2.3a'!$A147&amp;'Table 2.3a'!$C147,UtilityList!$A$4:$A$251&amp;UtilityList!$C$4:$C$251,0)))</f>
        <v>0</v>
      </c>
      <c r="M147" s="452" t="str">
        <f t="array" ref="M147">IFERROR(INDEX(UtilityList!J$4:J$251,MATCH('Table 2.3a'!$A147&amp;'Table 2.3a'!$B147&amp;'Table 2.3a'!$C147,UtilityList!$A$4:$A$251&amp;UtilityList!$B$4:$B$251&amp;UtilityList!$C$4:$C$251,0)),INDEX(UtilityList!J$4:J$251,MATCH('Table 2.3a'!$A147&amp;'Table 2.3a'!$C147,UtilityList!$A$4:$A$251&amp;UtilityList!$C$4:$C$251,0)))</f>
        <v>Bristol Bay</v>
      </c>
      <c r="N147" s="452" t="str">
        <f t="array" ref="N147">IFERROR(INDEX(UtilityList!K$4:K$251,MATCH('Table 2.3a'!$A147&amp;'Table 2.3a'!$B147&amp;'Table 2.3a'!$C147,UtilityList!$A$4:$A$251&amp;UtilityList!$B$4:$B$251&amp;UtilityList!$C$4:$C$251,0)),INDEX(UtilityList!K$4:K$251,MATCH('Table 2.3a'!$A147&amp;'Table 2.3a'!$C147,UtilityList!$A$4:$A$251&amp;UtilityList!$C$4:$C$251,0)))</f>
        <v>Lake and Peninsula</v>
      </c>
      <c r="O147" s="452" t="str">
        <f t="array" ref="O147">IFERROR(INDEX(UtilityList!L$4:L$251,MATCH('Table 2.3a'!$A147&amp;'Table 2.3a'!$B147&amp;'Table 2.3a'!$C147,UtilityList!$A$4:$A$251&amp;UtilityList!$B$4:$B$251&amp;UtilityList!$C$4:$C$251,0)),INDEX(UtilityList!L$4:L$251,MATCH('Table 2.3a'!$A147&amp;'Table 2.3a'!$C147,UtilityList!$A$4:$A$251&amp;UtilityList!$C$4:$C$251,0)))</f>
        <v>Bristol Bay</v>
      </c>
      <c r="P147" s="452" t="str">
        <f t="array" ref="P147">IFERROR(INDEX(UtilityList!M$4:M$251,MATCH('Table 2.3a'!$A147&amp;'Table 2.3a'!$B147&amp;'Table 2.3a'!$C147,UtilityList!$A$4:$A$251&amp;UtilityList!$B$4:$B$251&amp;UtilityList!$C$4:$C$251,0)),INDEX(UtilityList!M$4:M$251,MATCH('Table 2.3a'!$A147&amp;'Table 2.3a'!$C147,UtilityList!$A$4:$A$251&amp;UtilityList!$C$4:$C$251,0)))</f>
        <v>SW</v>
      </c>
    </row>
    <row r="148" spans="1:17" s="344" customFormat="1" ht="30" customHeight="1" x14ac:dyDescent="0.25">
      <c r="A148" s="360" t="s">
        <v>200</v>
      </c>
      <c r="B148" s="385" t="s">
        <v>494</v>
      </c>
      <c r="C148" s="635" t="s">
        <v>658</v>
      </c>
      <c r="D148" s="637">
        <v>0</v>
      </c>
      <c r="E148" s="638">
        <v>84.087000000000003</v>
      </c>
      <c r="F148" s="638">
        <v>0</v>
      </c>
      <c r="G148" s="638">
        <v>0</v>
      </c>
      <c r="H148" s="639">
        <f t="shared" si="4"/>
        <v>84.087000000000003</v>
      </c>
      <c r="I148" s="638">
        <v>0</v>
      </c>
      <c r="J148" s="638">
        <f t="shared" si="5"/>
        <v>84.087000000000003</v>
      </c>
      <c r="K148" s="646" t="s">
        <v>356</v>
      </c>
      <c r="L148" s="627" t="str">
        <f t="array" ref="L148">IFERROR(INDEX(UtilityList!Q$4:Q$251,MATCH('Table 2.3a'!$A148&amp;'Table 2.3a'!$B148&amp;'Table 2.3a'!$C148,UtilityList!$A$4:$A$251&amp;UtilityList!$B$4:$B$251&amp;UtilityList!$C$4:$C$251,0)),INDEX(UtilityList!Q$4:Q$251,MATCH('Table 2.3a'!$A148&amp;'Table 2.3a'!$C148,UtilityList!$A$4:$A$251&amp;UtilityList!$C$4:$C$251,0)))</f>
        <v>Power produced at the Tazimina hydroelectric project and the Newhalen plant is shared by Iliamna, Newhalen and Nondalton. Newhalen's information is included in Nondalton's data.</v>
      </c>
      <c r="M148" s="452" t="str">
        <f t="array" ref="M148">IFERROR(INDEX(UtilityList!J$4:J$251,MATCH('Table 2.3a'!$A148&amp;'Table 2.3a'!$B148&amp;'Table 2.3a'!$C148,UtilityList!$A$4:$A$251&amp;UtilityList!$B$4:$B$251&amp;UtilityList!$C$4:$C$251,0)),INDEX(UtilityList!J$4:J$251,MATCH('Table 2.3a'!$A148&amp;'Table 2.3a'!$C148,UtilityList!$A$4:$A$251&amp;UtilityList!$C$4:$C$251,0)))</f>
        <v>Bristol Bay</v>
      </c>
      <c r="N148" s="452" t="str">
        <f t="array" ref="N148">IFERROR(INDEX(UtilityList!K$4:K$251,MATCH('Table 2.3a'!$A148&amp;'Table 2.3a'!$B148&amp;'Table 2.3a'!$C148,UtilityList!$A$4:$A$251&amp;UtilityList!$B$4:$B$251&amp;UtilityList!$C$4:$C$251,0)),INDEX(UtilityList!K$4:K$251,MATCH('Table 2.3a'!$A148&amp;'Table 2.3a'!$C148,UtilityList!$A$4:$A$251&amp;UtilityList!$C$4:$C$251,0)))</f>
        <v>Lake and Peninsula</v>
      </c>
      <c r="O148" s="452" t="str">
        <f t="array" ref="O148">IFERROR(INDEX(UtilityList!L$4:L$251,MATCH('Table 2.3a'!$A148&amp;'Table 2.3a'!$B148&amp;'Table 2.3a'!$C148,UtilityList!$A$4:$A$251&amp;UtilityList!$B$4:$B$251&amp;UtilityList!$C$4:$C$251,0)),INDEX(UtilityList!L$4:L$251,MATCH('Table 2.3a'!$A148&amp;'Table 2.3a'!$C148,UtilityList!$A$4:$A$251&amp;UtilityList!$C$4:$C$251,0)))</f>
        <v>Bristol Bay</v>
      </c>
      <c r="P148" s="452" t="str">
        <f t="array" ref="P148">IFERROR(INDEX(UtilityList!M$4:M$251,MATCH('Table 2.3a'!$A148&amp;'Table 2.3a'!$B148&amp;'Table 2.3a'!$C148,UtilityList!$A$4:$A$251&amp;UtilityList!$B$4:$B$251&amp;UtilityList!$C$4:$C$251,0)),INDEX(UtilityList!M$4:M$251,MATCH('Table 2.3a'!$A148&amp;'Table 2.3a'!$C148,UtilityList!$A$4:$A$251&amp;UtilityList!$C$4:$C$251,0)))</f>
        <v>SW</v>
      </c>
      <c r="Q148" s="187"/>
    </row>
    <row r="149" spans="1:17" s="344" customFormat="1" ht="75.75" customHeight="1" x14ac:dyDescent="0.25">
      <c r="A149" s="360" t="s">
        <v>200</v>
      </c>
      <c r="B149" s="360" t="s">
        <v>495</v>
      </c>
      <c r="C149" s="387" t="s">
        <v>658</v>
      </c>
      <c r="D149" s="637">
        <v>0</v>
      </c>
      <c r="E149" s="638">
        <v>0</v>
      </c>
      <c r="F149" s="638">
        <v>3566.2379999999998</v>
      </c>
      <c r="G149" s="638">
        <v>0</v>
      </c>
      <c r="H149" s="639">
        <f t="shared" si="4"/>
        <v>3566.2379999999998</v>
      </c>
      <c r="I149" s="638">
        <v>449.22300000000001</v>
      </c>
      <c r="J149" s="638">
        <f t="shared" si="5"/>
        <v>4015.4609999999998</v>
      </c>
      <c r="K149" s="640" t="s">
        <v>356</v>
      </c>
      <c r="L149" s="627" t="str">
        <f t="array" ref="L149">IFERROR(INDEX(UtilityList!Q$4:Q$251,MATCH('Table 2.3a'!$A149&amp;'Table 2.3a'!$B149&amp;'Table 2.3a'!$C149,UtilityList!$A$4:$A$251&amp;UtilityList!$B$4:$B$251&amp;UtilityList!$C$4:$C$251,0)),INDEX(UtilityList!Q$4:Q$251,MATCH('Table 2.3a'!$A149&amp;'Table 2.3a'!$C149,UtilityList!$A$4:$A$251&amp;UtilityList!$C$4:$C$251,0)))</f>
        <v>Power produced at the Tazimina hydroelectric project and the Newhalen plant is shared by Iliamna, Newhalen and Nondalton. Iliamna's information is included in Nondalton's data.</v>
      </c>
      <c r="M149" s="452" t="str">
        <f t="array" ref="M149">IFERROR(INDEX(UtilityList!J$4:J$251,MATCH('Table 2.3a'!$A149&amp;'Table 2.3a'!$B149&amp;'Table 2.3a'!$C149,UtilityList!$A$4:$A$251&amp;UtilityList!$B$4:$B$251&amp;UtilityList!$C$4:$C$251,0)),INDEX(UtilityList!J$4:J$251,MATCH('Table 2.3a'!$A149&amp;'Table 2.3a'!$C149,UtilityList!$A$4:$A$251&amp;UtilityList!$C$4:$C$251,0)))</f>
        <v>Bristol Bay</v>
      </c>
      <c r="N149" s="452" t="str">
        <f t="array" ref="N149">IFERROR(INDEX(UtilityList!K$4:K$251,MATCH('Table 2.3a'!$A149&amp;'Table 2.3a'!$B149&amp;'Table 2.3a'!$C149,UtilityList!$A$4:$A$251&amp;UtilityList!$B$4:$B$251&amp;UtilityList!$C$4:$C$251,0)),INDEX(UtilityList!K$4:K$251,MATCH('Table 2.3a'!$A149&amp;'Table 2.3a'!$C149,UtilityList!$A$4:$A$251&amp;UtilityList!$C$4:$C$251,0)))</f>
        <v>Lake and Peninsula</v>
      </c>
      <c r="O149" s="452" t="str">
        <f t="array" ref="O149">IFERROR(INDEX(UtilityList!L$4:L$251,MATCH('Table 2.3a'!$A149&amp;'Table 2.3a'!$B149&amp;'Table 2.3a'!$C149,UtilityList!$A$4:$A$251&amp;UtilityList!$B$4:$B$251&amp;UtilityList!$C$4:$C$251,0)),INDEX(UtilityList!L$4:L$251,MATCH('Table 2.3a'!$A149&amp;'Table 2.3a'!$C149,UtilityList!$A$4:$A$251&amp;UtilityList!$C$4:$C$251,0)))</f>
        <v>Bristol Bay</v>
      </c>
      <c r="P149" s="452" t="str">
        <f t="array" ref="P149">IFERROR(INDEX(UtilityList!M$4:M$251,MATCH('Table 2.3a'!$A149&amp;'Table 2.3a'!$B149&amp;'Table 2.3a'!$C149,UtilityList!$A$4:$A$251&amp;UtilityList!$B$4:$B$251&amp;UtilityList!$C$4:$C$251,0)),INDEX(UtilityList!M$4:M$251,MATCH('Table 2.3a'!$A149&amp;'Table 2.3a'!$C149,UtilityList!$A$4:$A$251&amp;UtilityList!$C$4:$C$251,0)))</f>
        <v>SW</v>
      </c>
    </row>
    <row r="150" spans="1:17" s="187" customFormat="1" ht="30" customHeight="1" x14ac:dyDescent="0.25">
      <c r="A150" s="360" t="s">
        <v>201</v>
      </c>
      <c r="B150" s="360" t="s">
        <v>202</v>
      </c>
      <c r="C150" s="387" t="s">
        <v>202</v>
      </c>
      <c r="D150" s="637">
        <v>0</v>
      </c>
      <c r="E150" s="638">
        <v>2025.2149999999999</v>
      </c>
      <c r="F150" s="638">
        <v>0</v>
      </c>
      <c r="G150" s="638">
        <v>0</v>
      </c>
      <c r="H150" s="639">
        <f t="shared" si="4"/>
        <v>2025.2149999999999</v>
      </c>
      <c r="I150" s="638">
        <v>63.457999999999998</v>
      </c>
      <c r="J150" s="638">
        <f t="shared" si="5"/>
        <v>2088.6729999999998</v>
      </c>
      <c r="K150" s="640" t="s">
        <v>356</v>
      </c>
      <c r="L150" s="627">
        <f t="array" ref="L150">IFERROR(INDEX(UtilityList!Q$4:Q$251,MATCH('Table 2.3a'!$A150&amp;'Table 2.3a'!$B150&amp;'Table 2.3a'!$C150,UtilityList!$A$4:$A$251&amp;UtilityList!$B$4:$B$251&amp;UtilityList!$C$4:$C$251,0)),INDEX(UtilityList!Q$4:Q$251,MATCH('Table 2.3a'!$A150&amp;'Table 2.3a'!$C150,UtilityList!$A$4:$A$251&amp;UtilityList!$C$4:$C$251,0)))</f>
        <v>0</v>
      </c>
      <c r="M150" s="452" t="str">
        <f t="array" ref="M150">IFERROR(INDEX(UtilityList!J$4:J$251,MATCH('Table 2.3a'!$A150&amp;'Table 2.3a'!$B150&amp;'Table 2.3a'!$C150,UtilityList!$A$4:$A$251&amp;UtilityList!$B$4:$B$251&amp;UtilityList!$C$4:$C$251,0)),INDEX(UtilityList!J$4:J$251,MATCH('Table 2.3a'!$A150&amp;'Table 2.3a'!$C150,UtilityList!$A$4:$A$251&amp;UtilityList!$C$4:$C$251,0)))</f>
        <v>Southeast</v>
      </c>
      <c r="N150" s="452" t="str">
        <f t="array" ref="N150">IFERROR(INDEX(UtilityList!K$4:K$251,MATCH('Table 2.3a'!$A150&amp;'Table 2.3a'!$B150&amp;'Table 2.3a'!$C150,UtilityList!$A$4:$A$251&amp;UtilityList!$B$4:$B$251&amp;UtilityList!$C$4:$C$251,0)),INDEX(UtilityList!K$4:K$251,MATCH('Table 2.3a'!$A150&amp;'Table 2.3a'!$C150,UtilityList!$A$4:$A$251&amp;UtilityList!$C$4:$C$251,0)))</f>
        <v>Hoonah-Angoon (CA)</v>
      </c>
      <c r="O150" s="452" t="str">
        <f t="array" ref="O150">IFERROR(INDEX(UtilityList!L$4:L$251,MATCH('Table 2.3a'!$A150&amp;'Table 2.3a'!$B150&amp;'Table 2.3a'!$C150,UtilityList!$A$4:$A$251&amp;UtilityList!$B$4:$B$251&amp;UtilityList!$C$4:$C$251,0)),INDEX(UtilityList!L$4:L$251,MATCH('Table 2.3a'!$A150&amp;'Table 2.3a'!$C150,UtilityList!$A$4:$A$251&amp;UtilityList!$C$4:$C$251,0)))</f>
        <v>Sealaska</v>
      </c>
      <c r="P150" s="452" t="str">
        <f t="array" ref="P150">IFERROR(INDEX(UtilityList!M$4:M$251,MATCH('Table 2.3a'!$A150&amp;'Table 2.3a'!$B150&amp;'Table 2.3a'!$C150,UtilityList!$A$4:$A$251&amp;UtilityList!$B$4:$B$251&amp;UtilityList!$C$4:$C$251,0)),INDEX(UtilityList!M$4:M$251,MATCH('Table 2.3a'!$A150&amp;'Table 2.3a'!$C150,UtilityList!$A$4:$A$251&amp;UtilityList!$C$4:$C$251,0)))</f>
        <v>SE</v>
      </c>
      <c r="Q150" s="344"/>
    </row>
    <row r="151" spans="1:17" s="344" customFormat="1" ht="30" customHeight="1" x14ac:dyDescent="0.25">
      <c r="A151" s="319" t="s">
        <v>201</v>
      </c>
      <c r="B151" s="307" t="s">
        <v>203</v>
      </c>
      <c r="C151" s="307" t="s">
        <v>203</v>
      </c>
      <c r="D151" s="637">
        <v>0</v>
      </c>
      <c r="E151" s="638">
        <v>-68.440910000000002</v>
      </c>
      <c r="F151" s="638">
        <v>183.54</v>
      </c>
      <c r="G151" s="638">
        <v>0</v>
      </c>
      <c r="H151" s="639">
        <f t="shared" si="4"/>
        <v>115.09908999999999</v>
      </c>
      <c r="I151" s="638">
        <v>68.440909000000005</v>
      </c>
      <c r="J151" s="638">
        <f t="shared" si="5"/>
        <v>183.53999899999999</v>
      </c>
      <c r="K151" s="640" t="s">
        <v>356</v>
      </c>
      <c r="L151" s="627" t="str">
        <f t="array" ref="L151">IFERROR(INDEX(UtilityList!Q$4:Q$251,MATCH('Table 2.3a'!$A151&amp;'Table 2.3a'!$B151&amp;'Table 2.3a'!$C151,UtilityList!$A$4:$A$251&amp;UtilityList!$B$4:$B$251&amp;UtilityList!$C$4:$C$251,0)),INDEX(UtilityList!Q$4:Q$251,MATCH('Table 2.3a'!$A151&amp;'Table 2.3a'!$C151,UtilityList!$A$4:$A$251&amp;UtilityList!$C$4:$C$251,0)))</f>
        <v>Provides power to Klukwan via intertie. Power is purchased from AP&amp;T.</v>
      </c>
      <c r="M151" s="452" t="str">
        <f t="array" ref="M151">IFERROR(INDEX(UtilityList!J$4:J$251,MATCH('Table 2.3a'!$A151&amp;'Table 2.3a'!$B151&amp;'Table 2.3a'!$C151,UtilityList!$A$4:$A$251&amp;UtilityList!$B$4:$B$251&amp;UtilityList!$C$4:$C$251,0)),INDEX(UtilityList!J$4:J$251,MATCH('Table 2.3a'!$A151&amp;'Table 2.3a'!$C151,UtilityList!$A$4:$A$251&amp;UtilityList!$C$4:$C$251,0)))</f>
        <v>Southeast</v>
      </c>
      <c r="N151" s="452" t="str">
        <f t="array" ref="N151">IFERROR(INDEX(UtilityList!K$4:K$251,MATCH('Table 2.3a'!$A151&amp;'Table 2.3a'!$B151&amp;'Table 2.3a'!$C151,UtilityList!$A$4:$A$251&amp;UtilityList!$B$4:$B$251&amp;UtilityList!$C$4:$C$251,0)),INDEX(UtilityList!K$4:K$251,MATCH('Table 2.3a'!$A151&amp;'Table 2.3a'!$C151,UtilityList!$A$4:$A$251&amp;UtilityList!$C$4:$C$251,0)))</f>
        <v>Haines</v>
      </c>
      <c r="O151" s="452" t="str">
        <f t="array" ref="O151">IFERROR(INDEX(UtilityList!L$4:L$251,MATCH('Table 2.3a'!$A151&amp;'Table 2.3a'!$B151&amp;'Table 2.3a'!$C151,UtilityList!$A$4:$A$251&amp;UtilityList!$B$4:$B$251&amp;UtilityList!$C$4:$C$251,0)),INDEX(UtilityList!L$4:L$251,MATCH('Table 2.3a'!$A151&amp;'Table 2.3a'!$C151,UtilityList!$A$4:$A$251&amp;UtilityList!$C$4:$C$251,0)))</f>
        <v>Sealaska</v>
      </c>
      <c r="P151" s="452" t="str">
        <f t="array" ref="P151">IFERROR(INDEX(UtilityList!M$4:M$251,MATCH('Table 2.3a'!$A151&amp;'Table 2.3a'!$B151&amp;'Table 2.3a'!$C151,UtilityList!$A$4:$A$251&amp;UtilityList!$B$4:$B$251&amp;UtilityList!$C$4:$C$251,0)),INDEX(UtilityList!M$4:M$251,MATCH('Table 2.3a'!$A151&amp;'Table 2.3a'!$C151,UtilityList!$A$4:$A$251&amp;UtilityList!$C$4:$C$251,0)))</f>
        <v>SE</v>
      </c>
    </row>
    <row r="152" spans="1:17" s="344" customFormat="1" ht="30" customHeight="1" x14ac:dyDescent="0.25">
      <c r="A152" s="319" t="s">
        <v>201</v>
      </c>
      <c r="B152" s="360" t="s">
        <v>204</v>
      </c>
      <c r="C152" s="387" t="s">
        <v>204</v>
      </c>
      <c r="D152" s="637">
        <v>0</v>
      </c>
      <c r="E152" s="638">
        <v>4816.875</v>
      </c>
      <c r="F152" s="638">
        <v>0</v>
      </c>
      <c r="G152" s="638">
        <v>0</v>
      </c>
      <c r="H152" s="639">
        <f t="shared" si="4"/>
        <v>4816.875</v>
      </c>
      <c r="I152" s="638">
        <v>43.433</v>
      </c>
      <c r="J152" s="638">
        <f t="shared" si="5"/>
        <v>4860.308</v>
      </c>
      <c r="K152" s="640" t="s">
        <v>356</v>
      </c>
      <c r="L152" s="627">
        <f t="array" ref="L152">IFERROR(INDEX(UtilityList!Q$4:Q$251,MATCH('Table 2.3a'!$A152&amp;'Table 2.3a'!$B152&amp;'Table 2.3a'!$C152,UtilityList!$A$4:$A$251&amp;UtilityList!$B$4:$B$251&amp;UtilityList!$C$4:$C$251,0)),INDEX(UtilityList!Q$4:Q$251,MATCH('Table 2.3a'!$A152&amp;'Table 2.3a'!$C152,UtilityList!$A$4:$A$251&amp;UtilityList!$C$4:$C$251,0)))</f>
        <v>0</v>
      </c>
      <c r="M152" s="452" t="str">
        <f t="array" ref="M152">IFERROR(INDEX(UtilityList!J$4:J$251,MATCH('Table 2.3a'!$A152&amp;'Table 2.3a'!$B152&amp;'Table 2.3a'!$C152,UtilityList!$A$4:$A$251&amp;UtilityList!$B$4:$B$251&amp;UtilityList!$C$4:$C$251,0)),INDEX(UtilityList!J$4:J$251,MATCH('Table 2.3a'!$A152&amp;'Table 2.3a'!$C152,UtilityList!$A$4:$A$251&amp;UtilityList!$C$4:$C$251,0)))</f>
        <v>Southeast</v>
      </c>
      <c r="N152" s="452" t="str">
        <f t="array" ref="N152">IFERROR(INDEX(UtilityList!K$4:K$251,MATCH('Table 2.3a'!$A152&amp;'Table 2.3a'!$B152&amp;'Table 2.3a'!$C152,UtilityList!$A$4:$A$251&amp;UtilityList!$B$4:$B$251&amp;UtilityList!$C$4:$C$251,0)),INDEX(UtilityList!K$4:K$251,MATCH('Table 2.3a'!$A152&amp;'Table 2.3a'!$C152,UtilityList!$A$4:$A$251&amp;UtilityList!$C$4:$C$251,0)))</f>
        <v>Hoonah-Angoon (CA)</v>
      </c>
      <c r="O152" s="452" t="str">
        <f t="array" ref="O152">IFERROR(INDEX(UtilityList!L$4:L$251,MATCH('Table 2.3a'!$A152&amp;'Table 2.3a'!$B152&amp;'Table 2.3a'!$C152,UtilityList!$A$4:$A$251&amp;UtilityList!$B$4:$B$251&amp;UtilityList!$C$4:$C$251,0)),INDEX(UtilityList!L$4:L$251,MATCH('Table 2.3a'!$A152&amp;'Table 2.3a'!$C152,UtilityList!$A$4:$A$251&amp;UtilityList!$C$4:$C$251,0)))</f>
        <v>Sealaska</v>
      </c>
      <c r="P152" s="452" t="str">
        <f t="array" ref="P152">IFERROR(INDEX(UtilityList!M$4:M$251,MATCH('Table 2.3a'!$A152&amp;'Table 2.3a'!$B152&amp;'Table 2.3a'!$C152,UtilityList!$A$4:$A$251&amp;UtilityList!$B$4:$B$251&amp;UtilityList!$C$4:$C$251,0)),INDEX(UtilityList!M$4:M$251,MATCH('Table 2.3a'!$A152&amp;'Table 2.3a'!$C152,UtilityList!$A$4:$A$251&amp;UtilityList!$C$4:$C$251,0)))</f>
        <v>SE</v>
      </c>
    </row>
    <row r="153" spans="1:17" s="344" customFormat="1" ht="30" customHeight="1" x14ac:dyDescent="0.25">
      <c r="A153" s="319" t="s">
        <v>201</v>
      </c>
      <c r="B153" s="360" t="s">
        <v>205</v>
      </c>
      <c r="C153" s="387" t="s">
        <v>205</v>
      </c>
      <c r="D153" s="637">
        <v>0</v>
      </c>
      <c r="E153" s="638">
        <v>2769.4879999999998</v>
      </c>
      <c r="F153" s="638">
        <v>0</v>
      </c>
      <c r="G153" s="638">
        <v>0</v>
      </c>
      <c r="H153" s="639">
        <f t="shared" si="4"/>
        <v>2769.4879999999998</v>
      </c>
      <c r="I153" s="638">
        <v>61.9</v>
      </c>
      <c r="J153" s="638">
        <f t="shared" si="5"/>
        <v>2831.3879999999999</v>
      </c>
      <c r="K153" s="640" t="s">
        <v>356</v>
      </c>
      <c r="L153" s="627">
        <f t="array" ref="L153">IFERROR(INDEX(UtilityList!Q$4:Q$251,MATCH('Table 2.3a'!$A153&amp;'Table 2.3a'!$B153&amp;'Table 2.3a'!$C153,UtilityList!$A$4:$A$251&amp;UtilityList!$B$4:$B$251&amp;UtilityList!$C$4:$C$251,0)),INDEX(UtilityList!Q$4:Q$251,MATCH('Table 2.3a'!$A153&amp;'Table 2.3a'!$C153,UtilityList!$A$4:$A$251&amp;UtilityList!$C$4:$C$251,0)))</f>
        <v>0</v>
      </c>
      <c r="M153" s="452" t="str">
        <f t="array" ref="M153">IFERROR(INDEX(UtilityList!J$4:J$251,MATCH('Table 2.3a'!$A153&amp;'Table 2.3a'!$B153&amp;'Table 2.3a'!$C153,UtilityList!$A$4:$A$251&amp;UtilityList!$B$4:$B$251&amp;UtilityList!$C$4:$C$251,0)),INDEX(UtilityList!J$4:J$251,MATCH('Table 2.3a'!$A153&amp;'Table 2.3a'!$C153,UtilityList!$A$4:$A$251&amp;UtilityList!$C$4:$C$251,0)))</f>
        <v>Southeast</v>
      </c>
      <c r="N153" s="452" t="str">
        <f t="array" ref="N153">IFERROR(INDEX(UtilityList!K$4:K$251,MATCH('Table 2.3a'!$A153&amp;'Table 2.3a'!$B153&amp;'Table 2.3a'!$C153,UtilityList!$A$4:$A$251&amp;UtilityList!$B$4:$B$251&amp;UtilityList!$C$4:$C$251,0)),INDEX(UtilityList!K$4:K$251,MATCH('Table 2.3a'!$A153&amp;'Table 2.3a'!$C153,UtilityList!$A$4:$A$251&amp;UtilityList!$C$4:$C$251,0)))</f>
        <v>Petersburg (CA)</v>
      </c>
      <c r="O153" s="452" t="str">
        <f t="array" ref="O153">IFERROR(INDEX(UtilityList!L$4:L$251,MATCH('Table 2.3a'!$A153&amp;'Table 2.3a'!$B153&amp;'Table 2.3a'!$C153,UtilityList!$A$4:$A$251&amp;UtilityList!$B$4:$B$251&amp;UtilityList!$C$4:$C$251,0)),INDEX(UtilityList!L$4:L$251,MATCH('Table 2.3a'!$A153&amp;'Table 2.3a'!$C153,UtilityList!$A$4:$A$251&amp;UtilityList!$C$4:$C$251,0)))</f>
        <v>Sealaska</v>
      </c>
      <c r="P153" s="452" t="str">
        <f t="array" ref="P153">IFERROR(INDEX(UtilityList!M$4:M$251,MATCH('Table 2.3a'!$A153&amp;'Table 2.3a'!$B153&amp;'Table 2.3a'!$C153,UtilityList!$A$4:$A$251&amp;UtilityList!$B$4:$B$251&amp;UtilityList!$C$4:$C$251,0)),INDEX(UtilityList!M$4:M$251,MATCH('Table 2.3a'!$A153&amp;'Table 2.3a'!$C153,UtilityList!$A$4:$A$251&amp;UtilityList!$C$4:$C$251,0)))</f>
        <v>SE</v>
      </c>
      <c r="Q153" s="126"/>
    </row>
    <row r="154" spans="1:17" s="344" customFormat="1" ht="30" customHeight="1" x14ac:dyDescent="0.25">
      <c r="A154" s="319" t="s">
        <v>201</v>
      </c>
      <c r="B154" s="360" t="s">
        <v>206</v>
      </c>
      <c r="C154" s="387" t="s">
        <v>206</v>
      </c>
      <c r="D154" s="637">
        <v>0</v>
      </c>
      <c r="E154" s="638">
        <v>0</v>
      </c>
      <c r="F154" s="638">
        <v>0</v>
      </c>
      <c r="G154" s="638">
        <v>0</v>
      </c>
      <c r="H154" s="639">
        <f t="shared" si="4"/>
        <v>0</v>
      </c>
      <c r="I154" s="638">
        <v>0</v>
      </c>
      <c r="J154" s="638">
        <f t="shared" si="5"/>
        <v>0</v>
      </c>
      <c r="K154" s="640" t="s">
        <v>356</v>
      </c>
      <c r="L154" s="627" t="str">
        <f t="array" ref="L154">IFERROR(INDEX(UtilityList!Q$4:Q$251,MATCH('Table 2.3a'!$A154&amp;'Table 2.3a'!$B154&amp;'Table 2.3a'!$C154,UtilityList!$A$4:$A$251&amp;UtilityList!$B$4:$B$251&amp;UtilityList!$C$4:$C$251,0)),INDEX(UtilityList!Q$4:Q$251,MATCH('Table 2.3a'!$A154&amp;'Table 2.3a'!$C154,UtilityList!$A$4:$A$251&amp;UtilityList!$C$4:$C$251,0)))</f>
        <v>Receives power from Chilkat Valley via intertie. Chilkat Valley purchases power from AP&amp;T.</v>
      </c>
      <c r="M154" s="452" t="str">
        <f t="array" ref="M154">IFERROR(INDEX(UtilityList!J$4:J$251,MATCH('Table 2.3a'!$A154&amp;'Table 2.3a'!$B154&amp;'Table 2.3a'!$C154,UtilityList!$A$4:$A$251&amp;UtilityList!$B$4:$B$251&amp;UtilityList!$C$4:$C$251,0)),INDEX(UtilityList!J$4:J$251,MATCH('Table 2.3a'!$A154&amp;'Table 2.3a'!$C154,UtilityList!$A$4:$A$251&amp;UtilityList!$C$4:$C$251,0)))</f>
        <v>Southeast</v>
      </c>
      <c r="N154" s="452" t="str">
        <f t="array" ref="N154">IFERROR(INDEX(UtilityList!K$4:K$251,MATCH('Table 2.3a'!$A154&amp;'Table 2.3a'!$B154&amp;'Table 2.3a'!$C154,UtilityList!$A$4:$A$251&amp;UtilityList!$B$4:$B$251&amp;UtilityList!$C$4:$C$251,0)),INDEX(UtilityList!K$4:K$251,MATCH('Table 2.3a'!$A154&amp;'Table 2.3a'!$C154,UtilityList!$A$4:$A$251&amp;UtilityList!$C$4:$C$251,0)))</f>
        <v>Hoonah-Angoon (CA)</v>
      </c>
      <c r="O154" s="452" t="str">
        <f t="array" ref="O154">IFERROR(INDEX(UtilityList!L$4:L$251,MATCH('Table 2.3a'!$A154&amp;'Table 2.3a'!$B154&amp;'Table 2.3a'!$C154,UtilityList!$A$4:$A$251&amp;UtilityList!$B$4:$B$251&amp;UtilityList!$C$4:$C$251,0)),INDEX(UtilityList!L$4:L$251,MATCH('Table 2.3a'!$A154&amp;'Table 2.3a'!$C154,UtilityList!$A$4:$A$251&amp;UtilityList!$C$4:$C$251,0)))</f>
        <v>Sealaska</v>
      </c>
      <c r="P154" s="452" t="str">
        <f t="array" ref="P154">IFERROR(INDEX(UtilityList!M$4:M$251,MATCH('Table 2.3a'!$A154&amp;'Table 2.3a'!$B154&amp;'Table 2.3a'!$C154,UtilityList!$A$4:$A$251&amp;UtilityList!$B$4:$B$251&amp;UtilityList!$C$4:$C$251,0)),INDEX(UtilityList!M$4:M$251,MATCH('Table 2.3a'!$A154&amp;'Table 2.3a'!$C154,UtilityList!$A$4:$A$251&amp;UtilityList!$C$4:$C$251,0)))</f>
        <v>SE</v>
      </c>
      <c r="Q154" s="126"/>
    </row>
    <row r="155" spans="1:17" s="344" customFormat="1" ht="30" customHeight="1" x14ac:dyDescent="0.25">
      <c r="A155" s="361" t="s">
        <v>207</v>
      </c>
      <c r="B155" s="361" t="s">
        <v>208</v>
      </c>
      <c r="C155" s="636" t="s">
        <v>208</v>
      </c>
      <c r="D155" s="637">
        <v>0</v>
      </c>
      <c r="E155" s="638">
        <v>336.34699999999998</v>
      </c>
      <c r="F155" s="638">
        <v>0</v>
      </c>
      <c r="G155" s="638">
        <v>0</v>
      </c>
      <c r="H155" s="639">
        <f t="shared" si="4"/>
        <v>336.34699999999998</v>
      </c>
      <c r="I155" s="638">
        <v>9.7289999999999992</v>
      </c>
      <c r="J155" s="638">
        <f t="shared" si="5"/>
        <v>346.07599999999996</v>
      </c>
      <c r="K155" s="640" t="s">
        <v>356</v>
      </c>
      <c r="L155" s="627">
        <f t="array" ref="L155">IFERROR(INDEX(UtilityList!Q$4:Q$251,MATCH('Table 2.3a'!$A155&amp;'Table 2.3a'!$B155&amp;'Table 2.3a'!$C155,UtilityList!$A$4:$A$251&amp;UtilityList!$B$4:$B$251&amp;UtilityList!$C$4:$C$251,0)),INDEX(UtilityList!Q$4:Q$251,MATCH('Table 2.3a'!$A155&amp;'Table 2.3a'!$C155,UtilityList!$A$4:$A$251&amp;UtilityList!$C$4:$C$251,0)))</f>
        <v>0</v>
      </c>
      <c r="M155" s="452" t="str">
        <f t="array" ref="M155">IFERROR(INDEX(UtilityList!J$4:J$251,MATCH('Table 2.3a'!$A155&amp;'Table 2.3a'!$B155&amp;'Table 2.3a'!$C155,UtilityList!$A$4:$A$251&amp;UtilityList!$B$4:$B$251&amp;UtilityList!$C$4:$C$251,0)),INDEX(UtilityList!J$4:J$251,MATCH('Table 2.3a'!$A155&amp;'Table 2.3a'!$C155,UtilityList!$A$4:$A$251&amp;UtilityList!$C$4:$C$251,0)))</f>
        <v>Northwest Arctic</v>
      </c>
      <c r="N155" s="452" t="str">
        <f t="array" ref="N155">IFERROR(INDEX(UtilityList!K$4:K$251,MATCH('Table 2.3a'!$A155&amp;'Table 2.3a'!$B155&amp;'Table 2.3a'!$C155,UtilityList!$A$4:$A$251&amp;UtilityList!$B$4:$B$251&amp;UtilityList!$C$4:$C$251,0)),INDEX(UtilityList!K$4:K$251,MATCH('Table 2.3a'!$A155&amp;'Table 2.3a'!$C155,UtilityList!$A$4:$A$251&amp;UtilityList!$C$4:$C$251,0)))</f>
        <v>Northwest Arctic</v>
      </c>
      <c r="O155" s="452" t="str">
        <f t="array" ref="O155">IFERROR(INDEX(UtilityList!L$4:L$251,MATCH('Table 2.3a'!$A155&amp;'Table 2.3a'!$B155&amp;'Table 2.3a'!$C155,UtilityList!$A$4:$A$251&amp;UtilityList!$B$4:$B$251&amp;UtilityList!$C$4:$C$251,0)),INDEX(UtilityList!L$4:L$251,MATCH('Table 2.3a'!$A155&amp;'Table 2.3a'!$C155,UtilityList!$A$4:$A$251&amp;UtilityList!$C$4:$C$251,0)))</f>
        <v>NANA</v>
      </c>
      <c r="P155" s="452" t="str">
        <f t="array" ref="P155">IFERROR(INDEX(UtilityList!M$4:M$251,MATCH('Table 2.3a'!$A155&amp;'Table 2.3a'!$B155&amp;'Table 2.3a'!$C155,UtilityList!$A$4:$A$251&amp;UtilityList!$B$4:$B$251&amp;UtilityList!$C$4:$C$251,0)),INDEX(UtilityList!M$4:M$251,MATCH('Table 2.3a'!$A155&amp;'Table 2.3a'!$C155,UtilityList!$A$4:$A$251&amp;UtilityList!$C$4:$C$251,0)))</f>
        <v>AN</v>
      </c>
    </row>
    <row r="156" spans="1:17" s="344" customFormat="1" ht="30" customHeight="1" x14ac:dyDescent="0.25">
      <c r="A156" s="360" t="s">
        <v>209</v>
      </c>
      <c r="B156" s="452" t="s">
        <v>210</v>
      </c>
      <c r="C156" s="388" t="s">
        <v>211</v>
      </c>
      <c r="D156" s="637">
        <v>0</v>
      </c>
      <c r="E156" s="641">
        <v>0</v>
      </c>
      <c r="F156" s="642">
        <v>46676</v>
      </c>
      <c r="G156" s="642">
        <v>0</v>
      </c>
      <c r="H156" s="639">
        <f t="shared" si="4"/>
        <v>46676</v>
      </c>
      <c r="I156" s="641">
        <v>229</v>
      </c>
      <c r="J156" s="638">
        <f t="shared" si="5"/>
        <v>46905</v>
      </c>
      <c r="K156" s="636" t="s">
        <v>558</v>
      </c>
      <c r="L156" s="627">
        <f t="array" ref="L156">IFERROR(INDEX(UtilityList!Q$4:Q$251,MATCH('Table 2.3a'!$A156&amp;'Table 2.3a'!$B156&amp;'Table 2.3a'!$C156,UtilityList!$A$4:$A$251&amp;UtilityList!$B$4:$B$251&amp;UtilityList!$C$4:$C$251,0)),INDEX(UtilityList!Q$4:Q$251,MATCH('Table 2.3a'!$A156&amp;'Table 2.3a'!$C156,UtilityList!$A$4:$A$251&amp;UtilityList!$C$4:$C$251,0)))</f>
        <v>0</v>
      </c>
      <c r="M156" s="452" t="str">
        <f t="array" ref="M156">IFERROR(INDEX(UtilityList!J$4:J$251,MATCH('Table 2.3a'!$A156&amp;'Table 2.3a'!$B156&amp;'Table 2.3a'!$C156,UtilityList!$A$4:$A$251&amp;UtilityList!$B$4:$B$251&amp;UtilityList!$C$4:$C$251,0)),INDEX(UtilityList!J$4:J$251,MATCH('Table 2.3a'!$A156&amp;'Table 2.3a'!$C156,UtilityList!$A$4:$A$251&amp;UtilityList!$C$4:$C$251,0)))</f>
        <v>Southeast</v>
      </c>
      <c r="N156" s="452" t="str">
        <f t="array" ref="N156">IFERROR(INDEX(UtilityList!K$4:K$251,MATCH('Table 2.3a'!$A156&amp;'Table 2.3a'!$B156&amp;'Table 2.3a'!$C156,UtilityList!$A$4:$A$251&amp;UtilityList!$B$4:$B$251&amp;UtilityList!$C$4:$C$251,0)),INDEX(UtilityList!K$4:K$251,MATCH('Table 2.3a'!$A156&amp;'Table 2.3a'!$C156,UtilityList!$A$4:$A$251&amp;UtilityList!$C$4:$C$251,0)))</f>
        <v>Ketchikan Gateway</v>
      </c>
      <c r="O156" s="452" t="str">
        <f t="array" ref="O156">IFERROR(INDEX(UtilityList!L$4:L$251,MATCH('Table 2.3a'!$A156&amp;'Table 2.3a'!$B156&amp;'Table 2.3a'!$C156,UtilityList!$A$4:$A$251&amp;UtilityList!$B$4:$B$251&amp;UtilityList!$C$4:$C$251,0)),INDEX(UtilityList!L$4:L$251,MATCH('Table 2.3a'!$A156&amp;'Table 2.3a'!$C156,UtilityList!$A$4:$A$251&amp;UtilityList!$C$4:$C$251,0)))</f>
        <v>Sealaska</v>
      </c>
      <c r="P156" s="452" t="str">
        <f t="array" ref="P156">IFERROR(INDEX(UtilityList!M$4:M$251,MATCH('Table 2.3a'!$A156&amp;'Table 2.3a'!$B156&amp;'Table 2.3a'!$C156,UtilityList!$A$4:$A$251&amp;UtilityList!$B$4:$B$251&amp;UtilityList!$C$4:$C$251,0)),INDEX(UtilityList!M$4:M$251,MATCH('Table 2.3a'!$A156&amp;'Table 2.3a'!$C156,UtilityList!$A$4:$A$251&amp;UtilityList!$C$4:$C$251,0)))</f>
        <v>SE</v>
      </c>
      <c r="Q156" s="187"/>
    </row>
    <row r="157" spans="1:17" s="187" customFormat="1" ht="30" customHeight="1" x14ac:dyDescent="0.25">
      <c r="A157" s="360" t="s">
        <v>209</v>
      </c>
      <c r="B157" s="452" t="s">
        <v>211</v>
      </c>
      <c r="C157" s="388" t="s">
        <v>211</v>
      </c>
      <c r="D157" s="637">
        <v>0</v>
      </c>
      <c r="E157" s="641">
        <v>0</v>
      </c>
      <c r="F157" s="642">
        <v>22625</v>
      </c>
      <c r="G157" s="642">
        <v>0</v>
      </c>
      <c r="H157" s="639">
        <f t="shared" si="4"/>
        <v>22625</v>
      </c>
      <c r="I157" s="641">
        <v>124</v>
      </c>
      <c r="J157" s="638">
        <f t="shared" si="5"/>
        <v>22749</v>
      </c>
      <c r="K157" s="636" t="s">
        <v>558</v>
      </c>
      <c r="L157" s="627">
        <f t="array" ref="L157">IFERROR(INDEX(UtilityList!Q$4:Q$251,MATCH('Table 2.3a'!$A157&amp;'Table 2.3a'!$B157&amp;'Table 2.3a'!$C157,UtilityList!$A$4:$A$251&amp;UtilityList!$B$4:$B$251&amp;UtilityList!$C$4:$C$251,0)),INDEX(UtilityList!Q$4:Q$251,MATCH('Table 2.3a'!$A157&amp;'Table 2.3a'!$C157,UtilityList!$A$4:$A$251&amp;UtilityList!$C$4:$C$251,0)))</f>
        <v>0</v>
      </c>
      <c r="M157" s="452" t="str">
        <f t="array" ref="M157">IFERROR(INDEX(UtilityList!J$4:J$251,MATCH('Table 2.3a'!$A157&amp;'Table 2.3a'!$B157&amp;'Table 2.3a'!$C157,UtilityList!$A$4:$A$251&amp;UtilityList!$B$4:$B$251&amp;UtilityList!$C$4:$C$251,0)),INDEX(UtilityList!J$4:J$251,MATCH('Table 2.3a'!$A157&amp;'Table 2.3a'!$C157,UtilityList!$A$4:$A$251&amp;UtilityList!$C$4:$C$251,0)))</f>
        <v>Southeast</v>
      </c>
      <c r="N157" s="452" t="str">
        <f t="array" ref="N157">IFERROR(INDEX(UtilityList!K$4:K$251,MATCH('Table 2.3a'!$A157&amp;'Table 2.3a'!$B157&amp;'Table 2.3a'!$C157,UtilityList!$A$4:$A$251&amp;UtilityList!$B$4:$B$251&amp;UtilityList!$C$4:$C$251,0)),INDEX(UtilityList!K$4:K$251,MATCH('Table 2.3a'!$A157&amp;'Table 2.3a'!$C157,UtilityList!$A$4:$A$251&amp;UtilityList!$C$4:$C$251,0)))</f>
        <v>Ketchikan Gateway</v>
      </c>
      <c r="O157" s="452" t="str">
        <f t="array" ref="O157">IFERROR(INDEX(UtilityList!L$4:L$251,MATCH('Table 2.3a'!$A157&amp;'Table 2.3a'!$B157&amp;'Table 2.3a'!$C157,UtilityList!$A$4:$A$251&amp;UtilityList!$B$4:$B$251&amp;UtilityList!$C$4:$C$251,0)),INDEX(UtilityList!L$4:L$251,MATCH('Table 2.3a'!$A157&amp;'Table 2.3a'!$C157,UtilityList!$A$4:$A$251&amp;UtilityList!$C$4:$C$251,0)))</f>
        <v>Sealaska</v>
      </c>
      <c r="P157" s="452" t="str">
        <f t="array" ref="P157">IFERROR(INDEX(UtilityList!M$4:M$251,MATCH('Table 2.3a'!$A157&amp;'Table 2.3a'!$B157&amp;'Table 2.3a'!$C157,UtilityList!$A$4:$A$251&amp;UtilityList!$B$4:$B$251&amp;UtilityList!$C$4:$C$251,0)),INDEX(UtilityList!M$4:M$251,MATCH('Table 2.3a'!$A157&amp;'Table 2.3a'!$C157,UtilityList!$A$4:$A$251&amp;UtilityList!$C$4:$C$251,0)))</f>
        <v>SE</v>
      </c>
      <c r="Q157" s="126"/>
    </row>
    <row r="158" spans="1:17" s="344" customFormat="1" ht="30" customHeight="1" x14ac:dyDescent="0.25">
      <c r="A158" s="360" t="s">
        <v>209</v>
      </c>
      <c r="B158" s="452" t="s">
        <v>212</v>
      </c>
      <c r="C158" s="388" t="s">
        <v>211</v>
      </c>
      <c r="D158" s="637">
        <v>0</v>
      </c>
      <c r="E158" s="642">
        <v>2603</v>
      </c>
      <c r="F158" s="642">
        <v>0</v>
      </c>
      <c r="G158" s="642">
        <v>0</v>
      </c>
      <c r="H158" s="639">
        <f t="shared" si="4"/>
        <v>2603</v>
      </c>
      <c r="I158" s="641">
        <v>1941</v>
      </c>
      <c r="J158" s="638">
        <f t="shared" si="5"/>
        <v>4544</v>
      </c>
      <c r="K158" s="636" t="s">
        <v>558</v>
      </c>
      <c r="L158" s="627">
        <f t="array" ref="L158">IFERROR(INDEX(UtilityList!Q$4:Q$251,MATCH('Table 2.3a'!$A158&amp;'Table 2.3a'!$B158&amp;'Table 2.3a'!$C158,UtilityList!$A$4:$A$251&amp;UtilityList!$B$4:$B$251&amp;UtilityList!$C$4:$C$251,0)),INDEX(UtilityList!Q$4:Q$251,MATCH('Table 2.3a'!$A158&amp;'Table 2.3a'!$C158,UtilityList!$A$4:$A$251&amp;UtilityList!$C$4:$C$251,0)))</f>
        <v>0</v>
      </c>
      <c r="M158" s="452" t="str">
        <f t="array" ref="M158">IFERROR(INDEX(UtilityList!J$4:J$251,MATCH('Table 2.3a'!$A158&amp;'Table 2.3a'!$B158&amp;'Table 2.3a'!$C158,UtilityList!$A$4:$A$251&amp;UtilityList!$B$4:$B$251&amp;UtilityList!$C$4:$C$251,0)),INDEX(UtilityList!J$4:J$251,MATCH('Table 2.3a'!$A158&amp;'Table 2.3a'!$C158,UtilityList!$A$4:$A$251&amp;UtilityList!$C$4:$C$251,0)))</f>
        <v>Southeast</v>
      </c>
      <c r="N158" s="452" t="str">
        <f t="array" ref="N158">IFERROR(INDEX(UtilityList!K$4:K$251,MATCH('Table 2.3a'!$A158&amp;'Table 2.3a'!$B158&amp;'Table 2.3a'!$C158,UtilityList!$A$4:$A$251&amp;UtilityList!$B$4:$B$251&amp;UtilityList!$C$4:$C$251,0)),INDEX(UtilityList!K$4:K$251,MATCH('Table 2.3a'!$A158&amp;'Table 2.3a'!$C158,UtilityList!$A$4:$A$251&amp;UtilityList!$C$4:$C$251,0)))</f>
        <v>Ketchikan Gateway</v>
      </c>
      <c r="O158" s="452" t="str">
        <f t="array" ref="O158">IFERROR(INDEX(UtilityList!L$4:L$251,MATCH('Table 2.3a'!$A158&amp;'Table 2.3a'!$B158&amp;'Table 2.3a'!$C158,UtilityList!$A$4:$A$251&amp;UtilityList!$B$4:$B$251&amp;UtilityList!$C$4:$C$251,0)),INDEX(UtilityList!L$4:L$251,MATCH('Table 2.3a'!$A158&amp;'Table 2.3a'!$C158,UtilityList!$A$4:$A$251&amp;UtilityList!$C$4:$C$251,0)))</f>
        <v>Sealaska</v>
      </c>
      <c r="P158" s="452" t="str">
        <f t="array" ref="P158">IFERROR(INDEX(UtilityList!M$4:M$251,MATCH('Table 2.3a'!$A158&amp;'Table 2.3a'!$B158&amp;'Table 2.3a'!$C158,UtilityList!$A$4:$A$251&amp;UtilityList!$B$4:$B$251&amp;UtilityList!$C$4:$C$251,0)),INDEX(UtilityList!M$4:M$251,MATCH('Table 2.3a'!$A158&amp;'Table 2.3a'!$C158,UtilityList!$A$4:$A$251&amp;UtilityList!$C$4:$C$251,0)))</f>
        <v>SE</v>
      </c>
      <c r="Q158" s="126"/>
    </row>
    <row r="159" spans="1:17" s="344" customFormat="1" x14ac:dyDescent="0.25">
      <c r="A159" s="360" t="s">
        <v>209</v>
      </c>
      <c r="B159" s="452" t="s">
        <v>213</v>
      </c>
      <c r="C159" s="388" t="s">
        <v>211</v>
      </c>
      <c r="D159" s="637">
        <v>0</v>
      </c>
      <c r="E159" s="641">
        <v>0</v>
      </c>
      <c r="F159" s="642">
        <v>12871</v>
      </c>
      <c r="G159" s="642">
        <v>0</v>
      </c>
      <c r="H159" s="639">
        <f t="shared" si="4"/>
        <v>12871</v>
      </c>
      <c r="I159" s="641">
        <v>68</v>
      </c>
      <c r="J159" s="638">
        <f t="shared" si="5"/>
        <v>12939</v>
      </c>
      <c r="K159" s="636" t="s">
        <v>558</v>
      </c>
      <c r="L159" s="627">
        <f t="array" ref="L159">IFERROR(INDEX(UtilityList!Q$4:Q$251,MATCH('Table 2.3a'!$A159&amp;'Table 2.3a'!$B159&amp;'Table 2.3a'!$C159,UtilityList!$A$4:$A$251&amp;UtilityList!$B$4:$B$251&amp;UtilityList!$C$4:$C$251,0)),INDEX(UtilityList!Q$4:Q$251,MATCH('Table 2.3a'!$A159&amp;'Table 2.3a'!$C159,UtilityList!$A$4:$A$251&amp;UtilityList!$C$4:$C$251,0)))</f>
        <v>0</v>
      </c>
      <c r="M159" s="452" t="str">
        <f t="array" ref="M159">IFERROR(INDEX(UtilityList!J$4:J$251,MATCH('Table 2.3a'!$A159&amp;'Table 2.3a'!$B159&amp;'Table 2.3a'!$C159,UtilityList!$A$4:$A$251&amp;UtilityList!$B$4:$B$251&amp;UtilityList!$C$4:$C$251,0)),INDEX(UtilityList!J$4:J$251,MATCH('Table 2.3a'!$A159&amp;'Table 2.3a'!$C159,UtilityList!$A$4:$A$251&amp;UtilityList!$C$4:$C$251,0)))</f>
        <v>Southeast</v>
      </c>
      <c r="N159" s="452" t="str">
        <f t="array" ref="N159">IFERROR(INDEX(UtilityList!K$4:K$251,MATCH('Table 2.3a'!$A159&amp;'Table 2.3a'!$B159&amp;'Table 2.3a'!$C159,UtilityList!$A$4:$A$251&amp;UtilityList!$B$4:$B$251&amp;UtilityList!$C$4:$C$251,0)),INDEX(UtilityList!K$4:K$251,MATCH('Table 2.3a'!$A159&amp;'Table 2.3a'!$C159,UtilityList!$A$4:$A$251&amp;UtilityList!$C$4:$C$251,0)))</f>
        <v>Ketchikan Gateway</v>
      </c>
      <c r="O159" s="452" t="str">
        <f t="array" ref="O159">IFERROR(INDEX(UtilityList!L$4:L$251,MATCH('Table 2.3a'!$A159&amp;'Table 2.3a'!$B159&amp;'Table 2.3a'!$C159,UtilityList!$A$4:$A$251&amp;UtilityList!$B$4:$B$251&amp;UtilityList!$C$4:$C$251,0)),INDEX(UtilityList!L$4:L$251,MATCH('Table 2.3a'!$A159&amp;'Table 2.3a'!$C159,UtilityList!$A$4:$A$251&amp;UtilityList!$C$4:$C$251,0)))</f>
        <v>Sealaska</v>
      </c>
      <c r="P159" s="452" t="str">
        <f t="array" ref="P159">IFERROR(INDEX(UtilityList!M$4:M$251,MATCH('Table 2.3a'!$A159&amp;'Table 2.3a'!$B159&amp;'Table 2.3a'!$C159,UtilityList!$A$4:$A$251&amp;UtilityList!$B$4:$B$251&amp;UtilityList!$C$4:$C$251,0)),INDEX(UtilityList!M$4:M$251,MATCH('Table 2.3a'!$A159&amp;'Table 2.3a'!$C159,UtilityList!$A$4:$A$251&amp;UtilityList!$C$4:$C$251,0)))</f>
        <v>SE</v>
      </c>
    </row>
    <row r="160" spans="1:17" s="344" customFormat="1" ht="60" customHeight="1" x14ac:dyDescent="0.25">
      <c r="A160" s="360" t="s">
        <v>209</v>
      </c>
      <c r="B160" s="452" t="s">
        <v>214</v>
      </c>
      <c r="C160" s="388" t="s">
        <v>659</v>
      </c>
      <c r="D160" s="637">
        <v>0</v>
      </c>
      <c r="E160" s="641">
        <v>0</v>
      </c>
      <c r="F160" s="642">
        <v>90502</v>
      </c>
      <c r="G160" s="642">
        <v>0</v>
      </c>
      <c r="H160" s="639">
        <f t="shared" si="4"/>
        <v>90502</v>
      </c>
      <c r="I160" s="641">
        <v>1082</v>
      </c>
      <c r="J160" s="638">
        <f t="shared" si="5"/>
        <v>91584</v>
      </c>
      <c r="K160" s="636" t="s">
        <v>558</v>
      </c>
      <c r="L160" s="627">
        <f t="array" ref="L160">IFERROR(INDEX(UtilityList!Q$4:Q$251,MATCH('Table 2.3a'!$A160&amp;'Table 2.3a'!$B160&amp;'Table 2.3a'!$C160,UtilityList!$A$4:$A$251&amp;UtilityList!$B$4:$B$251&amp;UtilityList!$C$4:$C$251,0)),INDEX(UtilityList!Q$4:Q$251,MATCH('Table 2.3a'!$A160&amp;'Table 2.3a'!$C160,UtilityList!$A$4:$A$251&amp;UtilityList!$C$4:$C$251,0)))</f>
        <v>0</v>
      </c>
      <c r="M160" s="452" t="str">
        <f t="array" ref="M160">IFERROR(INDEX(UtilityList!J$4:J$251,MATCH('Table 2.3a'!$A160&amp;'Table 2.3a'!$B160&amp;'Table 2.3a'!$C160,UtilityList!$A$4:$A$251&amp;UtilityList!$B$4:$B$251&amp;UtilityList!$C$4:$C$251,0)),INDEX(UtilityList!J$4:J$251,MATCH('Table 2.3a'!$A160&amp;'Table 2.3a'!$C160,UtilityList!$A$4:$A$251&amp;UtilityList!$C$4:$C$251,0)))</f>
        <v>Southeast</v>
      </c>
      <c r="N160" s="452" t="str">
        <f t="array" ref="N160">IFERROR(INDEX(UtilityList!K$4:K$251,MATCH('Table 2.3a'!$A160&amp;'Table 2.3a'!$B160&amp;'Table 2.3a'!$C160,UtilityList!$A$4:$A$251&amp;UtilityList!$B$4:$B$251&amp;UtilityList!$C$4:$C$251,0)),INDEX(UtilityList!K$4:K$251,MATCH('Table 2.3a'!$A160&amp;'Table 2.3a'!$C160,UtilityList!$A$4:$A$251&amp;UtilityList!$C$4:$C$251,0)))</f>
        <v>Ketchikan Gateway</v>
      </c>
      <c r="O160" s="452" t="str">
        <f t="array" ref="O160">IFERROR(INDEX(UtilityList!L$4:L$251,MATCH('Table 2.3a'!$A160&amp;'Table 2.3a'!$B160&amp;'Table 2.3a'!$C160,UtilityList!$A$4:$A$251&amp;UtilityList!$B$4:$B$251&amp;UtilityList!$C$4:$C$251,0)),INDEX(UtilityList!L$4:L$251,MATCH('Table 2.3a'!$A160&amp;'Table 2.3a'!$C160,UtilityList!$A$4:$A$251&amp;UtilityList!$C$4:$C$251,0)))</f>
        <v>Sealaska</v>
      </c>
      <c r="P160" s="452" t="str">
        <f t="array" ref="P160">IFERROR(INDEX(UtilityList!M$4:M$251,MATCH('Table 2.3a'!$A160&amp;'Table 2.3a'!$B160&amp;'Table 2.3a'!$C160,UtilityList!$A$4:$A$251&amp;UtilityList!$B$4:$B$251&amp;UtilityList!$C$4:$C$251,0)),INDEX(UtilityList!M$4:M$251,MATCH('Table 2.3a'!$A160&amp;'Table 2.3a'!$C160,UtilityList!$A$4:$A$251&amp;UtilityList!$C$4:$C$251,0)))</f>
        <v>SE</v>
      </c>
    </row>
    <row r="161" spans="1:17" s="126" customFormat="1" x14ac:dyDescent="0.25">
      <c r="A161" s="385" t="s">
        <v>215</v>
      </c>
      <c r="B161" s="385" t="s">
        <v>216</v>
      </c>
      <c r="C161" s="635" t="s">
        <v>216</v>
      </c>
      <c r="D161" s="637">
        <v>0</v>
      </c>
      <c r="E161" s="638">
        <v>1712.346</v>
      </c>
      <c r="F161" s="638">
        <v>3102.4639999999999</v>
      </c>
      <c r="G161" s="638">
        <v>0</v>
      </c>
      <c r="H161" s="639">
        <f t="shared" si="4"/>
        <v>4814.8099999999995</v>
      </c>
      <c r="I161" s="638">
        <v>78.450091</v>
      </c>
      <c r="J161" s="638">
        <f t="shared" si="5"/>
        <v>4893.2600909999992</v>
      </c>
      <c r="K161" s="646" t="s">
        <v>356</v>
      </c>
      <c r="L161" s="627">
        <f t="array" ref="L161">IFERROR(INDEX(UtilityList!Q$4:Q$251,MATCH('Table 2.3a'!$A161&amp;'Table 2.3a'!$B161&amp;'Table 2.3a'!$C161,UtilityList!$A$4:$A$251&amp;UtilityList!$B$4:$B$251&amp;UtilityList!$C$4:$C$251,0)),INDEX(UtilityList!Q$4:Q$251,MATCH('Table 2.3a'!$A161&amp;'Table 2.3a'!$C161,UtilityList!$A$4:$A$251&amp;UtilityList!$C$4:$C$251,0)))</f>
        <v>0</v>
      </c>
      <c r="M161" s="452" t="str">
        <f t="array" ref="M161">IFERROR(INDEX(UtilityList!J$4:J$251,MATCH('Table 2.3a'!$A161&amp;'Table 2.3a'!$B161&amp;'Table 2.3a'!$C161,UtilityList!$A$4:$A$251&amp;UtilityList!$B$4:$B$251&amp;UtilityList!$C$4:$C$251,0)),INDEX(UtilityList!J$4:J$251,MATCH('Table 2.3a'!$A161&amp;'Table 2.3a'!$C161,UtilityList!$A$4:$A$251&amp;UtilityList!$C$4:$C$251,0)))</f>
        <v>Aleutians</v>
      </c>
      <c r="N161" s="452" t="str">
        <f t="array" ref="N161">IFERROR(INDEX(UtilityList!K$4:K$251,MATCH('Table 2.3a'!$A161&amp;'Table 2.3a'!$B161&amp;'Table 2.3a'!$C161,UtilityList!$A$4:$A$251&amp;UtilityList!$B$4:$B$251&amp;UtilityList!$C$4:$C$251,0)),INDEX(UtilityList!K$4:K$251,MATCH('Table 2.3a'!$A161&amp;'Table 2.3a'!$C161,UtilityList!$A$4:$A$251&amp;UtilityList!$C$4:$C$251,0)))</f>
        <v>Aleutians East</v>
      </c>
      <c r="O161" s="452" t="str">
        <f t="array" ref="O161">IFERROR(INDEX(UtilityList!L$4:L$251,MATCH('Table 2.3a'!$A161&amp;'Table 2.3a'!$B161&amp;'Table 2.3a'!$C161,UtilityList!$A$4:$A$251&amp;UtilityList!$B$4:$B$251&amp;UtilityList!$C$4:$C$251,0)),INDEX(UtilityList!L$4:L$251,MATCH('Table 2.3a'!$A161&amp;'Table 2.3a'!$C161,UtilityList!$A$4:$A$251&amp;UtilityList!$C$4:$C$251,0)))</f>
        <v>Aleut</v>
      </c>
      <c r="P161" s="452" t="str">
        <f t="array" ref="P161">IFERROR(INDEX(UtilityList!M$4:M$251,MATCH('Table 2.3a'!$A161&amp;'Table 2.3a'!$B161&amp;'Table 2.3a'!$C161,UtilityList!$A$4:$A$251&amp;UtilityList!$B$4:$B$251&amp;UtilityList!$C$4:$C$251,0)),INDEX(UtilityList!M$4:M$251,MATCH('Table 2.3a'!$A161&amp;'Table 2.3a'!$C161,UtilityList!$A$4:$A$251&amp;UtilityList!$C$4:$C$251,0)))</f>
        <v>SW</v>
      </c>
      <c r="Q161" s="344"/>
    </row>
    <row r="162" spans="1:17" s="344" customFormat="1" ht="30" customHeight="1" x14ac:dyDescent="0.25">
      <c r="A162" s="385" t="s">
        <v>217</v>
      </c>
      <c r="B162" s="385" t="s">
        <v>218</v>
      </c>
      <c r="C162" s="635" t="s">
        <v>218</v>
      </c>
      <c r="D162" s="637">
        <v>0</v>
      </c>
      <c r="E162" s="638">
        <v>1583.2080000000001</v>
      </c>
      <c r="F162" s="638">
        <v>0</v>
      </c>
      <c r="G162" s="638">
        <v>0</v>
      </c>
      <c r="H162" s="639">
        <f t="shared" si="4"/>
        <v>1583.2080000000001</v>
      </c>
      <c r="I162" s="638">
        <v>23.241</v>
      </c>
      <c r="J162" s="638">
        <f t="shared" si="5"/>
        <v>1606.4490000000001</v>
      </c>
      <c r="K162" s="646" t="s">
        <v>356</v>
      </c>
      <c r="L162" s="627">
        <f t="array" ref="L162">IFERROR(INDEX(UtilityList!Q$4:Q$251,MATCH('Table 2.3a'!$A162&amp;'Table 2.3a'!$B162&amp;'Table 2.3a'!$C162,UtilityList!$A$4:$A$251&amp;UtilityList!$B$4:$B$251&amp;UtilityList!$C$4:$C$251,0)),INDEX(UtilityList!Q$4:Q$251,MATCH('Table 2.3a'!$A162&amp;'Table 2.3a'!$C162,UtilityList!$A$4:$A$251&amp;UtilityList!$C$4:$C$251,0)))</f>
        <v>0</v>
      </c>
      <c r="M162" s="452" t="str">
        <f t="array" ref="M162">IFERROR(INDEX(UtilityList!J$4:J$251,MATCH('Table 2.3a'!$A162&amp;'Table 2.3a'!$B162&amp;'Table 2.3a'!$C162,UtilityList!$A$4:$A$251&amp;UtilityList!$B$4:$B$251&amp;UtilityList!$C$4:$C$251,0)),INDEX(UtilityList!J$4:J$251,MATCH('Table 2.3a'!$A162&amp;'Table 2.3a'!$C162,UtilityList!$A$4:$A$251&amp;UtilityList!$C$4:$C$251,0)))</f>
        <v>Lower Yukon-Kuskokwim</v>
      </c>
      <c r="N162" s="452" t="str">
        <f t="array" ref="N162">IFERROR(INDEX(UtilityList!K$4:K$251,MATCH('Table 2.3a'!$A162&amp;'Table 2.3a'!$B162&amp;'Table 2.3a'!$C162,UtilityList!$A$4:$A$251&amp;UtilityList!$B$4:$B$251&amp;UtilityList!$C$4:$C$251,0)),INDEX(UtilityList!K$4:K$251,MATCH('Table 2.3a'!$A162&amp;'Table 2.3a'!$C162,UtilityList!$A$4:$A$251&amp;UtilityList!$C$4:$C$251,0)))</f>
        <v>Bethel (CA)</v>
      </c>
      <c r="O162" s="452" t="str">
        <f t="array" ref="O162">IFERROR(INDEX(UtilityList!L$4:L$251,MATCH('Table 2.3a'!$A162&amp;'Table 2.3a'!$B162&amp;'Table 2.3a'!$C162,UtilityList!$A$4:$A$251&amp;UtilityList!$B$4:$B$251&amp;UtilityList!$C$4:$C$251,0)),INDEX(UtilityList!L$4:L$251,MATCH('Table 2.3a'!$A162&amp;'Table 2.3a'!$C162,UtilityList!$A$4:$A$251&amp;UtilityList!$C$4:$C$251,0)))</f>
        <v>Calista</v>
      </c>
      <c r="P162" s="452" t="str">
        <f t="array" ref="P162">IFERROR(INDEX(UtilityList!M$4:M$251,MATCH('Table 2.3a'!$A162&amp;'Table 2.3a'!$B162&amp;'Table 2.3a'!$C162,UtilityList!$A$4:$A$251&amp;UtilityList!$B$4:$B$251&amp;UtilityList!$C$4:$C$251,0)),INDEX(UtilityList!M$4:M$251,MATCH('Table 2.3a'!$A162&amp;'Table 2.3a'!$C162,UtilityList!$A$4:$A$251&amp;UtilityList!$C$4:$C$251,0)))</f>
        <v>SW</v>
      </c>
    </row>
    <row r="163" spans="1:17" s="126" customFormat="1" x14ac:dyDescent="0.25">
      <c r="A163" s="385" t="s">
        <v>221</v>
      </c>
      <c r="B163" s="643" t="s">
        <v>222</v>
      </c>
      <c r="C163" s="643" t="s">
        <v>222</v>
      </c>
      <c r="D163" s="637">
        <v>0</v>
      </c>
      <c r="E163" s="641">
        <v>18214</v>
      </c>
      <c r="F163" s="641">
        <v>0</v>
      </c>
      <c r="G163" s="642">
        <v>0</v>
      </c>
      <c r="H163" s="639">
        <f t="shared" si="4"/>
        <v>18214</v>
      </c>
      <c r="I163" s="641">
        <v>1030</v>
      </c>
      <c r="J163" s="638">
        <f t="shared" si="5"/>
        <v>19244</v>
      </c>
      <c r="K163" s="645" t="s">
        <v>558</v>
      </c>
      <c r="L163" s="627">
        <f t="array" ref="L163">IFERROR(INDEX(UtilityList!Q$4:Q$251,MATCH('Table 2.3a'!$A163&amp;'Table 2.3a'!$B163&amp;'Table 2.3a'!$C163,UtilityList!$A$4:$A$251&amp;UtilityList!$B$4:$B$251&amp;UtilityList!$C$4:$C$251,0)),INDEX(UtilityList!Q$4:Q$251,MATCH('Table 2.3a'!$A163&amp;'Table 2.3a'!$C163,UtilityList!$A$4:$A$251&amp;UtilityList!$C$4:$C$251,0)))</f>
        <v>0</v>
      </c>
      <c r="M163" s="452" t="str">
        <f t="array" ref="M163">IFERROR(INDEX(UtilityList!J$4:J$251,MATCH('Table 2.3a'!$A163&amp;'Table 2.3a'!$B163&amp;'Table 2.3a'!$C163,UtilityList!$A$4:$A$251&amp;UtilityList!$B$4:$B$251&amp;UtilityList!$C$4:$C$251,0)),INDEX(UtilityList!J$4:J$251,MATCH('Table 2.3a'!$A163&amp;'Table 2.3a'!$C163,UtilityList!$A$4:$A$251&amp;UtilityList!$C$4:$C$251,0)))</f>
        <v>Kodiak</v>
      </c>
      <c r="N163" s="452" t="str">
        <f t="array" ref="N163">IFERROR(INDEX(UtilityList!K$4:K$251,MATCH('Table 2.3a'!$A163&amp;'Table 2.3a'!$B163&amp;'Table 2.3a'!$C163,UtilityList!$A$4:$A$251&amp;UtilityList!$B$4:$B$251&amp;UtilityList!$C$4:$C$251,0)),INDEX(UtilityList!K$4:K$251,MATCH('Table 2.3a'!$A163&amp;'Table 2.3a'!$C163,UtilityList!$A$4:$A$251&amp;UtilityList!$C$4:$C$251,0)))</f>
        <v>Kodiak Island</v>
      </c>
      <c r="O163" s="452" t="str">
        <f t="array" ref="O163">IFERROR(INDEX(UtilityList!L$4:L$251,MATCH('Table 2.3a'!$A163&amp;'Table 2.3a'!$B163&amp;'Table 2.3a'!$C163,UtilityList!$A$4:$A$251&amp;UtilityList!$B$4:$B$251&amp;UtilityList!$C$4:$C$251,0)),INDEX(UtilityList!L$4:L$251,MATCH('Table 2.3a'!$A163&amp;'Table 2.3a'!$C163,UtilityList!$A$4:$A$251&amp;UtilityList!$C$4:$C$251,0)))</f>
        <v>Koniag</v>
      </c>
      <c r="P163" s="452" t="str">
        <f t="array" ref="P163">IFERROR(INDEX(UtilityList!M$4:M$251,MATCH('Table 2.3a'!$A163&amp;'Table 2.3a'!$B163&amp;'Table 2.3a'!$C163,UtilityList!$A$4:$A$251&amp;UtilityList!$B$4:$B$251&amp;UtilityList!$C$4:$C$251,0)),INDEX(UtilityList!M$4:M$251,MATCH('Table 2.3a'!$A163&amp;'Table 2.3a'!$C163,UtilityList!$A$4:$A$251&amp;UtilityList!$C$4:$C$251,0)))</f>
        <v>SC</v>
      </c>
      <c r="Q163" s="187"/>
    </row>
    <row r="164" spans="1:17" s="126" customFormat="1" ht="30" customHeight="1" x14ac:dyDescent="0.25">
      <c r="A164" s="385" t="s">
        <v>221</v>
      </c>
      <c r="B164" s="643" t="s">
        <v>223</v>
      </c>
      <c r="C164" s="643" t="s">
        <v>222</v>
      </c>
      <c r="D164" s="637">
        <v>0</v>
      </c>
      <c r="E164" s="641">
        <v>3568</v>
      </c>
      <c r="F164" s="641">
        <v>0</v>
      </c>
      <c r="G164" s="642">
        <v>0</v>
      </c>
      <c r="H164" s="639">
        <f t="shared" si="4"/>
        <v>3568</v>
      </c>
      <c r="I164" s="641">
        <v>889</v>
      </c>
      <c r="J164" s="638">
        <f t="shared" si="5"/>
        <v>4457</v>
      </c>
      <c r="K164" s="645" t="s">
        <v>558</v>
      </c>
      <c r="L164" s="627">
        <f t="array" ref="L164">IFERROR(INDEX(UtilityList!Q$4:Q$251,MATCH('Table 2.3a'!$A164&amp;'Table 2.3a'!$B164&amp;'Table 2.3a'!$C164,UtilityList!$A$4:$A$251&amp;UtilityList!$B$4:$B$251&amp;UtilityList!$C$4:$C$251,0)),INDEX(UtilityList!Q$4:Q$251,MATCH('Table 2.3a'!$A164&amp;'Table 2.3a'!$C164,UtilityList!$A$4:$A$251&amp;UtilityList!$C$4:$C$251,0)))</f>
        <v>0</v>
      </c>
      <c r="M164" s="452" t="str">
        <f t="array" ref="M164">IFERROR(INDEX(UtilityList!J$4:J$251,MATCH('Table 2.3a'!$A164&amp;'Table 2.3a'!$B164&amp;'Table 2.3a'!$C164,UtilityList!$A$4:$A$251&amp;UtilityList!$B$4:$B$251&amp;UtilityList!$C$4:$C$251,0)),INDEX(UtilityList!J$4:J$251,MATCH('Table 2.3a'!$A164&amp;'Table 2.3a'!$C164,UtilityList!$A$4:$A$251&amp;UtilityList!$C$4:$C$251,0)))</f>
        <v>Kodiak</v>
      </c>
      <c r="N164" s="452" t="str">
        <f t="array" ref="N164">IFERROR(INDEX(UtilityList!K$4:K$251,MATCH('Table 2.3a'!$A164&amp;'Table 2.3a'!$B164&amp;'Table 2.3a'!$C164,UtilityList!$A$4:$A$251&amp;UtilityList!$B$4:$B$251&amp;UtilityList!$C$4:$C$251,0)),INDEX(UtilityList!K$4:K$251,MATCH('Table 2.3a'!$A164&amp;'Table 2.3a'!$C164,UtilityList!$A$4:$A$251&amp;UtilityList!$C$4:$C$251,0)))</f>
        <v>Kodiak Island</v>
      </c>
      <c r="O164" s="452" t="str">
        <f t="array" ref="O164">IFERROR(INDEX(UtilityList!L$4:L$251,MATCH('Table 2.3a'!$A164&amp;'Table 2.3a'!$B164&amp;'Table 2.3a'!$C164,UtilityList!$A$4:$A$251&amp;UtilityList!$B$4:$B$251&amp;UtilityList!$C$4:$C$251,0)),INDEX(UtilityList!L$4:L$251,MATCH('Table 2.3a'!$A164&amp;'Table 2.3a'!$C164,UtilityList!$A$4:$A$251&amp;UtilityList!$C$4:$C$251,0)))</f>
        <v>Koniag</v>
      </c>
      <c r="P164" s="452" t="str">
        <f t="array" ref="P164">IFERROR(INDEX(UtilityList!M$4:M$251,MATCH('Table 2.3a'!$A164&amp;'Table 2.3a'!$B164&amp;'Table 2.3a'!$C164,UtilityList!$A$4:$A$251&amp;UtilityList!$B$4:$B$251&amp;UtilityList!$C$4:$C$251,0)),INDEX(UtilityList!M$4:M$251,MATCH('Table 2.3a'!$A164&amp;'Table 2.3a'!$C164,UtilityList!$A$4:$A$251&amp;UtilityList!$C$4:$C$251,0)))</f>
        <v>SC</v>
      </c>
      <c r="Q164" s="187"/>
    </row>
    <row r="165" spans="1:17" s="126" customFormat="1" ht="30" customHeight="1" x14ac:dyDescent="0.25">
      <c r="A165" s="385" t="s">
        <v>221</v>
      </c>
      <c r="B165" s="455" t="s">
        <v>224</v>
      </c>
      <c r="C165" s="643" t="s">
        <v>222</v>
      </c>
      <c r="D165" s="637">
        <v>0</v>
      </c>
      <c r="E165" s="641">
        <v>0</v>
      </c>
      <c r="F165" s="641">
        <v>0</v>
      </c>
      <c r="G165" s="641">
        <v>12364</v>
      </c>
      <c r="H165" s="639">
        <f t="shared" si="4"/>
        <v>12364</v>
      </c>
      <c r="I165" s="641">
        <v>84</v>
      </c>
      <c r="J165" s="638">
        <f t="shared" si="5"/>
        <v>12448</v>
      </c>
      <c r="K165" s="645" t="s">
        <v>558</v>
      </c>
      <c r="L165" s="627">
        <f t="array" ref="L165">IFERROR(INDEX(UtilityList!Q$4:Q$251,MATCH('Table 2.3a'!$A165&amp;'Table 2.3a'!$B165&amp;'Table 2.3a'!$C165,UtilityList!$A$4:$A$251&amp;UtilityList!$B$4:$B$251&amp;UtilityList!$C$4:$C$251,0)),INDEX(UtilityList!Q$4:Q$251,MATCH('Table 2.3a'!$A165&amp;'Table 2.3a'!$C165,UtilityList!$A$4:$A$251&amp;UtilityList!$C$4:$C$251,0)))</f>
        <v>0</v>
      </c>
      <c r="M165" s="452" t="str">
        <f t="array" ref="M165">IFERROR(INDEX(UtilityList!J$4:J$251,MATCH('Table 2.3a'!$A165&amp;'Table 2.3a'!$B165&amp;'Table 2.3a'!$C165,UtilityList!$A$4:$A$251&amp;UtilityList!$B$4:$B$251&amp;UtilityList!$C$4:$C$251,0)),INDEX(UtilityList!J$4:J$251,MATCH('Table 2.3a'!$A165&amp;'Table 2.3a'!$C165,UtilityList!$A$4:$A$251&amp;UtilityList!$C$4:$C$251,0)))</f>
        <v>Kodiak</v>
      </c>
      <c r="N165" s="452" t="str">
        <f t="array" ref="N165">IFERROR(INDEX(UtilityList!K$4:K$251,MATCH('Table 2.3a'!$A165&amp;'Table 2.3a'!$B165&amp;'Table 2.3a'!$C165,UtilityList!$A$4:$A$251&amp;UtilityList!$B$4:$B$251&amp;UtilityList!$C$4:$C$251,0)),INDEX(UtilityList!K$4:K$251,MATCH('Table 2.3a'!$A165&amp;'Table 2.3a'!$C165,UtilityList!$A$4:$A$251&amp;UtilityList!$C$4:$C$251,0)))</f>
        <v>Kodiak Island</v>
      </c>
      <c r="O165" s="452" t="str">
        <f t="array" ref="O165">IFERROR(INDEX(UtilityList!L$4:L$251,MATCH('Table 2.3a'!$A165&amp;'Table 2.3a'!$B165&amp;'Table 2.3a'!$C165,UtilityList!$A$4:$A$251&amp;UtilityList!$B$4:$B$251&amp;UtilityList!$C$4:$C$251,0)),INDEX(UtilityList!L$4:L$251,MATCH('Table 2.3a'!$A165&amp;'Table 2.3a'!$C165,UtilityList!$A$4:$A$251&amp;UtilityList!$C$4:$C$251,0)))</f>
        <v>Koniag</v>
      </c>
      <c r="P165" s="452" t="str">
        <f t="array" ref="P165">IFERROR(INDEX(UtilityList!M$4:M$251,MATCH('Table 2.3a'!$A165&amp;'Table 2.3a'!$B165&amp;'Table 2.3a'!$C165,UtilityList!$A$4:$A$251&amp;UtilityList!$B$4:$B$251&amp;UtilityList!$C$4:$C$251,0)),INDEX(UtilityList!M$4:M$251,MATCH('Table 2.3a'!$A165&amp;'Table 2.3a'!$C165,UtilityList!$A$4:$A$251&amp;UtilityList!$C$4:$C$251,0)))</f>
        <v>SC</v>
      </c>
    </row>
    <row r="166" spans="1:17" s="126" customFormat="1" ht="30" customHeight="1" x14ac:dyDescent="0.25">
      <c r="A166" s="385" t="s">
        <v>221</v>
      </c>
      <c r="B166" s="455" t="s">
        <v>226</v>
      </c>
      <c r="C166" s="643" t="s">
        <v>222</v>
      </c>
      <c r="D166" s="637">
        <v>0</v>
      </c>
      <c r="E166" s="641">
        <v>70</v>
      </c>
      <c r="F166" s="641">
        <v>0</v>
      </c>
      <c r="G166" s="642">
        <v>0</v>
      </c>
      <c r="H166" s="639">
        <f t="shared" si="4"/>
        <v>70</v>
      </c>
      <c r="I166" s="641">
        <v>1</v>
      </c>
      <c r="J166" s="638">
        <f t="shared" si="5"/>
        <v>71</v>
      </c>
      <c r="K166" s="645" t="s">
        <v>558</v>
      </c>
      <c r="L166" s="627">
        <f t="array" ref="L166">IFERROR(INDEX(UtilityList!Q$4:Q$251,MATCH('Table 2.3a'!$A166&amp;'Table 2.3a'!$B166&amp;'Table 2.3a'!$C166,UtilityList!$A$4:$A$251&amp;UtilityList!$B$4:$B$251&amp;UtilityList!$C$4:$C$251,0)),INDEX(UtilityList!Q$4:Q$251,MATCH('Table 2.3a'!$A166&amp;'Table 2.3a'!$C166,UtilityList!$A$4:$A$251&amp;UtilityList!$C$4:$C$251,0)))</f>
        <v>0</v>
      </c>
      <c r="M166" s="452" t="str">
        <f t="array" ref="M166">IFERROR(INDEX(UtilityList!J$4:J$251,MATCH('Table 2.3a'!$A166&amp;'Table 2.3a'!$B166&amp;'Table 2.3a'!$C166,UtilityList!$A$4:$A$251&amp;UtilityList!$B$4:$B$251&amp;UtilityList!$C$4:$C$251,0)),INDEX(UtilityList!J$4:J$251,MATCH('Table 2.3a'!$A166&amp;'Table 2.3a'!$C166,UtilityList!$A$4:$A$251&amp;UtilityList!$C$4:$C$251,0)))</f>
        <v>Kodiak</v>
      </c>
      <c r="N166" s="452" t="str">
        <f t="array" ref="N166">IFERROR(INDEX(UtilityList!K$4:K$251,MATCH('Table 2.3a'!$A166&amp;'Table 2.3a'!$B166&amp;'Table 2.3a'!$C166,UtilityList!$A$4:$A$251&amp;UtilityList!$B$4:$B$251&amp;UtilityList!$C$4:$C$251,0)),INDEX(UtilityList!K$4:K$251,MATCH('Table 2.3a'!$A166&amp;'Table 2.3a'!$C166,UtilityList!$A$4:$A$251&amp;UtilityList!$C$4:$C$251,0)))</f>
        <v>Kodiak Island</v>
      </c>
      <c r="O166" s="452" t="str">
        <f t="array" ref="O166">IFERROR(INDEX(UtilityList!L$4:L$251,MATCH('Table 2.3a'!$A166&amp;'Table 2.3a'!$B166&amp;'Table 2.3a'!$C166,UtilityList!$A$4:$A$251&amp;UtilityList!$B$4:$B$251&amp;UtilityList!$C$4:$C$251,0)),INDEX(UtilityList!L$4:L$251,MATCH('Table 2.3a'!$A166&amp;'Table 2.3a'!$C166,UtilityList!$A$4:$A$251&amp;UtilityList!$C$4:$C$251,0)))</f>
        <v>Koniag</v>
      </c>
      <c r="P166" s="452" t="str">
        <f t="array" ref="P166">IFERROR(INDEX(UtilityList!M$4:M$251,MATCH('Table 2.3a'!$A166&amp;'Table 2.3a'!$B166&amp;'Table 2.3a'!$C166,UtilityList!$A$4:$A$251&amp;UtilityList!$B$4:$B$251&amp;UtilityList!$C$4:$C$251,0)),INDEX(UtilityList!M$4:M$251,MATCH('Table 2.3a'!$A166&amp;'Table 2.3a'!$C166,UtilityList!$A$4:$A$251&amp;UtilityList!$C$4:$C$251,0)))</f>
        <v>SC</v>
      </c>
    </row>
    <row r="167" spans="1:17" s="126" customFormat="1" ht="30" customHeight="1" x14ac:dyDescent="0.25">
      <c r="A167" s="385" t="s">
        <v>221</v>
      </c>
      <c r="B167" s="649" t="s">
        <v>225</v>
      </c>
      <c r="C167" s="643" t="s">
        <v>222</v>
      </c>
      <c r="D167" s="637">
        <v>0</v>
      </c>
      <c r="E167" s="641">
        <v>0</v>
      </c>
      <c r="F167" s="650">
        <v>114186</v>
      </c>
      <c r="G167" s="642">
        <v>0</v>
      </c>
      <c r="H167" s="639">
        <f t="shared" si="4"/>
        <v>114186</v>
      </c>
      <c r="I167" s="641">
        <v>932</v>
      </c>
      <c r="J167" s="638">
        <f t="shared" si="5"/>
        <v>115118</v>
      </c>
      <c r="K167" s="645" t="s">
        <v>558</v>
      </c>
      <c r="L167" s="627">
        <f t="array" ref="L167">IFERROR(INDEX(UtilityList!Q$4:Q$251,MATCH('Table 2.3a'!$A167&amp;'Table 2.3a'!$B167&amp;'Table 2.3a'!$C167,UtilityList!$A$4:$A$251&amp;UtilityList!$B$4:$B$251&amp;UtilityList!$C$4:$C$251,0)),INDEX(UtilityList!Q$4:Q$251,MATCH('Table 2.3a'!$A167&amp;'Table 2.3a'!$C167,UtilityList!$A$4:$A$251&amp;UtilityList!$C$4:$C$251,0)))</f>
        <v>0</v>
      </c>
      <c r="M167" s="452" t="str">
        <f t="array" ref="M167">IFERROR(INDEX(UtilityList!J$4:J$251,MATCH('Table 2.3a'!$A167&amp;'Table 2.3a'!$B167&amp;'Table 2.3a'!$C167,UtilityList!$A$4:$A$251&amp;UtilityList!$B$4:$B$251&amp;UtilityList!$C$4:$C$251,0)),INDEX(UtilityList!J$4:J$251,MATCH('Table 2.3a'!$A167&amp;'Table 2.3a'!$C167,UtilityList!$A$4:$A$251&amp;UtilityList!$C$4:$C$251,0)))</f>
        <v>Kodiak</v>
      </c>
      <c r="N167" s="452" t="str">
        <f t="array" ref="N167">IFERROR(INDEX(UtilityList!K$4:K$251,MATCH('Table 2.3a'!$A167&amp;'Table 2.3a'!$B167&amp;'Table 2.3a'!$C167,UtilityList!$A$4:$A$251&amp;UtilityList!$B$4:$B$251&amp;UtilityList!$C$4:$C$251,0)),INDEX(UtilityList!K$4:K$251,MATCH('Table 2.3a'!$A167&amp;'Table 2.3a'!$C167,UtilityList!$A$4:$A$251&amp;UtilityList!$C$4:$C$251,0)))</f>
        <v>Kodiak Island</v>
      </c>
      <c r="O167" s="452" t="str">
        <f t="array" ref="O167">IFERROR(INDEX(UtilityList!L$4:L$251,MATCH('Table 2.3a'!$A167&amp;'Table 2.3a'!$B167&amp;'Table 2.3a'!$C167,UtilityList!$A$4:$A$251&amp;UtilityList!$B$4:$B$251&amp;UtilityList!$C$4:$C$251,0)),INDEX(UtilityList!L$4:L$251,MATCH('Table 2.3a'!$A167&amp;'Table 2.3a'!$C167,UtilityList!$A$4:$A$251&amp;UtilityList!$C$4:$C$251,0)))</f>
        <v>Koniag</v>
      </c>
      <c r="P167" s="452" t="str">
        <f t="array" ref="P167">IFERROR(INDEX(UtilityList!M$4:M$251,MATCH('Table 2.3a'!$A167&amp;'Table 2.3a'!$B167&amp;'Table 2.3a'!$C167,UtilityList!$A$4:$A$251&amp;UtilityList!$B$4:$B$251&amp;UtilityList!$C$4:$C$251,0)),INDEX(UtilityList!M$4:M$251,MATCH('Table 2.3a'!$A167&amp;'Table 2.3a'!$C167,UtilityList!$A$4:$A$251&amp;UtilityList!$C$4:$C$251,0)))</f>
        <v>SC</v>
      </c>
      <c r="Q167" s="187"/>
    </row>
    <row r="168" spans="1:17" s="126" customFormat="1" ht="30" customHeight="1" x14ac:dyDescent="0.25">
      <c r="A168" s="360" t="s">
        <v>227</v>
      </c>
      <c r="B168" s="360" t="s">
        <v>228</v>
      </c>
      <c r="C168" s="387" t="s">
        <v>228</v>
      </c>
      <c r="D168" s="637">
        <v>0</v>
      </c>
      <c r="E168" s="638">
        <v>406.92200000000003</v>
      </c>
      <c r="F168" s="638">
        <v>0</v>
      </c>
      <c r="G168" s="638">
        <v>66.448999999999998</v>
      </c>
      <c r="H168" s="639">
        <f t="shared" si="4"/>
        <v>473.37100000000004</v>
      </c>
      <c r="I168" s="638">
        <v>28.992999999999999</v>
      </c>
      <c r="J168" s="638">
        <f t="shared" si="5"/>
        <v>502.36400000000003</v>
      </c>
      <c r="K168" s="640" t="s">
        <v>356</v>
      </c>
      <c r="L168" s="627">
        <f t="array" ref="L168">IFERROR(INDEX(UtilityList!Q$4:Q$251,MATCH('Table 2.3a'!$A168&amp;'Table 2.3a'!$B168&amp;'Table 2.3a'!$C168,UtilityList!$A$4:$A$251&amp;UtilityList!$B$4:$B$251&amp;UtilityList!$C$4:$C$251,0)),INDEX(UtilityList!Q$4:Q$251,MATCH('Table 2.3a'!$A168&amp;'Table 2.3a'!$C168,UtilityList!$A$4:$A$251&amp;UtilityList!$C$4:$C$251,0)))</f>
        <v>0</v>
      </c>
      <c r="M168" s="452" t="str">
        <f t="array" ref="M168">IFERROR(INDEX(UtilityList!J$4:J$251,MATCH('Table 2.3a'!$A168&amp;'Table 2.3a'!$B168&amp;'Table 2.3a'!$C168,UtilityList!$A$4:$A$251&amp;UtilityList!$B$4:$B$251&amp;UtilityList!$C$4:$C$251,0)),INDEX(UtilityList!J$4:J$251,MATCH('Table 2.3a'!$A168&amp;'Table 2.3a'!$C168,UtilityList!$A$4:$A$251&amp;UtilityList!$C$4:$C$251,0)))</f>
        <v>Bristol Bay</v>
      </c>
      <c r="N168" s="452" t="str">
        <f t="array" ref="N168">IFERROR(INDEX(UtilityList!K$4:K$251,MATCH('Table 2.3a'!$A168&amp;'Table 2.3a'!$B168&amp;'Table 2.3a'!$C168,UtilityList!$A$4:$A$251&amp;UtilityList!$B$4:$B$251&amp;UtilityList!$C$4:$C$251,0)),INDEX(UtilityList!K$4:K$251,MATCH('Table 2.3a'!$A168&amp;'Table 2.3a'!$C168,UtilityList!$A$4:$A$251&amp;UtilityList!$C$4:$C$251,0)))</f>
        <v>Lake and Peninsula</v>
      </c>
      <c r="O168" s="452" t="str">
        <f t="array" ref="O168">IFERROR(INDEX(UtilityList!L$4:L$251,MATCH('Table 2.3a'!$A168&amp;'Table 2.3a'!$B168&amp;'Table 2.3a'!$C168,UtilityList!$A$4:$A$251&amp;UtilityList!$B$4:$B$251&amp;UtilityList!$C$4:$C$251,0)),INDEX(UtilityList!L$4:L$251,MATCH('Table 2.3a'!$A168&amp;'Table 2.3a'!$C168,UtilityList!$A$4:$A$251&amp;UtilityList!$C$4:$C$251,0)))</f>
        <v>Bristol Bay</v>
      </c>
      <c r="P168" s="452" t="str">
        <f t="array" ref="P168">IFERROR(INDEX(UtilityList!M$4:M$251,MATCH('Table 2.3a'!$A168&amp;'Table 2.3a'!$B168&amp;'Table 2.3a'!$C168,UtilityList!$A$4:$A$251&amp;UtilityList!$B$4:$B$251&amp;UtilityList!$C$4:$C$251,0)),INDEX(UtilityList!M$4:M$251,MATCH('Table 2.3a'!$A168&amp;'Table 2.3a'!$C168,UtilityList!$A$4:$A$251&amp;UtilityList!$C$4:$C$251,0)))</f>
        <v>SW</v>
      </c>
      <c r="Q168" s="344"/>
    </row>
    <row r="169" spans="1:17" s="344" customFormat="1" ht="30" customHeight="1" x14ac:dyDescent="0.25">
      <c r="A169" s="360" t="s">
        <v>229</v>
      </c>
      <c r="B169" s="360" t="s">
        <v>230</v>
      </c>
      <c r="C169" s="387" t="s">
        <v>230</v>
      </c>
      <c r="D169" s="637">
        <v>0</v>
      </c>
      <c r="E169" s="638">
        <v>20300</v>
      </c>
      <c r="F169" s="638">
        <v>0</v>
      </c>
      <c r="G169" s="638">
        <v>1502.537</v>
      </c>
      <c r="H169" s="639">
        <f t="shared" si="4"/>
        <v>21802.537</v>
      </c>
      <c r="I169" s="638">
        <v>988.65899999999999</v>
      </c>
      <c r="J169" s="638">
        <f t="shared" si="5"/>
        <v>22791.196</v>
      </c>
      <c r="K169" s="640" t="s">
        <v>356</v>
      </c>
      <c r="L169" s="627">
        <f t="array" ref="L169">IFERROR(INDEX(UtilityList!Q$4:Q$251,MATCH('Table 2.3a'!$A169&amp;'Table 2.3a'!$B169&amp;'Table 2.3a'!$C169,UtilityList!$A$4:$A$251&amp;UtilityList!$B$4:$B$251&amp;UtilityList!$C$4:$C$251,0)),INDEX(UtilityList!Q$4:Q$251,MATCH('Table 2.3a'!$A169&amp;'Table 2.3a'!$C169,UtilityList!$A$4:$A$251&amp;UtilityList!$C$4:$C$251,0)))</f>
        <v>0</v>
      </c>
      <c r="M169" s="452" t="str">
        <f t="array" ref="M169">IFERROR(INDEX(UtilityList!J$4:J$251,MATCH('Table 2.3a'!$A169&amp;'Table 2.3a'!$B169&amp;'Table 2.3a'!$C169,UtilityList!$A$4:$A$251&amp;UtilityList!$B$4:$B$251&amp;UtilityList!$C$4:$C$251,0)),INDEX(UtilityList!J$4:J$251,MATCH('Table 2.3a'!$A169&amp;'Table 2.3a'!$C169,UtilityList!$A$4:$A$251&amp;UtilityList!$C$4:$C$251,0)))</f>
        <v>Northwest Arctic</v>
      </c>
      <c r="N169" s="452" t="str">
        <f t="array" ref="N169">IFERROR(INDEX(UtilityList!K$4:K$251,MATCH('Table 2.3a'!$A169&amp;'Table 2.3a'!$B169&amp;'Table 2.3a'!$C169,UtilityList!$A$4:$A$251&amp;UtilityList!$B$4:$B$251&amp;UtilityList!$C$4:$C$251,0)),INDEX(UtilityList!K$4:K$251,MATCH('Table 2.3a'!$A169&amp;'Table 2.3a'!$C169,UtilityList!$A$4:$A$251&amp;UtilityList!$C$4:$C$251,0)))</f>
        <v>Northwest Arctic</v>
      </c>
      <c r="O169" s="452" t="str">
        <f t="array" ref="O169">IFERROR(INDEX(UtilityList!L$4:L$251,MATCH('Table 2.3a'!$A169&amp;'Table 2.3a'!$B169&amp;'Table 2.3a'!$C169,UtilityList!$A$4:$A$251&amp;UtilityList!$B$4:$B$251&amp;UtilityList!$C$4:$C$251,0)),INDEX(UtilityList!L$4:L$251,MATCH('Table 2.3a'!$A169&amp;'Table 2.3a'!$C169,UtilityList!$A$4:$A$251&amp;UtilityList!$C$4:$C$251,0)))</f>
        <v>NANA</v>
      </c>
      <c r="P169" s="452" t="str">
        <f t="array" ref="P169">IFERROR(INDEX(UtilityList!M$4:M$251,MATCH('Table 2.3a'!$A169&amp;'Table 2.3a'!$B169&amp;'Table 2.3a'!$C169,UtilityList!$A$4:$A$251&amp;UtilityList!$B$4:$B$251&amp;UtilityList!$C$4:$C$251,0)),INDEX(UtilityList!M$4:M$251,MATCH('Table 2.3a'!$A169&amp;'Table 2.3a'!$C169,UtilityList!$A$4:$A$251&amp;UtilityList!$C$4:$C$251,0)))</f>
        <v>AN</v>
      </c>
    </row>
    <row r="170" spans="1:17" s="344" customFormat="1" ht="30" customHeight="1" x14ac:dyDescent="0.25">
      <c r="A170" s="385" t="s">
        <v>231</v>
      </c>
      <c r="B170" s="385" t="s">
        <v>232</v>
      </c>
      <c r="C170" s="635" t="s">
        <v>232</v>
      </c>
      <c r="D170" s="637">
        <v>0</v>
      </c>
      <c r="E170" s="638">
        <v>314.14699999999999</v>
      </c>
      <c r="F170" s="638">
        <v>0</v>
      </c>
      <c r="G170" s="638">
        <v>0</v>
      </c>
      <c r="H170" s="639">
        <f t="shared" si="4"/>
        <v>314.14699999999999</v>
      </c>
      <c r="I170" s="638">
        <v>19.094999999999999</v>
      </c>
      <c r="J170" s="638">
        <f t="shared" si="5"/>
        <v>333.24199999999996</v>
      </c>
      <c r="K170" s="646" t="s">
        <v>356</v>
      </c>
      <c r="L170" s="627">
        <f t="array" ref="L170">IFERROR(INDEX(UtilityList!Q$4:Q$251,MATCH('Table 2.3a'!$A170&amp;'Table 2.3a'!$B170&amp;'Table 2.3a'!$C170,UtilityList!$A$4:$A$251&amp;UtilityList!$B$4:$B$251&amp;UtilityList!$C$4:$C$251,0)),INDEX(UtilityList!Q$4:Q$251,MATCH('Table 2.3a'!$A170&amp;'Table 2.3a'!$C170,UtilityList!$A$4:$A$251&amp;UtilityList!$C$4:$C$251,0)))</f>
        <v>0</v>
      </c>
      <c r="M170" s="452" t="str">
        <f t="array" ref="M170">IFERROR(INDEX(UtilityList!J$4:J$251,MATCH('Table 2.3a'!$A170&amp;'Table 2.3a'!$B170&amp;'Table 2.3a'!$C170,UtilityList!$A$4:$A$251&amp;UtilityList!$B$4:$B$251&amp;UtilityList!$C$4:$C$251,0)),INDEX(UtilityList!J$4:J$251,MATCH('Table 2.3a'!$A170&amp;'Table 2.3a'!$C170,UtilityList!$A$4:$A$251&amp;UtilityList!$C$4:$C$251,0)))</f>
        <v>Yukon-Koyukuk/Upper Tanana</v>
      </c>
      <c r="N170" s="452" t="str">
        <f t="array" ref="N170">IFERROR(INDEX(UtilityList!K$4:K$251,MATCH('Table 2.3a'!$A170&amp;'Table 2.3a'!$B170&amp;'Table 2.3a'!$C170,UtilityList!$A$4:$A$251&amp;UtilityList!$B$4:$B$251&amp;UtilityList!$C$4:$C$251,0)),INDEX(UtilityList!K$4:K$251,MATCH('Table 2.3a'!$A170&amp;'Table 2.3a'!$C170,UtilityList!$A$4:$A$251&amp;UtilityList!$C$4:$C$251,0)))</f>
        <v>Yukon-Koyukuk (CA)</v>
      </c>
      <c r="O170" s="452" t="str">
        <f t="array" ref="O170">IFERROR(INDEX(UtilityList!L$4:L$251,MATCH('Table 2.3a'!$A170&amp;'Table 2.3a'!$B170&amp;'Table 2.3a'!$C170,UtilityList!$A$4:$A$251&amp;UtilityList!$B$4:$B$251&amp;UtilityList!$C$4:$C$251,0)),INDEX(UtilityList!L$4:L$251,MATCH('Table 2.3a'!$A170&amp;'Table 2.3a'!$C170,UtilityList!$A$4:$A$251&amp;UtilityList!$C$4:$C$251,0)))</f>
        <v>Doyon</v>
      </c>
      <c r="P170" s="452" t="str">
        <f t="array" ref="P170">IFERROR(INDEX(UtilityList!M$4:M$251,MATCH('Table 2.3a'!$A170&amp;'Table 2.3a'!$B170&amp;'Table 2.3a'!$C170,UtilityList!$A$4:$A$251&amp;UtilityList!$B$4:$B$251&amp;UtilityList!$C$4:$C$251,0)),INDEX(UtilityList!M$4:M$251,MATCH('Table 2.3a'!$A170&amp;'Table 2.3a'!$C170,UtilityList!$A$4:$A$251&amp;UtilityList!$C$4:$C$251,0)))</f>
        <v>YU</v>
      </c>
    </row>
    <row r="171" spans="1:17" s="344" customFormat="1" ht="30" customHeight="1" x14ac:dyDescent="0.25">
      <c r="A171" s="360" t="s">
        <v>233</v>
      </c>
      <c r="B171" s="360" t="s">
        <v>234</v>
      </c>
      <c r="C171" s="387" t="s">
        <v>234</v>
      </c>
      <c r="D171" s="637">
        <v>0</v>
      </c>
      <c r="E171" s="638">
        <v>1377.5930000000001</v>
      </c>
      <c r="F171" s="638">
        <v>0</v>
      </c>
      <c r="G171" s="638">
        <v>0</v>
      </c>
      <c r="H171" s="639">
        <f t="shared" si="4"/>
        <v>1377.5930000000001</v>
      </c>
      <c r="I171" s="638">
        <v>34.332000000000001</v>
      </c>
      <c r="J171" s="638">
        <f t="shared" si="5"/>
        <v>1411.9250000000002</v>
      </c>
      <c r="K171" s="640" t="s">
        <v>356</v>
      </c>
      <c r="L171" s="627">
        <f t="array" ref="L171">IFERROR(INDEX(UtilityList!Q$4:Q$251,MATCH('Table 2.3a'!$A171&amp;'Table 2.3a'!$B171&amp;'Table 2.3a'!$C171,UtilityList!$A$4:$A$251&amp;UtilityList!$B$4:$B$251&amp;UtilityList!$C$4:$C$251,0)),INDEX(UtilityList!Q$4:Q$251,MATCH('Table 2.3a'!$A171&amp;'Table 2.3a'!$C171,UtilityList!$A$4:$A$251&amp;UtilityList!$C$4:$C$251,0)))</f>
        <v>0</v>
      </c>
      <c r="M171" s="452" t="str">
        <f t="array" ref="M171">IFERROR(INDEX(UtilityList!J$4:J$251,MATCH('Table 2.3a'!$A171&amp;'Table 2.3a'!$B171&amp;'Table 2.3a'!$C171,UtilityList!$A$4:$A$251&amp;UtilityList!$B$4:$B$251&amp;UtilityList!$C$4:$C$251,0)),INDEX(UtilityList!J$4:J$251,MATCH('Table 2.3a'!$A171&amp;'Table 2.3a'!$C171,UtilityList!$A$4:$A$251&amp;UtilityList!$C$4:$C$251,0)))</f>
        <v>Lower Yukon-Kuskokwim</v>
      </c>
      <c r="N171" s="452" t="str">
        <f t="array" ref="N171">IFERROR(INDEX(UtilityList!K$4:K$251,MATCH('Table 2.3a'!$A171&amp;'Table 2.3a'!$B171&amp;'Table 2.3a'!$C171,UtilityList!$A$4:$A$251&amp;UtilityList!$B$4:$B$251&amp;UtilityList!$C$4:$C$251,0)),INDEX(UtilityList!K$4:K$251,MATCH('Table 2.3a'!$A171&amp;'Table 2.3a'!$C171,UtilityList!$A$4:$A$251&amp;UtilityList!$C$4:$C$251,0)))</f>
        <v>Bethel (CA)</v>
      </c>
      <c r="O171" s="452" t="str">
        <f t="array" ref="O171">IFERROR(INDEX(UtilityList!L$4:L$251,MATCH('Table 2.3a'!$A171&amp;'Table 2.3a'!$B171&amp;'Table 2.3a'!$C171,UtilityList!$A$4:$A$251&amp;UtilityList!$B$4:$B$251&amp;UtilityList!$C$4:$C$251,0)),INDEX(UtilityList!L$4:L$251,MATCH('Table 2.3a'!$A171&amp;'Table 2.3a'!$C171,UtilityList!$A$4:$A$251&amp;UtilityList!$C$4:$C$251,0)))</f>
        <v>Calista</v>
      </c>
      <c r="P171" s="452" t="str">
        <f t="array" ref="P171">IFERROR(INDEX(UtilityList!M$4:M$251,MATCH('Table 2.3a'!$A171&amp;'Table 2.3a'!$B171&amp;'Table 2.3a'!$C171,UtilityList!$A$4:$A$251&amp;UtilityList!$B$4:$B$251&amp;UtilityList!$C$4:$C$251,0)),INDEX(UtilityList!M$4:M$251,MATCH('Table 2.3a'!$A171&amp;'Table 2.3a'!$C171,UtilityList!$A$4:$A$251&amp;UtilityList!$C$4:$C$251,0)))</f>
        <v>SW</v>
      </c>
    </row>
    <row r="172" spans="1:17" s="187" customFormat="1" x14ac:dyDescent="0.25">
      <c r="A172" s="360" t="s">
        <v>641</v>
      </c>
      <c r="B172" s="360" t="s">
        <v>235</v>
      </c>
      <c r="C172" s="387" t="s">
        <v>235</v>
      </c>
      <c r="D172" s="637">
        <v>0</v>
      </c>
      <c r="E172" s="638">
        <v>1168.2660000000001</v>
      </c>
      <c r="F172" s="638">
        <v>0</v>
      </c>
      <c r="G172" s="638">
        <v>0</v>
      </c>
      <c r="H172" s="639">
        <f t="shared" si="4"/>
        <v>1168.2660000000001</v>
      </c>
      <c r="I172" s="638">
        <v>40.801000000000002</v>
      </c>
      <c r="J172" s="638">
        <f t="shared" si="5"/>
        <v>1209.067</v>
      </c>
      <c r="K172" s="640" t="s">
        <v>356</v>
      </c>
      <c r="L172" s="627">
        <f t="array" ref="L172">IFERROR(INDEX(UtilityList!Q$4:Q$251,MATCH('Table 2.3a'!$A172&amp;'Table 2.3a'!$B172&amp;'Table 2.3a'!$C172,UtilityList!$A$4:$A$251&amp;UtilityList!$B$4:$B$251&amp;UtilityList!$C$4:$C$251,0)),INDEX(UtilityList!Q$4:Q$251,MATCH('Table 2.3a'!$A172&amp;'Table 2.3a'!$C172,UtilityList!$A$4:$A$251&amp;UtilityList!$C$4:$C$251,0)))</f>
        <v>0</v>
      </c>
      <c r="M172" s="452" t="str">
        <f t="array" ref="M172">IFERROR(INDEX(UtilityList!J$4:J$251,MATCH('Table 2.3a'!$A172&amp;'Table 2.3a'!$B172&amp;'Table 2.3a'!$C172,UtilityList!$A$4:$A$251&amp;UtilityList!$B$4:$B$251&amp;UtilityList!$C$4:$C$251,0)),INDEX(UtilityList!J$4:J$251,MATCH('Table 2.3a'!$A172&amp;'Table 2.3a'!$C172,UtilityList!$A$4:$A$251&amp;UtilityList!$C$4:$C$251,0)))</f>
        <v>Lower Yukon-Kuskokwim</v>
      </c>
      <c r="N172" s="452" t="str">
        <f t="array" ref="N172">IFERROR(INDEX(UtilityList!K$4:K$251,MATCH('Table 2.3a'!$A172&amp;'Table 2.3a'!$B172&amp;'Table 2.3a'!$C172,UtilityList!$A$4:$A$251&amp;UtilityList!$B$4:$B$251&amp;UtilityList!$C$4:$C$251,0)),INDEX(UtilityList!K$4:K$251,MATCH('Table 2.3a'!$A172&amp;'Table 2.3a'!$C172,UtilityList!$A$4:$A$251&amp;UtilityList!$C$4:$C$251,0)))</f>
        <v>Bethel (CA)</v>
      </c>
      <c r="O172" s="452" t="str">
        <f t="array" ref="O172">IFERROR(INDEX(UtilityList!L$4:L$251,MATCH('Table 2.3a'!$A172&amp;'Table 2.3a'!$B172&amp;'Table 2.3a'!$C172,UtilityList!$A$4:$A$251&amp;UtilityList!$B$4:$B$251&amp;UtilityList!$C$4:$C$251,0)),INDEX(UtilityList!L$4:L$251,MATCH('Table 2.3a'!$A172&amp;'Table 2.3a'!$C172,UtilityList!$A$4:$A$251&amp;UtilityList!$C$4:$C$251,0)))</f>
        <v>Calista</v>
      </c>
      <c r="P172" s="452" t="str">
        <f t="array" ref="P172">IFERROR(INDEX(UtilityList!M$4:M$251,MATCH('Table 2.3a'!$A172&amp;'Table 2.3a'!$B172&amp;'Table 2.3a'!$C172,UtilityList!$A$4:$A$251&amp;UtilityList!$B$4:$B$251&amp;UtilityList!$C$4:$C$251,0)),INDEX(UtilityList!M$4:M$251,MATCH('Table 2.3a'!$A172&amp;'Table 2.3a'!$C172,UtilityList!$A$4:$A$251&amp;UtilityList!$C$4:$C$251,0)))</f>
        <v>SW</v>
      </c>
      <c r="Q172" s="344"/>
    </row>
    <row r="173" spans="1:17" s="344" customFormat="1" x14ac:dyDescent="0.25">
      <c r="A173" s="385" t="s">
        <v>236</v>
      </c>
      <c r="B173" s="385" t="s">
        <v>237</v>
      </c>
      <c r="C173" s="635" t="s">
        <v>237</v>
      </c>
      <c r="D173" s="637">
        <v>0</v>
      </c>
      <c r="E173" s="638">
        <v>159.17355000000001</v>
      </c>
      <c r="F173" s="638">
        <v>342.38499999999999</v>
      </c>
      <c r="G173" s="638">
        <v>0</v>
      </c>
      <c r="H173" s="639">
        <f t="shared" si="4"/>
        <v>501.55854999999997</v>
      </c>
      <c r="I173" s="638">
        <v>21.806172</v>
      </c>
      <c r="J173" s="638">
        <f t="shared" si="5"/>
        <v>523.36472199999992</v>
      </c>
      <c r="K173" s="646" t="s">
        <v>356</v>
      </c>
      <c r="L173" s="627">
        <f t="array" ref="L173">IFERROR(INDEX(UtilityList!Q$4:Q$251,MATCH('Table 2.3a'!$A173&amp;'Table 2.3a'!$B173&amp;'Table 2.3a'!$C173,UtilityList!$A$4:$A$251&amp;UtilityList!$B$4:$B$251&amp;UtilityList!$C$4:$C$251,0)),INDEX(UtilityList!Q$4:Q$251,MATCH('Table 2.3a'!$A173&amp;'Table 2.3a'!$C173,UtilityList!$A$4:$A$251&amp;UtilityList!$C$4:$C$251,0)))</f>
        <v>0</v>
      </c>
      <c r="M173" s="452" t="str">
        <f t="array" ref="M173">IFERROR(INDEX(UtilityList!J$4:J$251,MATCH('Table 2.3a'!$A173&amp;'Table 2.3a'!$B173&amp;'Table 2.3a'!$C173,UtilityList!$A$4:$A$251&amp;UtilityList!$B$4:$B$251&amp;UtilityList!$C$4:$C$251,0)),INDEX(UtilityList!J$4:J$251,MATCH('Table 2.3a'!$A173&amp;'Table 2.3a'!$C173,UtilityList!$A$4:$A$251&amp;UtilityList!$C$4:$C$251,0)))</f>
        <v>Kodiak</v>
      </c>
      <c r="N173" s="452" t="str">
        <f t="array" ref="N173">IFERROR(INDEX(UtilityList!K$4:K$251,MATCH('Table 2.3a'!$A173&amp;'Table 2.3a'!$B173&amp;'Table 2.3a'!$C173,UtilityList!$A$4:$A$251&amp;UtilityList!$B$4:$B$251&amp;UtilityList!$C$4:$C$251,0)),INDEX(UtilityList!K$4:K$251,MATCH('Table 2.3a'!$A173&amp;'Table 2.3a'!$C173,UtilityList!$A$4:$A$251&amp;UtilityList!$C$4:$C$251,0)))</f>
        <v>Kodiak Island</v>
      </c>
      <c r="O173" s="452" t="str">
        <f t="array" ref="O173">IFERROR(INDEX(UtilityList!L$4:L$251,MATCH('Table 2.3a'!$A173&amp;'Table 2.3a'!$B173&amp;'Table 2.3a'!$C173,UtilityList!$A$4:$A$251&amp;UtilityList!$B$4:$B$251&amp;UtilityList!$C$4:$C$251,0)),INDEX(UtilityList!L$4:L$251,MATCH('Table 2.3a'!$A173&amp;'Table 2.3a'!$C173,UtilityList!$A$4:$A$251&amp;UtilityList!$C$4:$C$251,0)))</f>
        <v>Koniag</v>
      </c>
      <c r="P173" s="452" t="str">
        <f t="array" ref="P173">IFERROR(INDEX(UtilityList!M$4:M$251,MATCH('Table 2.3a'!$A173&amp;'Table 2.3a'!$B173&amp;'Table 2.3a'!$C173,UtilityList!$A$4:$A$251&amp;UtilityList!$B$4:$B$251&amp;UtilityList!$C$4:$C$251,0)),INDEX(UtilityList!M$4:M$251,MATCH('Table 2.3a'!$A173&amp;'Table 2.3a'!$C173,UtilityList!$A$4:$A$251&amp;UtilityList!$C$4:$C$251,0)))</f>
        <v>SC</v>
      </c>
    </row>
    <row r="174" spans="1:17" s="344" customFormat="1" ht="30" customHeight="1" x14ac:dyDescent="0.25">
      <c r="A174" s="360" t="s">
        <v>238</v>
      </c>
      <c r="B174" s="360" t="s">
        <v>239</v>
      </c>
      <c r="C174" s="387" t="s">
        <v>239</v>
      </c>
      <c r="D174" s="637">
        <v>0</v>
      </c>
      <c r="E174" s="638">
        <v>472.11799999999999</v>
      </c>
      <c r="F174" s="638">
        <v>0</v>
      </c>
      <c r="G174" s="638">
        <v>0</v>
      </c>
      <c r="H174" s="639">
        <f t="shared" si="4"/>
        <v>472.11799999999999</v>
      </c>
      <c r="I174" s="638">
        <v>34.540999999999997</v>
      </c>
      <c r="J174" s="638">
        <f t="shared" si="5"/>
        <v>506.65899999999999</v>
      </c>
      <c r="K174" s="640" t="s">
        <v>356</v>
      </c>
      <c r="L174" s="627">
        <f t="array" ref="L174">IFERROR(INDEX(UtilityList!Q$4:Q$251,MATCH('Table 2.3a'!$A174&amp;'Table 2.3a'!$B174&amp;'Table 2.3a'!$C174,UtilityList!$A$4:$A$251&amp;UtilityList!$B$4:$B$251&amp;UtilityList!$C$4:$C$251,0)),INDEX(UtilityList!Q$4:Q$251,MATCH('Table 2.3a'!$A174&amp;'Table 2.3a'!$C174,UtilityList!$A$4:$A$251&amp;UtilityList!$C$4:$C$251,0)))</f>
        <v>0</v>
      </c>
      <c r="M174" s="452" t="str">
        <f t="array" ref="M174">IFERROR(INDEX(UtilityList!J$4:J$251,MATCH('Table 2.3a'!$A174&amp;'Table 2.3a'!$B174&amp;'Table 2.3a'!$C174,UtilityList!$A$4:$A$251&amp;UtilityList!$B$4:$B$251&amp;UtilityList!$C$4:$C$251,0)),INDEX(UtilityList!J$4:J$251,MATCH('Table 2.3a'!$A174&amp;'Table 2.3a'!$C174,UtilityList!$A$4:$A$251&amp;UtilityList!$C$4:$C$251,0)))</f>
        <v>Bristol Bay</v>
      </c>
      <c r="N174" s="452" t="str">
        <f t="array" ref="N174">IFERROR(INDEX(UtilityList!K$4:K$251,MATCH('Table 2.3a'!$A174&amp;'Table 2.3a'!$B174&amp;'Table 2.3a'!$C174,UtilityList!$A$4:$A$251&amp;UtilityList!$B$4:$B$251&amp;UtilityList!$C$4:$C$251,0)),INDEX(UtilityList!K$4:K$251,MATCH('Table 2.3a'!$A174&amp;'Table 2.3a'!$C174,UtilityList!$A$4:$A$251&amp;UtilityList!$C$4:$C$251,0)))</f>
        <v>Lake and Peninsula</v>
      </c>
      <c r="O174" s="452" t="str">
        <f t="array" ref="O174">IFERROR(INDEX(UtilityList!L$4:L$251,MATCH('Table 2.3a'!$A174&amp;'Table 2.3a'!$B174&amp;'Table 2.3a'!$C174,UtilityList!$A$4:$A$251&amp;UtilityList!$B$4:$B$251&amp;UtilityList!$C$4:$C$251,0)),INDEX(UtilityList!L$4:L$251,MATCH('Table 2.3a'!$A174&amp;'Table 2.3a'!$C174,UtilityList!$A$4:$A$251&amp;UtilityList!$C$4:$C$251,0)))</f>
        <v>Bristol Bay</v>
      </c>
      <c r="P174" s="452" t="str">
        <f t="array" ref="P174">IFERROR(INDEX(UtilityList!M$4:M$251,MATCH('Table 2.3a'!$A174&amp;'Table 2.3a'!$B174&amp;'Table 2.3a'!$C174,UtilityList!$A$4:$A$251&amp;UtilityList!$B$4:$B$251&amp;UtilityList!$C$4:$C$251,0)),INDEX(UtilityList!M$4:M$251,MATCH('Table 2.3a'!$A174&amp;'Table 2.3a'!$C174,UtilityList!$A$4:$A$251&amp;UtilityList!$C$4:$C$251,0)))</f>
        <v>SW</v>
      </c>
    </row>
    <row r="175" spans="1:17" s="344" customFormat="1" ht="65.25" customHeight="1" x14ac:dyDescent="0.25">
      <c r="A175" s="360" t="s">
        <v>240</v>
      </c>
      <c r="B175" s="360" t="s">
        <v>241</v>
      </c>
      <c r="C175" s="387" t="s">
        <v>241</v>
      </c>
      <c r="D175" s="637">
        <v>0</v>
      </c>
      <c r="E175" s="638">
        <v>32.902999999999999</v>
      </c>
      <c r="F175" s="638">
        <v>0</v>
      </c>
      <c r="G175" s="638">
        <v>0</v>
      </c>
      <c r="H175" s="639">
        <f t="shared" si="4"/>
        <v>32.902999999999999</v>
      </c>
      <c r="I175" s="638">
        <v>0.89200000000000002</v>
      </c>
      <c r="J175" s="638">
        <f t="shared" si="5"/>
        <v>33.795000000000002</v>
      </c>
      <c r="K175" s="640" t="s">
        <v>356</v>
      </c>
      <c r="L175" s="627">
        <f t="array" ref="L175">IFERROR(INDEX(UtilityList!Q$4:Q$251,MATCH('Table 2.3a'!$A175&amp;'Table 2.3a'!$B175&amp;'Table 2.3a'!$C175,UtilityList!$A$4:$A$251&amp;UtilityList!$B$4:$B$251&amp;UtilityList!$C$4:$C$251,0)),INDEX(UtilityList!Q$4:Q$251,MATCH('Table 2.3a'!$A175&amp;'Table 2.3a'!$C175,UtilityList!$A$4:$A$251&amp;UtilityList!$C$4:$C$251,0)))</f>
        <v>0</v>
      </c>
      <c r="M175" s="452" t="str">
        <f t="array" ref="M175">IFERROR(INDEX(UtilityList!J$4:J$251,MATCH('Table 2.3a'!$A175&amp;'Table 2.3a'!$B175&amp;'Table 2.3a'!$C175,UtilityList!$A$4:$A$251&amp;UtilityList!$B$4:$B$251&amp;UtilityList!$C$4:$C$251,0)),INDEX(UtilityList!J$4:J$251,MATCH('Table 2.3a'!$A175&amp;'Table 2.3a'!$C175,UtilityList!$A$4:$A$251&amp;UtilityList!$C$4:$C$251,0)))</f>
        <v>Lower Yukon-Kuskokwim</v>
      </c>
      <c r="N175" s="452" t="str">
        <f t="array" ref="N175">IFERROR(INDEX(UtilityList!K$4:K$251,MATCH('Table 2.3a'!$A175&amp;'Table 2.3a'!$B175&amp;'Table 2.3a'!$C175,UtilityList!$A$4:$A$251&amp;UtilityList!$B$4:$B$251&amp;UtilityList!$C$4:$C$251,0)),INDEX(UtilityList!K$4:K$251,MATCH('Table 2.3a'!$A175&amp;'Table 2.3a'!$C175,UtilityList!$A$4:$A$251&amp;UtilityList!$C$4:$C$251,0)))</f>
        <v>Bethel (CA)</v>
      </c>
      <c r="O175" s="452" t="str">
        <f t="array" ref="O175">IFERROR(INDEX(UtilityList!L$4:L$251,MATCH('Table 2.3a'!$A175&amp;'Table 2.3a'!$B175&amp;'Table 2.3a'!$C175,UtilityList!$A$4:$A$251&amp;UtilityList!$B$4:$B$251&amp;UtilityList!$C$4:$C$251,0)),INDEX(UtilityList!L$4:L$251,MATCH('Table 2.3a'!$A175&amp;'Table 2.3a'!$C175,UtilityList!$A$4:$A$251&amp;UtilityList!$C$4:$C$251,0)))</f>
        <v>Calista</v>
      </c>
      <c r="P175" s="452" t="str">
        <f t="array" ref="P175">IFERROR(INDEX(UtilityList!M$4:M$251,MATCH('Table 2.3a'!$A175&amp;'Table 2.3a'!$B175&amp;'Table 2.3a'!$C175,UtilityList!$A$4:$A$251&amp;UtilityList!$B$4:$B$251&amp;UtilityList!$C$4:$C$251,0)),INDEX(UtilityList!M$4:M$251,MATCH('Table 2.3a'!$A175&amp;'Table 2.3a'!$C175,UtilityList!$A$4:$A$251&amp;UtilityList!$C$4:$C$251,0)))</f>
        <v>SW</v>
      </c>
    </row>
    <row r="176" spans="1:17" s="344" customFormat="1" ht="30" customHeight="1" x14ac:dyDescent="0.25">
      <c r="A176" s="385" t="s">
        <v>242</v>
      </c>
      <c r="B176" s="385" t="s">
        <v>243</v>
      </c>
      <c r="C176" s="635" t="s">
        <v>243</v>
      </c>
      <c r="D176" s="637">
        <v>0</v>
      </c>
      <c r="E176" s="638">
        <v>1365.7190000000001</v>
      </c>
      <c r="F176" s="638">
        <v>0</v>
      </c>
      <c r="G176" s="638">
        <v>0</v>
      </c>
      <c r="H176" s="639">
        <f t="shared" si="4"/>
        <v>1365.7190000000001</v>
      </c>
      <c r="I176" s="638">
        <v>45.040999999999997</v>
      </c>
      <c r="J176" s="638">
        <f t="shared" si="5"/>
        <v>1410.76</v>
      </c>
      <c r="K176" s="646" t="s">
        <v>356</v>
      </c>
      <c r="L176" s="627">
        <f t="array" ref="L176">IFERROR(INDEX(UtilityList!Q$4:Q$251,MATCH('Table 2.3a'!$A176&amp;'Table 2.3a'!$B176&amp;'Table 2.3a'!$C176,UtilityList!$A$4:$A$251&amp;UtilityList!$B$4:$B$251&amp;UtilityList!$C$4:$C$251,0)),INDEX(UtilityList!Q$4:Q$251,MATCH('Table 2.3a'!$A176&amp;'Table 2.3a'!$C176,UtilityList!$A$4:$A$251&amp;UtilityList!$C$4:$C$251,0)))</f>
        <v>0</v>
      </c>
      <c r="M176" s="452" t="str">
        <f t="array" ref="M176">IFERROR(INDEX(UtilityList!J$4:J$251,MATCH('Table 2.3a'!$A176&amp;'Table 2.3a'!$B176&amp;'Table 2.3a'!$C176,UtilityList!$A$4:$A$251&amp;UtilityList!$B$4:$B$251&amp;UtilityList!$C$4:$C$251,0)),INDEX(UtilityList!J$4:J$251,MATCH('Table 2.3a'!$A176&amp;'Table 2.3a'!$C176,UtilityList!$A$4:$A$251&amp;UtilityList!$C$4:$C$251,0)))</f>
        <v>Bristol Bay</v>
      </c>
      <c r="N176" s="452" t="str">
        <f t="array" ref="N176">IFERROR(INDEX(UtilityList!K$4:K$251,MATCH('Table 2.3a'!$A176&amp;'Table 2.3a'!$B176&amp;'Table 2.3a'!$C176,UtilityList!$A$4:$A$251&amp;UtilityList!$B$4:$B$251&amp;UtilityList!$C$4:$C$251,0)),INDEX(UtilityList!K$4:K$251,MATCH('Table 2.3a'!$A176&amp;'Table 2.3a'!$C176,UtilityList!$A$4:$A$251&amp;UtilityList!$C$4:$C$251,0)))</f>
        <v>Dillingham (CA)</v>
      </c>
      <c r="O176" s="452" t="str">
        <f t="array" ref="O176">IFERROR(INDEX(UtilityList!L$4:L$251,MATCH('Table 2.3a'!$A176&amp;'Table 2.3a'!$B176&amp;'Table 2.3a'!$C176,UtilityList!$A$4:$A$251&amp;UtilityList!$B$4:$B$251&amp;UtilityList!$C$4:$C$251,0)),INDEX(UtilityList!L$4:L$251,MATCH('Table 2.3a'!$A176&amp;'Table 2.3a'!$C176,UtilityList!$A$4:$A$251&amp;UtilityList!$C$4:$C$251,0)))</f>
        <v>Bristol Bay</v>
      </c>
      <c r="P176" s="452" t="str">
        <f t="array" ref="P176">IFERROR(INDEX(UtilityList!M$4:M$251,MATCH('Table 2.3a'!$A176&amp;'Table 2.3a'!$B176&amp;'Table 2.3a'!$C176,UtilityList!$A$4:$A$251&amp;UtilityList!$B$4:$B$251&amp;UtilityList!$C$4:$C$251,0)),INDEX(UtilityList!M$4:M$251,MATCH('Table 2.3a'!$A176&amp;'Table 2.3a'!$C176,UtilityList!$A$4:$A$251&amp;UtilityList!$C$4:$C$251,0)))</f>
        <v>SW</v>
      </c>
    </row>
    <row r="177" spans="1:17" s="126" customFormat="1" ht="30" customHeight="1" x14ac:dyDescent="0.25">
      <c r="A177" s="360" t="s">
        <v>509</v>
      </c>
      <c r="B177" s="360" t="s">
        <v>244</v>
      </c>
      <c r="C177" s="387" t="s">
        <v>244</v>
      </c>
      <c r="D177" s="637">
        <v>0</v>
      </c>
      <c r="E177" s="638">
        <v>2840.7040000000002</v>
      </c>
      <c r="F177" s="638">
        <v>0</v>
      </c>
      <c r="G177" s="638">
        <v>0</v>
      </c>
      <c r="H177" s="639">
        <f t="shared" si="4"/>
        <v>2840.7040000000002</v>
      </c>
      <c r="I177" s="638">
        <v>61.923000000000002</v>
      </c>
      <c r="J177" s="638">
        <f t="shared" si="5"/>
        <v>2902.6270000000004</v>
      </c>
      <c r="K177" s="640" t="s">
        <v>356</v>
      </c>
      <c r="L177" s="627">
        <f t="array" ref="L177">IFERROR(INDEX(UtilityList!Q$4:Q$251,MATCH('Table 2.3a'!$A177&amp;'Table 2.3a'!$B177&amp;'Table 2.3a'!$C177,UtilityList!$A$4:$A$251&amp;UtilityList!$B$4:$B$251&amp;UtilityList!$C$4:$C$251,0)),INDEX(UtilityList!Q$4:Q$251,MATCH('Table 2.3a'!$A177&amp;'Table 2.3a'!$C177,UtilityList!$A$4:$A$251&amp;UtilityList!$C$4:$C$251,0)))</f>
        <v>0</v>
      </c>
      <c r="M177" s="452" t="str">
        <f t="array" ref="M177">IFERROR(INDEX(UtilityList!J$4:J$251,MATCH('Table 2.3a'!$A177&amp;'Table 2.3a'!$B177&amp;'Table 2.3a'!$C177,UtilityList!$A$4:$A$251&amp;UtilityList!$B$4:$B$251&amp;UtilityList!$C$4:$C$251,0)),INDEX(UtilityList!J$4:J$251,MATCH('Table 2.3a'!$A177&amp;'Table 2.3a'!$C177,UtilityList!$A$4:$A$251&amp;UtilityList!$C$4:$C$251,0)))</f>
        <v>Yukon-Koyukuk/Upper Tanana</v>
      </c>
      <c r="N177" s="452" t="str">
        <f t="array" ref="N177">IFERROR(INDEX(UtilityList!K$4:K$251,MATCH('Table 2.3a'!$A177&amp;'Table 2.3a'!$B177&amp;'Table 2.3a'!$C177,UtilityList!$A$4:$A$251&amp;UtilityList!$B$4:$B$251&amp;UtilityList!$C$4:$C$251,0)),INDEX(UtilityList!K$4:K$251,MATCH('Table 2.3a'!$A177&amp;'Table 2.3a'!$C177,UtilityList!$A$4:$A$251&amp;UtilityList!$C$4:$C$251,0)))</f>
        <v>Yukon-Koyukuk (CA)</v>
      </c>
      <c r="O177" s="452" t="str">
        <f t="array" ref="O177">IFERROR(INDEX(UtilityList!L$4:L$251,MATCH('Table 2.3a'!$A177&amp;'Table 2.3a'!$B177&amp;'Table 2.3a'!$C177,UtilityList!$A$4:$A$251&amp;UtilityList!$B$4:$B$251&amp;UtilityList!$C$4:$C$251,0)),INDEX(UtilityList!L$4:L$251,MATCH('Table 2.3a'!$A177&amp;'Table 2.3a'!$C177,UtilityList!$A$4:$A$251&amp;UtilityList!$C$4:$C$251,0)))</f>
        <v>Doyon</v>
      </c>
      <c r="P177" s="452" t="str">
        <f t="array" ref="P177">IFERROR(INDEX(UtilityList!M$4:M$251,MATCH('Table 2.3a'!$A177&amp;'Table 2.3a'!$B177&amp;'Table 2.3a'!$C177,UtilityList!$A$4:$A$251&amp;UtilityList!$B$4:$B$251&amp;UtilityList!$C$4:$C$251,0)),INDEX(UtilityList!M$4:M$251,MATCH('Table 2.3a'!$A177&amp;'Table 2.3a'!$C177,UtilityList!$A$4:$A$251&amp;UtilityList!$C$4:$C$251,0)))</f>
        <v>SW</v>
      </c>
      <c r="Q177" s="344"/>
    </row>
    <row r="178" spans="1:17" s="126" customFormat="1" ht="69" customHeight="1" x14ac:dyDescent="0.25">
      <c r="A178" s="385" t="s">
        <v>245</v>
      </c>
      <c r="B178" s="455" t="s">
        <v>246</v>
      </c>
      <c r="C178" s="643" t="s">
        <v>247</v>
      </c>
      <c r="D178" s="637">
        <v>0</v>
      </c>
      <c r="E178" s="641">
        <v>65</v>
      </c>
      <c r="F178" s="641">
        <v>0</v>
      </c>
      <c r="G178" s="642">
        <v>0</v>
      </c>
      <c r="H178" s="639">
        <f t="shared" si="4"/>
        <v>65</v>
      </c>
      <c r="I178" s="641">
        <v>121</v>
      </c>
      <c r="J178" s="638">
        <f t="shared" si="5"/>
        <v>186</v>
      </c>
      <c r="K178" s="645" t="s">
        <v>558</v>
      </c>
      <c r="L178" s="627">
        <f t="array" ref="L178">IFERROR(INDEX(UtilityList!Q$4:Q$251,MATCH('Table 2.3a'!$A178&amp;'Table 2.3a'!$B178&amp;'Table 2.3a'!$C178,UtilityList!$A$4:$A$251&amp;UtilityList!$B$4:$B$251&amp;UtilityList!$C$4:$C$251,0)),INDEX(UtilityList!Q$4:Q$251,MATCH('Table 2.3a'!$A178&amp;'Table 2.3a'!$C178,UtilityList!$A$4:$A$251&amp;UtilityList!$C$4:$C$251,0)))</f>
        <v>0</v>
      </c>
      <c r="M178" s="452" t="str">
        <f t="array" ref="M178">IFERROR(INDEX(UtilityList!J$4:J$251,MATCH('Table 2.3a'!$A178&amp;'Table 2.3a'!$B178&amp;'Table 2.3a'!$C178,UtilityList!$A$4:$A$251&amp;UtilityList!$B$4:$B$251&amp;UtilityList!$C$4:$C$251,0)),INDEX(UtilityList!J$4:J$251,MATCH('Table 2.3a'!$A178&amp;'Table 2.3a'!$C178,UtilityList!$A$4:$A$251&amp;UtilityList!$C$4:$C$251,0)))</f>
        <v>Southeast</v>
      </c>
      <c r="N178" s="452" t="str">
        <f t="array" ref="N178">IFERROR(INDEX(UtilityList!K$4:K$251,MATCH('Table 2.3a'!$A178&amp;'Table 2.3a'!$B178&amp;'Table 2.3a'!$C178,UtilityList!$A$4:$A$251&amp;UtilityList!$B$4:$B$251&amp;UtilityList!$C$4:$C$251,0)),INDEX(UtilityList!K$4:K$251,MATCH('Table 2.3a'!$A178&amp;'Table 2.3a'!$C178,UtilityList!$A$4:$A$251&amp;UtilityList!$C$4:$C$251,0)))</f>
        <v>Prince of Wales-Hyder (CA)</v>
      </c>
      <c r="O178" s="452" t="str">
        <f t="array" ref="O178">IFERROR(INDEX(UtilityList!L$4:L$251,MATCH('Table 2.3a'!$A178&amp;'Table 2.3a'!$B178&amp;'Table 2.3a'!$C178,UtilityList!$A$4:$A$251&amp;UtilityList!$B$4:$B$251&amp;UtilityList!$C$4:$C$251,0)),INDEX(UtilityList!L$4:L$251,MATCH('Table 2.3a'!$A178&amp;'Table 2.3a'!$C178,UtilityList!$A$4:$A$251&amp;UtilityList!$C$4:$C$251,0)))</f>
        <v>Sealaska</v>
      </c>
      <c r="P178" s="452" t="str">
        <f t="array" ref="P178">IFERROR(INDEX(UtilityList!M$4:M$251,MATCH('Table 2.3a'!$A178&amp;'Table 2.3a'!$B178&amp;'Table 2.3a'!$C178,UtilityList!$A$4:$A$251&amp;UtilityList!$B$4:$B$251&amp;UtilityList!$C$4:$C$251,0)),INDEX(UtilityList!M$4:M$251,MATCH('Table 2.3a'!$A178&amp;'Table 2.3a'!$C178,UtilityList!$A$4:$A$251&amp;UtilityList!$C$4:$C$251,0)))</f>
        <v>SE</v>
      </c>
      <c r="Q178" s="187"/>
    </row>
    <row r="179" spans="1:17" s="344" customFormat="1" ht="30" customHeight="1" x14ac:dyDescent="0.25">
      <c r="A179" s="385" t="s">
        <v>245</v>
      </c>
      <c r="B179" s="455" t="s">
        <v>248</v>
      </c>
      <c r="C179" s="643" t="s">
        <v>247</v>
      </c>
      <c r="D179" s="637">
        <v>0</v>
      </c>
      <c r="E179" s="641">
        <v>0</v>
      </c>
      <c r="F179" s="641">
        <v>5129</v>
      </c>
      <c r="G179" s="642">
        <v>0</v>
      </c>
      <c r="H179" s="639">
        <f t="shared" si="4"/>
        <v>5129</v>
      </c>
      <c r="I179" s="641"/>
      <c r="J179" s="638" t="str">
        <f t="shared" si="5"/>
        <v/>
      </c>
      <c r="K179" s="645" t="s">
        <v>558</v>
      </c>
      <c r="L179" s="627">
        <f t="array" ref="L179">IFERROR(INDEX(UtilityList!Q$4:Q$251,MATCH('Table 2.3a'!$A179&amp;'Table 2.3a'!$B179&amp;'Table 2.3a'!$C179,UtilityList!$A$4:$A$251&amp;UtilityList!$B$4:$B$251&amp;UtilityList!$C$4:$C$251,0)),INDEX(UtilityList!Q$4:Q$251,MATCH('Table 2.3a'!$A179&amp;'Table 2.3a'!$C179,UtilityList!$A$4:$A$251&amp;UtilityList!$C$4:$C$251,0)))</f>
        <v>0</v>
      </c>
      <c r="M179" s="452" t="str">
        <f t="array" ref="M179">IFERROR(INDEX(UtilityList!J$4:J$251,MATCH('Table 2.3a'!$A179&amp;'Table 2.3a'!$B179&amp;'Table 2.3a'!$C179,UtilityList!$A$4:$A$251&amp;UtilityList!$B$4:$B$251&amp;UtilityList!$C$4:$C$251,0)),INDEX(UtilityList!J$4:J$251,MATCH('Table 2.3a'!$A179&amp;'Table 2.3a'!$C179,UtilityList!$A$4:$A$251&amp;UtilityList!$C$4:$C$251,0)))</f>
        <v>Southeast</v>
      </c>
      <c r="N179" s="452" t="str">
        <f t="array" ref="N179">IFERROR(INDEX(UtilityList!K$4:K$251,MATCH('Table 2.3a'!$A179&amp;'Table 2.3a'!$B179&amp;'Table 2.3a'!$C179,UtilityList!$A$4:$A$251&amp;UtilityList!$B$4:$B$251&amp;UtilityList!$C$4:$C$251,0)),INDEX(UtilityList!K$4:K$251,MATCH('Table 2.3a'!$A179&amp;'Table 2.3a'!$C179,UtilityList!$A$4:$A$251&amp;UtilityList!$C$4:$C$251,0)))</f>
        <v>Prince of Wales-Hyder (CA)</v>
      </c>
      <c r="O179" s="452" t="str">
        <f t="array" ref="O179">IFERROR(INDEX(UtilityList!L$4:L$251,MATCH('Table 2.3a'!$A179&amp;'Table 2.3a'!$B179&amp;'Table 2.3a'!$C179,UtilityList!$A$4:$A$251&amp;UtilityList!$B$4:$B$251&amp;UtilityList!$C$4:$C$251,0)),INDEX(UtilityList!L$4:L$251,MATCH('Table 2.3a'!$A179&amp;'Table 2.3a'!$C179,UtilityList!$A$4:$A$251&amp;UtilityList!$C$4:$C$251,0)))</f>
        <v>Sealaska</v>
      </c>
      <c r="P179" s="452" t="str">
        <f t="array" ref="P179">IFERROR(INDEX(UtilityList!M$4:M$251,MATCH('Table 2.3a'!$A179&amp;'Table 2.3a'!$B179&amp;'Table 2.3a'!$C179,UtilityList!$A$4:$A$251&amp;UtilityList!$B$4:$B$251&amp;UtilityList!$C$4:$C$251,0)),INDEX(UtilityList!M$4:M$251,MATCH('Table 2.3a'!$A179&amp;'Table 2.3a'!$C179,UtilityList!$A$4:$A$251&amp;UtilityList!$C$4:$C$251,0)))</f>
        <v>SE</v>
      </c>
    </row>
    <row r="180" spans="1:17" s="344" customFormat="1" ht="30" customHeight="1" x14ac:dyDescent="0.25">
      <c r="A180" s="385" t="s">
        <v>245</v>
      </c>
      <c r="B180" s="455" t="s">
        <v>249</v>
      </c>
      <c r="C180" s="643" t="s">
        <v>247</v>
      </c>
      <c r="D180" s="637">
        <v>0</v>
      </c>
      <c r="E180" s="641">
        <v>0</v>
      </c>
      <c r="F180" s="641">
        <v>15040</v>
      </c>
      <c r="G180" s="642">
        <v>0</v>
      </c>
      <c r="H180" s="639">
        <f t="shared" si="4"/>
        <v>15040</v>
      </c>
      <c r="I180" s="641"/>
      <c r="J180" s="638" t="str">
        <f t="shared" si="5"/>
        <v/>
      </c>
      <c r="K180" s="645" t="s">
        <v>558</v>
      </c>
      <c r="L180" s="627">
        <f t="array" ref="L180">IFERROR(INDEX(UtilityList!Q$4:Q$251,MATCH('Table 2.3a'!$A180&amp;'Table 2.3a'!$B180&amp;'Table 2.3a'!$C180,UtilityList!$A$4:$A$251&amp;UtilityList!$B$4:$B$251&amp;UtilityList!$C$4:$C$251,0)),INDEX(UtilityList!Q$4:Q$251,MATCH('Table 2.3a'!$A180&amp;'Table 2.3a'!$C180,UtilityList!$A$4:$A$251&amp;UtilityList!$C$4:$C$251,0)))</f>
        <v>0</v>
      </c>
      <c r="M180" s="452" t="str">
        <f t="array" ref="M180">IFERROR(INDEX(UtilityList!J$4:J$251,MATCH('Table 2.3a'!$A180&amp;'Table 2.3a'!$B180&amp;'Table 2.3a'!$C180,UtilityList!$A$4:$A$251&amp;UtilityList!$B$4:$B$251&amp;UtilityList!$C$4:$C$251,0)),INDEX(UtilityList!J$4:J$251,MATCH('Table 2.3a'!$A180&amp;'Table 2.3a'!$C180,UtilityList!$A$4:$A$251&amp;UtilityList!$C$4:$C$251,0)))</f>
        <v>Southeast</v>
      </c>
      <c r="N180" s="452" t="str">
        <f t="array" ref="N180">IFERROR(INDEX(UtilityList!K$4:K$251,MATCH('Table 2.3a'!$A180&amp;'Table 2.3a'!$B180&amp;'Table 2.3a'!$C180,UtilityList!$A$4:$A$251&amp;UtilityList!$B$4:$B$251&amp;UtilityList!$C$4:$C$251,0)),INDEX(UtilityList!K$4:K$251,MATCH('Table 2.3a'!$A180&amp;'Table 2.3a'!$C180,UtilityList!$A$4:$A$251&amp;UtilityList!$C$4:$C$251,0)))</f>
        <v>Prince of Wales-Hyder (CA)</v>
      </c>
      <c r="O180" s="452" t="str">
        <f t="array" ref="O180">IFERROR(INDEX(UtilityList!L$4:L$251,MATCH('Table 2.3a'!$A180&amp;'Table 2.3a'!$B180&amp;'Table 2.3a'!$C180,UtilityList!$A$4:$A$251&amp;UtilityList!$B$4:$B$251&amp;UtilityList!$C$4:$C$251,0)),INDEX(UtilityList!L$4:L$251,MATCH('Table 2.3a'!$A180&amp;'Table 2.3a'!$C180,UtilityList!$A$4:$A$251&amp;UtilityList!$C$4:$C$251,0)))</f>
        <v>Sealaska</v>
      </c>
      <c r="P180" s="452" t="str">
        <f t="array" ref="P180">IFERROR(INDEX(UtilityList!M$4:M$251,MATCH('Table 2.3a'!$A180&amp;'Table 2.3a'!$B180&amp;'Table 2.3a'!$C180,UtilityList!$A$4:$A$251&amp;UtilityList!$B$4:$B$251&amp;UtilityList!$C$4:$C$251,0)),INDEX(UtilityList!M$4:M$251,MATCH('Table 2.3a'!$A180&amp;'Table 2.3a'!$C180,UtilityList!$A$4:$A$251&amp;UtilityList!$C$4:$C$251,0)))</f>
        <v>SE</v>
      </c>
    </row>
    <row r="181" spans="1:17" s="344" customFormat="1" ht="30" customHeight="1" x14ac:dyDescent="0.25">
      <c r="A181" s="385" t="s">
        <v>250</v>
      </c>
      <c r="B181" s="385" t="s">
        <v>251</v>
      </c>
      <c r="C181" s="635" t="s">
        <v>251</v>
      </c>
      <c r="D181" s="637">
        <v>0</v>
      </c>
      <c r="E181" s="638">
        <v>220.98479999999998</v>
      </c>
      <c r="F181" s="638">
        <v>0</v>
      </c>
      <c r="G181" s="638">
        <v>0</v>
      </c>
      <c r="H181" s="639">
        <f t="shared" si="4"/>
        <v>220.98479999999998</v>
      </c>
      <c r="I181" s="638">
        <v>12.117167</v>
      </c>
      <c r="J181" s="638">
        <f t="shared" si="5"/>
        <v>233.10196699999997</v>
      </c>
      <c r="K181" s="646" t="s">
        <v>356</v>
      </c>
      <c r="L181" s="627">
        <f t="array" ref="L181">IFERROR(INDEX(UtilityList!Q$4:Q$251,MATCH('Table 2.3a'!$A181&amp;'Table 2.3a'!$B181&amp;'Table 2.3a'!$C181,UtilityList!$A$4:$A$251&amp;UtilityList!$B$4:$B$251&amp;UtilityList!$C$4:$C$251,0)),INDEX(UtilityList!Q$4:Q$251,MATCH('Table 2.3a'!$A181&amp;'Table 2.3a'!$C181,UtilityList!$A$4:$A$251&amp;UtilityList!$C$4:$C$251,0)))</f>
        <v>0</v>
      </c>
      <c r="M181" s="452" t="str">
        <f t="array" ref="M181">IFERROR(INDEX(UtilityList!J$4:J$251,MATCH('Table 2.3a'!$A181&amp;'Table 2.3a'!$B181&amp;'Table 2.3a'!$C181,UtilityList!$A$4:$A$251&amp;UtilityList!$B$4:$B$251&amp;UtilityList!$C$4:$C$251,0)),INDEX(UtilityList!J$4:J$251,MATCH('Table 2.3a'!$A181&amp;'Table 2.3a'!$C181,UtilityList!$A$4:$A$251&amp;UtilityList!$C$4:$C$251,0)))</f>
        <v>Lower Yukon-Kuskokwim</v>
      </c>
      <c r="N181" s="452" t="str">
        <f t="array" ref="N181">IFERROR(INDEX(UtilityList!K$4:K$251,MATCH('Table 2.3a'!$A181&amp;'Table 2.3a'!$B181&amp;'Table 2.3a'!$C181,UtilityList!$A$4:$A$251&amp;UtilityList!$B$4:$B$251&amp;UtilityList!$C$4:$C$251,0)),INDEX(UtilityList!K$4:K$251,MATCH('Table 2.3a'!$A181&amp;'Table 2.3a'!$C181,UtilityList!$A$4:$A$251&amp;UtilityList!$C$4:$C$251,0)))</f>
        <v>Bethel (CA)</v>
      </c>
      <c r="O181" s="452" t="str">
        <f t="array" ref="O181">IFERROR(INDEX(UtilityList!L$4:L$251,MATCH('Table 2.3a'!$A181&amp;'Table 2.3a'!$B181&amp;'Table 2.3a'!$C181,UtilityList!$A$4:$A$251&amp;UtilityList!$B$4:$B$251&amp;UtilityList!$C$4:$C$251,0)),INDEX(UtilityList!L$4:L$251,MATCH('Table 2.3a'!$A181&amp;'Table 2.3a'!$C181,UtilityList!$A$4:$A$251&amp;UtilityList!$C$4:$C$251,0)))</f>
        <v>Calista</v>
      </c>
      <c r="P181" s="452" t="str">
        <f t="array" ref="P181">IFERROR(INDEX(UtilityList!M$4:M$251,MATCH('Table 2.3a'!$A181&amp;'Table 2.3a'!$B181&amp;'Table 2.3a'!$C181,UtilityList!$A$4:$A$251&amp;UtilityList!$B$4:$B$251&amp;UtilityList!$C$4:$C$251,0)),INDEX(UtilityList!M$4:M$251,MATCH('Table 2.3a'!$A181&amp;'Table 2.3a'!$C181,UtilityList!$A$4:$A$251&amp;UtilityList!$C$4:$C$251,0)))</f>
        <v>SW</v>
      </c>
    </row>
    <row r="182" spans="1:17" s="344" customFormat="1" ht="30" customHeight="1" x14ac:dyDescent="0.25">
      <c r="A182" s="360" t="s">
        <v>250</v>
      </c>
      <c r="B182" s="360" t="s">
        <v>252</v>
      </c>
      <c r="C182" s="387" t="s">
        <v>252</v>
      </c>
      <c r="D182" s="637">
        <v>0</v>
      </c>
      <c r="E182" s="638">
        <v>302.6524</v>
      </c>
      <c r="F182" s="638">
        <v>0</v>
      </c>
      <c r="G182" s="638">
        <v>0</v>
      </c>
      <c r="H182" s="639">
        <f t="shared" si="4"/>
        <v>302.6524</v>
      </c>
      <c r="I182" s="638">
        <v>7.4366000999999997</v>
      </c>
      <c r="J182" s="638">
        <f t="shared" si="5"/>
        <v>310.08900010000002</v>
      </c>
      <c r="K182" s="640" t="s">
        <v>356</v>
      </c>
      <c r="L182" s="627">
        <f t="array" ref="L182">IFERROR(INDEX(UtilityList!Q$4:Q$251,MATCH('Table 2.3a'!$A182&amp;'Table 2.3a'!$B182&amp;'Table 2.3a'!$C182,UtilityList!$A$4:$A$251&amp;UtilityList!$B$4:$B$251&amp;UtilityList!$C$4:$C$251,0)),INDEX(UtilityList!Q$4:Q$251,MATCH('Table 2.3a'!$A182&amp;'Table 2.3a'!$C182,UtilityList!$A$4:$A$251&amp;UtilityList!$C$4:$C$251,0)))</f>
        <v>0</v>
      </c>
      <c r="M182" s="452" t="str">
        <f t="array" ref="M182">IFERROR(INDEX(UtilityList!J$4:J$251,MATCH('Table 2.3a'!$A182&amp;'Table 2.3a'!$B182&amp;'Table 2.3a'!$C182,UtilityList!$A$4:$A$251&amp;UtilityList!$B$4:$B$251&amp;UtilityList!$C$4:$C$251,0)),INDEX(UtilityList!J$4:J$251,MATCH('Table 2.3a'!$A182&amp;'Table 2.3a'!$C182,UtilityList!$A$4:$A$251&amp;UtilityList!$C$4:$C$251,0)))</f>
        <v>Lower Yukon-Kuskokwim</v>
      </c>
      <c r="N182" s="452" t="str">
        <f t="array" ref="N182">IFERROR(INDEX(UtilityList!K$4:K$251,MATCH('Table 2.3a'!$A182&amp;'Table 2.3a'!$B182&amp;'Table 2.3a'!$C182,UtilityList!$A$4:$A$251&amp;UtilityList!$B$4:$B$251&amp;UtilityList!$C$4:$C$251,0)),INDEX(UtilityList!K$4:K$251,MATCH('Table 2.3a'!$A182&amp;'Table 2.3a'!$C182,UtilityList!$A$4:$A$251&amp;UtilityList!$C$4:$C$251,0)))</f>
        <v>Bethel (CA)</v>
      </c>
      <c r="O182" s="452" t="str">
        <f t="array" ref="O182">IFERROR(INDEX(UtilityList!L$4:L$251,MATCH('Table 2.3a'!$A182&amp;'Table 2.3a'!$B182&amp;'Table 2.3a'!$C182,UtilityList!$A$4:$A$251&amp;UtilityList!$B$4:$B$251&amp;UtilityList!$C$4:$C$251,0)),INDEX(UtilityList!L$4:L$251,MATCH('Table 2.3a'!$A182&amp;'Table 2.3a'!$C182,UtilityList!$A$4:$A$251&amp;UtilityList!$C$4:$C$251,0)))</f>
        <v>Calista</v>
      </c>
      <c r="P182" s="452" t="str">
        <f t="array" ref="P182">IFERROR(INDEX(UtilityList!M$4:M$251,MATCH('Table 2.3a'!$A182&amp;'Table 2.3a'!$B182&amp;'Table 2.3a'!$C182,UtilityList!$A$4:$A$251&amp;UtilityList!$B$4:$B$251&amp;UtilityList!$C$4:$C$251,0)),INDEX(UtilityList!M$4:M$251,MATCH('Table 2.3a'!$A182&amp;'Table 2.3a'!$C182,UtilityList!$A$4:$A$251&amp;UtilityList!$C$4:$C$251,0)))</f>
        <v>SW</v>
      </c>
    </row>
    <row r="183" spans="1:17" s="344" customFormat="1" ht="30" customHeight="1" x14ac:dyDescent="0.25">
      <c r="A183" s="385" t="s">
        <v>250</v>
      </c>
      <c r="B183" s="385" t="s">
        <v>253</v>
      </c>
      <c r="C183" s="635" t="s">
        <v>253</v>
      </c>
      <c r="D183" s="637">
        <v>0</v>
      </c>
      <c r="E183" s="638">
        <v>106.4297</v>
      </c>
      <c r="F183" s="638">
        <v>0</v>
      </c>
      <c r="G183" s="638">
        <v>0</v>
      </c>
      <c r="H183" s="639">
        <f t="shared" si="4"/>
        <v>106.4297</v>
      </c>
      <c r="I183" s="638">
        <v>2.4900000000000002</v>
      </c>
      <c r="J183" s="638">
        <f t="shared" si="5"/>
        <v>108.91969999999999</v>
      </c>
      <c r="K183" s="646" t="s">
        <v>356</v>
      </c>
      <c r="L183" s="627">
        <f t="array" ref="L183">IFERROR(INDEX(UtilityList!Q$4:Q$251,MATCH('Table 2.3a'!$A183&amp;'Table 2.3a'!$B183&amp;'Table 2.3a'!$C183,UtilityList!$A$4:$A$251&amp;UtilityList!$B$4:$B$251&amp;UtilityList!$C$4:$C$251,0)),INDEX(UtilityList!Q$4:Q$251,MATCH('Table 2.3a'!$A183&amp;'Table 2.3a'!$C183,UtilityList!$A$4:$A$251&amp;UtilityList!$C$4:$C$251,0)))</f>
        <v>0</v>
      </c>
      <c r="M183" s="452" t="str">
        <f t="array" ref="M183">IFERROR(INDEX(UtilityList!J$4:J$251,MATCH('Table 2.3a'!$A183&amp;'Table 2.3a'!$B183&amp;'Table 2.3a'!$C183,UtilityList!$A$4:$A$251&amp;UtilityList!$B$4:$B$251&amp;UtilityList!$C$4:$C$251,0)),INDEX(UtilityList!J$4:J$251,MATCH('Table 2.3a'!$A183&amp;'Table 2.3a'!$C183,UtilityList!$A$4:$A$251&amp;UtilityList!$C$4:$C$251,0)))</f>
        <v>Lower Yukon-Kuskokwim</v>
      </c>
      <c r="N183" s="452" t="str">
        <f t="array" ref="N183">IFERROR(INDEX(UtilityList!K$4:K$251,MATCH('Table 2.3a'!$A183&amp;'Table 2.3a'!$B183&amp;'Table 2.3a'!$C183,UtilityList!$A$4:$A$251&amp;UtilityList!$B$4:$B$251&amp;UtilityList!$C$4:$C$251,0)),INDEX(UtilityList!K$4:K$251,MATCH('Table 2.3a'!$A183&amp;'Table 2.3a'!$C183,UtilityList!$A$4:$A$251&amp;UtilityList!$C$4:$C$251,0)))</f>
        <v>Bethel (CA)</v>
      </c>
      <c r="O183" s="452" t="str">
        <f t="array" ref="O183">IFERROR(INDEX(UtilityList!L$4:L$251,MATCH('Table 2.3a'!$A183&amp;'Table 2.3a'!$B183&amp;'Table 2.3a'!$C183,UtilityList!$A$4:$A$251&amp;UtilityList!$B$4:$B$251&amp;UtilityList!$C$4:$C$251,0)),INDEX(UtilityList!L$4:L$251,MATCH('Table 2.3a'!$A183&amp;'Table 2.3a'!$C183,UtilityList!$A$4:$A$251&amp;UtilityList!$C$4:$C$251,0)))</f>
        <v>Calista</v>
      </c>
      <c r="P183" s="452" t="str">
        <f t="array" ref="P183">IFERROR(INDEX(UtilityList!M$4:M$251,MATCH('Table 2.3a'!$A183&amp;'Table 2.3a'!$B183&amp;'Table 2.3a'!$C183,UtilityList!$A$4:$A$251&amp;UtilityList!$B$4:$B$251&amp;UtilityList!$C$4:$C$251,0)),INDEX(UtilityList!M$4:M$251,MATCH('Table 2.3a'!$A183&amp;'Table 2.3a'!$C183,UtilityList!$A$4:$A$251&amp;UtilityList!$C$4:$C$251,0)))</f>
        <v>SW</v>
      </c>
      <c r="Q183" s="187"/>
    </row>
    <row r="184" spans="1:17" s="344" customFormat="1" ht="55.5" customHeight="1" x14ac:dyDescent="0.25">
      <c r="A184" s="385" t="s">
        <v>250</v>
      </c>
      <c r="B184" s="385" t="s">
        <v>254</v>
      </c>
      <c r="C184" s="635" t="s">
        <v>254</v>
      </c>
      <c r="D184" s="637">
        <v>0</v>
      </c>
      <c r="E184" s="638">
        <v>259.13670000000002</v>
      </c>
      <c r="F184" s="638">
        <v>0</v>
      </c>
      <c r="G184" s="638">
        <v>0</v>
      </c>
      <c r="H184" s="639">
        <f t="shared" si="4"/>
        <v>259.13670000000002</v>
      </c>
      <c r="I184" s="638">
        <v>16.330272999999998</v>
      </c>
      <c r="J184" s="638">
        <f t="shared" si="5"/>
        <v>275.466973</v>
      </c>
      <c r="K184" s="646" t="s">
        <v>356</v>
      </c>
      <c r="L184" s="627">
        <f t="array" ref="L184">IFERROR(INDEX(UtilityList!Q$4:Q$251,MATCH('Table 2.3a'!$A184&amp;'Table 2.3a'!$B184&amp;'Table 2.3a'!$C184,UtilityList!$A$4:$A$251&amp;UtilityList!$B$4:$B$251&amp;UtilityList!$C$4:$C$251,0)),INDEX(UtilityList!Q$4:Q$251,MATCH('Table 2.3a'!$A184&amp;'Table 2.3a'!$C184,UtilityList!$A$4:$A$251&amp;UtilityList!$C$4:$C$251,0)))</f>
        <v>0</v>
      </c>
      <c r="M184" s="452" t="str">
        <f t="array" ref="M184">IFERROR(INDEX(UtilityList!J$4:J$251,MATCH('Table 2.3a'!$A184&amp;'Table 2.3a'!$B184&amp;'Table 2.3a'!$C184,UtilityList!$A$4:$A$251&amp;UtilityList!$B$4:$B$251&amp;UtilityList!$C$4:$C$251,0)),INDEX(UtilityList!J$4:J$251,MATCH('Table 2.3a'!$A184&amp;'Table 2.3a'!$C184,UtilityList!$A$4:$A$251&amp;UtilityList!$C$4:$C$251,0)))</f>
        <v>Lower Yukon-Kuskokwim</v>
      </c>
      <c r="N184" s="452" t="str">
        <f t="array" ref="N184">IFERROR(INDEX(UtilityList!K$4:K$251,MATCH('Table 2.3a'!$A184&amp;'Table 2.3a'!$B184&amp;'Table 2.3a'!$C184,UtilityList!$A$4:$A$251&amp;UtilityList!$B$4:$B$251&amp;UtilityList!$C$4:$C$251,0)),INDEX(UtilityList!K$4:K$251,MATCH('Table 2.3a'!$A184&amp;'Table 2.3a'!$C184,UtilityList!$A$4:$A$251&amp;UtilityList!$C$4:$C$251,0)))</f>
        <v>Bethel (CA)</v>
      </c>
      <c r="O184" s="452" t="str">
        <f t="array" ref="O184">IFERROR(INDEX(UtilityList!L$4:L$251,MATCH('Table 2.3a'!$A184&amp;'Table 2.3a'!$B184&amp;'Table 2.3a'!$C184,UtilityList!$A$4:$A$251&amp;UtilityList!$B$4:$B$251&amp;UtilityList!$C$4:$C$251,0)),INDEX(UtilityList!L$4:L$251,MATCH('Table 2.3a'!$A184&amp;'Table 2.3a'!$C184,UtilityList!$A$4:$A$251&amp;UtilityList!$C$4:$C$251,0)))</f>
        <v>Calista</v>
      </c>
      <c r="P184" s="452" t="str">
        <f t="array" ref="P184">IFERROR(INDEX(UtilityList!M$4:M$251,MATCH('Table 2.3a'!$A184&amp;'Table 2.3a'!$B184&amp;'Table 2.3a'!$C184,UtilityList!$A$4:$A$251&amp;UtilityList!$B$4:$B$251&amp;UtilityList!$C$4:$C$251,0)),INDEX(UtilityList!M$4:M$251,MATCH('Table 2.3a'!$A184&amp;'Table 2.3a'!$C184,UtilityList!$A$4:$A$251&amp;UtilityList!$C$4:$C$251,0)))</f>
        <v>SW</v>
      </c>
      <c r="Q184" s="187"/>
    </row>
    <row r="185" spans="1:17" s="344" customFormat="1" ht="55.5" customHeight="1" x14ac:dyDescent="0.25">
      <c r="A185" s="360" t="s">
        <v>250</v>
      </c>
      <c r="B185" s="360" t="s">
        <v>255</v>
      </c>
      <c r="C185" s="387" t="s">
        <v>255</v>
      </c>
      <c r="D185" s="637">
        <v>0</v>
      </c>
      <c r="E185" s="638">
        <v>128.072</v>
      </c>
      <c r="F185" s="638">
        <v>0</v>
      </c>
      <c r="G185" s="638">
        <v>0</v>
      </c>
      <c r="H185" s="639">
        <f t="shared" si="4"/>
        <v>128.072</v>
      </c>
      <c r="I185" s="638">
        <v>15.175000000000001</v>
      </c>
      <c r="J185" s="638">
        <f t="shared" si="5"/>
        <v>143.24700000000001</v>
      </c>
      <c r="K185" s="640" t="s">
        <v>356</v>
      </c>
      <c r="L185" s="627">
        <f t="array" ref="L185">IFERROR(INDEX(UtilityList!Q$4:Q$251,MATCH('Table 2.3a'!$A185&amp;'Table 2.3a'!$B185&amp;'Table 2.3a'!$C185,UtilityList!$A$4:$A$251&amp;UtilityList!$B$4:$B$251&amp;UtilityList!$C$4:$C$251,0)),INDEX(UtilityList!Q$4:Q$251,MATCH('Table 2.3a'!$A185&amp;'Table 2.3a'!$C185,UtilityList!$A$4:$A$251&amp;UtilityList!$C$4:$C$251,0)))</f>
        <v>0</v>
      </c>
      <c r="M185" s="452" t="str">
        <f t="array" ref="M185">IFERROR(INDEX(UtilityList!J$4:J$251,MATCH('Table 2.3a'!$A185&amp;'Table 2.3a'!$B185&amp;'Table 2.3a'!$C185,UtilityList!$A$4:$A$251&amp;UtilityList!$B$4:$B$251&amp;UtilityList!$C$4:$C$251,0)),INDEX(UtilityList!J$4:J$251,MATCH('Table 2.3a'!$A185&amp;'Table 2.3a'!$C185,UtilityList!$A$4:$A$251&amp;UtilityList!$C$4:$C$251,0)))</f>
        <v>Lower Yukon-Kuskokwim</v>
      </c>
      <c r="N185" s="452" t="str">
        <f t="array" ref="N185">IFERROR(INDEX(UtilityList!K$4:K$251,MATCH('Table 2.3a'!$A185&amp;'Table 2.3a'!$B185&amp;'Table 2.3a'!$C185,UtilityList!$A$4:$A$251&amp;UtilityList!$B$4:$B$251&amp;UtilityList!$C$4:$C$251,0)),INDEX(UtilityList!K$4:K$251,MATCH('Table 2.3a'!$A185&amp;'Table 2.3a'!$C185,UtilityList!$A$4:$A$251&amp;UtilityList!$C$4:$C$251,0)))</f>
        <v>Bethel (CA)</v>
      </c>
      <c r="O185" s="452" t="str">
        <f t="array" ref="O185">IFERROR(INDEX(UtilityList!L$4:L$251,MATCH('Table 2.3a'!$A185&amp;'Table 2.3a'!$B185&amp;'Table 2.3a'!$C185,UtilityList!$A$4:$A$251&amp;UtilityList!$B$4:$B$251&amp;UtilityList!$C$4:$C$251,0)),INDEX(UtilityList!L$4:L$251,MATCH('Table 2.3a'!$A185&amp;'Table 2.3a'!$C185,UtilityList!$A$4:$A$251&amp;UtilityList!$C$4:$C$251,0)))</f>
        <v>Calista</v>
      </c>
      <c r="P185" s="452" t="str">
        <f t="array" ref="P185">IFERROR(INDEX(UtilityList!M$4:M$251,MATCH('Table 2.3a'!$A185&amp;'Table 2.3a'!$B185&amp;'Table 2.3a'!$C185,UtilityList!$A$4:$A$251&amp;UtilityList!$B$4:$B$251&amp;UtilityList!$C$4:$C$251,0)),INDEX(UtilityList!M$4:M$251,MATCH('Table 2.3a'!$A185&amp;'Table 2.3a'!$C185,UtilityList!$A$4:$A$251&amp;UtilityList!$C$4:$C$251,0)))</f>
        <v>SW</v>
      </c>
      <c r="Q185" s="187"/>
    </row>
    <row r="186" spans="1:17" s="344" customFormat="1" ht="30" customHeight="1" x14ac:dyDescent="0.25">
      <c r="A186" s="360" t="s">
        <v>258</v>
      </c>
      <c r="B186" s="360" t="s">
        <v>259</v>
      </c>
      <c r="C186" s="387" t="s">
        <v>682</v>
      </c>
      <c r="D186" s="637">
        <v>0</v>
      </c>
      <c r="E186" s="638">
        <v>19900</v>
      </c>
      <c r="F186" s="638">
        <v>0</v>
      </c>
      <c r="G186" s="638">
        <v>0</v>
      </c>
      <c r="H186" s="639">
        <f t="shared" si="4"/>
        <v>19900</v>
      </c>
      <c r="I186" s="638">
        <v>621.00199999999995</v>
      </c>
      <c r="J186" s="638">
        <f t="shared" si="5"/>
        <v>20521.002</v>
      </c>
      <c r="K186" s="640" t="s">
        <v>356</v>
      </c>
      <c r="L186" s="627" t="str">
        <f t="array" ref="L186">IFERROR(INDEX(UtilityList!Q$4:Q$251,MATCH('Table 2.3a'!$A186&amp;'Table 2.3a'!$B186&amp;'Table 2.3a'!$C186,UtilityList!$A$4:$A$251&amp;UtilityList!$B$4:$B$251&amp;UtilityList!$C$4:$C$251,0)),INDEX(UtilityList!Q$4:Q$251,MATCH('Table 2.3a'!$A186&amp;'Table 2.3a'!$C186,UtilityList!$A$4:$A$251&amp;UtilityList!$C$4:$C$251,0)))</f>
        <v>Provides power to South Naknek and King Salmon via intertie. Data includes South Naknek's and King Salmon's information.</v>
      </c>
      <c r="M186" s="452" t="str">
        <f t="array" ref="M186">IFERROR(INDEX(UtilityList!J$4:J$251,MATCH('Table 2.3a'!$A186&amp;'Table 2.3a'!$B186&amp;'Table 2.3a'!$C186,UtilityList!$A$4:$A$251&amp;UtilityList!$B$4:$B$251&amp;UtilityList!$C$4:$C$251,0)),INDEX(UtilityList!J$4:J$251,MATCH('Table 2.3a'!$A186&amp;'Table 2.3a'!$C186,UtilityList!$A$4:$A$251&amp;UtilityList!$C$4:$C$251,0)))</f>
        <v>Bristol Bay</v>
      </c>
      <c r="N186" s="452" t="str">
        <f t="array" ref="N186">IFERROR(INDEX(UtilityList!K$4:K$251,MATCH('Table 2.3a'!$A186&amp;'Table 2.3a'!$B186&amp;'Table 2.3a'!$C186,UtilityList!$A$4:$A$251&amp;UtilityList!$B$4:$B$251&amp;UtilityList!$C$4:$C$251,0)),INDEX(UtilityList!K$4:K$251,MATCH('Table 2.3a'!$A186&amp;'Table 2.3a'!$C186,UtilityList!$A$4:$A$251&amp;UtilityList!$C$4:$C$251,0)))</f>
        <v>Bristol Bay</v>
      </c>
      <c r="O186" s="452" t="str">
        <f t="array" ref="O186">IFERROR(INDEX(UtilityList!L$4:L$251,MATCH('Table 2.3a'!$A186&amp;'Table 2.3a'!$B186&amp;'Table 2.3a'!$C186,UtilityList!$A$4:$A$251&amp;UtilityList!$B$4:$B$251&amp;UtilityList!$C$4:$C$251,0)),INDEX(UtilityList!L$4:L$251,MATCH('Table 2.3a'!$A186&amp;'Table 2.3a'!$C186,UtilityList!$A$4:$A$251&amp;UtilityList!$C$4:$C$251,0)))</f>
        <v>Bristol Bay</v>
      </c>
      <c r="P186" s="452" t="str">
        <f t="array" ref="P186">IFERROR(INDEX(UtilityList!M$4:M$251,MATCH('Table 2.3a'!$A186&amp;'Table 2.3a'!$B186&amp;'Table 2.3a'!$C186,UtilityList!$A$4:$A$251&amp;UtilityList!$B$4:$B$251&amp;UtilityList!$C$4:$C$251,0)),INDEX(UtilityList!M$4:M$251,MATCH('Table 2.3a'!$A186&amp;'Table 2.3a'!$C186,UtilityList!$A$4:$A$251&amp;UtilityList!$C$4:$C$251,0)))</f>
        <v>SW</v>
      </c>
      <c r="Q186" s="187"/>
    </row>
    <row r="187" spans="1:17" s="344" customFormat="1" ht="30" customHeight="1" x14ac:dyDescent="0.25">
      <c r="A187" s="360" t="s">
        <v>260</v>
      </c>
      <c r="B187" s="360" t="s">
        <v>261</v>
      </c>
      <c r="C187" s="387" t="s">
        <v>261</v>
      </c>
      <c r="D187" s="637">
        <v>0</v>
      </c>
      <c r="E187" s="638">
        <v>0</v>
      </c>
      <c r="F187" s="638">
        <v>0</v>
      </c>
      <c r="G187" s="638">
        <v>0</v>
      </c>
      <c r="H187" s="639">
        <f t="shared" si="4"/>
        <v>0</v>
      </c>
      <c r="I187" s="638">
        <v>0</v>
      </c>
      <c r="J187" s="638">
        <f t="shared" si="5"/>
        <v>0</v>
      </c>
      <c r="K187" s="640" t="s">
        <v>356</v>
      </c>
      <c r="L187" s="627" t="str">
        <f t="array" ref="L187">IFERROR(INDEX(UtilityList!Q$4:Q$251,MATCH('Table 2.3a'!$A187&amp;'Table 2.3a'!$B187&amp;'Table 2.3a'!$C187,UtilityList!$A$4:$A$251&amp;UtilityList!$B$4:$B$251&amp;UtilityList!$C$4:$C$251,0)),INDEX(UtilityList!Q$4:Q$251,MATCH('Table 2.3a'!$A187&amp;'Table 2.3a'!$C187,UtilityList!$A$4:$A$251&amp;UtilityList!$C$4:$C$251,0)))</f>
        <v>Purchases power from Bethel Utilities Corporation</v>
      </c>
      <c r="M187" s="452" t="str">
        <f t="array" ref="M187">IFERROR(INDEX(UtilityList!J$4:J$251,MATCH('Table 2.3a'!$A187&amp;'Table 2.3a'!$B187&amp;'Table 2.3a'!$C187,UtilityList!$A$4:$A$251&amp;UtilityList!$B$4:$B$251&amp;UtilityList!$C$4:$C$251,0)),INDEX(UtilityList!J$4:J$251,MATCH('Table 2.3a'!$A187&amp;'Table 2.3a'!$C187,UtilityList!$A$4:$A$251&amp;UtilityList!$C$4:$C$251,0)))</f>
        <v>Lower Yukon-Kuskokwim</v>
      </c>
      <c r="N187" s="452" t="str">
        <f t="array" ref="N187">IFERROR(INDEX(UtilityList!K$4:K$251,MATCH('Table 2.3a'!$A187&amp;'Table 2.3a'!$B187&amp;'Table 2.3a'!$C187,UtilityList!$A$4:$A$251&amp;UtilityList!$B$4:$B$251&amp;UtilityList!$C$4:$C$251,0)),INDEX(UtilityList!K$4:K$251,MATCH('Table 2.3a'!$A187&amp;'Table 2.3a'!$C187,UtilityList!$A$4:$A$251&amp;UtilityList!$C$4:$C$251,0)))</f>
        <v>Bethel (CA)</v>
      </c>
      <c r="O187" s="452" t="str">
        <f t="array" ref="O187">IFERROR(INDEX(UtilityList!L$4:L$251,MATCH('Table 2.3a'!$A187&amp;'Table 2.3a'!$B187&amp;'Table 2.3a'!$C187,UtilityList!$A$4:$A$251&amp;UtilityList!$B$4:$B$251&amp;UtilityList!$C$4:$C$251,0)),INDEX(UtilityList!L$4:L$251,MATCH('Table 2.3a'!$A187&amp;'Table 2.3a'!$C187,UtilityList!$A$4:$A$251&amp;UtilityList!$C$4:$C$251,0)))</f>
        <v>Calista</v>
      </c>
      <c r="P187" s="452" t="str">
        <f t="array" ref="P187">IFERROR(INDEX(UtilityList!M$4:M$251,MATCH('Table 2.3a'!$A187&amp;'Table 2.3a'!$B187&amp;'Table 2.3a'!$C187,UtilityList!$A$4:$A$251&amp;UtilityList!$B$4:$B$251&amp;UtilityList!$C$4:$C$251,0)),INDEX(UtilityList!M$4:M$251,MATCH('Table 2.3a'!$A187&amp;'Table 2.3a'!$C187,UtilityList!$A$4:$A$251&amp;UtilityList!$C$4:$C$251,0)))</f>
        <v>SW</v>
      </c>
      <c r="Q187" s="187"/>
    </row>
    <row r="188" spans="1:17" s="344" customFormat="1" ht="30" customHeight="1" x14ac:dyDescent="0.25">
      <c r="A188" s="360" t="s">
        <v>262</v>
      </c>
      <c r="B188" s="360" t="s">
        <v>263</v>
      </c>
      <c r="C188" s="387" t="s">
        <v>263</v>
      </c>
      <c r="D188" s="637">
        <v>0</v>
      </c>
      <c r="E188" s="638">
        <v>979.45</v>
      </c>
      <c r="F188" s="638">
        <v>0</v>
      </c>
      <c r="G188" s="638">
        <v>0</v>
      </c>
      <c r="H188" s="639">
        <f t="shared" si="4"/>
        <v>979.45</v>
      </c>
      <c r="I188" s="638">
        <v>36.451000000000001</v>
      </c>
      <c r="J188" s="638">
        <f t="shared" si="5"/>
        <v>1015.9010000000001</v>
      </c>
      <c r="K188" s="640" t="s">
        <v>356</v>
      </c>
      <c r="L188" s="627">
        <f t="array" ref="L188">IFERROR(INDEX(UtilityList!Q$4:Q$251,MATCH('Table 2.3a'!$A188&amp;'Table 2.3a'!$B188&amp;'Table 2.3a'!$C188,UtilityList!$A$4:$A$251&amp;UtilityList!$B$4:$B$251&amp;UtilityList!$C$4:$C$251,0)),INDEX(UtilityList!Q$4:Q$251,MATCH('Table 2.3a'!$A188&amp;'Table 2.3a'!$C188,UtilityList!$A$4:$A$251&amp;UtilityList!$C$4:$C$251,0)))</f>
        <v>0</v>
      </c>
      <c r="M188" s="452" t="str">
        <f t="array" ref="M188">IFERROR(INDEX(UtilityList!J$4:J$251,MATCH('Table 2.3a'!$A188&amp;'Table 2.3a'!$B188&amp;'Table 2.3a'!$C188,UtilityList!$A$4:$A$251&amp;UtilityList!$B$4:$B$251&amp;UtilityList!$C$4:$C$251,0)),INDEX(UtilityList!J$4:J$251,MATCH('Table 2.3a'!$A188&amp;'Table 2.3a'!$C188,UtilityList!$A$4:$A$251&amp;UtilityList!$C$4:$C$251,0)))</f>
        <v>Lower Yukon-Kuskokwim</v>
      </c>
      <c r="N188" s="452" t="str">
        <f t="array" ref="N188">IFERROR(INDEX(UtilityList!K$4:K$251,MATCH('Table 2.3a'!$A188&amp;'Table 2.3a'!$B188&amp;'Table 2.3a'!$C188,UtilityList!$A$4:$A$251&amp;UtilityList!$B$4:$B$251&amp;UtilityList!$C$4:$C$251,0)),INDEX(UtilityList!K$4:K$251,MATCH('Table 2.3a'!$A188&amp;'Table 2.3a'!$C188,UtilityList!$A$4:$A$251&amp;UtilityList!$C$4:$C$251,0)))</f>
        <v>Bethel (CA)</v>
      </c>
      <c r="O188" s="452" t="str">
        <f t="array" ref="O188">IFERROR(INDEX(UtilityList!L$4:L$251,MATCH('Table 2.3a'!$A188&amp;'Table 2.3a'!$B188&amp;'Table 2.3a'!$C188,UtilityList!$A$4:$A$251&amp;UtilityList!$B$4:$B$251&amp;UtilityList!$C$4:$C$251,0)),INDEX(UtilityList!L$4:L$251,MATCH('Table 2.3a'!$A188&amp;'Table 2.3a'!$C188,UtilityList!$A$4:$A$251&amp;UtilityList!$C$4:$C$251,0)))</f>
        <v>Calista</v>
      </c>
      <c r="P188" s="452" t="str">
        <f t="array" ref="P188">IFERROR(INDEX(UtilityList!M$4:M$251,MATCH('Table 2.3a'!$A188&amp;'Table 2.3a'!$B188&amp;'Table 2.3a'!$C188,UtilityList!$A$4:$A$251&amp;UtilityList!$B$4:$B$251&amp;UtilityList!$C$4:$C$251,0)),INDEX(UtilityList!M$4:M$251,MATCH('Table 2.3a'!$A188&amp;'Table 2.3a'!$C188,UtilityList!$A$4:$A$251&amp;UtilityList!$C$4:$C$251,0)))</f>
        <v>SW</v>
      </c>
      <c r="Q188" s="187"/>
    </row>
    <row r="189" spans="1:17" s="344" customFormat="1" ht="30" customHeight="1" x14ac:dyDescent="0.25">
      <c r="A189" s="360" t="s">
        <v>264</v>
      </c>
      <c r="B189" s="360" t="s">
        <v>265</v>
      </c>
      <c r="C189" s="387" t="s">
        <v>265</v>
      </c>
      <c r="D189" s="637">
        <v>0</v>
      </c>
      <c r="E189" s="638">
        <v>1630.624</v>
      </c>
      <c r="F189" s="638">
        <v>0</v>
      </c>
      <c r="G189" s="638">
        <v>0</v>
      </c>
      <c r="H189" s="639">
        <f t="shared" si="4"/>
        <v>1630.624</v>
      </c>
      <c r="I189" s="638">
        <v>29.876999999999999</v>
      </c>
      <c r="J189" s="638">
        <f t="shared" si="5"/>
        <v>1660.501</v>
      </c>
      <c r="K189" s="640" t="s">
        <v>356</v>
      </c>
      <c r="L189" s="627">
        <f t="array" ref="L189">IFERROR(INDEX(UtilityList!Q$4:Q$251,MATCH('Table 2.3a'!$A189&amp;'Table 2.3a'!$B189&amp;'Table 2.3a'!$C189,UtilityList!$A$4:$A$251&amp;UtilityList!$B$4:$B$251&amp;UtilityList!$C$4:$C$251,0)),INDEX(UtilityList!Q$4:Q$251,MATCH('Table 2.3a'!$A189&amp;'Table 2.3a'!$C189,UtilityList!$A$4:$A$251&amp;UtilityList!$C$4:$C$251,0)))</f>
        <v>0</v>
      </c>
      <c r="M189" s="452" t="str">
        <f t="array" ref="M189">IFERROR(INDEX(UtilityList!J$4:J$251,MATCH('Table 2.3a'!$A189&amp;'Table 2.3a'!$B189&amp;'Table 2.3a'!$C189,UtilityList!$A$4:$A$251&amp;UtilityList!$B$4:$B$251&amp;UtilityList!$C$4:$C$251,0)),INDEX(UtilityList!J$4:J$251,MATCH('Table 2.3a'!$A189&amp;'Table 2.3a'!$C189,UtilityList!$A$4:$A$251&amp;UtilityList!$C$4:$C$251,0)))</f>
        <v>Lower Yukon-Kuskokwim</v>
      </c>
      <c r="N189" s="452" t="str">
        <f t="array" ref="N189">IFERROR(INDEX(UtilityList!K$4:K$251,MATCH('Table 2.3a'!$A189&amp;'Table 2.3a'!$B189&amp;'Table 2.3a'!$C189,UtilityList!$A$4:$A$251&amp;UtilityList!$B$4:$B$251&amp;UtilityList!$C$4:$C$251,0)),INDEX(UtilityList!K$4:K$251,MATCH('Table 2.3a'!$A189&amp;'Table 2.3a'!$C189,UtilityList!$A$4:$A$251&amp;UtilityList!$C$4:$C$251,0)))</f>
        <v>Bethel (CA)</v>
      </c>
      <c r="O189" s="452" t="str">
        <f t="array" ref="O189">IFERROR(INDEX(UtilityList!L$4:L$251,MATCH('Table 2.3a'!$A189&amp;'Table 2.3a'!$B189&amp;'Table 2.3a'!$C189,UtilityList!$A$4:$A$251&amp;UtilityList!$B$4:$B$251&amp;UtilityList!$C$4:$C$251,0)),INDEX(UtilityList!L$4:L$251,MATCH('Table 2.3a'!$A189&amp;'Table 2.3a'!$C189,UtilityList!$A$4:$A$251&amp;UtilityList!$C$4:$C$251,0)))</f>
        <v>Calista</v>
      </c>
      <c r="P189" s="452" t="str">
        <f t="array" ref="P189">IFERROR(INDEX(UtilityList!M$4:M$251,MATCH('Table 2.3a'!$A189&amp;'Table 2.3a'!$B189&amp;'Table 2.3a'!$C189,UtilityList!$A$4:$A$251&amp;UtilityList!$B$4:$B$251&amp;UtilityList!$C$4:$C$251,0)),INDEX(UtilityList!M$4:M$251,MATCH('Table 2.3a'!$A189&amp;'Table 2.3a'!$C189,UtilityList!$A$4:$A$251&amp;UtilityList!$C$4:$C$251,0)))</f>
        <v>SW</v>
      </c>
      <c r="Q189" s="187"/>
    </row>
    <row r="190" spans="1:17" s="344" customFormat="1" ht="30" customHeight="1" x14ac:dyDescent="0.25">
      <c r="A190" s="360" t="s">
        <v>266</v>
      </c>
      <c r="B190" s="360" t="s">
        <v>267</v>
      </c>
      <c r="C190" s="387" t="s">
        <v>267</v>
      </c>
      <c r="D190" s="637">
        <v>0</v>
      </c>
      <c r="E190" s="638">
        <v>176.43129999999999</v>
      </c>
      <c r="F190" s="638">
        <v>0</v>
      </c>
      <c r="G190" s="638">
        <v>15.798999999999999</v>
      </c>
      <c r="H190" s="639">
        <f t="shared" si="4"/>
        <v>192.2303</v>
      </c>
      <c r="I190" s="638">
        <v>5.9757273</v>
      </c>
      <c r="J190" s="638">
        <f t="shared" si="5"/>
        <v>198.20602729999999</v>
      </c>
      <c r="K190" s="640" t="s">
        <v>356</v>
      </c>
      <c r="L190" s="627">
        <f t="array" ref="L190">IFERROR(INDEX(UtilityList!Q$4:Q$251,MATCH('Table 2.3a'!$A190&amp;'Table 2.3a'!$B190&amp;'Table 2.3a'!$C190,UtilityList!$A$4:$A$251&amp;UtilityList!$B$4:$B$251&amp;UtilityList!$C$4:$C$251,0)),INDEX(UtilityList!Q$4:Q$251,MATCH('Table 2.3a'!$A190&amp;'Table 2.3a'!$C190,UtilityList!$A$4:$A$251&amp;UtilityList!$C$4:$C$251,0)))</f>
        <v>0</v>
      </c>
      <c r="M190" s="452" t="str">
        <f t="array" ref="M190">IFERROR(INDEX(UtilityList!J$4:J$251,MATCH('Table 2.3a'!$A190&amp;'Table 2.3a'!$B190&amp;'Table 2.3a'!$C190,UtilityList!$A$4:$A$251&amp;UtilityList!$B$4:$B$251&amp;UtilityList!$C$4:$C$251,0)),INDEX(UtilityList!J$4:J$251,MATCH('Table 2.3a'!$A190&amp;'Table 2.3a'!$C190,UtilityList!$A$4:$A$251&amp;UtilityList!$C$4:$C$251,0)))</f>
        <v>Bristol Bay</v>
      </c>
      <c r="N190" s="452" t="str">
        <f t="array" ref="N190">IFERROR(INDEX(UtilityList!K$4:K$251,MATCH('Table 2.3a'!$A190&amp;'Table 2.3a'!$B190&amp;'Table 2.3a'!$C190,UtilityList!$A$4:$A$251&amp;UtilityList!$B$4:$B$251&amp;UtilityList!$C$4:$C$251,0)),INDEX(UtilityList!K$4:K$251,MATCH('Table 2.3a'!$A190&amp;'Table 2.3a'!$C190,UtilityList!$A$4:$A$251&amp;UtilityList!$C$4:$C$251,0)))</f>
        <v>Lake and Peninsula</v>
      </c>
      <c r="O190" s="452" t="str">
        <f t="array" ref="O190">IFERROR(INDEX(UtilityList!L$4:L$251,MATCH('Table 2.3a'!$A190&amp;'Table 2.3a'!$B190&amp;'Table 2.3a'!$C190,UtilityList!$A$4:$A$251&amp;UtilityList!$B$4:$B$251&amp;UtilityList!$C$4:$C$251,0)),INDEX(UtilityList!L$4:L$251,MATCH('Table 2.3a'!$A190&amp;'Table 2.3a'!$C190,UtilityList!$A$4:$A$251&amp;UtilityList!$C$4:$C$251,0)))</f>
        <v>Bristol Bay</v>
      </c>
      <c r="P190" s="452" t="str">
        <f t="array" ref="P190">IFERROR(INDEX(UtilityList!M$4:M$251,MATCH('Table 2.3a'!$A190&amp;'Table 2.3a'!$B190&amp;'Table 2.3a'!$C190,UtilityList!$A$4:$A$251&amp;UtilityList!$B$4:$B$251&amp;UtilityList!$C$4:$C$251,0)),INDEX(UtilityList!M$4:M$251,MATCH('Table 2.3a'!$A190&amp;'Table 2.3a'!$C190,UtilityList!$A$4:$A$251&amp;UtilityList!$C$4:$C$251,0)))</f>
        <v>SW</v>
      </c>
      <c r="Q190" s="126"/>
    </row>
    <row r="191" spans="1:17" s="344" customFormat="1" ht="43.5" customHeight="1" x14ac:dyDescent="0.25">
      <c r="A191" s="360" t="s">
        <v>268</v>
      </c>
      <c r="B191" s="360" t="s">
        <v>269</v>
      </c>
      <c r="C191" s="387" t="s">
        <v>269</v>
      </c>
      <c r="D191" s="637">
        <v>0</v>
      </c>
      <c r="E191" s="638">
        <v>392.2319</v>
      </c>
      <c r="F191" s="638">
        <v>0</v>
      </c>
      <c r="G191" s="638">
        <v>0</v>
      </c>
      <c r="H191" s="639">
        <f t="shared" si="4"/>
        <v>392.2319</v>
      </c>
      <c r="I191" s="638">
        <v>5.58</v>
      </c>
      <c r="J191" s="638">
        <f t="shared" si="5"/>
        <v>397.81189999999998</v>
      </c>
      <c r="K191" s="640" t="s">
        <v>356</v>
      </c>
      <c r="L191" s="627">
        <f t="array" ref="L191">IFERROR(INDEX(UtilityList!Q$4:Q$251,MATCH('Table 2.3a'!$A191&amp;'Table 2.3a'!$B191&amp;'Table 2.3a'!$C191,UtilityList!$A$4:$A$251&amp;UtilityList!$B$4:$B$251&amp;UtilityList!$C$4:$C$251,0)),INDEX(UtilityList!Q$4:Q$251,MATCH('Table 2.3a'!$A191&amp;'Table 2.3a'!$C191,UtilityList!$A$4:$A$251&amp;UtilityList!$C$4:$C$251,0)))</f>
        <v>0</v>
      </c>
      <c r="M191" s="452" t="str">
        <f t="array" ref="M191">IFERROR(INDEX(UtilityList!J$4:J$251,MATCH('Table 2.3a'!$A191&amp;'Table 2.3a'!$B191&amp;'Table 2.3a'!$C191,UtilityList!$A$4:$A$251&amp;UtilityList!$B$4:$B$251&amp;UtilityList!$C$4:$C$251,0)),INDEX(UtilityList!J$4:J$251,MATCH('Table 2.3a'!$A191&amp;'Table 2.3a'!$C191,UtilityList!$A$4:$A$251&amp;UtilityList!$C$4:$C$251,0)))</f>
        <v>Aleutians</v>
      </c>
      <c r="N191" s="452" t="str">
        <f t="array" ref="N191">IFERROR(INDEX(UtilityList!K$4:K$251,MATCH('Table 2.3a'!$A191&amp;'Table 2.3a'!$B191&amp;'Table 2.3a'!$C191,UtilityList!$A$4:$A$251&amp;UtilityList!$B$4:$B$251&amp;UtilityList!$C$4:$C$251,0)),INDEX(UtilityList!K$4:K$251,MATCH('Table 2.3a'!$A191&amp;'Table 2.3a'!$C191,UtilityList!$A$4:$A$251&amp;UtilityList!$C$4:$C$251,0)))</f>
        <v>Aleutians East</v>
      </c>
      <c r="O191" s="452" t="str">
        <f t="array" ref="O191">IFERROR(INDEX(UtilityList!L$4:L$251,MATCH('Table 2.3a'!$A191&amp;'Table 2.3a'!$B191&amp;'Table 2.3a'!$C191,UtilityList!$A$4:$A$251&amp;UtilityList!$B$4:$B$251&amp;UtilityList!$C$4:$C$251,0)),INDEX(UtilityList!L$4:L$251,MATCH('Table 2.3a'!$A191&amp;'Table 2.3a'!$C191,UtilityList!$A$4:$A$251&amp;UtilityList!$C$4:$C$251,0)))</f>
        <v>Aleut</v>
      </c>
      <c r="P191" s="452" t="str">
        <f t="array" ref="P191">IFERROR(INDEX(UtilityList!M$4:M$251,MATCH('Table 2.3a'!$A191&amp;'Table 2.3a'!$B191&amp;'Table 2.3a'!$C191,UtilityList!$A$4:$A$251&amp;UtilityList!$B$4:$B$251&amp;UtilityList!$C$4:$C$251,0)),INDEX(UtilityList!M$4:M$251,MATCH('Table 2.3a'!$A191&amp;'Table 2.3a'!$C191,UtilityList!$A$4:$A$251&amp;UtilityList!$C$4:$C$251,0)))</f>
        <v>SW</v>
      </c>
      <c r="Q191" s="187"/>
    </row>
    <row r="192" spans="1:17" s="344" customFormat="1" ht="30" customHeight="1" x14ac:dyDescent="0.25">
      <c r="A192" s="360" t="s">
        <v>270</v>
      </c>
      <c r="B192" s="360" t="s">
        <v>271</v>
      </c>
      <c r="C192" s="387" t="s">
        <v>271</v>
      </c>
      <c r="D192" s="637">
        <v>0</v>
      </c>
      <c r="E192" s="638">
        <v>648.44000000000005</v>
      </c>
      <c r="F192" s="638">
        <v>0</v>
      </c>
      <c r="G192" s="638">
        <v>0</v>
      </c>
      <c r="H192" s="639">
        <f t="shared" si="4"/>
        <v>648.44000000000005</v>
      </c>
      <c r="I192" s="638">
        <v>21.914999999999999</v>
      </c>
      <c r="J192" s="638">
        <f t="shared" si="5"/>
        <v>670.35500000000002</v>
      </c>
      <c r="K192" s="640" t="s">
        <v>356</v>
      </c>
      <c r="L192" s="627">
        <f t="array" ref="L192">IFERROR(INDEX(UtilityList!Q$4:Q$251,MATCH('Table 2.3a'!$A192&amp;'Table 2.3a'!$B192&amp;'Table 2.3a'!$C192,UtilityList!$A$4:$A$251&amp;UtilityList!$B$4:$B$251&amp;UtilityList!$C$4:$C$251,0)),INDEX(UtilityList!Q$4:Q$251,MATCH('Table 2.3a'!$A192&amp;'Table 2.3a'!$C192,UtilityList!$A$4:$A$251&amp;UtilityList!$C$4:$C$251,0)))</f>
        <v>0</v>
      </c>
      <c r="M192" s="452" t="str">
        <f t="array" ref="M192">IFERROR(INDEX(UtilityList!J$4:J$251,MATCH('Table 2.3a'!$A192&amp;'Table 2.3a'!$B192&amp;'Table 2.3a'!$C192,UtilityList!$A$4:$A$251&amp;UtilityList!$B$4:$B$251&amp;UtilityList!$C$4:$C$251,0)),INDEX(UtilityList!J$4:J$251,MATCH('Table 2.3a'!$A192&amp;'Table 2.3a'!$C192,UtilityList!$A$4:$A$251&amp;UtilityList!$C$4:$C$251,0)))</f>
        <v>Bristol Bay</v>
      </c>
      <c r="N192" s="452" t="str">
        <f t="array" ref="N192">IFERROR(INDEX(UtilityList!K$4:K$251,MATCH('Table 2.3a'!$A192&amp;'Table 2.3a'!$B192&amp;'Table 2.3a'!$C192,UtilityList!$A$4:$A$251&amp;UtilityList!$B$4:$B$251&amp;UtilityList!$C$4:$C$251,0)),INDEX(UtilityList!K$4:K$251,MATCH('Table 2.3a'!$A192&amp;'Table 2.3a'!$C192,UtilityList!$A$4:$A$251&amp;UtilityList!$C$4:$C$251,0)))</f>
        <v>Dillingham (CA)</v>
      </c>
      <c r="O192" s="452" t="str">
        <f t="array" ref="O192">IFERROR(INDEX(UtilityList!L$4:L$251,MATCH('Table 2.3a'!$A192&amp;'Table 2.3a'!$B192&amp;'Table 2.3a'!$C192,UtilityList!$A$4:$A$251&amp;UtilityList!$B$4:$B$251&amp;UtilityList!$C$4:$C$251,0)),INDEX(UtilityList!L$4:L$251,MATCH('Table 2.3a'!$A192&amp;'Table 2.3a'!$C192,UtilityList!$A$4:$A$251&amp;UtilityList!$C$4:$C$251,0)))</f>
        <v>Bristol Bay</v>
      </c>
      <c r="P192" s="452" t="str">
        <f t="array" ref="P192">IFERROR(INDEX(UtilityList!M$4:M$251,MATCH('Table 2.3a'!$A192&amp;'Table 2.3a'!$B192&amp;'Table 2.3a'!$C192,UtilityList!$A$4:$A$251&amp;UtilityList!$B$4:$B$251&amp;UtilityList!$C$4:$C$251,0)),INDEX(UtilityList!M$4:M$251,MATCH('Table 2.3a'!$A192&amp;'Table 2.3a'!$C192,UtilityList!$A$4:$A$251&amp;UtilityList!$C$4:$C$251,0)))</f>
        <v>SW</v>
      </c>
      <c r="Q192" s="187"/>
    </row>
    <row r="193" spans="1:17" s="344" customFormat="1" ht="30" customHeight="1" x14ac:dyDescent="0.25">
      <c r="A193" s="360" t="s">
        <v>272</v>
      </c>
      <c r="B193" s="360" t="s">
        <v>273</v>
      </c>
      <c r="C193" s="387" t="s">
        <v>273</v>
      </c>
      <c r="D193" s="637">
        <v>0</v>
      </c>
      <c r="E193" s="638">
        <v>399.21109999999999</v>
      </c>
      <c r="F193" s="638">
        <v>0</v>
      </c>
      <c r="G193" s="638">
        <v>0</v>
      </c>
      <c r="H193" s="639">
        <f t="shared" si="4"/>
        <v>399.21109999999999</v>
      </c>
      <c r="I193" s="638">
        <v>17.118908999999999</v>
      </c>
      <c r="J193" s="638">
        <f t="shared" si="5"/>
        <v>416.33000899999996</v>
      </c>
      <c r="K193" s="640" t="s">
        <v>356</v>
      </c>
      <c r="L193" s="627">
        <f t="array" ref="L193">IFERROR(INDEX(UtilityList!Q$4:Q$251,MATCH('Table 2.3a'!$A193&amp;'Table 2.3a'!$B193&amp;'Table 2.3a'!$C193,UtilityList!$A$4:$A$251&amp;UtilityList!$B$4:$B$251&amp;UtilityList!$C$4:$C$251,0)),INDEX(UtilityList!Q$4:Q$251,MATCH('Table 2.3a'!$A193&amp;'Table 2.3a'!$C193,UtilityList!$A$4:$A$251&amp;UtilityList!$C$4:$C$251,0)))</f>
        <v>0</v>
      </c>
      <c r="M193" s="452" t="str">
        <f t="array" ref="M193">IFERROR(INDEX(UtilityList!J$4:J$251,MATCH('Table 2.3a'!$A193&amp;'Table 2.3a'!$B193&amp;'Table 2.3a'!$C193,UtilityList!$A$4:$A$251&amp;UtilityList!$B$4:$B$251&amp;UtilityList!$C$4:$C$251,0)),INDEX(UtilityList!J$4:J$251,MATCH('Table 2.3a'!$A193&amp;'Table 2.3a'!$C193,UtilityList!$A$4:$A$251&amp;UtilityList!$C$4:$C$251,0)))</f>
        <v>Yukon-Koyukuk/Upper Tanana</v>
      </c>
      <c r="N193" s="452" t="str">
        <f t="array" ref="N193">IFERROR(INDEX(UtilityList!K$4:K$251,MATCH('Table 2.3a'!$A193&amp;'Table 2.3a'!$B193&amp;'Table 2.3a'!$C193,UtilityList!$A$4:$A$251&amp;UtilityList!$B$4:$B$251&amp;UtilityList!$C$4:$C$251,0)),INDEX(UtilityList!K$4:K$251,MATCH('Table 2.3a'!$A193&amp;'Table 2.3a'!$C193,UtilityList!$A$4:$A$251&amp;UtilityList!$C$4:$C$251,0)))</f>
        <v>Yukon-Koyukuk (CA)</v>
      </c>
      <c r="O193" s="452" t="str">
        <f t="array" ref="O193">IFERROR(INDEX(UtilityList!L$4:L$251,MATCH('Table 2.3a'!$A193&amp;'Table 2.3a'!$B193&amp;'Table 2.3a'!$C193,UtilityList!$A$4:$A$251&amp;UtilityList!$B$4:$B$251&amp;UtilityList!$C$4:$C$251,0)),INDEX(UtilityList!L$4:L$251,MATCH('Table 2.3a'!$A193&amp;'Table 2.3a'!$C193,UtilityList!$A$4:$A$251&amp;UtilityList!$C$4:$C$251,0)))</f>
        <v>Doyon</v>
      </c>
      <c r="P193" s="452" t="str">
        <f t="array" ref="P193">IFERROR(INDEX(UtilityList!M$4:M$251,MATCH('Table 2.3a'!$A193&amp;'Table 2.3a'!$B193&amp;'Table 2.3a'!$C193,UtilityList!$A$4:$A$251&amp;UtilityList!$B$4:$B$251&amp;UtilityList!$C$4:$C$251,0)),INDEX(UtilityList!M$4:M$251,MATCH('Table 2.3a'!$A193&amp;'Table 2.3a'!$C193,UtilityList!$A$4:$A$251&amp;UtilityList!$C$4:$C$251,0)))</f>
        <v>SW</v>
      </c>
      <c r="Q193" s="187"/>
    </row>
    <row r="194" spans="1:17" s="187" customFormat="1" x14ac:dyDescent="0.25">
      <c r="A194" s="360" t="s">
        <v>274</v>
      </c>
      <c r="B194" s="360" t="s">
        <v>275</v>
      </c>
      <c r="C194" s="387" t="s">
        <v>276</v>
      </c>
      <c r="D194" s="637">
        <v>0</v>
      </c>
      <c r="E194" s="638">
        <v>33500</v>
      </c>
      <c r="F194" s="638">
        <v>0</v>
      </c>
      <c r="G194" s="638">
        <v>0</v>
      </c>
      <c r="H194" s="639">
        <f t="shared" si="4"/>
        <v>33500</v>
      </c>
      <c r="I194" s="638">
        <v>1544.691</v>
      </c>
      <c r="J194" s="638">
        <f t="shared" si="5"/>
        <v>35044.690999999999</v>
      </c>
      <c r="K194" s="646" t="s">
        <v>356</v>
      </c>
      <c r="L194" s="627">
        <f t="array" ref="L194">IFERROR(INDEX(UtilityList!Q$4:Q$251,MATCH('Table 2.3a'!$A194&amp;'Table 2.3a'!$B194&amp;'Table 2.3a'!$C194,UtilityList!$A$4:$A$251&amp;UtilityList!$B$4:$B$251&amp;UtilityList!$C$4:$C$251,0)),INDEX(UtilityList!Q$4:Q$251,MATCH('Table 2.3a'!$A194&amp;'Table 2.3a'!$C194,UtilityList!$A$4:$A$251&amp;UtilityList!$C$4:$C$251,0)))</f>
        <v>0</v>
      </c>
      <c r="M194" s="452" t="str">
        <f t="array" ref="M194">IFERROR(INDEX(UtilityList!J$4:J$251,MATCH('Table 2.3a'!$A194&amp;'Table 2.3a'!$B194&amp;'Table 2.3a'!$C194,UtilityList!$A$4:$A$251&amp;UtilityList!$B$4:$B$251&amp;UtilityList!$C$4:$C$251,0)),INDEX(UtilityList!J$4:J$251,MATCH('Table 2.3a'!$A194&amp;'Table 2.3a'!$C194,UtilityList!$A$4:$A$251&amp;UtilityList!$C$4:$C$251,0)))</f>
        <v>Bering Straits</v>
      </c>
      <c r="N194" s="452" t="str">
        <f t="array" ref="N194">IFERROR(INDEX(UtilityList!K$4:K$251,MATCH('Table 2.3a'!$A194&amp;'Table 2.3a'!$B194&amp;'Table 2.3a'!$C194,UtilityList!$A$4:$A$251&amp;UtilityList!$B$4:$B$251&amp;UtilityList!$C$4:$C$251,0)),INDEX(UtilityList!K$4:K$251,MATCH('Table 2.3a'!$A194&amp;'Table 2.3a'!$C194,UtilityList!$A$4:$A$251&amp;UtilityList!$C$4:$C$251,0)))</f>
        <v>Nome (CA)</v>
      </c>
      <c r="O194" s="452" t="str">
        <f t="array" ref="O194">IFERROR(INDEX(UtilityList!L$4:L$251,MATCH('Table 2.3a'!$A194&amp;'Table 2.3a'!$B194&amp;'Table 2.3a'!$C194,UtilityList!$A$4:$A$251&amp;UtilityList!$B$4:$B$251&amp;UtilityList!$C$4:$C$251,0)),INDEX(UtilityList!L$4:L$251,MATCH('Table 2.3a'!$A194&amp;'Table 2.3a'!$C194,UtilityList!$A$4:$A$251&amp;UtilityList!$C$4:$C$251,0)))</f>
        <v>Bering Straits</v>
      </c>
      <c r="P194" s="452" t="str">
        <f t="array" ref="P194">IFERROR(INDEX(UtilityList!M$4:M$251,MATCH('Table 2.3a'!$A194&amp;'Table 2.3a'!$B194&amp;'Table 2.3a'!$C194,UtilityList!$A$4:$A$251&amp;UtilityList!$B$4:$B$251&amp;UtilityList!$C$4:$C$251,0)),INDEX(UtilityList!M$4:M$251,MATCH('Table 2.3a'!$A194&amp;'Table 2.3a'!$C194,UtilityList!$A$4:$A$251&amp;UtilityList!$C$4:$C$251,0)))</f>
        <v>AN</v>
      </c>
      <c r="Q194" s="344"/>
    </row>
    <row r="195" spans="1:17" s="187" customFormat="1" ht="30" customHeight="1" x14ac:dyDescent="0.25">
      <c r="A195" s="385" t="s">
        <v>277</v>
      </c>
      <c r="B195" s="455" t="s">
        <v>278</v>
      </c>
      <c r="C195" s="643" t="s">
        <v>278</v>
      </c>
      <c r="D195" s="637">
        <v>0</v>
      </c>
      <c r="E195" s="641">
        <v>3599</v>
      </c>
      <c r="F195" s="651">
        <v>0</v>
      </c>
      <c r="G195" s="651">
        <v>0</v>
      </c>
      <c r="H195" s="639">
        <f t="shared" si="4"/>
        <v>3599</v>
      </c>
      <c r="I195" s="641">
        <v>206</v>
      </c>
      <c r="J195" s="638">
        <f t="shared" si="5"/>
        <v>3805</v>
      </c>
      <c r="K195" s="645" t="s">
        <v>558</v>
      </c>
      <c r="L195" s="627">
        <f t="array" ref="L195">IFERROR(INDEX(UtilityList!Q$4:Q$251,MATCH('Table 2.3a'!$A195&amp;'Table 2.3a'!$B195&amp;'Table 2.3a'!$C195,UtilityList!$A$4:$A$251&amp;UtilityList!$B$4:$B$251&amp;UtilityList!$C$4:$C$251,0)),INDEX(UtilityList!Q$4:Q$251,MATCH('Table 2.3a'!$A195&amp;'Table 2.3a'!$C195,UtilityList!$A$4:$A$251&amp;UtilityList!$C$4:$C$251,0)))</f>
        <v>0</v>
      </c>
      <c r="M195" s="452" t="str">
        <f t="array" ref="M195">IFERROR(INDEX(UtilityList!J$4:J$251,MATCH('Table 2.3a'!$A195&amp;'Table 2.3a'!$B195&amp;'Table 2.3a'!$C195,UtilityList!$A$4:$A$251&amp;UtilityList!$B$4:$B$251&amp;UtilityList!$C$4:$C$251,0)),INDEX(UtilityList!J$4:J$251,MATCH('Table 2.3a'!$A195&amp;'Table 2.3a'!$C195,UtilityList!$A$4:$A$251&amp;UtilityList!$C$4:$C$251,0)))</f>
        <v>North Slope</v>
      </c>
      <c r="N195" s="452" t="str">
        <f t="array" ref="N195">IFERROR(INDEX(UtilityList!K$4:K$251,MATCH('Table 2.3a'!$A195&amp;'Table 2.3a'!$B195&amp;'Table 2.3a'!$C195,UtilityList!$A$4:$A$251&amp;UtilityList!$B$4:$B$251&amp;UtilityList!$C$4:$C$251,0)),INDEX(UtilityList!K$4:K$251,MATCH('Table 2.3a'!$A195&amp;'Table 2.3a'!$C195,UtilityList!$A$4:$A$251&amp;UtilityList!$C$4:$C$251,0)))</f>
        <v>North Slope</v>
      </c>
      <c r="O195" s="452" t="str">
        <f t="array" ref="O195">IFERROR(INDEX(UtilityList!L$4:L$251,MATCH('Table 2.3a'!$A195&amp;'Table 2.3a'!$B195&amp;'Table 2.3a'!$C195,UtilityList!$A$4:$A$251&amp;UtilityList!$B$4:$B$251&amp;UtilityList!$C$4:$C$251,0)),INDEX(UtilityList!L$4:L$251,MATCH('Table 2.3a'!$A195&amp;'Table 2.3a'!$C195,UtilityList!$A$4:$A$251&amp;UtilityList!$C$4:$C$251,0)))</f>
        <v>Arctic Slope</v>
      </c>
      <c r="P195" s="452" t="str">
        <f t="array" ref="P195">IFERROR(INDEX(UtilityList!M$4:M$251,MATCH('Table 2.3a'!$A195&amp;'Table 2.3a'!$B195&amp;'Table 2.3a'!$C195,UtilityList!$A$4:$A$251&amp;UtilityList!$B$4:$B$251&amp;UtilityList!$C$4:$C$251,0)),INDEX(UtilityList!M$4:M$251,MATCH('Table 2.3a'!$A195&amp;'Table 2.3a'!$C195,UtilityList!$A$4:$A$251&amp;UtilityList!$C$4:$C$251,0)))</f>
        <v>AN</v>
      </c>
      <c r="Q195" s="344"/>
    </row>
    <row r="196" spans="1:17" s="187" customFormat="1" ht="30" customHeight="1" x14ac:dyDescent="0.25">
      <c r="A196" s="385" t="s">
        <v>277</v>
      </c>
      <c r="B196" s="455" t="s">
        <v>279</v>
      </c>
      <c r="C196" s="643" t="s">
        <v>279</v>
      </c>
      <c r="D196" s="637">
        <v>0</v>
      </c>
      <c r="E196" s="641">
        <v>3241</v>
      </c>
      <c r="F196" s="641">
        <v>0</v>
      </c>
      <c r="G196" s="642">
        <v>0</v>
      </c>
      <c r="H196" s="639">
        <f t="shared" si="4"/>
        <v>3241</v>
      </c>
      <c r="I196" s="641">
        <v>101</v>
      </c>
      <c r="J196" s="638">
        <f t="shared" si="5"/>
        <v>3342</v>
      </c>
      <c r="K196" s="645" t="s">
        <v>558</v>
      </c>
      <c r="L196" s="627">
        <f t="array" ref="L196">IFERROR(INDEX(UtilityList!Q$4:Q$251,MATCH('Table 2.3a'!$A196&amp;'Table 2.3a'!$B196&amp;'Table 2.3a'!$C196,UtilityList!$A$4:$A$251&amp;UtilityList!$B$4:$B$251&amp;UtilityList!$C$4:$C$251,0)),INDEX(UtilityList!Q$4:Q$251,MATCH('Table 2.3a'!$A196&amp;'Table 2.3a'!$C196,UtilityList!$A$4:$A$251&amp;UtilityList!$C$4:$C$251,0)))</f>
        <v>0</v>
      </c>
      <c r="M196" s="452" t="str">
        <f t="array" ref="M196">IFERROR(INDEX(UtilityList!J$4:J$251,MATCH('Table 2.3a'!$A196&amp;'Table 2.3a'!$B196&amp;'Table 2.3a'!$C196,UtilityList!$A$4:$A$251&amp;UtilityList!$B$4:$B$251&amp;UtilityList!$C$4:$C$251,0)),INDEX(UtilityList!J$4:J$251,MATCH('Table 2.3a'!$A196&amp;'Table 2.3a'!$C196,UtilityList!$A$4:$A$251&amp;UtilityList!$C$4:$C$251,0)))</f>
        <v>North Slope</v>
      </c>
      <c r="N196" s="452" t="str">
        <f t="array" ref="N196">IFERROR(INDEX(UtilityList!K$4:K$251,MATCH('Table 2.3a'!$A196&amp;'Table 2.3a'!$B196&amp;'Table 2.3a'!$C196,UtilityList!$A$4:$A$251&amp;UtilityList!$B$4:$B$251&amp;UtilityList!$C$4:$C$251,0)),INDEX(UtilityList!K$4:K$251,MATCH('Table 2.3a'!$A196&amp;'Table 2.3a'!$C196,UtilityList!$A$4:$A$251&amp;UtilityList!$C$4:$C$251,0)))</f>
        <v>North Slope</v>
      </c>
      <c r="O196" s="452" t="str">
        <f t="array" ref="O196">IFERROR(INDEX(UtilityList!L$4:L$251,MATCH('Table 2.3a'!$A196&amp;'Table 2.3a'!$B196&amp;'Table 2.3a'!$C196,UtilityList!$A$4:$A$251&amp;UtilityList!$B$4:$B$251&amp;UtilityList!$C$4:$C$251,0)),INDEX(UtilityList!L$4:L$251,MATCH('Table 2.3a'!$A196&amp;'Table 2.3a'!$C196,UtilityList!$A$4:$A$251&amp;UtilityList!$C$4:$C$251,0)))</f>
        <v>Arctic Slope</v>
      </c>
      <c r="P196" s="452" t="str">
        <f t="array" ref="P196">IFERROR(INDEX(UtilityList!M$4:M$251,MATCH('Table 2.3a'!$A196&amp;'Table 2.3a'!$B196&amp;'Table 2.3a'!$C196,UtilityList!$A$4:$A$251&amp;UtilityList!$B$4:$B$251&amp;UtilityList!$C$4:$C$251,0)),INDEX(UtilityList!M$4:M$251,MATCH('Table 2.3a'!$A196&amp;'Table 2.3a'!$C196,UtilityList!$A$4:$A$251&amp;UtilityList!$C$4:$C$251,0)))</f>
        <v>AN</v>
      </c>
      <c r="Q196" s="344"/>
    </row>
    <row r="197" spans="1:17" s="187" customFormat="1" ht="81" customHeight="1" x14ac:dyDescent="0.25">
      <c r="A197" s="385" t="s">
        <v>277</v>
      </c>
      <c r="B197" s="455" t="s">
        <v>280</v>
      </c>
      <c r="C197" s="643" t="s">
        <v>280</v>
      </c>
      <c r="D197" s="637">
        <v>0</v>
      </c>
      <c r="E197" s="641">
        <v>4550</v>
      </c>
      <c r="F197" s="641">
        <v>0</v>
      </c>
      <c r="G197" s="642">
        <v>0</v>
      </c>
      <c r="H197" s="639">
        <f t="shared" si="4"/>
        <v>4550</v>
      </c>
      <c r="I197" s="641">
        <v>201</v>
      </c>
      <c r="J197" s="638">
        <f t="shared" si="5"/>
        <v>4751</v>
      </c>
      <c r="K197" s="645" t="s">
        <v>558</v>
      </c>
      <c r="L197" s="627">
        <f t="array" ref="L197">IFERROR(INDEX(UtilityList!Q$4:Q$251,MATCH('Table 2.3a'!$A197&amp;'Table 2.3a'!$B197&amp;'Table 2.3a'!$C197,UtilityList!$A$4:$A$251&amp;UtilityList!$B$4:$B$251&amp;UtilityList!$C$4:$C$251,0)),INDEX(UtilityList!Q$4:Q$251,MATCH('Table 2.3a'!$A197&amp;'Table 2.3a'!$C197,UtilityList!$A$4:$A$251&amp;UtilityList!$C$4:$C$251,0)))</f>
        <v>0</v>
      </c>
      <c r="M197" s="452" t="str">
        <f t="array" ref="M197">IFERROR(INDEX(UtilityList!J$4:J$251,MATCH('Table 2.3a'!$A197&amp;'Table 2.3a'!$B197&amp;'Table 2.3a'!$C197,UtilityList!$A$4:$A$251&amp;UtilityList!$B$4:$B$251&amp;UtilityList!$C$4:$C$251,0)),INDEX(UtilityList!J$4:J$251,MATCH('Table 2.3a'!$A197&amp;'Table 2.3a'!$C197,UtilityList!$A$4:$A$251&amp;UtilityList!$C$4:$C$251,0)))</f>
        <v>North Slope</v>
      </c>
      <c r="N197" s="452" t="str">
        <f t="array" ref="N197">IFERROR(INDEX(UtilityList!K$4:K$251,MATCH('Table 2.3a'!$A197&amp;'Table 2.3a'!$B197&amp;'Table 2.3a'!$C197,UtilityList!$A$4:$A$251&amp;UtilityList!$B$4:$B$251&amp;UtilityList!$C$4:$C$251,0)),INDEX(UtilityList!K$4:K$251,MATCH('Table 2.3a'!$A197&amp;'Table 2.3a'!$C197,UtilityList!$A$4:$A$251&amp;UtilityList!$C$4:$C$251,0)))</f>
        <v>North Slope</v>
      </c>
      <c r="O197" s="452" t="str">
        <f t="array" ref="O197">IFERROR(INDEX(UtilityList!L$4:L$251,MATCH('Table 2.3a'!$A197&amp;'Table 2.3a'!$B197&amp;'Table 2.3a'!$C197,UtilityList!$A$4:$A$251&amp;UtilityList!$B$4:$B$251&amp;UtilityList!$C$4:$C$251,0)),INDEX(UtilityList!L$4:L$251,MATCH('Table 2.3a'!$A197&amp;'Table 2.3a'!$C197,UtilityList!$A$4:$A$251&amp;UtilityList!$C$4:$C$251,0)))</f>
        <v>Arctic Slope</v>
      </c>
      <c r="P197" s="452" t="str">
        <f t="array" ref="P197">IFERROR(INDEX(UtilityList!M$4:M$251,MATCH('Table 2.3a'!$A197&amp;'Table 2.3a'!$B197&amp;'Table 2.3a'!$C197,UtilityList!$A$4:$A$251&amp;UtilityList!$B$4:$B$251&amp;UtilityList!$C$4:$C$251,0)),INDEX(UtilityList!M$4:M$251,MATCH('Table 2.3a'!$A197&amp;'Table 2.3a'!$C197,UtilityList!$A$4:$A$251&amp;UtilityList!$C$4:$C$251,0)))</f>
        <v>AN</v>
      </c>
      <c r="Q197" s="344"/>
    </row>
    <row r="198" spans="1:17" s="187" customFormat="1" ht="30" x14ac:dyDescent="0.25">
      <c r="A198" s="385" t="s">
        <v>277</v>
      </c>
      <c r="B198" s="455" t="s">
        <v>281</v>
      </c>
      <c r="C198" s="643" t="s">
        <v>281</v>
      </c>
      <c r="D198" s="637">
        <v>0</v>
      </c>
      <c r="E198" s="641">
        <v>3229</v>
      </c>
      <c r="F198" s="641">
        <v>0</v>
      </c>
      <c r="G198" s="642">
        <v>0</v>
      </c>
      <c r="H198" s="639">
        <f t="shared" si="4"/>
        <v>3229</v>
      </c>
      <c r="I198" s="641">
        <v>391</v>
      </c>
      <c r="J198" s="638">
        <f t="shared" si="5"/>
        <v>3620</v>
      </c>
      <c r="K198" s="645" t="s">
        <v>558</v>
      </c>
      <c r="L198" s="627">
        <f t="array" ref="L198">IFERROR(INDEX(UtilityList!Q$4:Q$251,MATCH('Table 2.3a'!$A198&amp;'Table 2.3a'!$B198&amp;'Table 2.3a'!$C198,UtilityList!$A$4:$A$251&amp;UtilityList!$B$4:$B$251&amp;UtilityList!$C$4:$C$251,0)),INDEX(UtilityList!Q$4:Q$251,MATCH('Table 2.3a'!$A198&amp;'Table 2.3a'!$C198,UtilityList!$A$4:$A$251&amp;UtilityList!$C$4:$C$251,0)))</f>
        <v>0</v>
      </c>
      <c r="M198" s="452" t="str">
        <f t="array" ref="M198">IFERROR(INDEX(UtilityList!J$4:J$251,MATCH('Table 2.3a'!$A198&amp;'Table 2.3a'!$B198&amp;'Table 2.3a'!$C198,UtilityList!$A$4:$A$251&amp;UtilityList!$B$4:$B$251&amp;UtilityList!$C$4:$C$251,0)),INDEX(UtilityList!J$4:J$251,MATCH('Table 2.3a'!$A198&amp;'Table 2.3a'!$C198,UtilityList!$A$4:$A$251&amp;UtilityList!$C$4:$C$251,0)))</f>
        <v>North Slope</v>
      </c>
      <c r="N198" s="452" t="str">
        <f t="array" ref="N198">IFERROR(INDEX(UtilityList!K$4:K$251,MATCH('Table 2.3a'!$A198&amp;'Table 2.3a'!$B198&amp;'Table 2.3a'!$C198,UtilityList!$A$4:$A$251&amp;UtilityList!$B$4:$B$251&amp;UtilityList!$C$4:$C$251,0)),INDEX(UtilityList!K$4:K$251,MATCH('Table 2.3a'!$A198&amp;'Table 2.3a'!$C198,UtilityList!$A$4:$A$251&amp;UtilityList!$C$4:$C$251,0)))</f>
        <v>North Slope</v>
      </c>
      <c r="O198" s="452" t="str">
        <f t="array" ref="O198">IFERROR(INDEX(UtilityList!L$4:L$251,MATCH('Table 2.3a'!$A198&amp;'Table 2.3a'!$B198&amp;'Table 2.3a'!$C198,UtilityList!$A$4:$A$251&amp;UtilityList!$B$4:$B$251&amp;UtilityList!$C$4:$C$251,0)),INDEX(UtilityList!L$4:L$251,MATCH('Table 2.3a'!$A198&amp;'Table 2.3a'!$C198,UtilityList!$A$4:$A$251&amp;UtilityList!$C$4:$C$251,0)))</f>
        <v>Arctic Slope</v>
      </c>
      <c r="P198" s="452" t="str">
        <f t="array" ref="P198">IFERROR(INDEX(UtilityList!M$4:M$251,MATCH('Table 2.3a'!$A198&amp;'Table 2.3a'!$B198&amp;'Table 2.3a'!$C198,UtilityList!$A$4:$A$251&amp;UtilityList!$B$4:$B$251&amp;UtilityList!$C$4:$C$251,0)),INDEX(UtilityList!M$4:M$251,MATCH('Table 2.3a'!$A198&amp;'Table 2.3a'!$C198,UtilityList!$A$4:$A$251&amp;UtilityList!$C$4:$C$251,0)))</f>
        <v>AN</v>
      </c>
      <c r="Q198" s="344"/>
    </row>
    <row r="199" spans="1:17" s="187" customFormat="1" ht="30" x14ac:dyDescent="0.25">
      <c r="A199" s="385" t="s">
        <v>277</v>
      </c>
      <c r="B199" s="455" t="s">
        <v>282</v>
      </c>
      <c r="C199" s="643" t="s">
        <v>282</v>
      </c>
      <c r="D199" s="637">
        <v>0</v>
      </c>
      <c r="E199" s="641">
        <v>6153</v>
      </c>
      <c r="F199" s="641">
        <v>0</v>
      </c>
      <c r="G199" s="642">
        <v>0</v>
      </c>
      <c r="H199" s="639">
        <f t="shared" si="4"/>
        <v>6153</v>
      </c>
      <c r="I199" s="641">
        <v>378</v>
      </c>
      <c r="J199" s="638">
        <f t="shared" si="5"/>
        <v>6531</v>
      </c>
      <c r="K199" s="645" t="s">
        <v>558</v>
      </c>
      <c r="L199" s="627">
        <f t="array" ref="L199">IFERROR(INDEX(UtilityList!Q$4:Q$251,MATCH('Table 2.3a'!$A199&amp;'Table 2.3a'!$B199&amp;'Table 2.3a'!$C199,UtilityList!$A$4:$A$251&amp;UtilityList!$B$4:$B$251&amp;UtilityList!$C$4:$C$251,0)),INDEX(UtilityList!Q$4:Q$251,MATCH('Table 2.3a'!$A199&amp;'Table 2.3a'!$C199,UtilityList!$A$4:$A$251&amp;UtilityList!$C$4:$C$251,0)))</f>
        <v>0</v>
      </c>
      <c r="M199" s="452" t="str">
        <f t="array" ref="M199">IFERROR(INDEX(UtilityList!J$4:J$251,MATCH('Table 2.3a'!$A199&amp;'Table 2.3a'!$B199&amp;'Table 2.3a'!$C199,UtilityList!$A$4:$A$251&amp;UtilityList!$B$4:$B$251&amp;UtilityList!$C$4:$C$251,0)),INDEX(UtilityList!J$4:J$251,MATCH('Table 2.3a'!$A199&amp;'Table 2.3a'!$C199,UtilityList!$A$4:$A$251&amp;UtilityList!$C$4:$C$251,0)))</f>
        <v>North Slope</v>
      </c>
      <c r="N199" s="452" t="str">
        <f t="array" ref="N199">IFERROR(INDEX(UtilityList!K$4:K$251,MATCH('Table 2.3a'!$A199&amp;'Table 2.3a'!$B199&amp;'Table 2.3a'!$C199,UtilityList!$A$4:$A$251&amp;UtilityList!$B$4:$B$251&amp;UtilityList!$C$4:$C$251,0)),INDEX(UtilityList!K$4:K$251,MATCH('Table 2.3a'!$A199&amp;'Table 2.3a'!$C199,UtilityList!$A$4:$A$251&amp;UtilityList!$C$4:$C$251,0)))</f>
        <v>North Slope</v>
      </c>
      <c r="O199" s="452" t="str">
        <f t="array" ref="O199">IFERROR(INDEX(UtilityList!L$4:L$251,MATCH('Table 2.3a'!$A199&amp;'Table 2.3a'!$B199&amp;'Table 2.3a'!$C199,UtilityList!$A$4:$A$251&amp;UtilityList!$B$4:$B$251&amp;UtilityList!$C$4:$C$251,0)),INDEX(UtilityList!L$4:L$251,MATCH('Table 2.3a'!$A199&amp;'Table 2.3a'!$C199,UtilityList!$A$4:$A$251&amp;UtilityList!$C$4:$C$251,0)))</f>
        <v>Arctic Slope</v>
      </c>
      <c r="P199" s="452" t="str">
        <f t="array" ref="P199">IFERROR(INDEX(UtilityList!M$4:M$251,MATCH('Table 2.3a'!$A199&amp;'Table 2.3a'!$B199&amp;'Table 2.3a'!$C199,UtilityList!$A$4:$A$251&amp;UtilityList!$B$4:$B$251&amp;UtilityList!$C$4:$C$251,0)),INDEX(UtilityList!M$4:M$251,MATCH('Table 2.3a'!$A199&amp;'Table 2.3a'!$C199,UtilityList!$A$4:$A$251&amp;UtilityList!$C$4:$C$251,0)))</f>
        <v>AN</v>
      </c>
      <c r="Q199" s="344"/>
    </row>
    <row r="200" spans="1:17" s="187" customFormat="1" ht="30" x14ac:dyDescent="0.25">
      <c r="A200" s="385" t="s">
        <v>277</v>
      </c>
      <c r="B200" s="455" t="s">
        <v>283</v>
      </c>
      <c r="C200" s="643" t="s">
        <v>283</v>
      </c>
      <c r="D200" s="637">
        <v>0</v>
      </c>
      <c r="E200" s="641">
        <v>3085</v>
      </c>
      <c r="F200" s="641">
        <v>0</v>
      </c>
      <c r="G200" s="642">
        <v>0</v>
      </c>
      <c r="H200" s="639">
        <f t="shared" si="4"/>
        <v>3085</v>
      </c>
      <c r="I200" s="641">
        <v>345</v>
      </c>
      <c r="J200" s="638">
        <f t="shared" si="5"/>
        <v>3430</v>
      </c>
      <c r="K200" s="645" t="s">
        <v>558</v>
      </c>
      <c r="L200" s="627">
        <f t="array" ref="L200">IFERROR(INDEX(UtilityList!Q$4:Q$251,MATCH('Table 2.3a'!$A200&amp;'Table 2.3a'!$B200&amp;'Table 2.3a'!$C200,UtilityList!$A$4:$A$251&amp;UtilityList!$B$4:$B$251&amp;UtilityList!$C$4:$C$251,0)),INDEX(UtilityList!Q$4:Q$251,MATCH('Table 2.3a'!$A200&amp;'Table 2.3a'!$C200,UtilityList!$A$4:$A$251&amp;UtilityList!$C$4:$C$251,0)))</f>
        <v>0</v>
      </c>
      <c r="M200" s="452" t="str">
        <f t="array" ref="M200">IFERROR(INDEX(UtilityList!J$4:J$251,MATCH('Table 2.3a'!$A200&amp;'Table 2.3a'!$B200&amp;'Table 2.3a'!$C200,UtilityList!$A$4:$A$251&amp;UtilityList!$B$4:$B$251&amp;UtilityList!$C$4:$C$251,0)),INDEX(UtilityList!J$4:J$251,MATCH('Table 2.3a'!$A200&amp;'Table 2.3a'!$C200,UtilityList!$A$4:$A$251&amp;UtilityList!$C$4:$C$251,0)))</f>
        <v>North Slope</v>
      </c>
      <c r="N200" s="452" t="str">
        <f t="array" ref="N200">IFERROR(INDEX(UtilityList!K$4:K$251,MATCH('Table 2.3a'!$A200&amp;'Table 2.3a'!$B200&amp;'Table 2.3a'!$C200,UtilityList!$A$4:$A$251&amp;UtilityList!$B$4:$B$251&amp;UtilityList!$C$4:$C$251,0)),INDEX(UtilityList!K$4:K$251,MATCH('Table 2.3a'!$A200&amp;'Table 2.3a'!$C200,UtilityList!$A$4:$A$251&amp;UtilityList!$C$4:$C$251,0)))</f>
        <v>North Slope</v>
      </c>
      <c r="O200" s="452" t="str">
        <f t="array" ref="O200">IFERROR(INDEX(UtilityList!L$4:L$251,MATCH('Table 2.3a'!$A200&amp;'Table 2.3a'!$B200&amp;'Table 2.3a'!$C200,UtilityList!$A$4:$A$251&amp;UtilityList!$B$4:$B$251&amp;UtilityList!$C$4:$C$251,0)),INDEX(UtilityList!L$4:L$251,MATCH('Table 2.3a'!$A200&amp;'Table 2.3a'!$C200,UtilityList!$A$4:$A$251&amp;UtilityList!$C$4:$C$251,0)))</f>
        <v>Arctic Slope</v>
      </c>
      <c r="P200" s="452" t="str">
        <f t="array" ref="P200">IFERROR(INDEX(UtilityList!M$4:M$251,MATCH('Table 2.3a'!$A200&amp;'Table 2.3a'!$B200&amp;'Table 2.3a'!$C200,UtilityList!$A$4:$A$251&amp;UtilityList!$B$4:$B$251&amp;UtilityList!$C$4:$C$251,0)),INDEX(UtilityList!M$4:M$251,MATCH('Table 2.3a'!$A200&amp;'Table 2.3a'!$C200,UtilityList!$A$4:$A$251&amp;UtilityList!$C$4:$C$251,0)))</f>
        <v>AN</v>
      </c>
      <c r="Q200" s="344"/>
    </row>
    <row r="201" spans="1:17" s="126" customFormat="1" ht="30" x14ac:dyDescent="0.25">
      <c r="A201" s="385" t="s">
        <v>277</v>
      </c>
      <c r="B201" s="455" t="s">
        <v>284</v>
      </c>
      <c r="C201" s="643" t="s">
        <v>284</v>
      </c>
      <c r="D201" s="637">
        <v>0</v>
      </c>
      <c r="E201" s="641">
        <v>6258</v>
      </c>
      <c r="F201" s="641">
        <v>0</v>
      </c>
      <c r="G201" s="642">
        <v>0</v>
      </c>
      <c r="H201" s="639">
        <f t="shared" ref="H201:H238" si="6">SUM(D201:G201)</f>
        <v>6258</v>
      </c>
      <c r="I201" s="641">
        <v>324</v>
      </c>
      <c r="J201" s="638">
        <f t="shared" ref="J201:J238" si="7">IF(I201="","",SUM(H201:I201))</f>
        <v>6582</v>
      </c>
      <c r="K201" s="645" t="s">
        <v>558</v>
      </c>
      <c r="L201" s="627">
        <f t="array" ref="L201">IFERROR(INDEX(UtilityList!Q$4:Q$251,MATCH('Table 2.3a'!$A201&amp;'Table 2.3a'!$B201&amp;'Table 2.3a'!$C201,UtilityList!$A$4:$A$251&amp;UtilityList!$B$4:$B$251&amp;UtilityList!$C$4:$C$251,0)),INDEX(UtilityList!Q$4:Q$251,MATCH('Table 2.3a'!$A201&amp;'Table 2.3a'!$C201,UtilityList!$A$4:$A$251&amp;UtilityList!$C$4:$C$251,0)))</f>
        <v>0</v>
      </c>
      <c r="M201" s="452" t="str">
        <f t="array" ref="M201">IFERROR(INDEX(UtilityList!J$4:J$251,MATCH('Table 2.3a'!$A201&amp;'Table 2.3a'!$B201&amp;'Table 2.3a'!$C201,UtilityList!$A$4:$A$251&amp;UtilityList!$B$4:$B$251&amp;UtilityList!$C$4:$C$251,0)),INDEX(UtilityList!J$4:J$251,MATCH('Table 2.3a'!$A201&amp;'Table 2.3a'!$C201,UtilityList!$A$4:$A$251&amp;UtilityList!$C$4:$C$251,0)))</f>
        <v>North Slope</v>
      </c>
      <c r="N201" s="452" t="str">
        <f t="array" ref="N201">IFERROR(INDEX(UtilityList!K$4:K$251,MATCH('Table 2.3a'!$A201&amp;'Table 2.3a'!$B201&amp;'Table 2.3a'!$C201,UtilityList!$A$4:$A$251&amp;UtilityList!$B$4:$B$251&amp;UtilityList!$C$4:$C$251,0)),INDEX(UtilityList!K$4:K$251,MATCH('Table 2.3a'!$A201&amp;'Table 2.3a'!$C201,UtilityList!$A$4:$A$251&amp;UtilityList!$C$4:$C$251,0)))</f>
        <v>North Slope</v>
      </c>
      <c r="O201" s="452" t="str">
        <f t="array" ref="O201">IFERROR(INDEX(UtilityList!L$4:L$251,MATCH('Table 2.3a'!$A201&amp;'Table 2.3a'!$B201&amp;'Table 2.3a'!$C201,UtilityList!$A$4:$A$251&amp;UtilityList!$B$4:$B$251&amp;UtilityList!$C$4:$C$251,0)),INDEX(UtilityList!L$4:L$251,MATCH('Table 2.3a'!$A201&amp;'Table 2.3a'!$C201,UtilityList!$A$4:$A$251&amp;UtilityList!$C$4:$C$251,0)))</f>
        <v>Arctic Slope</v>
      </c>
      <c r="P201" s="452" t="str">
        <f t="array" ref="P201">IFERROR(INDEX(UtilityList!M$4:M$251,MATCH('Table 2.3a'!$A201&amp;'Table 2.3a'!$B201&amp;'Table 2.3a'!$C201,UtilityList!$A$4:$A$251&amp;UtilityList!$B$4:$B$251&amp;UtilityList!$C$4:$C$251,0)),INDEX(UtilityList!M$4:M$251,MATCH('Table 2.3a'!$A201&amp;'Table 2.3a'!$C201,UtilityList!$A$4:$A$251&amp;UtilityList!$C$4:$C$251,0)))</f>
        <v>AN</v>
      </c>
      <c r="Q201" s="344"/>
    </row>
    <row r="202" spans="1:17" s="187" customFormat="1" ht="30" customHeight="1" x14ac:dyDescent="0.25">
      <c r="A202" s="360" t="s">
        <v>285</v>
      </c>
      <c r="B202" s="360" t="s">
        <v>521</v>
      </c>
      <c r="C202" s="387" t="s">
        <v>286</v>
      </c>
      <c r="D202" s="637">
        <v>0</v>
      </c>
      <c r="E202" s="638">
        <v>829.24900000000002</v>
      </c>
      <c r="F202" s="638">
        <v>0</v>
      </c>
      <c r="G202" s="638">
        <v>0</v>
      </c>
      <c r="H202" s="639">
        <f t="shared" si="6"/>
        <v>829.24900000000002</v>
      </c>
      <c r="I202" s="638">
        <v>25.224</v>
      </c>
      <c r="J202" s="638">
        <f t="shared" si="7"/>
        <v>854.47300000000007</v>
      </c>
      <c r="K202" s="640" t="s">
        <v>356</v>
      </c>
      <c r="L202" s="627">
        <f t="array" ref="L202">IFERROR(INDEX(UtilityList!Q$4:Q$251,MATCH('Table 2.3a'!$A202&amp;'Table 2.3a'!$B202&amp;'Table 2.3a'!$C202,UtilityList!$A$4:$A$251&amp;UtilityList!$B$4:$B$251&amp;UtilityList!$C$4:$C$251,0)),INDEX(UtilityList!Q$4:Q$251,MATCH('Table 2.3a'!$A202&amp;'Table 2.3a'!$C202,UtilityList!$A$4:$A$251&amp;UtilityList!$C$4:$C$251,0)))</f>
        <v>0</v>
      </c>
      <c r="M202" s="452" t="str">
        <f t="array" ref="M202">IFERROR(INDEX(UtilityList!J$4:J$251,MATCH('Table 2.3a'!$A202&amp;'Table 2.3a'!$B202&amp;'Table 2.3a'!$C202,UtilityList!$A$4:$A$251&amp;UtilityList!$B$4:$B$251&amp;UtilityList!$C$4:$C$251,0)),INDEX(UtilityList!J$4:J$251,MATCH('Table 2.3a'!$A202&amp;'Table 2.3a'!$C202,UtilityList!$A$4:$A$251&amp;UtilityList!$C$4:$C$251,0)))</f>
        <v>Lower Yukon-Kuskokwim</v>
      </c>
      <c r="N202" s="452" t="str">
        <f t="array" ref="N202">IFERROR(INDEX(UtilityList!K$4:K$251,MATCH('Table 2.3a'!$A202&amp;'Table 2.3a'!$B202&amp;'Table 2.3a'!$C202,UtilityList!$A$4:$A$251&amp;UtilityList!$B$4:$B$251&amp;UtilityList!$C$4:$C$251,0)),INDEX(UtilityList!K$4:K$251,MATCH('Table 2.3a'!$A202&amp;'Table 2.3a'!$C202,UtilityList!$A$4:$A$251&amp;UtilityList!$C$4:$C$251,0)))</f>
        <v>Wade Hampton (CA)</v>
      </c>
      <c r="O202" s="452" t="str">
        <f t="array" ref="O202">IFERROR(INDEX(UtilityList!L$4:L$251,MATCH('Table 2.3a'!$A202&amp;'Table 2.3a'!$B202&amp;'Table 2.3a'!$C202,UtilityList!$A$4:$A$251&amp;UtilityList!$B$4:$B$251&amp;UtilityList!$C$4:$C$251,0)),INDEX(UtilityList!L$4:L$251,MATCH('Table 2.3a'!$A202&amp;'Table 2.3a'!$C202,UtilityList!$A$4:$A$251&amp;UtilityList!$C$4:$C$251,0)))</f>
        <v>Calista</v>
      </c>
      <c r="P202" s="452" t="str">
        <f t="array" ref="P202">IFERROR(INDEX(UtilityList!M$4:M$251,MATCH('Table 2.3a'!$A202&amp;'Table 2.3a'!$B202&amp;'Table 2.3a'!$C202,UtilityList!$A$4:$A$251&amp;UtilityList!$B$4:$B$251&amp;UtilityList!$C$4:$C$251,0)),INDEX(UtilityList!M$4:M$251,MATCH('Table 2.3a'!$A202&amp;'Table 2.3a'!$C202,UtilityList!$A$4:$A$251&amp;UtilityList!$C$4:$C$251,0)))</f>
        <v>YU</v>
      </c>
      <c r="Q202" s="344"/>
    </row>
    <row r="203" spans="1:17" s="187" customFormat="1" ht="30" customHeight="1" x14ac:dyDescent="0.25">
      <c r="A203" s="385" t="s">
        <v>536</v>
      </c>
      <c r="B203" s="385" t="s">
        <v>287</v>
      </c>
      <c r="C203" s="635" t="s">
        <v>687</v>
      </c>
      <c r="D203" s="637">
        <v>0</v>
      </c>
      <c r="E203" s="638">
        <v>18800</v>
      </c>
      <c r="F203" s="638">
        <v>0</v>
      </c>
      <c r="G203" s="638">
        <v>0</v>
      </c>
      <c r="H203" s="639">
        <f t="shared" si="6"/>
        <v>18800</v>
      </c>
      <c r="I203" s="638">
        <v>90</v>
      </c>
      <c r="J203" s="638">
        <f t="shared" si="7"/>
        <v>18890</v>
      </c>
      <c r="K203" s="646" t="s">
        <v>356</v>
      </c>
      <c r="L203" s="627" t="str">
        <f t="array" ref="L203">IFERROR(INDEX(UtilityList!Q$4:Q$251,MATCH('Table 2.3a'!$A203&amp;'Table 2.3a'!$B203&amp;'Table 2.3a'!$C203,UtilityList!$A$4:$A$251&amp;UtilityList!$B$4:$B$251&amp;UtilityList!$C$4:$C$251,0)),INDEX(UtilityList!Q$4:Q$251,MATCH('Table 2.3a'!$A203&amp;'Table 2.3a'!$C203,UtilityList!$A$4:$A$251&amp;UtilityList!$C$4:$C$251,0)))</f>
        <v>Provides power to Aleknagik via intertie. Data includes Aleknagik's information.</v>
      </c>
      <c r="M203" s="452" t="str">
        <f t="array" ref="M203">IFERROR(INDEX(UtilityList!J$4:J$251,MATCH('Table 2.3a'!$A203&amp;'Table 2.3a'!$B203&amp;'Table 2.3a'!$C203,UtilityList!$A$4:$A$251&amp;UtilityList!$B$4:$B$251&amp;UtilityList!$C$4:$C$251,0)),INDEX(UtilityList!J$4:J$251,MATCH('Table 2.3a'!$A203&amp;'Table 2.3a'!$C203,UtilityList!$A$4:$A$251&amp;UtilityList!$C$4:$C$251,0)))</f>
        <v>Bristol Bay</v>
      </c>
      <c r="N203" s="452" t="str">
        <f t="array" ref="N203">IFERROR(INDEX(UtilityList!K$4:K$251,MATCH('Table 2.3a'!$A203&amp;'Table 2.3a'!$B203&amp;'Table 2.3a'!$C203,UtilityList!$A$4:$A$251&amp;UtilityList!$B$4:$B$251&amp;UtilityList!$C$4:$C$251,0)),INDEX(UtilityList!K$4:K$251,MATCH('Table 2.3a'!$A203&amp;'Table 2.3a'!$C203,UtilityList!$A$4:$A$251&amp;UtilityList!$C$4:$C$251,0)))</f>
        <v>Dillingham (CA)</v>
      </c>
      <c r="O203" s="452" t="str">
        <f t="array" ref="O203">IFERROR(INDEX(UtilityList!L$4:L$251,MATCH('Table 2.3a'!$A203&amp;'Table 2.3a'!$B203&amp;'Table 2.3a'!$C203,UtilityList!$A$4:$A$251&amp;UtilityList!$B$4:$B$251&amp;UtilityList!$C$4:$C$251,0)),INDEX(UtilityList!L$4:L$251,MATCH('Table 2.3a'!$A203&amp;'Table 2.3a'!$C203,UtilityList!$A$4:$A$251&amp;UtilityList!$C$4:$C$251,0)))</f>
        <v>Bristol Bay</v>
      </c>
      <c r="P203" s="452" t="str">
        <f t="array" ref="P203">IFERROR(INDEX(UtilityList!M$4:M$251,MATCH('Table 2.3a'!$A203&amp;'Table 2.3a'!$B203&amp;'Table 2.3a'!$C203,UtilityList!$A$4:$A$251&amp;UtilityList!$B$4:$B$251&amp;UtilityList!$C$4:$C$251,0)),INDEX(UtilityList!M$4:M$251,MATCH('Table 2.3a'!$A203&amp;'Table 2.3a'!$C203,UtilityList!$A$4:$A$251&amp;UtilityList!$C$4:$C$251,0)))</f>
        <v>SW</v>
      </c>
      <c r="Q203" s="344"/>
    </row>
    <row r="204" spans="1:17" s="187" customFormat="1" x14ac:dyDescent="0.25">
      <c r="A204" s="360" t="s">
        <v>288</v>
      </c>
      <c r="B204" s="360" t="s">
        <v>289</v>
      </c>
      <c r="C204" s="387" t="s">
        <v>289</v>
      </c>
      <c r="D204" s="637">
        <v>0</v>
      </c>
      <c r="E204" s="638">
        <v>328.82</v>
      </c>
      <c r="F204" s="638">
        <v>0</v>
      </c>
      <c r="G204" s="638">
        <v>0</v>
      </c>
      <c r="H204" s="639">
        <f t="shared" si="6"/>
        <v>328.82</v>
      </c>
      <c r="I204" s="638">
        <v>6.13</v>
      </c>
      <c r="J204" s="638">
        <f t="shared" si="7"/>
        <v>334.95</v>
      </c>
      <c r="K204" s="640" t="s">
        <v>356</v>
      </c>
      <c r="L204" s="627">
        <f t="array" ref="L204">IFERROR(INDEX(UtilityList!Q$4:Q$251,MATCH('Table 2.3a'!$A204&amp;'Table 2.3a'!$B204&amp;'Table 2.3a'!$C204,UtilityList!$A$4:$A$251&amp;UtilityList!$B$4:$B$251&amp;UtilityList!$C$4:$C$251,0)),INDEX(UtilityList!Q$4:Q$251,MATCH('Table 2.3a'!$A204&amp;'Table 2.3a'!$C204,UtilityList!$A$4:$A$251&amp;UtilityList!$C$4:$C$251,0)))</f>
        <v>0</v>
      </c>
      <c r="M204" s="452" t="str">
        <f t="array" ref="M204">IFERROR(INDEX(UtilityList!J$4:J$251,MATCH('Table 2.3a'!$A204&amp;'Table 2.3a'!$B204&amp;'Table 2.3a'!$C204,UtilityList!$A$4:$A$251&amp;UtilityList!$B$4:$B$251&amp;UtilityList!$C$4:$C$251,0)),INDEX(UtilityList!J$4:J$251,MATCH('Table 2.3a'!$A204&amp;'Table 2.3a'!$C204,UtilityList!$A$4:$A$251&amp;UtilityList!$C$4:$C$251,0)))</f>
        <v>Kodiak</v>
      </c>
      <c r="N204" s="452" t="str">
        <f t="array" ref="N204">IFERROR(INDEX(UtilityList!K$4:K$251,MATCH('Table 2.3a'!$A204&amp;'Table 2.3a'!$B204&amp;'Table 2.3a'!$C204,UtilityList!$A$4:$A$251&amp;UtilityList!$B$4:$B$251&amp;UtilityList!$C$4:$C$251,0)),INDEX(UtilityList!K$4:K$251,MATCH('Table 2.3a'!$A204&amp;'Table 2.3a'!$C204,UtilityList!$A$4:$A$251&amp;UtilityList!$C$4:$C$251,0)))</f>
        <v>Kodiak Island</v>
      </c>
      <c r="O204" s="452" t="str">
        <f t="array" ref="O204">IFERROR(INDEX(UtilityList!L$4:L$251,MATCH('Table 2.3a'!$A204&amp;'Table 2.3a'!$B204&amp;'Table 2.3a'!$C204,UtilityList!$A$4:$A$251&amp;UtilityList!$B$4:$B$251&amp;UtilityList!$C$4:$C$251,0)),INDEX(UtilityList!L$4:L$251,MATCH('Table 2.3a'!$A204&amp;'Table 2.3a'!$C204,UtilityList!$A$4:$A$251&amp;UtilityList!$C$4:$C$251,0)))</f>
        <v>Koniag</v>
      </c>
      <c r="P204" s="452" t="str">
        <f t="array" ref="P204">IFERROR(INDEX(UtilityList!M$4:M$251,MATCH('Table 2.3a'!$A204&amp;'Table 2.3a'!$B204&amp;'Table 2.3a'!$C204,UtilityList!$A$4:$A$251&amp;UtilityList!$B$4:$B$251&amp;UtilityList!$C$4:$C$251,0)),INDEX(UtilityList!M$4:M$251,MATCH('Table 2.3a'!$A204&amp;'Table 2.3a'!$C204,UtilityList!$A$4:$A$251&amp;UtilityList!$C$4:$C$251,0)))</f>
        <v>SC</v>
      </c>
      <c r="Q204" s="344"/>
    </row>
    <row r="205" spans="1:17" s="344" customFormat="1" x14ac:dyDescent="0.25">
      <c r="A205" s="360" t="s">
        <v>290</v>
      </c>
      <c r="B205" s="360" t="s">
        <v>291</v>
      </c>
      <c r="C205" s="387" t="s">
        <v>291</v>
      </c>
      <c r="D205" s="637">
        <v>0</v>
      </c>
      <c r="E205" s="638">
        <v>211.78700000000001</v>
      </c>
      <c r="F205" s="638">
        <v>0</v>
      </c>
      <c r="G205" s="638">
        <v>0</v>
      </c>
      <c r="H205" s="639">
        <f t="shared" si="6"/>
        <v>211.78700000000001</v>
      </c>
      <c r="I205" s="638">
        <v>11.718</v>
      </c>
      <c r="J205" s="638">
        <f t="shared" si="7"/>
        <v>223.505</v>
      </c>
      <c r="K205" s="640" t="s">
        <v>356</v>
      </c>
      <c r="L205" s="627">
        <f t="array" ref="L205">IFERROR(INDEX(UtilityList!Q$4:Q$251,MATCH('Table 2.3a'!$A205&amp;'Table 2.3a'!$B205&amp;'Table 2.3a'!$C205,UtilityList!$A$4:$A$251&amp;UtilityList!$B$4:$B$251&amp;UtilityList!$C$4:$C$251,0)),INDEX(UtilityList!Q$4:Q$251,MATCH('Table 2.3a'!$A205&amp;'Table 2.3a'!$C205,UtilityList!$A$4:$A$251&amp;UtilityList!$C$4:$C$251,0)))</f>
        <v>0</v>
      </c>
      <c r="M205" s="452" t="str">
        <f t="array" ref="M205">IFERROR(INDEX(UtilityList!J$4:J$251,MATCH('Table 2.3a'!$A205&amp;'Table 2.3a'!$B205&amp;'Table 2.3a'!$C205,UtilityList!$A$4:$A$251&amp;UtilityList!$B$4:$B$251&amp;UtilityList!$C$4:$C$251,0)),INDEX(UtilityList!J$4:J$251,MATCH('Table 2.3a'!$A205&amp;'Table 2.3a'!$C205,UtilityList!$A$4:$A$251&amp;UtilityList!$C$4:$C$251,0)))</f>
        <v>Bristol Bay</v>
      </c>
      <c r="N205" s="452" t="str">
        <f t="array" ref="N205">IFERROR(INDEX(UtilityList!K$4:K$251,MATCH('Table 2.3a'!$A205&amp;'Table 2.3a'!$B205&amp;'Table 2.3a'!$C205,UtilityList!$A$4:$A$251&amp;UtilityList!$B$4:$B$251&amp;UtilityList!$C$4:$C$251,0)),INDEX(UtilityList!K$4:K$251,MATCH('Table 2.3a'!$A205&amp;'Table 2.3a'!$C205,UtilityList!$A$4:$A$251&amp;UtilityList!$C$4:$C$251,0)))</f>
        <v>Lake and Peninsula</v>
      </c>
      <c r="O205" s="452" t="str">
        <f t="array" ref="O205">IFERROR(INDEX(UtilityList!L$4:L$251,MATCH('Table 2.3a'!$A205&amp;'Table 2.3a'!$B205&amp;'Table 2.3a'!$C205,UtilityList!$A$4:$A$251&amp;UtilityList!$B$4:$B$251&amp;UtilityList!$C$4:$C$251,0)),INDEX(UtilityList!L$4:L$251,MATCH('Table 2.3a'!$A205&amp;'Table 2.3a'!$C205,UtilityList!$A$4:$A$251&amp;UtilityList!$C$4:$C$251,0)))</f>
        <v>Bristol Bay</v>
      </c>
      <c r="P205" s="452" t="str">
        <f t="array" ref="P205">IFERROR(INDEX(UtilityList!M$4:M$251,MATCH('Table 2.3a'!$A205&amp;'Table 2.3a'!$B205&amp;'Table 2.3a'!$C205,UtilityList!$A$4:$A$251&amp;UtilityList!$B$4:$B$251&amp;UtilityList!$C$4:$C$251,0)),INDEX(UtilityList!M$4:M$251,MATCH('Table 2.3a'!$A205&amp;'Table 2.3a'!$C205,UtilityList!$A$4:$A$251&amp;UtilityList!$C$4:$C$251,0)))</f>
        <v>SW</v>
      </c>
    </row>
    <row r="206" spans="1:17" s="344" customFormat="1" ht="30" customHeight="1" x14ac:dyDescent="0.25">
      <c r="A206" s="360" t="s">
        <v>292</v>
      </c>
      <c r="B206" s="360" t="s">
        <v>293</v>
      </c>
      <c r="C206" s="387" t="s">
        <v>293</v>
      </c>
      <c r="D206" s="637">
        <v>0</v>
      </c>
      <c r="E206" s="638">
        <v>798.50199999999995</v>
      </c>
      <c r="F206" s="638">
        <v>0</v>
      </c>
      <c r="G206" s="638">
        <v>0</v>
      </c>
      <c r="H206" s="639">
        <f t="shared" si="6"/>
        <v>798.50199999999995</v>
      </c>
      <c r="I206" s="638">
        <v>40.533000000000001</v>
      </c>
      <c r="J206" s="638">
        <f t="shared" si="7"/>
        <v>839.03499999999997</v>
      </c>
      <c r="K206" s="640" t="s">
        <v>356</v>
      </c>
      <c r="L206" s="627">
        <f t="array" ref="L206">IFERROR(INDEX(UtilityList!Q$4:Q$251,MATCH('Table 2.3a'!$A206&amp;'Table 2.3a'!$B206&amp;'Table 2.3a'!$C206,UtilityList!$A$4:$A$251&amp;UtilityList!$B$4:$B$251&amp;UtilityList!$C$4:$C$251,0)),INDEX(UtilityList!Q$4:Q$251,MATCH('Table 2.3a'!$A206&amp;'Table 2.3a'!$C206,UtilityList!$A$4:$A$251&amp;UtilityList!$C$4:$C$251,0)))</f>
        <v>0</v>
      </c>
      <c r="M206" s="452" t="str">
        <f t="array" ref="M206">IFERROR(INDEX(UtilityList!J$4:J$251,MATCH('Table 2.3a'!$A206&amp;'Table 2.3a'!$B206&amp;'Table 2.3a'!$C206,UtilityList!$A$4:$A$251&amp;UtilityList!$B$4:$B$251&amp;UtilityList!$C$4:$C$251,0)),INDEX(UtilityList!J$4:J$251,MATCH('Table 2.3a'!$A206&amp;'Table 2.3a'!$C206,UtilityList!$A$4:$A$251&amp;UtilityList!$C$4:$C$251,0)))</f>
        <v>Southeast</v>
      </c>
      <c r="N206" s="452" t="str">
        <f t="array" ref="N206">IFERROR(INDEX(UtilityList!K$4:K$251,MATCH('Table 2.3a'!$A206&amp;'Table 2.3a'!$B206&amp;'Table 2.3a'!$C206,UtilityList!$A$4:$A$251&amp;UtilityList!$B$4:$B$251&amp;UtilityList!$C$4:$C$251,0)),INDEX(UtilityList!K$4:K$251,MATCH('Table 2.3a'!$A206&amp;'Table 2.3a'!$C206,UtilityList!$A$4:$A$251&amp;UtilityList!$C$4:$C$251,0)))</f>
        <v>Hoonah-Angoon (CA)</v>
      </c>
      <c r="O206" s="452" t="str">
        <f t="array" ref="O206">IFERROR(INDEX(UtilityList!L$4:L$251,MATCH('Table 2.3a'!$A206&amp;'Table 2.3a'!$B206&amp;'Table 2.3a'!$C206,UtilityList!$A$4:$A$251&amp;UtilityList!$B$4:$B$251&amp;UtilityList!$C$4:$C$251,0)),INDEX(UtilityList!L$4:L$251,MATCH('Table 2.3a'!$A206&amp;'Table 2.3a'!$C206,UtilityList!$A$4:$A$251&amp;UtilityList!$C$4:$C$251,0)))</f>
        <v>Sealaska</v>
      </c>
      <c r="P206" s="452" t="str">
        <f t="array" ref="P206">IFERROR(INDEX(UtilityList!M$4:M$251,MATCH('Table 2.3a'!$A206&amp;'Table 2.3a'!$B206&amp;'Table 2.3a'!$C206,UtilityList!$A$4:$A$251&amp;UtilityList!$B$4:$B$251&amp;UtilityList!$C$4:$C$251,0)),INDEX(UtilityList!M$4:M$251,MATCH('Table 2.3a'!$A206&amp;'Table 2.3a'!$C206,UtilityList!$A$4:$A$251&amp;UtilityList!$C$4:$C$251,0)))</f>
        <v>SE</v>
      </c>
    </row>
    <row r="207" spans="1:17" s="344" customFormat="1" ht="89.25" customHeight="1" x14ac:dyDescent="0.25">
      <c r="A207" s="385" t="s">
        <v>294</v>
      </c>
      <c r="B207" s="455" t="s">
        <v>522</v>
      </c>
      <c r="C207" s="643" t="s">
        <v>295</v>
      </c>
      <c r="D207" s="637">
        <v>0</v>
      </c>
      <c r="E207" s="641">
        <v>618</v>
      </c>
      <c r="F207" s="641">
        <v>10803</v>
      </c>
      <c r="G207" s="642">
        <v>0</v>
      </c>
      <c r="H207" s="639">
        <f t="shared" si="6"/>
        <v>11421</v>
      </c>
      <c r="I207" s="641">
        <v>83</v>
      </c>
      <c r="J207" s="638">
        <f t="shared" si="7"/>
        <v>11504</v>
      </c>
      <c r="K207" s="645" t="s">
        <v>558</v>
      </c>
      <c r="L207" s="627">
        <f t="array" ref="L207">IFERROR(INDEX(UtilityList!Q$4:Q$251,MATCH('Table 2.3a'!$A207&amp;'Table 2.3a'!$B207&amp;'Table 2.3a'!$C207,UtilityList!$A$4:$A$251&amp;UtilityList!$B$4:$B$251&amp;UtilityList!$C$4:$C$251,0)),INDEX(UtilityList!Q$4:Q$251,MATCH('Table 2.3a'!$A207&amp;'Table 2.3a'!$C207,UtilityList!$A$4:$A$251&amp;UtilityList!$C$4:$C$251,0)))</f>
        <v>0</v>
      </c>
      <c r="M207" s="452" t="str">
        <f t="array" ref="M207">IFERROR(INDEX(UtilityList!J$4:J$251,MATCH('Table 2.3a'!$A207&amp;'Table 2.3a'!$B207&amp;'Table 2.3a'!$C207,UtilityList!$A$4:$A$251&amp;UtilityList!$B$4:$B$251&amp;UtilityList!$C$4:$C$251,0)),INDEX(UtilityList!J$4:J$251,MATCH('Table 2.3a'!$A207&amp;'Table 2.3a'!$C207,UtilityList!$A$4:$A$251&amp;UtilityList!$C$4:$C$251,0)))</f>
        <v>Southeast</v>
      </c>
      <c r="N207" s="452" t="str">
        <f t="array" ref="N207">IFERROR(INDEX(UtilityList!K$4:K$251,MATCH('Table 2.3a'!$A207&amp;'Table 2.3a'!$B207&amp;'Table 2.3a'!$C207,UtilityList!$A$4:$A$251&amp;UtilityList!$B$4:$B$251&amp;UtilityList!$C$4:$C$251,0)),INDEX(UtilityList!K$4:K$251,MATCH('Table 2.3a'!$A207&amp;'Table 2.3a'!$C207,UtilityList!$A$4:$A$251&amp;UtilityList!$C$4:$C$251,0)))</f>
        <v>Petersburg (CA)</v>
      </c>
      <c r="O207" s="452" t="str">
        <f t="array" ref="O207">IFERROR(INDEX(UtilityList!L$4:L$251,MATCH('Table 2.3a'!$A207&amp;'Table 2.3a'!$B207&amp;'Table 2.3a'!$C207,UtilityList!$A$4:$A$251&amp;UtilityList!$B$4:$B$251&amp;UtilityList!$C$4:$C$251,0)),INDEX(UtilityList!L$4:L$251,MATCH('Table 2.3a'!$A207&amp;'Table 2.3a'!$C207,UtilityList!$A$4:$A$251&amp;UtilityList!$C$4:$C$251,0)))</f>
        <v>Sealaska</v>
      </c>
      <c r="P207" s="452" t="str">
        <f t="array" ref="P207">IFERROR(INDEX(UtilityList!M$4:M$251,MATCH('Table 2.3a'!$A207&amp;'Table 2.3a'!$B207&amp;'Table 2.3a'!$C207,UtilityList!$A$4:$A$251&amp;UtilityList!$B$4:$B$251&amp;UtilityList!$C$4:$C$251,0)),INDEX(UtilityList!M$4:M$251,MATCH('Table 2.3a'!$A207&amp;'Table 2.3a'!$C207,UtilityList!$A$4:$A$251&amp;UtilityList!$C$4:$C$251,0)))</f>
        <v>SE</v>
      </c>
    </row>
    <row r="208" spans="1:17" s="344" customFormat="1" ht="43.5" customHeight="1" x14ac:dyDescent="0.25">
      <c r="A208" s="360" t="s">
        <v>296</v>
      </c>
      <c r="B208" s="360" t="s">
        <v>297</v>
      </c>
      <c r="C208" s="387" t="s">
        <v>297</v>
      </c>
      <c r="D208" s="637">
        <v>0</v>
      </c>
      <c r="E208" s="638">
        <v>443.084</v>
      </c>
      <c r="F208" s="638">
        <v>0</v>
      </c>
      <c r="G208" s="638">
        <v>5.5170000000000003</v>
      </c>
      <c r="H208" s="639">
        <f t="shared" si="6"/>
        <v>448.601</v>
      </c>
      <c r="I208" s="638">
        <v>20.5</v>
      </c>
      <c r="J208" s="638">
        <f t="shared" si="7"/>
        <v>469.101</v>
      </c>
      <c r="K208" s="640" t="s">
        <v>356</v>
      </c>
      <c r="L208" s="627">
        <f t="array" ref="L208">IFERROR(INDEX(UtilityList!Q$4:Q$251,MATCH('Table 2.3a'!$A208&amp;'Table 2.3a'!$B208&amp;'Table 2.3a'!$C208,UtilityList!$A$4:$A$251&amp;UtilityList!$B$4:$B$251&amp;UtilityList!$C$4:$C$251,0)),INDEX(UtilityList!Q$4:Q$251,MATCH('Table 2.3a'!$A208&amp;'Table 2.3a'!$C208,UtilityList!$A$4:$A$251&amp;UtilityList!$C$4:$C$251,0)))</f>
        <v>0</v>
      </c>
      <c r="M208" s="452" t="str">
        <f t="array" ref="M208">IFERROR(INDEX(UtilityList!J$4:J$251,MATCH('Table 2.3a'!$A208&amp;'Table 2.3a'!$B208&amp;'Table 2.3a'!$C208,UtilityList!$A$4:$A$251&amp;UtilityList!$B$4:$B$251&amp;UtilityList!$C$4:$C$251,0)),INDEX(UtilityList!J$4:J$251,MATCH('Table 2.3a'!$A208&amp;'Table 2.3a'!$C208,UtilityList!$A$4:$A$251&amp;UtilityList!$C$4:$C$251,0)))</f>
        <v>Bristol Bay</v>
      </c>
      <c r="N208" s="452" t="str">
        <f t="array" ref="N208">IFERROR(INDEX(UtilityList!K$4:K$251,MATCH('Table 2.3a'!$A208&amp;'Table 2.3a'!$B208&amp;'Table 2.3a'!$C208,UtilityList!$A$4:$A$251&amp;UtilityList!$B$4:$B$251&amp;UtilityList!$C$4:$C$251,0)),INDEX(UtilityList!K$4:K$251,MATCH('Table 2.3a'!$A208&amp;'Table 2.3a'!$C208,UtilityList!$A$4:$A$251&amp;UtilityList!$C$4:$C$251,0)))</f>
        <v>Lake and Peninsula</v>
      </c>
      <c r="O208" s="452" t="str">
        <f t="array" ref="O208">IFERROR(INDEX(UtilityList!L$4:L$251,MATCH('Table 2.3a'!$A208&amp;'Table 2.3a'!$B208&amp;'Table 2.3a'!$C208,UtilityList!$A$4:$A$251&amp;UtilityList!$B$4:$B$251&amp;UtilityList!$C$4:$C$251,0)),INDEX(UtilityList!L$4:L$251,MATCH('Table 2.3a'!$A208&amp;'Table 2.3a'!$C208,UtilityList!$A$4:$A$251&amp;UtilityList!$C$4:$C$251,0)))</f>
        <v>Bristol Bay</v>
      </c>
      <c r="P208" s="452" t="str">
        <f t="array" ref="P208">IFERROR(INDEX(UtilityList!M$4:M$251,MATCH('Table 2.3a'!$A208&amp;'Table 2.3a'!$B208&amp;'Table 2.3a'!$C208,UtilityList!$A$4:$A$251&amp;UtilityList!$B$4:$B$251&amp;UtilityList!$C$4:$C$251,0)),INDEX(UtilityList!M$4:M$251,MATCH('Table 2.3a'!$A208&amp;'Table 2.3a'!$C208,UtilityList!$A$4:$A$251&amp;UtilityList!$C$4:$C$251,0)))</f>
        <v>SW</v>
      </c>
    </row>
    <row r="209" spans="1:17" s="344" customFormat="1" ht="30" customHeight="1" x14ac:dyDescent="0.25">
      <c r="A209" s="360" t="s">
        <v>298</v>
      </c>
      <c r="B209" s="360" t="s">
        <v>299</v>
      </c>
      <c r="C209" s="387" t="s">
        <v>299</v>
      </c>
      <c r="D209" s="637">
        <v>0</v>
      </c>
      <c r="E209" s="638">
        <v>0</v>
      </c>
      <c r="F209" s="638">
        <v>0</v>
      </c>
      <c r="G209" s="638">
        <v>0</v>
      </c>
      <c r="H209" s="639">
        <f t="shared" si="6"/>
        <v>0</v>
      </c>
      <c r="I209" s="638">
        <v>0</v>
      </c>
      <c r="J209" s="638">
        <f t="shared" si="7"/>
        <v>0</v>
      </c>
      <c r="K209" s="640" t="s">
        <v>356</v>
      </c>
      <c r="L209" s="627">
        <f t="array" ref="L209">IFERROR(INDEX(UtilityList!Q$4:Q$251,MATCH('Table 2.3a'!$A209&amp;'Table 2.3a'!$B209&amp;'Table 2.3a'!$C209,UtilityList!$A$4:$A$251&amp;UtilityList!$B$4:$B$251&amp;UtilityList!$C$4:$C$251,0)),INDEX(UtilityList!Q$4:Q$251,MATCH('Table 2.3a'!$A209&amp;'Table 2.3a'!$C209,UtilityList!$A$4:$A$251&amp;UtilityList!$C$4:$C$251,0)))</f>
        <v>0</v>
      </c>
      <c r="M209" s="452" t="str">
        <f t="array" ref="M209">IFERROR(INDEX(UtilityList!J$4:J$251,MATCH('Table 2.3a'!$A209&amp;'Table 2.3a'!$B209&amp;'Table 2.3a'!$C209,UtilityList!$A$4:$A$251&amp;UtilityList!$B$4:$B$251&amp;UtilityList!$C$4:$C$251,0)),INDEX(UtilityList!J$4:J$251,MATCH('Table 2.3a'!$A209&amp;'Table 2.3a'!$C209,UtilityList!$A$4:$A$251&amp;UtilityList!$C$4:$C$251,0)))</f>
        <v>Lower Yukon-Kuskokwim</v>
      </c>
      <c r="N209" s="452" t="str">
        <f t="array" ref="N209">IFERROR(INDEX(UtilityList!K$4:K$251,MATCH('Table 2.3a'!$A209&amp;'Table 2.3a'!$B209&amp;'Table 2.3a'!$C209,UtilityList!$A$4:$A$251&amp;UtilityList!$B$4:$B$251&amp;UtilityList!$C$4:$C$251,0)),INDEX(UtilityList!K$4:K$251,MATCH('Table 2.3a'!$A209&amp;'Table 2.3a'!$C209,UtilityList!$A$4:$A$251&amp;UtilityList!$C$4:$C$251,0)))</f>
        <v>Bethel (CA)</v>
      </c>
      <c r="O209" s="452" t="str">
        <f t="array" ref="O209">IFERROR(INDEX(UtilityList!L$4:L$251,MATCH('Table 2.3a'!$A209&amp;'Table 2.3a'!$B209&amp;'Table 2.3a'!$C209,UtilityList!$A$4:$A$251&amp;UtilityList!$B$4:$B$251&amp;UtilityList!$C$4:$C$251,0)),INDEX(UtilityList!L$4:L$251,MATCH('Table 2.3a'!$A209&amp;'Table 2.3a'!$C209,UtilityList!$A$4:$A$251&amp;UtilityList!$C$4:$C$251,0)))</f>
        <v>Calista</v>
      </c>
      <c r="P209" s="452" t="str">
        <f t="array" ref="P209">IFERROR(INDEX(UtilityList!M$4:M$251,MATCH('Table 2.3a'!$A209&amp;'Table 2.3a'!$B209&amp;'Table 2.3a'!$C209,UtilityList!$A$4:$A$251&amp;UtilityList!$B$4:$B$251&amp;UtilityList!$C$4:$C$251,0)),INDEX(UtilityList!M$4:M$251,MATCH('Table 2.3a'!$A209&amp;'Table 2.3a'!$C209,UtilityList!$A$4:$A$251&amp;UtilityList!$C$4:$C$251,0)))</f>
        <v>SW</v>
      </c>
    </row>
    <row r="210" spans="1:17" s="344" customFormat="1" ht="30" customHeight="1" x14ac:dyDescent="0.25">
      <c r="A210" s="360" t="s">
        <v>300</v>
      </c>
      <c r="B210" s="360" t="s">
        <v>301</v>
      </c>
      <c r="C210" s="387" t="s">
        <v>301</v>
      </c>
      <c r="D210" s="637">
        <v>0</v>
      </c>
      <c r="E210" s="638">
        <v>490.07</v>
      </c>
      <c r="F210" s="638">
        <v>0</v>
      </c>
      <c r="G210" s="638">
        <v>0</v>
      </c>
      <c r="H210" s="639">
        <f t="shared" si="6"/>
        <v>490.07</v>
      </c>
      <c r="I210" s="638">
        <v>25.917999999999999</v>
      </c>
      <c r="J210" s="638">
        <f t="shared" si="7"/>
        <v>515.98799999999994</v>
      </c>
      <c r="K210" s="640" t="s">
        <v>356</v>
      </c>
      <c r="L210" s="627">
        <f t="array" ref="L210">IFERROR(INDEX(UtilityList!Q$4:Q$251,MATCH('Table 2.3a'!$A210&amp;'Table 2.3a'!$B210&amp;'Table 2.3a'!$C210,UtilityList!$A$4:$A$251&amp;UtilityList!$B$4:$B$251&amp;UtilityList!$C$4:$C$251,0)),INDEX(UtilityList!Q$4:Q$251,MATCH('Table 2.3a'!$A210&amp;'Table 2.3a'!$C210,UtilityList!$A$4:$A$251&amp;UtilityList!$C$4:$C$251,0)))</f>
        <v>0</v>
      </c>
      <c r="M210" s="452" t="str">
        <f t="array" ref="M210">IFERROR(INDEX(UtilityList!J$4:J$251,MATCH('Table 2.3a'!$A210&amp;'Table 2.3a'!$B210&amp;'Table 2.3a'!$C210,UtilityList!$A$4:$A$251&amp;UtilityList!$B$4:$B$251&amp;UtilityList!$C$4:$C$251,0)),INDEX(UtilityList!J$4:J$251,MATCH('Table 2.3a'!$A210&amp;'Table 2.3a'!$C210,UtilityList!$A$4:$A$251&amp;UtilityList!$C$4:$C$251,0)))</f>
        <v>Bristol Bay</v>
      </c>
      <c r="N210" s="452" t="str">
        <f t="array" ref="N210">IFERROR(INDEX(UtilityList!K$4:K$251,MATCH('Table 2.3a'!$A210&amp;'Table 2.3a'!$B210&amp;'Table 2.3a'!$C210,UtilityList!$A$4:$A$251&amp;UtilityList!$B$4:$B$251&amp;UtilityList!$C$4:$C$251,0)),INDEX(UtilityList!K$4:K$251,MATCH('Table 2.3a'!$A210&amp;'Table 2.3a'!$C210,UtilityList!$A$4:$A$251&amp;UtilityList!$C$4:$C$251,0)))</f>
        <v>Lake and Peninsula</v>
      </c>
      <c r="O210" s="452" t="str">
        <f t="array" ref="O210">IFERROR(INDEX(UtilityList!L$4:L$251,MATCH('Table 2.3a'!$A210&amp;'Table 2.3a'!$B210&amp;'Table 2.3a'!$C210,UtilityList!$A$4:$A$251&amp;UtilityList!$B$4:$B$251&amp;UtilityList!$C$4:$C$251,0)),INDEX(UtilityList!L$4:L$251,MATCH('Table 2.3a'!$A210&amp;'Table 2.3a'!$C210,UtilityList!$A$4:$A$251&amp;UtilityList!$C$4:$C$251,0)))</f>
        <v>Bristol Bay</v>
      </c>
      <c r="P210" s="452" t="str">
        <f t="array" ref="P210">IFERROR(INDEX(UtilityList!M$4:M$251,MATCH('Table 2.3a'!$A210&amp;'Table 2.3a'!$B210&amp;'Table 2.3a'!$C210,UtilityList!$A$4:$A$251&amp;UtilityList!$B$4:$B$251&amp;UtilityList!$C$4:$C$251,0)),INDEX(UtilityList!M$4:M$251,MATCH('Table 2.3a'!$A210&amp;'Table 2.3a'!$C210,UtilityList!$A$4:$A$251&amp;UtilityList!$C$4:$C$251,0)))</f>
        <v>SW</v>
      </c>
    </row>
    <row r="211" spans="1:17" s="344" customFormat="1" ht="30" customHeight="1" x14ac:dyDescent="0.25">
      <c r="A211" s="385" t="s">
        <v>302</v>
      </c>
      <c r="B211" s="385" t="s">
        <v>303</v>
      </c>
      <c r="C211" s="635" t="s">
        <v>303</v>
      </c>
      <c r="D211" s="637">
        <v>0</v>
      </c>
      <c r="E211" s="638">
        <v>671.83900000000006</v>
      </c>
      <c r="F211" s="638">
        <v>0</v>
      </c>
      <c r="G211" s="638">
        <v>44</v>
      </c>
      <c r="H211" s="639">
        <f t="shared" si="6"/>
        <v>715.83900000000006</v>
      </c>
      <c r="I211" s="638">
        <v>403.06700000000001</v>
      </c>
      <c r="J211" s="638">
        <f t="shared" si="7"/>
        <v>1118.9059999999999</v>
      </c>
      <c r="K211" s="646" t="s">
        <v>356</v>
      </c>
      <c r="L211" s="627">
        <f t="array" ref="L211">IFERROR(INDEX(UtilityList!Q$4:Q$251,MATCH('Table 2.3a'!$A211&amp;'Table 2.3a'!$B211&amp;'Table 2.3a'!$C211,UtilityList!$A$4:$A$251&amp;UtilityList!$B$4:$B$251&amp;UtilityList!$C$4:$C$251,0)),INDEX(UtilityList!Q$4:Q$251,MATCH('Table 2.3a'!$A211&amp;'Table 2.3a'!$C211,UtilityList!$A$4:$A$251&amp;UtilityList!$C$4:$C$251,0)))</f>
        <v>0</v>
      </c>
      <c r="M211" s="452" t="str">
        <f t="array" ref="M211">IFERROR(INDEX(UtilityList!J$4:J$251,MATCH('Table 2.3a'!$A211&amp;'Table 2.3a'!$B211&amp;'Table 2.3a'!$C211,UtilityList!$A$4:$A$251&amp;UtilityList!$B$4:$B$251&amp;UtilityList!$C$4:$C$251,0)),INDEX(UtilityList!J$4:J$251,MATCH('Table 2.3a'!$A211&amp;'Table 2.3a'!$C211,UtilityList!$A$4:$A$251&amp;UtilityList!$C$4:$C$251,0)))</f>
        <v>Lower Yukon-Kuskokwim</v>
      </c>
      <c r="N211" s="452" t="str">
        <f t="array" ref="N211">IFERROR(INDEX(UtilityList!K$4:K$251,MATCH('Table 2.3a'!$A211&amp;'Table 2.3a'!$B211&amp;'Table 2.3a'!$C211,UtilityList!$A$4:$A$251&amp;UtilityList!$B$4:$B$251&amp;UtilityList!$C$4:$C$251,0)),INDEX(UtilityList!K$4:K$251,MATCH('Table 2.3a'!$A211&amp;'Table 2.3a'!$C211,UtilityList!$A$4:$A$251&amp;UtilityList!$C$4:$C$251,0)))</f>
        <v>Bethel (CA)</v>
      </c>
      <c r="O211" s="452" t="str">
        <f t="array" ref="O211">IFERROR(INDEX(UtilityList!L$4:L$251,MATCH('Table 2.3a'!$A211&amp;'Table 2.3a'!$B211&amp;'Table 2.3a'!$C211,UtilityList!$A$4:$A$251&amp;UtilityList!$B$4:$B$251&amp;UtilityList!$C$4:$C$251,0)),INDEX(UtilityList!L$4:L$251,MATCH('Table 2.3a'!$A211&amp;'Table 2.3a'!$C211,UtilityList!$A$4:$A$251&amp;UtilityList!$C$4:$C$251,0)))</f>
        <v>Calista</v>
      </c>
      <c r="P211" s="452" t="str">
        <f t="array" ref="P211">IFERROR(INDEX(UtilityList!M$4:M$251,MATCH('Table 2.3a'!$A211&amp;'Table 2.3a'!$B211&amp;'Table 2.3a'!$C211,UtilityList!$A$4:$A$251&amp;UtilityList!$B$4:$B$251&amp;UtilityList!$C$4:$C$251,0)),INDEX(UtilityList!M$4:M$251,MATCH('Table 2.3a'!$A211&amp;'Table 2.3a'!$C211,UtilityList!$A$4:$A$251&amp;UtilityList!$C$4:$C$251,0)))</f>
        <v>SW</v>
      </c>
    </row>
    <row r="212" spans="1:17" s="344" customFormat="1" ht="30" customHeight="1" x14ac:dyDescent="0.25">
      <c r="A212" s="452" t="s">
        <v>304</v>
      </c>
      <c r="B212" s="452" t="s">
        <v>305</v>
      </c>
      <c r="C212" s="388" t="s">
        <v>305</v>
      </c>
      <c r="D212" s="637">
        <v>0</v>
      </c>
      <c r="E212" s="638">
        <v>0</v>
      </c>
      <c r="F212" s="638">
        <v>0</v>
      </c>
      <c r="G212" s="638">
        <v>0</v>
      </c>
      <c r="H212" s="639">
        <f t="shared" si="6"/>
        <v>0</v>
      </c>
      <c r="I212" s="638">
        <v>0</v>
      </c>
      <c r="J212" s="638">
        <f t="shared" si="7"/>
        <v>0</v>
      </c>
      <c r="K212" s="646" t="s">
        <v>356</v>
      </c>
      <c r="L212" s="627">
        <f t="array" ref="L212">IFERROR(INDEX(UtilityList!Q$4:Q$251,MATCH('Table 2.3a'!$A212&amp;'Table 2.3a'!$B212&amp;'Table 2.3a'!$C212,UtilityList!$A$4:$A$251&amp;UtilityList!$B$4:$B$251&amp;UtilityList!$C$4:$C$251,0)),INDEX(UtilityList!Q$4:Q$251,MATCH('Table 2.3a'!$A212&amp;'Table 2.3a'!$C212,UtilityList!$A$4:$A$251&amp;UtilityList!$C$4:$C$251,0)))</f>
        <v>0</v>
      </c>
      <c r="M212" s="452" t="str">
        <f t="array" ref="M212">IFERROR(INDEX(UtilityList!J$4:J$251,MATCH('Table 2.3a'!$A212&amp;'Table 2.3a'!$B212&amp;'Table 2.3a'!$C212,UtilityList!$A$4:$A$251&amp;UtilityList!$B$4:$B$251&amp;UtilityList!$C$4:$C$251,0)),INDEX(UtilityList!J$4:J$251,MATCH('Table 2.3a'!$A212&amp;'Table 2.3a'!$C212,UtilityList!$A$4:$A$251&amp;UtilityList!$C$4:$C$251,0)))</f>
        <v>Yukon-Koyukuk/Upper Tanana</v>
      </c>
      <c r="N212" s="452" t="str">
        <f t="array" ref="N212">IFERROR(INDEX(UtilityList!K$4:K$251,MATCH('Table 2.3a'!$A212&amp;'Table 2.3a'!$B212&amp;'Table 2.3a'!$C212,UtilityList!$A$4:$A$251&amp;UtilityList!$B$4:$B$251&amp;UtilityList!$C$4:$C$251,0)),INDEX(UtilityList!K$4:K$251,MATCH('Table 2.3a'!$A212&amp;'Table 2.3a'!$C212,UtilityList!$A$4:$A$251&amp;UtilityList!$C$4:$C$251,0)))</f>
        <v>Yukon-Koyukuk (CA)</v>
      </c>
      <c r="O212" s="452" t="str">
        <f t="array" ref="O212">IFERROR(INDEX(UtilityList!L$4:L$251,MATCH('Table 2.3a'!$A212&amp;'Table 2.3a'!$B212&amp;'Table 2.3a'!$C212,UtilityList!$A$4:$A$251&amp;UtilityList!$B$4:$B$251&amp;UtilityList!$C$4:$C$251,0)),INDEX(UtilityList!L$4:L$251,MATCH('Table 2.3a'!$A212&amp;'Table 2.3a'!$C212,UtilityList!$A$4:$A$251&amp;UtilityList!$C$4:$C$251,0)))</f>
        <v>Doyon</v>
      </c>
      <c r="P212" s="452" t="str">
        <f t="array" ref="P212">IFERROR(INDEX(UtilityList!M$4:M$251,MATCH('Table 2.3a'!$A212&amp;'Table 2.3a'!$B212&amp;'Table 2.3a'!$C212,UtilityList!$A$4:$A$251&amp;UtilityList!$B$4:$B$251&amp;UtilityList!$C$4:$C$251,0)),INDEX(UtilityList!M$4:M$251,MATCH('Table 2.3a'!$A212&amp;'Table 2.3a'!$C212,UtilityList!$A$4:$A$251&amp;UtilityList!$C$4:$C$251,0)))</f>
        <v>YU</v>
      </c>
      <c r="Q212" s="126"/>
    </row>
    <row r="213" spans="1:17" s="344" customFormat="1" ht="30" customHeight="1" x14ac:dyDescent="0.25">
      <c r="A213" s="385" t="s">
        <v>306</v>
      </c>
      <c r="B213" s="385" t="s">
        <v>307</v>
      </c>
      <c r="C213" s="635" t="s">
        <v>307</v>
      </c>
      <c r="D213" s="637">
        <v>0</v>
      </c>
      <c r="E213" s="638">
        <v>732.57640000000004</v>
      </c>
      <c r="F213" s="638">
        <v>0</v>
      </c>
      <c r="G213" s="638">
        <v>0</v>
      </c>
      <c r="H213" s="639">
        <f t="shared" si="6"/>
        <v>732.57640000000004</v>
      </c>
      <c r="I213" s="638">
        <v>10.570556</v>
      </c>
      <c r="J213" s="638">
        <f t="shared" si="7"/>
        <v>743.14695600000005</v>
      </c>
      <c r="K213" s="646" t="s">
        <v>356</v>
      </c>
      <c r="L213" s="627">
        <f t="array" ref="L213">IFERROR(INDEX(UtilityList!Q$4:Q$251,MATCH('Table 2.3a'!$A213&amp;'Table 2.3a'!$B213&amp;'Table 2.3a'!$C213,UtilityList!$A$4:$A$251&amp;UtilityList!$B$4:$B$251&amp;UtilityList!$C$4:$C$251,0)),INDEX(UtilityList!Q$4:Q$251,MATCH('Table 2.3a'!$A213&amp;'Table 2.3a'!$C213,UtilityList!$A$4:$A$251&amp;UtilityList!$C$4:$C$251,0)))</f>
        <v>0</v>
      </c>
      <c r="M213" s="452" t="str">
        <f t="array" ref="M213">IFERROR(INDEX(UtilityList!J$4:J$251,MATCH('Table 2.3a'!$A213&amp;'Table 2.3a'!$B213&amp;'Table 2.3a'!$C213,UtilityList!$A$4:$A$251&amp;UtilityList!$B$4:$B$251&amp;UtilityList!$C$4:$C$251,0)),INDEX(UtilityList!J$4:J$251,MATCH('Table 2.3a'!$A213&amp;'Table 2.3a'!$C213,UtilityList!$A$4:$A$251&amp;UtilityList!$C$4:$C$251,0)))</f>
        <v>Yukon-Koyukuk/Upper Tanana</v>
      </c>
      <c r="N213" s="452" t="str">
        <f t="array" ref="N213">IFERROR(INDEX(UtilityList!K$4:K$251,MATCH('Table 2.3a'!$A213&amp;'Table 2.3a'!$B213&amp;'Table 2.3a'!$C213,UtilityList!$A$4:$A$251&amp;UtilityList!$B$4:$B$251&amp;UtilityList!$C$4:$C$251,0)),INDEX(UtilityList!K$4:K$251,MATCH('Table 2.3a'!$A213&amp;'Table 2.3a'!$C213,UtilityList!$A$4:$A$251&amp;UtilityList!$C$4:$C$251,0)))</f>
        <v>Yukon-Koyukuk (CA)</v>
      </c>
      <c r="O213" s="452" t="str">
        <f t="array" ref="O213">IFERROR(INDEX(UtilityList!L$4:L$251,MATCH('Table 2.3a'!$A213&amp;'Table 2.3a'!$B213&amp;'Table 2.3a'!$C213,UtilityList!$A$4:$A$251&amp;UtilityList!$B$4:$B$251&amp;UtilityList!$C$4:$C$251,0)),INDEX(UtilityList!L$4:L$251,MATCH('Table 2.3a'!$A213&amp;'Table 2.3a'!$C213,UtilityList!$A$4:$A$251&amp;UtilityList!$C$4:$C$251,0)))</f>
        <v>Doyon</v>
      </c>
      <c r="P213" s="452" t="str">
        <f t="array" ref="P213">IFERROR(INDEX(UtilityList!M$4:M$251,MATCH('Table 2.3a'!$A213&amp;'Table 2.3a'!$B213&amp;'Table 2.3a'!$C213,UtilityList!$A$4:$A$251&amp;UtilityList!$B$4:$B$251&amp;UtilityList!$C$4:$C$251,0)),INDEX(UtilityList!M$4:M$251,MATCH('Table 2.3a'!$A213&amp;'Table 2.3a'!$C213,UtilityList!$A$4:$A$251&amp;UtilityList!$C$4:$C$251,0)))</f>
        <v>YU</v>
      </c>
      <c r="Q213" s="126"/>
    </row>
    <row r="214" spans="1:17" s="344" customFormat="1" ht="30" customHeight="1" x14ac:dyDescent="0.25">
      <c r="A214" s="360" t="s">
        <v>308</v>
      </c>
      <c r="B214" s="360" t="s">
        <v>309</v>
      </c>
      <c r="C214" s="387" t="s">
        <v>309</v>
      </c>
      <c r="D214" s="637">
        <v>0</v>
      </c>
      <c r="E214" s="638">
        <v>420.73200000000003</v>
      </c>
      <c r="F214" s="638">
        <v>0</v>
      </c>
      <c r="G214" s="638">
        <v>0</v>
      </c>
      <c r="H214" s="639">
        <f t="shared" si="6"/>
        <v>420.73200000000003</v>
      </c>
      <c r="I214" s="638">
        <v>30.073</v>
      </c>
      <c r="J214" s="638">
        <f t="shared" si="7"/>
        <v>450.80500000000001</v>
      </c>
      <c r="K214" s="640" t="s">
        <v>356</v>
      </c>
      <c r="L214" s="627">
        <f t="array" ref="L214">IFERROR(INDEX(UtilityList!Q$4:Q$251,MATCH('Table 2.3a'!$A214&amp;'Table 2.3a'!$B214&amp;'Table 2.3a'!$C214,UtilityList!$A$4:$A$251&amp;UtilityList!$B$4:$B$251&amp;UtilityList!$C$4:$C$251,0)),INDEX(UtilityList!Q$4:Q$251,MATCH('Table 2.3a'!$A214&amp;'Table 2.3a'!$C214,UtilityList!$A$4:$A$251&amp;UtilityList!$C$4:$C$251,0)))</f>
        <v>0</v>
      </c>
      <c r="M214" s="452" t="str">
        <f t="array" ref="M214">IFERROR(INDEX(UtilityList!J$4:J$251,MATCH('Table 2.3a'!$A214&amp;'Table 2.3a'!$B214&amp;'Table 2.3a'!$C214,UtilityList!$A$4:$A$251&amp;UtilityList!$B$4:$B$251&amp;UtilityList!$C$4:$C$251,0)),INDEX(UtilityList!J$4:J$251,MATCH('Table 2.3a'!$A214&amp;'Table 2.3a'!$C214,UtilityList!$A$4:$A$251&amp;UtilityList!$C$4:$C$251,0)))</f>
        <v>Aleutians</v>
      </c>
      <c r="N214" s="452" t="str">
        <f t="array" ref="N214">IFERROR(INDEX(UtilityList!K$4:K$251,MATCH('Table 2.3a'!$A214&amp;'Table 2.3a'!$B214&amp;'Table 2.3a'!$C214,UtilityList!$A$4:$A$251&amp;UtilityList!$B$4:$B$251&amp;UtilityList!$C$4:$C$251,0)),INDEX(UtilityList!K$4:K$251,MATCH('Table 2.3a'!$A214&amp;'Table 2.3a'!$C214,UtilityList!$A$4:$A$251&amp;UtilityList!$C$4:$C$251,0)))</f>
        <v>Aleutians West (CA)</v>
      </c>
      <c r="O214" s="452" t="str">
        <f t="array" ref="O214">IFERROR(INDEX(UtilityList!L$4:L$251,MATCH('Table 2.3a'!$A214&amp;'Table 2.3a'!$B214&amp;'Table 2.3a'!$C214,UtilityList!$A$4:$A$251&amp;UtilityList!$B$4:$B$251&amp;UtilityList!$C$4:$C$251,0)),INDEX(UtilityList!L$4:L$251,MATCH('Table 2.3a'!$A214&amp;'Table 2.3a'!$C214,UtilityList!$A$4:$A$251&amp;UtilityList!$C$4:$C$251,0)))</f>
        <v>Aleut</v>
      </c>
      <c r="P214" s="452" t="str">
        <f t="array" ref="P214">IFERROR(INDEX(UtilityList!M$4:M$251,MATCH('Table 2.3a'!$A214&amp;'Table 2.3a'!$B214&amp;'Table 2.3a'!$C214,UtilityList!$A$4:$A$251&amp;UtilityList!$B$4:$B$251&amp;UtilityList!$C$4:$C$251,0)),INDEX(UtilityList!M$4:M$251,MATCH('Table 2.3a'!$A214&amp;'Table 2.3a'!$C214,UtilityList!$A$4:$A$251&amp;UtilityList!$C$4:$C$251,0)))</f>
        <v>SW</v>
      </c>
      <c r="Q214" s="126"/>
    </row>
    <row r="215" spans="1:17" s="126" customFormat="1" ht="45.75" customHeight="1" x14ac:dyDescent="0.25">
      <c r="A215" s="360" t="s">
        <v>633</v>
      </c>
      <c r="B215" s="360" t="s">
        <v>320</v>
      </c>
      <c r="C215" s="387" t="s">
        <v>320</v>
      </c>
      <c r="D215" s="637">
        <v>0</v>
      </c>
      <c r="E215" s="638">
        <v>4295.9750000000004</v>
      </c>
      <c r="F215" s="638">
        <v>0</v>
      </c>
      <c r="G215" s="638">
        <v>0</v>
      </c>
      <c r="H215" s="639">
        <f t="shared" si="6"/>
        <v>4295.9750000000004</v>
      </c>
      <c r="I215" s="638">
        <v>159.185</v>
      </c>
      <c r="J215" s="638">
        <f t="shared" si="7"/>
        <v>4455.1600000000008</v>
      </c>
      <c r="K215" s="640" t="s">
        <v>356</v>
      </c>
      <c r="L215" s="627">
        <f t="array" ref="L215">IFERROR(INDEX(UtilityList!Q$4:Q$251,MATCH('Table 2.3a'!$A215&amp;'Table 2.3a'!$B215&amp;'Table 2.3a'!$C215,UtilityList!$A$4:$A$251&amp;UtilityList!$B$4:$B$251&amp;UtilityList!$C$4:$C$251,0)),INDEX(UtilityList!Q$4:Q$251,MATCH('Table 2.3a'!$A215&amp;'Table 2.3a'!$C215,UtilityList!$A$4:$A$251&amp;UtilityList!$C$4:$C$251,0)))</f>
        <v>0</v>
      </c>
      <c r="M215" s="452" t="str">
        <f t="array" ref="M215">IFERROR(INDEX(UtilityList!J$4:J$251,MATCH('Table 2.3a'!$A215&amp;'Table 2.3a'!$B215&amp;'Table 2.3a'!$C215,UtilityList!$A$4:$A$251&amp;UtilityList!$B$4:$B$251&amp;UtilityList!$C$4:$C$251,0)),INDEX(UtilityList!J$4:J$251,MATCH('Table 2.3a'!$A215&amp;'Table 2.3a'!$C215,UtilityList!$A$4:$A$251&amp;UtilityList!$C$4:$C$251,0)))</f>
        <v>Aleutians</v>
      </c>
      <c r="N215" s="452" t="str">
        <f t="array" ref="N215">IFERROR(INDEX(UtilityList!K$4:K$251,MATCH('Table 2.3a'!$A215&amp;'Table 2.3a'!$B215&amp;'Table 2.3a'!$C215,UtilityList!$A$4:$A$251&amp;UtilityList!$B$4:$B$251&amp;UtilityList!$C$4:$C$251,0)),INDEX(UtilityList!K$4:K$251,MATCH('Table 2.3a'!$A215&amp;'Table 2.3a'!$C215,UtilityList!$A$4:$A$251&amp;UtilityList!$C$4:$C$251,0)))</f>
        <v>Aleutians West (CA)</v>
      </c>
      <c r="O215" s="452" t="str">
        <f t="array" ref="O215">IFERROR(INDEX(UtilityList!L$4:L$251,MATCH('Table 2.3a'!$A215&amp;'Table 2.3a'!$B215&amp;'Table 2.3a'!$C215,UtilityList!$A$4:$A$251&amp;UtilityList!$B$4:$B$251&amp;UtilityList!$C$4:$C$251,0)),INDEX(UtilityList!L$4:L$251,MATCH('Table 2.3a'!$A215&amp;'Table 2.3a'!$C215,UtilityList!$A$4:$A$251&amp;UtilityList!$C$4:$C$251,0)))</f>
        <v>Aleut</v>
      </c>
      <c r="P215" s="452" t="str">
        <f t="array" ref="P215">IFERROR(INDEX(UtilityList!M$4:M$251,MATCH('Table 2.3a'!$A215&amp;'Table 2.3a'!$B215&amp;'Table 2.3a'!$C215,UtilityList!$A$4:$A$251&amp;UtilityList!$B$4:$B$251&amp;UtilityList!$C$4:$C$251,0)),INDEX(UtilityList!M$4:M$251,MATCH('Table 2.3a'!$A215&amp;'Table 2.3a'!$C215,UtilityList!$A$4:$A$251&amp;UtilityList!$C$4:$C$251,0)))</f>
        <v>SW</v>
      </c>
    </row>
    <row r="216" spans="1:17" s="126" customFormat="1" ht="30" customHeight="1" x14ac:dyDescent="0.25">
      <c r="A216" s="385" t="s">
        <v>310</v>
      </c>
      <c r="B216" s="455" t="s">
        <v>311</v>
      </c>
      <c r="C216" s="643" t="s">
        <v>311</v>
      </c>
      <c r="D216" s="637">
        <v>0</v>
      </c>
      <c r="E216" s="641">
        <v>44</v>
      </c>
      <c r="F216" s="641">
        <v>0</v>
      </c>
      <c r="G216" s="642">
        <v>0</v>
      </c>
      <c r="H216" s="639">
        <f t="shared" si="6"/>
        <v>44</v>
      </c>
      <c r="I216" s="641"/>
      <c r="J216" s="638" t="str">
        <f t="shared" si="7"/>
        <v/>
      </c>
      <c r="K216" s="645" t="s">
        <v>558</v>
      </c>
      <c r="L216" s="627">
        <f t="array" ref="L216">IFERROR(INDEX(UtilityList!Q$4:Q$251,MATCH('Table 2.3a'!$A216&amp;'Table 2.3a'!$B216&amp;'Table 2.3a'!$C216,UtilityList!$A$4:$A$251&amp;UtilityList!$B$4:$B$251&amp;UtilityList!$C$4:$C$251,0)),INDEX(UtilityList!Q$4:Q$251,MATCH('Table 2.3a'!$A216&amp;'Table 2.3a'!$C216,UtilityList!$A$4:$A$251&amp;UtilityList!$C$4:$C$251,0)))</f>
        <v>0</v>
      </c>
      <c r="M216" s="452" t="str">
        <f t="array" ref="M216">IFERROR(INDEX(UtilityList!J$4:J$251,MATCH('Table 2.3a'!$A216&amp;'Table 2.3a'!$B216&amp;'Table 2.3a'!$C216,UtilityList!$A$4:$A$251&amp;UtilityList!$B$4:$B$251&amp;UtilityList!$C$4:$C$251,0)),INDEX(UtilityList!J$4:J$251,MATCH('Table 2.3a'!$A216&amp;'Table 2.3a'!$C216,UtilityList!$A$4:$A$251&amp;UtilityList!$C$4:$C$251,0)))</f>
        <v>Railbelt</v>
      </c>
      <c r="N216" s="452" t="str">
        <f t="array" ref="N216">IFERROR(INDEX(UtilityList!K$4:K$251,MATCH('Table 2.3a'!$A216&amp;'Table 2.3a'!$B216&amp;'Table 2.3a'!$C216,UtilityList!$A$4:$A$251&amp;UtilityList!$B$4:$B$251&amp;UtilityList!$C$4:$C$251,0)),INDEX(UtilityList!K$4:K$251,MATCH('Table 2.3a'!$A216&amp;'Table 2.3a'!$C216,UtilityList!$A$4:$A$251&amp;UtilityList!$C$4:$C$251,0)))</f>
        <v>Kenai Peninsula</v>
      </c>
      <c r="O216" s="452" t="str">
        <f t="array" ref="O216">IFERROR(INDEX(UtilityList!L$4:L$251,MATCH('Table 2.3a'!$A216&amp;'Table 2.3a'!$B216&amp;'Table 2.3a'!$C216,UtilityList!$A$4:$A$251&amp;UtilityList!$B$4:$B$251&amp;UtilityList!$C$4:$C$251,0)),INDEX(UtilityList!L$4:L$251,MATCH('Table 2.3a'!$A216&amp;'Table 2.3a'!$C216,UtilityList!$A$4:$A$251&amp;UtilityList!$C$4:$C$251,0)))</f>
        <v>Chugach</v>
      </c>
      <c r="P216" s="452" t="str">
        <f t="array" ref="P216">IFERROR(INDEX(UtilityList!M$4:M$251,MATCH('Table 2.3a'!$A216&amp;'Table 2.3a'!$B216&amp;'Table 2.3a'!$C216,UtilityList!$A$4:$A$251&amp;UtilityList!$B$4:$B$251&amp;UtilityList!$C$4:$C$251,0)),INDEX(UtilityList!M$4:M$251,MATCH('Table 2.3a'!$A216&amp;'Table 2.3a'!$C216,UtilityList!$A$4:$A$251&amp;UtilityList!$C$4:$C$251,0)))</f>
        <v>SC</v>
      </c>
      <c r="Q216" s="344"/>
    </row>
    <row r="217" spans="1:17" s="126" customFormat="1" ht="30" customHeight="1" x14ac:dyDescent="0.25">
      <c r="A217" s="385" t="s">
        <v>638</v>
      </c>
      <c r="B217" s="643" t="s">
        <v>313</v>
      </c>
      <c r="C217" s="643" t="s">
        <v>314</v>
      </c>
      <c r="D217" s="637">
        <v>0</v>
      </c>
      <c r="E217" s="641">
        <v>0</v>
      </c>
      <c r="F217" s="641">
        <v>56154</v>
      </c>
      <c r="G217" s="642">
        <v>0</v>
      </c>
      <c r="H217" s="639">
        <f t="shared" si="6"/>
        <v>56154</v>
      </c>
      <c r="I217" s="641">
        <v>325</v>
      </c>
      <c r="J217" s="638">
        <f t="shared" si="7"/>
        <v>56479</v>
      </c>
      <c r="K217" s="645" t="s">
        <v>558</v>
      </c>
      <c r="L217" s="627">
        <f t="array" ref="L217">IFERROR(INDEX(UtilityList!Q$4:Q$251,MATCH('Table 2.3a'!$A217&amp;'Table 2.3a'!$B217&amp;'Table 2.3a'!$C217,UtilityList!$A$4:$A$251&amp;UtilityList!$B$4:$B$251&amp;UtilityList!$C$4:$C$251,0)),INDEX(UtilityList!Q$4:Q$251,MATCH('Table 2.3a'!$A217&amp;'Table 2.3a'!$C217,UtilityList!$A$4:$A$251&amp;UtilityList!$C$4:$C$251,0)))</f>
        <v>0</v>
      </c>
      <c r="M217" s="452" t="str">
        <f t="array" ref="M217">IFERROR(INDEX(UtilityList!J$4:J$251,MATCH('Table 2.3a'!$A217&amp;'Table 2.3a'!$B217&amp;'Table 2.3a'!$C217,UtilityList!$A$4:$A$251&amp;UtilityList!$B$4:$B$251&amp;UtilityList!$C$4:$C$251,0)),INDEX(UtilityList!J$4:J$251,MATCH('Table 2.3a'!$A217&amp;'Table 2.3a'!$C217,UtilityList!$A$4:$A$251&amp;UtilityList!$C$4:$C$251,0)))</f>
        <v>Southeast</v>
      </c>
      <c r="N217" s="452" t="str">
        <f t="array" ref="N217">IFERROR(INDEX(UtilityList!K$4:K$251,MATCH('Table 2.3a'!$A217&amp;'Table 2.3a'!$B217&amp;'Table 2.3a'!$C217,UtilityList!$A$4:$A$251&amp;UtilityList!$B$4:$B$251&amp;UtilityList!$C$4:$C$251,0)),INDEX(UtilityList!K$4:K$251,MATCH('Table 2.3a'!$A217&amp;'Table 2.3a'!$C217,UtilityList!$A$4:$A$251&amp;UtilityList!$C$4:$C$251,0)))</f>
        <v>Sitka</v>
      </c>
      <c r="O217" s="452" t="str">
        <f t="array" ref="O217">IFERROR(INDEX(UtilityList!L$4:L$251,MATCH('Table 2.3a'!$A217&amp;'Table 2.3a'!$B217&amp;'Table 2.3a'!$C217,UtilityList!$A$4:$A$251&amp;UtilityList!$B$4:$B$251&amp;UtilityList!$C$4:$C$251,0)),INDEX(UtilityList!L$4:L$251,MATCH('Table 2.3a'!$A217&amp;'Table 2.3a'!$C217,UtilityList!$A$4:$A$251&amp;UtilityList!$C$4:$C$251,0)))</f>
        <v>Sealaska</v>
      </c>
      <c r="P217" s="452" t="str">
        <f t="array" ref="P217">IFERROR(INDEX(UtilityList!M$4:M$251,MATCH('Table 2.3a'!$A217&amp;'Table 2.3a'!$B217&amp;'Table 2.3a'!$C217,UtilityList!$A$4:$A$251&amp;UtilityList!$B$4:$B$251&amp;UtilityList!$C$4:$C$251,0)),INDEX(UtilityList!M$4:M$251,MATCH('Table 2.3a'!$A217&amp;'Table 2.3a'!$C217,UtilityList!$A$4:$A$251&amp;UtilityList!$C$4:$C$251,0)))</f>
        <v>SE</v>
      </c>
      <c r="Q217" s="344"/>
    </row>
    <row r="218" spans="1:17" s="126" customFormat="1" ht="30" customHeight="1" x14ac:dyDescent="0.25">
      <c r="A218" s="385" t="s">
        <v>638</v>
      </c>
      <c r="B218" s="455" t="s">
        <v>315</v>
      </c>
      <c r="C218" s="643" t="s">
        <v>314</v>
      </c>
      <c r="D218" s="637">
        <v>0</v>
      </c>
      <c r="E218" s="641">
        <v>0</v>
      </c>
      <c r="F218" s="641">
        <v>58996</v>
      </c>
      <c r="G218" s="642">
        <v>0</v>
      </c>
      <c r="H218" s="639">
        <f t="shared" si="6"/>
        <v>58996</v>
      </c>
      <c r="I218" s="641">
        <v>283</v>
      </c>
      <c r="J218" s="638">
        <f t="shared" si="7"/>
        <v>59279</v>
      </c>
      <c r="K218" s="645" t="s">
        <v>558</v>
      </c>
      <c r="L218" s="627">
        <f t="array" ref="L218">IFERROR(INDEX(UtilityList!Q$4:Q$251,MATCH('Table 2.3a'!$A218&amp;'Table 2.3a'!$B218&amp;'Table 2.3a'!$C218,UtilityList!$A$4:$A$251&amp;UtilityList!$B$4:$B$251&amp;UtilityList!$C$4:$C$251,0)),INDEX(UtilityList!Q$4:Q$251,MATCH('Table 2.3a'!$A218&amp;'Table 2.3a'!$C218,UtilityList!$A$4:$A$251&amp;UtilityList!$C$4:$C$251,0)))</f>
        <v>0</v>
      </c>
      <c r="M218" s="452" t="str">
        <f t="array" ref="M218">IFERROR(INDEX(UtilityList!J$4:J$251,MATCH('Table 2.3a'!$A218&amp;'Table 2.3a'!$B218&amp;'Table 2.3a'!$C218,UtilityList!$A$4:$A$251&amp;UtilityList!$B$4:$B$251&amp;UtilityList!$C$4:$C$251,0)),INDEX(UtilityList!J$4:J$251,MATCH('Table 2.3a'!$A218&amp;'Table 2.3a'!$C218,UtilityList!$A$4:$A$251&amp;UtilityList!$C$4:$C$251,0)))</f>
        <v>Southeast</v>
      </c>
      <c r="N218" s="452" t="str">
        <f t="array" ref="N218">IFERROR(INDEX(UtilityList!K$4:K$251,MATCH('Table 2.3a'!$A218&amp;'Table 2.3a'!$B218&amp;'Table 2.3a'!$C218,UtilityList!$A$4:$A$251&amp;UtilityList!$B$4:$B$251&amp;UtilityList!$C$4:$C$251,0)),INDEX(UtilityList!K$4:K$251,MATCH('Table 2.3a'!$A218&amp;'Table 2.3a'!$C218,UtilityList!$A$4:$A$251&amp;UtilityList!$C$4:$C$251,0)))</f>
        <v>Sitka</v>
      </c>
      <c r="O218" s="452" t="str">
        <f t="array" ref="O218">IFERROR(INDEX(UtilityList!L$4:L$251,MATCH('Table 2.3a'!$A218&amp;'Table 2.3a'!$B218&amp;'Table 2.3a'!$C218,UtilityList!$A$4:$A$251&amp;UtilityList!$B$4:$B$251&amp;UtilityList!$C$4:$C$251,0)),INDEX(UtilityList!L$4:L$251,MATCH('Table 2.3a'!$A218&amp;'Table 2.3a'!$C218,UtilityList!$A$4:$A$251&amp;UtilityList!$C$4:$C$251,0)))</f>
        <v>Sealaska</v>
      </c>
      <c r="P218" s="452" t="str">
        <f t="array" ref="P218">IFERROR(INDEX(UtilityList!M$4:M$251,MATCH('Table 2.3a'!$A218&amp;'Table 2.3a'!$B218&amp;'Table 2.3a'!$C218,UtilityList!$A$4:$A$251&amp;UtilityList!$B$4:$B$251&amp;UtilityList!$C$4:$C$251,0)),INDEX(UtilityList!M$4:M$251,MATCH('Table 2.3a'!$A218&amp;'Table 2.3a'!$C218,UtilityList!$A$4:$A$251&amp;UtilityList!$C$4:$C$251,0)))</f>
        <v>SE</v>
      </c>
      <c r="Q218" s="344"/>
    </row>
    <row r="219" spans="1:17" s="344" customFormat="1" ht="30" customHeight="1" x14ac:dyDescent="0.25">
      <c r="A219" s="385" t="s">
        <v>638</v>
      </c>
      <c r="B219" s="455" t="s">
        <v>316</v>
      </c>
      <c r="C219" s="643" t="s">
        <v>314</v>
      </c>
      <c r="D219" s="637">
        <v>0</v>
      </c>
      <c r="E219" s="641">
        <v>1386</v>
      </c>
      <c r="F219" s="641">
        <v>0</v>
      </c>
      <c r="G219" s="642">
        <v>0</v>
      </c>
      <c r="H219" s="639">
        <f t="shared" si="6"/>
        <v>1386</v>
      </c>
      <c r="I219" s="641">
        <v>1177</v>
      </c>
      <c r="J219" s="638">
        <f t="shared" si="7"/>
        <v>2563</v>
      </c>
      <c r="K219" s="645" t="s">
        <v>558</v>
      </c>
      <c r="L219" s="627">
        <f t="array" ref="L219">IFERROR(INDEX(UtilityList!Q$4:Q$251,MATCH('Table 2.3a'!$A219&amp;'Table 2.3a'!$B219&amp;'Table 2.3a'!$C219,UtilityList!$A$4:$A$251&amp;UtilityList!$B$4:$B$251&amp;UtilityList!$C$4:$C$251,0)),INDEX(UtilityList!Q$4:Q$251,MATCH('Table 2.3a'!$A219&amp;'Table 2.3a'!$C219,UtilityList!$A$4:$A$251&amp;UtilityList!$C$4:$C$251,0)))</f>
        <v>0</v>
      </c>
      <c r="M219" s="452" t="str">
        <f t="array" ref="M219">IFERROR(INDEX(UtilityList!J$4:J$251,MATCH('Table 2.3a'!$A219&amp;'Table 2.3a'!$B219&amp;'Table 2.3a'!$C219,UtilityList!$A$4:$A$251&amp;UtilityList!$B$4:$B$251&amp;UtilityList!$C$4:$C$251,0)),INDEX(UtilityList!J$4:J$251,MATCH('Table 2.3a'!$A219&amp;'Table 2.3a'!$C219,UtilityList!$A$4:$A$251&amp;UtilityList!$C$4:$C$251,0)))</f>
        <v>Southeast</v>
      </c>
      <c r="N219" s="452" t="str">
        <f t="array" ref="N219">IFERROR(INDEX(UtilityList!K$4:K$251,MATCH('Table 2.3a'!$A219&amp;'Table 2.3a'!$B219&amp;'Table 2.3a'!$C219,UtilityList!$A$4:$A$251&amp;UtilityList!$B$4:$B$251&amp;UtilityList!$C$4:$C$251,0)),INDEX(UtilityList!K$4:K$251,MATCH('Table 2.3a'!$A219&amp;'Table 2.3a'!$C219,UtilityList!$A$4:$A$251&amp;UtilityList!$C$4:$C$251,0)))</f>
        <v>Sitka</v>
      </c>
      <c r="O219" s="452" t="str">
        <f t="array" ref="O219">IFERROR(INDEX(UtilityList!L$4:L$251,MATCH('Table 2.3a'!$A219&amp;'Table 2.3a'!$B219&amp;'Table 2.3a'!$C219,UtilityList!$A$4:$A$251&amp;UtilityList!$B$4:$B$251&amp;UtilityList!$C$4:$C$251,0)),INDEX(UtilityList!L$4:L$251,MATCH('Table 2.3a'!$A219&amp;'Table 2.3a'!$C219,UtilityList!$A$4:$A$251&amp;UtilityList!$C$4:$C$251,0)))</f>
        <v>Sealaska</v>
      </c>
      <c r="P219" s="452" t="str">
        <f t="array" ref="P219">IFERROR(INDEX(UtilityList!M$4:M$251,MATCH('Table 2.3a'!$A219&amp;'Table 2.3a'!$B219&amp;'Table 2.3a'!$C219,UtilityList!$A$4:$A$251&amp;UtilityList!$B$4:$B$251&amp;UtilityList!$C$4:$C$251,0)),INDEX(UtilityList!M$4:M$251,MATCH('Table 2.3a'!$A219&amp;'Table 2.3a'!$C219,UtilityList!$A$4:$A$251&amp;UtilityList!$C$4:$C$251,0)))</f>
        <v>SE</v>
      </c>
    </row>
    <row r="220" spans="1:17" s="344" customFormat="1" ht="30" customHeight="1" x14ac:dyDescent="0.25">
      <c r="A220" s="360" t="s">
        <v>323</v>
      </c>
      <c r="B220" s="360" t="s">
        <v>324</v>
      </c>
      <c r="C220" s="387" t="s">
        <v>324</v>
      </c>
      <c r="D220" s="637">
        <v>0</v>
      </c>
      <c r="E220" s="638">
        <v>194.57050000000001</v>
      </c>
      <c r="F220" s="638">
        <v>0</v>
      </c>
      <c r="G220" s="638">
        <v>0</v>
      </c>
      <c r="H220" s="639">
        <f t="shared" si="6"/>
        <v>194.57050000000001</v>
      </c>
      <c r="I220" s="638">
        <v>23.914000000000001</v>
      </c>
      <c r="J220" s="638">
        <f t="shared" si="7"/>
        <v>218.48450000000003</v>
      </c>
      <c r="K220" s="640" t="s">
        <v>356</v>
      </c>
      <c r="L220" s="627">
        <f t="array" ref="L220">IFERROR(INDEX(UtilityList!Q$4:Q$251,MATCH('Table 2.3a'!$A220&amp;'Table 2.3a'!$B220&amp;'Table 2.3a'!$C220,UtilityList!$A$4:$A$251&amp;UtilityList!$B$4:$B$251&amp;UtilityList!$C$4:$C$251,0)),INDEX(UtilityList!Q$4:Q$251,MATCH('Table 2.3a'!$A220&amp;'Table 2.3a'!$C220,UtilityList!$A$4:$A$251&amp;UtilityList!$C$4:$C$251,0)))</f>
        <v>0</v>
      </c>
      <c r="M220" s="452" t="str">
        <f t="array" ref="M220">IFERROR(INDEX(UtilityList!J$4:J$251,MATCH('Table 2.3a'!$A220&amp;'Table 2.3a'!$B220&amp;'Table 2.3a'!$C220,UtilityList!$A$4:$A$251&amp;UtilityList!$B$4:$B$251&amp;UtilityList!$C$4:$C$251,0)),INDEX(UtilityList!J$4:J$251,MATCH('Table 2.3a'!$A220&amp;'Table 2.3a'!$C220,UtilityList!$A$4:$A$251&amp;UtilityList!$C$4:$C$251,0)))</f>
        <v>Yukon-Koyukuk/Upper Tanana</v>
      </c>
      <c r="N220" s="452" t="str">
        <f t="array" ref="N220">IFERROR(INDEX(UtilityList!K$4:K$251,MATCH('Table 2.3a'!$A220&amp;'Table 2.3a'!$B220&amp;'Table 2.3a'!$C220,UtilityList!$A$4:$A$251&amp;UtilityList!$B$4:$B$251&amp;UtilityList!$C$4:$C$251,0)),INDEX(UtilityList!K$4:K$251,MATCH('Table 2.3a'!$A220&amp;'Table 2.3a'!$C220,UtilityList!$A$4:$A$251&amp;UtilityList!$C$4:$C$251,0)))</f>
        <v>Yukon-Koyukuk (CA)</v>
      </c>
      <c r="O220" s="452" t="str">
        <f t="array" ref="O220">IFERROR(INDEX(UtilityList!L$4:L$251,MATCH('Table 2.3a'!$A220&amp;'Table 2.3a'!$B220&amp;'Table 2.3a'!$C220,UtilityList!$A$4:$A$251&amp;UtilityList!$B$4:$B$251&amp;UtilityList!$C$4:$C$251,0)),INDEX(UtilityList!L$4:L$251,MATCH('Table 2.3a'!$A220&amp;'Table 2.3a'!$C220,UtilityList!$A$4:$A$251&amp;UtilityList!$C$4:$C$251,0)))</f>
        <v>Doyon</v>
      </c>
      <c r="P220" s="452" t="str">
        <f t="array" ref="P220">IFERROR(INDEX(UtilityList!M$4:M$251,MATCH('Table 2.3a'!$A220&amp;'Table 2.3a'!$B220&amp;'Table 2.3a'!$C220,UtilityList!$A$4:$A$251&amp;UtilityList!$B$4:$B$251&amp;UtilityList!$C$4:$C$251,0)),INDEX(UtilityList!M$4:M$251,MATCH('Table 2.3a'!$A220&amp;'Table 2.3a'!$C220,UtilityList!$A$4:$A$251&amp;UtilityList!$C$4:$C$251,0)))</f>
        <v>SW</v>
      </c>
    </row>
    <row r="221" spans="1:17" s="344" customFormat="1" ht="30" customHeight="1" x14ac:dyDescent="0.25">
      <c r="A221" s="360" t="s">
        <v>325</v>
      </c>
      <c r="B221" s="360" t="s">
        <v>326</v>
      </c>
      <c r="C221" s="387" t="s">
        <v>326</v>
      </c>
      <c r="D221" s="637">
        <v>0</v>
      </c>
      <c r="E221" s="638">
        <v>648.31299999999999</v>
      </c>
      <c r="F221" s="638">
        <v>0</v>
      </c>
      <c r="G221" s="638">
        <v>0</v>
      </c>
      <c r="H221" s="639">
        <f t="shared" si="6"/>
        <v>648.31299999999999</v>
      </c>
      <c r="I221" s="638">
        <v>15.766999999999999</v>
      </c>
      <c r="J221" s="638">
        <f t="shared" si="7"/>
        <v>664.08</v>
      </c>
      <c r="K221" s="640" t="s">
        <v>356</v>
      </c>
      <c r="L221" s="627">
        <f t="array" ref="L221">IFERROR(INDEX(UtilityList!Q$4:Q$251,MATCH('Table 2.3a'!$A221&amp;'Table 2.3a'!$B221&amp;'Table 2.3a'!$C221,UtilityList!$A$4:$A$251&amp;UtilityList!$B$4:$B$251&amp;UtilityList!$C$4:$C$251,0)),INDEX(UtilityList!Q$4:Q$251,MATCH('Table 2.3a'!$A221&amp;'Table 2.3a'!$C221,UtilityList!$A$4:$A$251&amp;UtilityList!$C$4:$C$251,0)))</f>
        <v>0</v>
      </c>
      <c r="M221" s="452" t="str">
        <f t="array" ref="M221">IFERROR(INDEX(UtilityList!J$4:J$251,MATCH('Table 2.3a'!$A221&amp;'Table 2.3a'!$B221&amp;'Table 2.3a'!$C221,UtilityList!$A$4:$A$251&amp;UtilityList!$B$4:$B$251&amp;UtilityList!$C$4:$C$251,0)),INDEX(UtilityList!J$4:J$251,MATCH('Table 2.3a'!$A221&amp;'Table 2.3a'!$C221,UtilityList!$A$4:$A$251&amp;UtilityList!$C$4:$C$251,0)))</f>
        <v>Bristol Bay</v>
      </c>
      <c r="N221" s="452" t="str">
        <f t="array" ref="N221">IFERROR(INDEX(UtilityList!K$4:K$251,MATCH('Table 2.3a'!$A221&amp;'Table 2.3a'!$B221&amp;'Table 2.3a'!$C221,UtilityList!$A$4:$A$251&amp;UtilityList!$B$4:$B$251&amp;UtilityList!$C$4:$C$251,0)),INDEX(UtilityList!K$4:K$251,MATCH('Table 2.3a'!$A221&amp;'Table 2.3a'!$C221,UtilityList!$A$4:$A$251&amp;UtilityList!$C$4:$C$251,0)))</f>
        <v>Lake and Peninsula</v>
      </c>
      <c r="O221" s="452" t="str">
        <f t="array" ref="O221">IFERROR(INDEX(UtilityList!L$4:L$251,MATCH('Table 2.3a'!$A221&amp;'Table 2.3a'!$B221&amp;'Table 2.3a'!$C221,UtilityList!$A$4:$A$251&amp;UtilityList!$B$4:$B$251&amp;UtilityList!$C$4:$C$251,0)),INDEX(UtilityList!L$4:L$251,MATCH('Table 2.3a'!$A221&amp;'Table 2.3a'!$C221,UtilityList!$A$4:$A$251&amp;UtilityList!$C$4:$C$251,0)))</f>
        <v>Cook Inlet</v>
      </c>
      <c r="P221" s="452" t="str">
        <f t="array" ref="P221">IFERROR(INDEX(UtilityList!M$4:M$251,MATCH('Table 2.3a'!$A221&amp;'Table 2.3a'!$B221&amp;'Table 2.3a'!$C221,UtilityList!$A$4:$A$251&amp;UtilityList!$B$4:$B$251&amp;UtilityList!$C$4:$C$251,0)),INDEX(UtilityList!M$4:M$251,MATCH('Table 2.3a'!$A221&amp;'Table 2.3a'!$C221,UtilityList!$A$4:$A$251&amp;UtilityList!$C$4:$C$251,0)))</f>
        <v>SW</v>
      </c>
    </row>
    <row r="222" spans="1:17" s="344" customFormat="1" ht="30" customHeight="1" x14ac:dyDescent="0.25">
      <c r="A222" s="360" t="s">
        <v>510</v>
      </c>
      <c r="B222" s="360" t="s">
        <v>327</v>
      </c>
      <c r="C222" s="387" t="s">
        <v>327</v>
      </c>
      <c r="D222" s="637">
        <v>0</v>
      </c>
      <c r="E222" s="638">
        <v>1146.596</v>
      </c>
      <c r="F222" s="638">
        <v>0</v>
      </c>
      <c r="G222" s="638">
        <v>0</v>
      </c>
      <c r="H222" s="639">
        <f t="shared" si="6"/>
        <v>1146.596</v>
      </c>
      <c r="I222" s="638">
        <v>33.168999999999997</v>
      </c>
      <c r="J222" s="638">
        <f t="shared" si="7"/>
        <v>1179.7650000000001</v>
      </c>
      <c r="K222" s="640" t="s">
        <v>356</v>
      </c>
      <c r="L222" s="627">
        <f t="array" ref="L222">IFERROR(INDEX(UtilityList!Q$4:Q$251,MATCH('Table 2.3a'!$A222&amp;'Table 2.3a'!$B222&amp;'Table 2.3a'!$C222,UtilityList!$A$4:$A$251&amp;UtilityList!$B$4:$B$251&amp;UtilityList!$C$4:$C$251,0)),INDEX(UtilityList!Q$4:Q$251,MATCH('Table 2.3a'!$A222&amp;'Table 2.3a'!$C222,UtilityList!$A$4:$A$251&amp;UtilityList!$C$4:$C$251,0)))</f>
        <v>0</v>
      </c>
      <c r="M222" s="452" t="str">
        <f t="array" ref="M222">IFERROR(INDEX(UtilityList!J$4:J$251,MATCH('Table 2.3a'!$A222&amp;'Table 2.3a'!$B222&amp;'Table 2.3a'!$C222,UtilityList!$A$4:$A$251&amp;UtilityList!$B$4:$B$251&amp;UtilityList!$C$4:$C$251,0)),INDEX(UtilityList!J$4:J$251,MATCH('Table 2.3a'!$A222&amp;'Table 2.3a'!$C222,UtilityList!$A$4:$A$251&amp;UtilityList!$C$4:$C$251,0)))</f>
        <v>Yukon-Koyukuk/Upper Tanana</v>
      </c>
      <c r="N222" s="452" t="str">
        <f t="array" ref="N222">IFERROR(INDEX(UtilityList!K$4:K$251,MATCH('Table 2.3a'!$A222&amp;'Table 2.3a'!$B222&amp;'Table 2.3a'!$C222,UtilityList!$A$4:$A$251&amp;UtilityList!$B$4:$B$251&amp;UtilityList!$C$4:$C$251,0)),INDEX(UtilityList!K$4:K$251,MATCH('Table 2.3a'!$A222&amp;'Table 2.3a'!$C222,UtilityList!$A$4:$A$251&amp;UtilityList!$C$4:$C$251,0)))</f>
        <v>Yukon-Koyukuk (CA)</v>
      </c>
      <c r="O222" s="452" t="str">
        <f t="array" ref="O222">IFERROR(INDEX(UtilityList!L$4:L$251,MATCH('Table 2.3a'!$A222&amp;'Table 2.3a'!$B222&amp;'Table 2.3a'!$C222,UtilityList!$A$4:$A$251&amp;UtilityList!$B$4:$B$251&amp;UtilityList!$C$4:$C$251,0)),INDEX(UtilityList!L$4:L$251,MATCH('Table 2.3a'!$A222&amp;'Table 2.3a'!$C222,UtilityList!$A$4:$A$251&amp;UtilityList!$C$4:$C$251,0)))</f>
        <v>Doyon</v>
      </c>
      <c r="P222" s="452" t="str">
        <f t="array" ref="P222">IFERROR(INDEX(UtilityList!M$4:M$251,MATCH('Table 2.3a'!$A222&amp;'Table 2.3a'!$B222&amp;'Table 2.3a'!$C222,UtilityList!$A$4:$A$251&amp;UtilityList!$B$4:$B$251&amp;UtilityList!$C$4:$C$251,0)),INDEX(UtilityList!M$4:M$251,MATCH('Table 2.3a'!$A222&amp;'Table 2.3a'!$C222,UtilityList!$A$4:$A$251&amp;UtilityList!$C$4:$C$251,0)))</f>
        <v>YU</v>
      </c>
    </row>
    <row r="223" spans="1:17" s="344" customFormat="1" ht="30" customHeight="1" x14ac:dyDescent="0.25">
      <c r="A223" s="360" t="s">
        <v>328</v>
      </c>
      <c r="B223" s="360" t="s">
        <v>329</v>
      </c>
      <c r="C223" s="387" t="s">
        <v>329</v>
      </c>
      <c r="D223" s="637">
        <v>0</v>
      </c>
      <c r="E223" s="638">
        <v>472.20400000000001</v>
      </c>
      <c r="F223" s="638">
        <v>0</v>
      </c>
      <c r="G223" s="638">
        <v>0</v>
      </c>
      <c r="H223" s="639">
        <f t="shared" si="6"/>
        <v>472.20400000000001</v>
      </c>
      <c r="I223" s="638">
        <v>44.095999999999997</v>
      </c>
      <c r="J223" s="638">
        <f t="shared" si="7"/>
        <v>516.29999999999995</v>
      </c>
      <c r="K223" s="640" t="s">
        <v>356</v>
      </c>
      <c r="L223" s="627">
        <f t="array" ref="L223">IFERROR(INDEX(UtilityList!Q$4:Q$251,MATCH('Table 2.3a'!$A223&amp;'Table 2.3a'!$B223&amp;'Table 2.3a'!$C223,UtilityList!$A$4:$A$251&amp;UtilityList!$B$4:$B$251&amp;UtilityList!$C$4:$C$251,0)),INDEX(UtilityList!Q$4:Q$251,MATCH('Table 2.3a'!$A223&amp;'Table 2.3a'!$C223,UtilityList!$A$4:$A$251&amp;UtilityList!$C$4:$C$251,0)))</f>
        <v>0</v>
      </c>
      <c r="M223" s="452" t="str">
        <f t="array" ref="M223">IFERROR(INDEX(UtilityList!J$4:J$251,MATCH('Table 2.3a'!$A223&amp;'Table 2.3a'!$B223&amp;'Table 2.3a'!$C223,UtilityList!$A$4:$A$251&amp;UtilityList!$B$4:$B$251&amp;UtilityList!$C$4:$C$251,0)),INDEX(UtilityList!J$4:J$251,MATCH('Table 2.3a'!$A223&amp;'Table 2.3a'!$C223,UtilityList!$A$4:$A$251&amp;UtilityList!$C$4:$C$251,0)))</f>
        <v>Copper River/Chugach</v>
      </c>
      <c r="N223" s="452" t="str">
        <f t="array" ref="N223">IFERROR(INDEX(UtilityList!K$4:K$251,MATCH('Table 2.3a'!$A223&amp;'Table 2.3a'!$B223&amp;'Table 2.3a'!$C223,UtilityList!$A$4:$A$251&amp;UtilityList!$B$4:$B$251&amp;UtilityList!$C$4:$C$251,0)),INDEX(UtilityList!K$4:K$251,MATCH('Table 2.3a'!$A223&amp;'Table 2.3a'!$C223,UtilityList!$A$4:$A$251&amp;UtilityList!$C$4:$C$251,0)))</f>
        <v>Valdez-Cordova (CA)</v>
      </c>
      <c r="O223" s="452" t="str">
        <f t="array" ref="O223">IFERROR(INDEX(UtilityList!L$4:L$251,MATCH('Table 2.3a'!$A223&amp;'Table 2.3a'!$B223&amp;'Table 2.3a'!$C223,UtilityList!$A$4:$A$251&amp;UtilityList!$B$4:$B$251&amp;UtilityList!$C$4:$C$251,0)),INDEX(UtilityList!L$4:L$251,MATCH('Table 2.3a'!$A223&amp;'Table 2.3a'!$C223,UtilityList!$A$4:$A$251&amp;UtilityList!$C$4:$C$251,0)))</f>
        <v>Chugach</v>
      </c>
      <c r="P223" s="452" t="str">
        <f t="array" ref="P223">IFERROR(INDEX(UtilityList!M$4:M$251,MATCH('Table 2.3a'!$A223&amp;'Table 2.3a'!$B223&amp;'Table 2.3a'!$C223,UtilityList!$A$4:$A$251&amp;UtilityList!$B$4:$B$251&amp;UtilityList!$C$4:$C$251,0)),INDEX(UtilityList!M$4:M$251,MATCH('Table 2.3a'!$A223&amp;'Table 2.3a'!$C223,UtilityList!$A$4:$A$251&amp;UtilityList!$C$4:$C$251,0)))</f>
        <v>SC</v>
      </c>
    </row>
    <row r="224" spans="1:17" s="126" customFormat="1" ht="30" customHeight="1" x14ac:dyDescent="0.25">
      <c r="A224" s="385" t="s">
        <v>1080</v>
      </c>
      <c r="B224" s="385" t="s">
        <v>330</v>
      </c>
      <c r="C224" s="385" t="s">
        <v>330</v>
      </c>
      <c r="D224" s="637">
        <v>0</v>
      </c>
      <c r="E224" s="638">
        <v>1908.4159999999999</v>
      </c>
      <c r="F224" s="638">
        <v>0</v>
      </c>
      <c r="G224" s="638">
        <v>0</v>
      </c>
      <c r="H224" s="639">
        <f t="shared" si="6"/>
        <v>1908.4159999999999</v>
      </c>
      <c r="I224" s="638"/>
      <c r="J224" s="638" t="str">
        <f t="shared" si="7"/>
        <v/>
      </c>
      <c r="K224" s="652" t="s">
        <v>356</v>
      </c>
      <c r="L224" s="627">
        <f t="array" ref="L224">IFERROR(INDEX(UtilityList!Q$4:Q$251,MATCH('Table 2.3a'!$A224&amp;'Table 2.3a'!$B224&amp;'Table 2.3a'!$C224,UtilityList!$A$4:$A$251&amp;UtilityList!$B$4:$B$251&amp;UtilityList!$C$4:$C$251,0)),INDEX(UtilityList!Q$4:Q$251,MATCH('Table 2.3a'!$A224&amp;'Table 2.3a'!$C224,UtilityList!$A$4:$A$251&amp;UtilityList!$C$4:$C$251,0)))</f>
        <v>0</v>
      </c>
      <c r="M224" s="452" t="str">
        <f t="array" ref="M224">IFERROR(INDEX(UtilityList!J$4:J$251,MATCH('Table 2.3a'!$A224&amp;'Table 2.3a'!$B224&amp;'Table 2.3a'!$C224,UtilityList!$A$4:$A$251&amp;UtilityList!$B$4:$B$251&amp;UtilityList!$C$4:$C$251,0)),INDEX(UtilityList!J$4:J$251,MATCH('Table 2.3a'!$A224&amp;'Table 2.3a'!$C224,UtilityList!$A$4:$A$251&amp;UtilityList!$C$4:$C$251,0)))</f>
        <v>Aleutians</v>
      </c>
      <c r="N224" s="452" t="str">
        <f t="array" ref="N224">IFERROR(INDEX(UtilityList!K$4:K$251,MATCH('Table 2.3a'!$A224&amp;'Table 2.3a'!$B224&amp;'Table 2.3a'!$C224,UtilityList!$A$4:$A$251&amp;UtilityList!$B$4:$B$251&amp;UtilityList!$C$4:$C$251,0)),INDEX(UtilityList!K$4:K$251,MATCH('Table 2.3a'!$A224&amp;'Table 2.3a'!$C224,UtilityList!$A$4:$A$251&amp;UtilityList!$C$4:$C$251,0)))</f>
        <v>Aleutians West (CA)</v>
      </c>
      <c r="O224" s="452" t="str">
        <f t="array" ref="O224">IFERROR(INDEX(UtilityList!L$4:L$251,MATCH('Table 2.3a'!$A224&amp;'Table 2.3a'!$B224&amp;'Table 2.3a'!$C224,UtilityList!$A$4:$A$251&amp;UtilityList!$B$4:$B$251&amp;UtilityList!$C$4:$C$251,0)),INDEX(UtilityList!L$4:L$251,MATCH('Table 2.3a'!$A224&amp;'Table 2.3a'!$C224,UtilityList!$A$4:$A$251&amp;UtilityList!$C$4:$C$251,0)))</f>
        <v>Aleut</v>
      </c>
      <c r="P224" s="452" t="str">
        <f t="array" ref="P224">IFERROR(INDEX(UtilityList!M$4:M$251,MATCH('Table 2.3a'!$A224&amp;'Table 2.3a'!$B224&amp;'Table 2.3a'!$C224,UtilityList!$A$4:$A$251&amp;UtilityList!$B$4:$B$251&amp;UtilityList!$C$4:$C$251,0)),INDEX(UtilityList!M$4:M$251,MATCH('Table 2.3a'!$A224&amp;'Table 2.3a'!$C224,UtilityList!$A$4:$A$251&amp;UtilityList!$C$4:$C$251,0)))</f>
        <v>SW</v>
      </c>
      <c r="Q224" s="344"/>
    </row>
    <row r="225" spans="1:17" s="126" customFormat="1" ht="30" customHeight="1" x14ac:dyDescent="0.25">
      <c r="A225" s="360" t="s">
        <v>331</v>
      </c>
      <c r="B225" s="360" t="s">
        <v>332</v>
      </c>
      <c r="C225" s="387" t="s">
        <v>332</v>
      </c>
      <c r="D225" s="637">
        <v>0</v>
      </c>
      <c r="E225" s="638">
        <v>4313.7950000000001</v>
      </c>
      <c r="F225" s="638">
        <v>0</v>
      </c>
      <c r="G225" s="638">
        <v>0</v>
      </c>
      <c r="H225" s="639">
        <f t="shared" si="6"/>
        <v>4313.7950000000001</v>
      </c>
      <c r="I225" s="638">
        <v>143.44</v>
      </c>
      <c r="J225" s="638">
        <f t="shared" si="7"/>
        <v>4457.2349999999997</v>
      </c>
      <c r="K225" s="640" t="s">
        <v>356</v>
      </c>
      <c r="L225" s="627">
        <f t="array" ref="L225">IFERROR(INDEX(UtilityList!Q$4:Q$251,MATCH('Table 2.3a'!$A225&amp;'Table 2.3a'!$B225&amp;'Table 2.3a'!$C225,UtilityList!$A$4:$A$251&amp;UtilityList!$B$4:$B$251&amp;UtilityList!$C$4:$C$251,0)),INDEX(UtilityList!Q$4:Q$251,MATCH('Table 2.3a'!$A225&amp;'Table 2.3a'!$C225,UtilityList!$A$4:$A$251&amp;UtilityList!$C$4:$C$251,0)))</f>
        <v>0</v>
      </c>
      <c r="M225" s="452" t="str">
        <f t="array" ref="M225">IFERROR(INDEX(UtilityList!J$4:J$251,MATCH('Table 2.3a'!$A225&amp;'Table 2.3a'!$B225&amp;'Table 2.3a'!$C225,UtilityList!$A$4:$A$251&amp;UtilityList!$B$4:$B$251&amp;UtilityList!$C$4:$C$251,0)),INDEX(UtilityList!J$4:J$251,MATCH('Table 2.3a'!$A225&amp;'Table 2.3a'!$C225,UtilityList!$A$4:$A$251&amp;UtilityList!$C$4:$C$251,0)))</f>
        <v>Aleutians</v>
      </c>
      <c r="N225" s="452" t="str">
        <f t="array" ref="N225">IFERROR(INDEX(UtilityList!K$4:K$251,MATCH('Table 2.3a'!$A225&amp;'Table 2.3a'!$B225&amp;'Table 2.3a'!$C225,UtilityList!$A$4:$A$251&amp;UtilityList!$B$4:$B$251&amp;UtilityList!$C$4:$C$251,0)),INDEX(UtilityList!K$4:K$251,MATCH('Table 2.3a'!$A225&amp;'Table 2.3a'!$C225,UtilityList!$A$4:$A$251&amp;UtilityList!$C$4:$C$251,0)))</f>
        <v>Aleutians East</v>
      </c>
      <c r="O225" s="452" t="str">
        <f t="array" ref="O225">IFERROR(INDEX(UtilityList!L$4:L$251,MATCH('Table 2.3a'!$A225&amp;'Table 2.3a'!$B225&amp;'Table 2.3a'!$C225,UtilityList!$A$4:$A$251&amp;UtilityList!$B$4:$B$251&amp;UtilityList!$C$4:$C$251,0)),INDEX(UtilityList!L$4:L$251,MATCH('Table 2.3a'!$A225&amp;'Table 2.3a'!$C225,UtilityList!$A$4:$A$251&amp;UtilityList!$C$4:$C$251,0)))</f>
        <v>Aleut</v>
      </c>
      <c r="P225" s="452" t="str">
        <f t="array" ref="P225">IFERROR(INDEX(UtilityList!M$4:M$251,MATCH('Table 2.3a'!$A225&amp;'Table 2.3a'!$B225&amp;'Table 2.3a'!$C225,UtilityList!$A$4:$A$251&amp;UtilityList!$B$4:$B$251&amp;UtilityList!$C$4:$C$251,0)),INDEX(UtilityList!M$4:M$251,MATCH('Table 2.3a'!$A225&amp;'Table 2.3a'!$C225,UtilityList!$A$4:$A$251&amp;UtilityList!$C$4:$C$251,0)))</f>
        <v>SW</v>
      </c>
    </row>
    <row r="226" spans="1:17" s="126" customFormat="1" ht="30" customHeight="1" x14ac:dyDescent="0.25">
      <c r="A226" s="385" t="s">
        <v>333</v>
      </c>
      <c r="B226" s="385" t="s">
        <v>334</v>
      </c>
      <c r="C226" s="635" t="s">
        <v>334</v>
      </c>
      <c r="D226" s="637">
        <v>0</v>
      </c>
      <c r="E226" s="638">
        <v>434.1617</v>
      </c>
      <c r="F226" s="638">
        <v>0</v>
      </c>
      <c r="G226" s="638">
        <v>0</v>
      </c>
      <c r="H226" s="639">
        <f t="shared" si="6"/>
        <v>434.1617</v>
      </c>
      <c r="I226" s="638">
        <v>10.619</v>
      </c>
      <c r="J226" s="638">
        <f t="shared" si="7"/>
        <v>444.78070000000002</v>
      </c>
      <c r="K226" s="646" t="s">
        <v>356</v>
      </c>
      <c r="L226" s="627">
        <f t="array" ref="L226">IFERROR(INDEX(UtilityList!Q$4:Q$251,MATCH('Table 2.3a'!$A226&amp;'Table 2.3a'!$B226&amp;'Table 2.3a'!$C226,UtilityList!$A$4:$A$251&amp;UtilityList!$B$4:$B$251&amp;UtilityList!$C$4:$C$251,0)),INDEX(UtilityList!Q$4:Q$251,MATCH('Table 2.3a'!$A226&amp;'Table 2.3a'!$C226,UtilityList!$A$4:$A$251&amp;UtilityList!$C$4:$C$251,0)))</f>
        <v>0</v>
      </c>
      <c r="M226" s="452" t="str">
        <f t="array" ref="M226">IFERROR(INDEX(UtilityList!J$4:J$251,MATCH('Table 2.3a'!$A226&amp;'Table 2.3a'!$B226&amp;'Table 2.3a'!$C226,UtilityList!$A$4:$A$251&amp;UtilityList!$B$4:$B$251&amp;UtilityList!$C$4:$C$251,0)),INDEX(UtilityList!J$4:J$251,MATCH('Table 2.3a'!$A226&amp;'Table 2.3a'!$C226,UtilityList!$A$4:$A$251&amp;UtilityList!$C$4:$C$251,0)))</f>
        <v>Yukon-Koyukuk/Upper Tanana</v>
      </c>
      <c r="N226" s="452" t="str">
        <f t="array" ref="N226">IFERROR(INDEX(UtilityList!K$4:K$251,MATCH('Table 2.3a'!$A226&amp;'Table 2.3a'!$B226&amp;'Table 2.3a'!$C226,UtilityList!$A$4:$A$251&amp;UtilityList!$B$4:$B$251&amp;UtilityList!$C$4:$C$251,0)),INDEX(UtilityList!K$4:K$251,MATCH('Table 2.3a'!$A226&amp;'Table 2.3a'!$C226,UtilityList!$A$4:$A$251&amp;UtilityList!$C$4:$C$251,0)))</f>
        <v>Yukon-Koyukuk (CA)</v>
      </c>
      <c r="O226" s="452" t="str">
        <f t="array" ref="O226">IFERROR(INDEX(UtilityList!L$4:L$251,MATCH('Table 2.3a'!$A226&amp;'Table 2.3a'!$B226&amp;'Table 2.3a'!$C226,UtilityList!$A$4:$A$251&amp;UtilityList!$B$4:$B$251&amp;UtilityList!$C$4:$C$251,0)),INDEX(UtilityList!L$4:L$251,MATCH('Table 2.3a'!$A226&amp;'Table 2.3a'!$C226,UtilityList!$A$4:$A$251&amp;UtilityList!$C$4:$C$251,0)))</f>
        <v>Doyon</v>
      </c>
      <c r="P226" s="452" t="str">
        <f t="array" ref="P226">IFERROR(INDEX(UtilityList!M$4:M$251,MATCH('Table 2.3a'!$A226&amp;'Table 2.3a'!$B226&amp;'Table 2.3a'!$C226,UtilityList!$A$4:$A$251&amp;UtilityList!$B$4:$B$251&amp;UtilityList!$C$4:$C$251,0)),INDEX(UtilityList!M$4:M$251,MATCH('Table 2.3a'!$A226&amp;'Table 2.3a'!$C226,UtilityList!$A$4:$A$251&amp;UtilityList!$C$4:$C$251,0)))</f>
        <v>YU</v>
      </c>
    </row>
    <row r="227" spans="1:17" s="126" customFormat="1" ht="30" customHeight="1" x14ac:dyDescent="0.25">
      <c r="A227" s="360" t="s">
        <v>335</v>
      </c>
      <c r="B227" s="360" t="s">
        <v>336</v>
      </c>
      <c r="C227" s="387" t="s">
        <v>336</v>
      </c>
      <c r="D227" s="637">
        <v>0</v>
      </c>
      <c r="E227" s="638">
        <v>416.31299999999999</v>
      </c>
      <c r="F227" s="638">
        <v>0</v>
      </c>
      <c r="G227" s="638">
        <v>0</v>
      </c>
      <c r="H227" s="639">
        <f t="shared" si="6"/>
        <v>416.31299999999999</v>
      </c>
      <c r="I227" s="638">
        <v>3.3439999999999999</v>
      </c>
      <c r="J227" s="638">
        <f t="shared" si="7"/>
        <v>419.65699999999998</v>
      </c>
      <c r="K227" s="640" t="s">
        <v>356</v>
      </c>
      <c r="L227" s="627">
        <f t="array" ref="L227">IFERROR(INDEX(UtilityList!Q$4:Q$251,MATCH('Table 2.3a'!$A227&amp;'Table 2.3a'!$B227&amp;'Table 2.3a'!$C227,UtilityList!$A$4:$A$251&amp;UtilityList!$B$4:$B$251&amp;UtilityList!$C$4:$C$251,0)),INDEX(UtilityList!Q$4:Q$251,MATCH('Table 2.3a'!$A227&amp;'Table 2.3a'!$C227,UtilityList!$A$4:$A$251&amp;UtilityList!$C$4:$C$251,0)))</f>
        <v>0</v>
      </c>
      <c r="M227" s="452" t="str">
        <f t="array" ref="M227">IFERROR(INDEX(UtilityList!J$4:J$251,MATCH('Table 2.3a'!$A227&amp;'Table 2.3a'!$B227&amp;'Table 2.3a'!$C227,UtilityList!$A$4:$A$251&amp;UtilityList!$B$4:$B$251&amp;UtilityList!$C$4:$C$251,0)),INDEX(UtilityList!J$4:J$251,MATCH('Table 2.3a'!$A227&amp;'Table 2.3a'!$C227,UtilityList!$A$4:$A$251&amp;UtilityList!$C$4:$C$251,0)))</f>
        <v>Southeast</v>
      </c>
      <c r="N227" s="452" t="str">
        <f t="array" ref="N227">IFERROR(INDEX(UtilityList!K$4:K$251,MATCH('Table 2.3a'!$A227&amp;'Table 2.3a'!$B227&amp;'Table 2.3a'!$C227,UtilityList!$A$4:$A$251&amp;UtilityList!$B$4:$B$251&amp;UtilityList!$C$4:$C$251,0)),INDEX(UtilityList!K$4:K$251,MATCH('Table 2.3a'!$A227&amp;'Table 2.3a'!$C227,UtilityList!$A$4:$A$251&amp;UtilityList!$C$4:$C$251,0)))</f>
        <v>Hoonah-Angoon (CA)</v>
      </c>
      <c r="O227" s="452" t="str">
        <f t="array" ref="O227">IFERROR(INDEX(UtilityList!L$4:L$251,MATCH('Table 2.3a'!$A227&amp;'Table 2.3a'!$B227&amp;'Table 2.3a'!$C227,UtilityList!$A$4:$A$251&amp;UtilityList!$B$4:$B$251&amp;UtilityList!$C$4:$C$251,0)),INDEX(UtilityList!L$4:L$251,MATCH('Table 2.3a'!$A227&amp;'Table 2.3a'!$C227,UtilityList!$A$4:$A$251&amp;UtilityList!$C$4:$C$251,0)))</f>
        <v>Sealaska</v>
      </c>
      <c r="P227" s="452" t="str">
        <f t="array" ref="P227">IFERROR(INDEX(UtilityList!M$4:M$251,MATCH('Table 2.3a'!$A227&amp;'Table 2.3a'!$B227&amp;'Table 2.3a'!$C227,UtilityList!$A$4:$A$251&amp;UtilityList!$B$4:$B$251&amp;UtilityList!$C$4:$C$251,0)),INDEX(UtilityList!M$4:M$251,MATCH('Table 2.3a'!$A227&amp;'Table 2.3a'!$C227,UtilityList!$A$4:$A$251&amp;UtilityList!$C$4:$C$251,0)))</f>
        <v>SE</v>
      </c>
    </row>
    <row r="228" spans="1:17" s="126" customFormat="1" ht="30" customHeight="1" x14ac:dyDescent="0.25">
      <c r="A228" s="385" t="s">
        <v>337</v>
      </c>
      <c r="B228" s="385" t="s">
        <v>338</v>
      </c>
      <c r="C228" s="635" t="s">
        <v>338</v>
      </c>
      <c r="D228" s="637">
        <v>0</v>
      </c>
      <c r="E228" s="638">
        <v>606.72309999999993</v>
      </c>
      <c r="F228" s="638">
        <v>0</v>
      </c>
      <c r="G228" s="638">
        <v>0</v>
      </c>
      <c r="H228" s="639">
        <f t="shared" si="6"/>
        <v>606.72309999999993</v>
      </c>
      <c r="I228" s="638">
        <v>44.322000000000003</v>
      </c>
      <c r="J228" s="638">
        <f t="shared" si="7"/>
        <v>651.04509999999993</v>
      </c>
      <c r="K228" s="646" t="s">
        <v>356</v>
      </c>
      <c r="L228" s="627">
        <f t="array" ref="L228">IFERROR(INDEX(UtilityList!Q$4:Q$251,MATCH('Table 2.3a'!$A228&amp;'Table 2.3a'!$B228&amp;'Table 2.3a'!$C228,UtilityList!$A$4:$A$251&amp;UtilityList!$B$4:$B$251&amp;UtilityList!$C$4:$C$251,0)),INDEX(UtilityList!Q$4:Q$251,MATCH('Table 2.3a'!$A228&amp;'Table 2.3a'!$C228,UtilityList!$A$4:$A$251&amp;UtilityList!$C$4:$C$251,0)))</f>
        <v>0</v>
      </c>
      <c r="M228" s="452" t="str">
        <f t="array" ref="M228">IFERROR(INDEX(UtilityList!J$4:J$251,MATCH('Table 2.3a'!$A228&amp;'Table 2.3a'!$B228&amp;'Table 2.3a'!$C228,UtilityList!$A$4:$A$251&amp;UtilityList!$B$4:$B$251&amp;UtilityList!$C$4:$C$251,0)),INDEX(UtilityList!J$4:J$251,MATCH('Table 2.3a'!$A228&amp;'Table 2.3a'!$C228,UtilityList!$A$4:$A$251&amp;UtilityList!$C$4:$C$251,0)))</f>
        <v>Lower Yukon-Kuskokwim</v>
      </c>
      <c r="N228" s="452" t="str">
        <f t="array" ref="N228">IFERROR(INDEX(UtilityList!K$4:K$251,MATCH('Table 2.3a'!$A228&amp;'Table 2.3a'!$B228&amp;'Table 2.3a'!$C228,UtilityList!$A$4:$A$251&amp;UtilityList!$B$4:$B$251&amp;UtilityList!$C$4:$C$251,0)),INDEX(UtilityList!K$4:K$251,MATCH('Table 2.3a'!$A228&amp;'Table 2.3a'!$C228,UtilityList!$A$4:$A$251&amp;UtilityList!$C$4:$C$251,0)))</f>
        <v>Bethel (CA)</v>
      </c>
      <c r="O228" s="452" t="str">
        <f t="array" ref="O228">IFERROR(INDEX(UtilityList!L$4:L$251,MATCH('Table 2.3a'!$A228&amp;'Table 2.3a'!$B228&amp;'Table 2.3a'!$C228,UtilityList!$A$4:$A$251&amp;UtilityList!$B$4:$B$251&amp;UtilityList!$C$4:$C$251,0)),INDEX(UtilityList!L$4:L$251,MATCH('Table 2.3a'!$A228&amp;'Table 2.3a'!$C228,UtilityList!$A$4:$A$251&amp;UtilityList!$C$4:$C$251,0)))</f>
        <v>Calista</v>
      </c>
      <c r="P228" s="452" t="str">
        <f t="array" ref="P228">IFERROR(INDEX(UtilityList!M$4:M$251,MATCH('Table 2.3a'!$A228&amp;'Table 2.3a'!$B228&amp;'Table 2.3a'!$C228,UtilityList!$A$4:$A$251&amp;UtilityList!$B$4:$B$251&amp;UtilityList!$C$4:$C$251,0)),INDEX(UtilityList!M$4:M$251,MATCH('Table 2.3a'!$A228&amp;'Table 2.3a'!$C228,UtilityList!$A$4:$A$251&amp;UtilityList!$C$4:$C$251,0)))</f>
        <v>SW</v>
      </c>
    </row>
    <row r="229" spans="1:17" s="344" customFormat="1" ht="30" customHeight="1" x14ac:dyDescent="0.25">
      <c r="A229" s="385" t="s">
        <v>339</v>
      </c>
      <c r="B229" s="385" t="s">
        <v>340</v>
      </c>
      <c r="C229" s="635" t="s">
        <v>340</v>
      </c>
      <c r="D229" s="637">
        <v>0</v>
      </c>
      <c r="E229" s="638">
        <v>970.95100000000002</v>
      </c>
      <c r="F229" s="638">
        <v>0</v>
      </c>
      <c r="G229" s="638">
        <v>0</v>
      </c>
      <c r="H229" s="639">
        <f t="shared" si="6"/>
        <v>970.95100000000002</v>
      </c>
      <c r="I229" s="638">
        <v>33.058</v>
      </c>
      <c r="J229" s="638">
        <f t="shared" si="7"/>
        <v>1004.009</v>
      </c>
      <c r="K229" s="646" t="s">
        <v>356</v>
      </c>
      <c r="L229" s="627">
        <f t="array" ref="L229">IFERROR(INDEX(UtilityList!Q$4:Q$251,MATCH('Table 2.3a'!$A229&amp;'Table 2.3a'!$B229&amp;'Table 2.3a'!$C229,UtilityList!$A$4:$A$251&amp;UtilityList!$B$4:$B$251&amp;UtilityList!$C$4:$C$251,0)),INDEX(UtilityList!Q$4:Q$251,MATCH('Table 2.3a'!$A229&amp;'Table 2.3a'!$C229,UtilityList!$A$4:$A$251&amp;UtilityList!$C$4:$C$251,0)))</f>
        <v>0</v>
      </c>
      <c r="M229" s="452" t="str">
        <f t="array" ref="M229">IFERROR(INDEX(UtilityList!J$4:J$251,MATCH('Table 2.3a'!$A229&amp;'Table 2.3a'!$B229&amp;'Table 2.3a'!$C229,UtilityList!$A$4:$A$251&amp;UtilityList!$B$4:$B$251&amp;UtilityList!$C$4:$C$251,0)),INDEX(UtilityList!J$4:J$251,MATCH('Table 2.3a'!$A229&amp;'Table 2.3a'!$C229,UtilityList!$A$4:$A$251&amp;UtilityList!$C$4:$C$251,0)))</f>
        <v>Lower Yukon-Kuskokwim</v>
      </c>
      <c r="N229" s="452" t="str">
        <f t="array" ref="N229">IFERROR(INDEX(UtilityList!K$4:K$251,MATCH('Table 2.3a'!$A229&amp;'Table 2.3a'!$B229&amp;'Table 2.3a'!$C229,UtilityList!$A$4:$A$251&amp;UtilityList!$B$4:$B$251&amp;UtilityList!$C$4:$C$251,0)),INDEX(UtilityList!K$4:K$251,MATCH('Table 2.3a'!$A229&amp;'Table 2.3a'!$C229,UtilityList!$A$4:$A$251&amp;UtilityList!$C$4:$C$251,0)))</f>
        <v>Bethel (CA)</v>
      </c>
      <c r="O229" s="452" t="str">
        <f t="array" ref="O229">IFERROR(INDEX(UtilityList!L$4:L$251,MATCH('Table 2.3a'!$A229&amp;'Table 2.3a'!$B229&amp;'Table 2.3a'!$C229,UtilityList!$A$4:$A$251&amp;UtilityList!$B$4:$B$251&amp;UtilityList!$C$4:$C$251,0)),INDEX(UtilityList!L$4:L$251,MATCH('Table 2.3a'!$A229&amp;'Table 2.3a'!$C229,UtilityList!$A$4:$A$251&amp;UtilityList!$C$4:$C$251,0)))</f>
        <v>Calista</v>
      </c>
      <c r="P229" s="452" t="str">
        <f t="array" ref="P229">IFERROR(INDEX(UtilityList!M$4:M$251,MATCH('Table 2.3a'!$A229&amp;'Table 2.3a'!$B229&amp;'Table 2.3a'!$C229,UtilityList!$A$4:$A$251&amp;UtilityList!$B$4:$B$251&amp;UtilityList!$C$4:$C$251,0)),INDEX(UtilityList!M$4:M$251,MATCH('Table 2.3a'!$A229&amp;'Table 2.3a'!$C229,UtilityList!$A$4:$A$251&amp;UtilityList!$C$4:$C$251,0)))</f>
        <v>SW</v>
      </c>
      <c r="Q229" s="126"/>
    </row>
    <row r="230" spans="1:17" s="344" customFormat="1" ht="30" customHeight="1" x14ac:dyDescent="0.25">
      <c r="A230" s="360" t="s">
        <v>341</v>
      </c>
      <c r="B230" s="360" t="s">
        <v>342</v>
      </c>
      <c r="C230" s="387" t="s">
        <v>342</v>
      </c>
      <c r="D230" s="637">
        <v>0</v>
      </c>
      <c r="E230" s="638">
        <v>282.24180000000001</v>
      </c>
      <c r="F230" s="638">
        <v>0</v>
      </c>
      <c r="G230" s="638">
        <v>0</v>
      </c>
      <c r="H230" s="639">
        <f t="shared" si="6"/>
        <v>282.24180000000001</v>
      </c>
      <c r="I230" s="638">
        <v>30.246200000000002</v>
      </c>
      <c r="J230" s="638">
        <f t="shared" si="7"/>
        <v>312.488</v>
      </c>
      <c r="K230" s="640" t="s">
        <v>356</v>
      </c>
      <c r="L230" s="627">
        <f t="array" ref="L230">IFERROR(INDEX(UtilityList!Q$4:Q$251,MATCH('Table 2.3a'!$A230&amp;'Table 2.3a'!$B230&amp;'Table 2.3a'!$C230,UtilityList!$A$4:$A$251&amp;UtilityList!$B$4:$B$251&amp;UtilityList!$C$4:$C$251,0)),INDEX(UtilityList!Q$4:Q$251,MATCH('Table 2.3a'!$A230&amp;'Table 2.3a'!$C230,UtilityList!$A$4:$A$251&amp;UtilityList!$C$4:$C$251,0)))</f>
        <v>0</v>
      </c>
      <c r="M230" s="452" t="str">
        <f t="array" ref="M230">IFERROR(INDEX(UtilityList!J$4:J$251,MATCH('Table 2.3a'!$A230&amp;'Table 2.3a'!$B230&amp;'Table 2.3a'!$C230,UtilityList!$A$4:$A$251&amp;UtilityList!$B$4:$B$251&amp;UtilityList!$C$4:$C$251,0)),INDEX(UtilityList!J$4:J$251,MATCH('Table 2.3a'!$A230&amp;'Table 2.3a'!$C230,UtilityList!$A$4:$A$251&amp;UtilityList!$C$4:$C$251,0)))</f>
        <v>Bristol Bay</v>
      </c>
      <c r="N230" s="452" t="str">
        <f t="array" ref="N230">IFERROR(INDEX(UtilityList!K$4:K$251,MATCH('Table 2.3a'!$A230&amp;'Table 2.3a'!$B230&amp;'Table 2.3a'!$C230,UtilityList!$A$4:$A$251&amp;UtilityList!$B$4:$B$251&amp;UtilityList!$C$4:$C$251,0)),INDEX(UtilityList!K$4:K$251,MATCH('Table 2.3a'!$A230&amp;'Table 2.3a'!$C230,UtilityList!$A$4:$A$251&amp;UtilityList!$C$4:$C$251,0)))</f>
        <v>Dillingham (CA)</v>
      </c>
      <c r="O230" s="452" t="str">
        <f t="array" ref="O230">IFERROR(INDEX(UtilityList!L$4:L$251,MATCH('Table 2.3a'!$A230&amp;'Table 2.3a'!$B230&amp;'Table 2.3a'!$C230,UtilityList!$A$4:$A$251&amp;UtilityList!$B$4:$B$251&amp;UtilityList!$C$4:$C$251,0)),INDEX(UtilityList!L$4:L$251,MATCH('Table 2.3a'!$A230&amp;'Table 2.3a'!$C230,UtilityList!$A$4:$A$251&amp;UtilityList!$C$4:$C$251,0)))</f>
        <v>Bristol Bay</v>
      </c>
      <c r="P230" s="452" t="str">
        <f t="array" ref="P230">IFERROR(INDEX(UtilityList!M$4:M$251,MATCH('Table 2.3a'!$A230&amp;'Table 2.3a'!$B230&amp;'Table 2.3a'!$C230,UtilityList!$A$4:$A$251&amp;UtilityList!$B$4:$B$251&amp;UtilityList!$C$4:$C$251,0)),INDEX(UtilityList!M$4:M$251,MATCH('Table 2.3a'!$A230&amp;'Table 2.3a'!$C230,UtilityList!$A$4:$A$251&amp;UtilityList!$C$4:$C$251,0)))</f>
        <v>SW</v>
      </c>
    </row>
    <row r="231" spans="1:17" s="344" customFormat="1" ht="30" customHeight="1" x14ac:dyDescent="0.25">
      <c r="A231" s="360" t="s">
        <v>343</v>
      </c>
      <c r="B231" s="360" t="s">
        <v>344</v>
      </c>
      <c r="C231" s="387" t="s">
        <v>344</v>
      </c>
      <c r="D231" s="637">
        <v>0</v>
      </c>
      <c r="E231" s="638">
        <v>211.643</v>
      </c>
      <c r="F231" s="638">
        <v>0</v>
      </c>
      <c r="G231" s="638">
        <v>0.66</v>
      </c>
      <c r="H231" s="639">
        <f t="shared" si="6"/>
        <v>212.303</v>
      </c>
      <c r="I231" s="638">
        <v>24.998999999999999</v>
      </c>
      <c r="J231" s="638">
        <f t="shared" si="7"/>
        <v>237.30199999999999</v>
      </c>
      <c r="K231" s="640" t="s">
        <v>356</v>
      </c>
      <c r="L231" s="627">
        <f t="array" ref="L231">IFERROR(INDEX(UtilityList!Q$4:Q$251,MATCH('Table 2.3a'!$A231&amp;'Table 2.3a'!$B231&amp;'Table 2.3a'!$C231,UtilityList!$A$4:$A$251&amp;UtilityList!$B$4:$B$251&amp;UtilityList!$C$4:$C$251,0)),INDEX(UtilityList!Q$4:Q$251,MATCH('Table 2.3a'!$A231&amp;'Table 2.3a'!$C231,UtilityList!$A$4:$A$251&amp;UtilityList!$C$4:$C$251,0)))</f>
        <v>0</v>
      </c>
      <c r="M231" s="452" t="str">
        <f t="array" ref="M231">IFERROR(INDEX(UtilityList!J$4:J$251,MATCH('Table 2.3a'!$A231&amp;'Table 2.3a'!$B231&amp;'Table 2.3a'!$C231,UtilityList!$A$4:$A$251&amp;UtilityList!$B$4:$B$251&amp;UtilityList!$C$4:$C$251,0)),INDEX(UtilityList!J$4:J$251,MATCH('Table 2.3a'!$A231&amp;'Table 2.3a'!$C231,UtilityList!$A$4:$A$251&amp;UtilityList!$C$4:$C$251,0)))</f>
        <v>Aleutians</v>
      </c>
      <c r="N231" s="452" t="str">
        <f t="array" ref="N231">IFERROR(INDEX(UtilityList!K$4:K$251,MATCH('Table 2.3a'!$A231&amp;'Table 2.3a'!$B231&amp;'Table 2.3a'!$C231,UtilityList!$A$4:$A$251&amp;UtilityList!$B$4:$B$251&amp;UtilityList!$C$4:$C$251,0)),INDEX(UtilityList!K$4:K$251,MATCH('Table 2.3a'!$A231&amp;'Table 2.3a'!$C231,UtilityList!$A$4:$A$251&amp;UtilityList!$C$4:$C$251,0)))</f>
        <v>Aleutians West (CA)</v>
      </c>
      <c r="O231" s="452" t="str">
        <f t="array" ref="O231">IFERROR(INDEX(UtilityList!L$4:L$251,MATCH('Table 2.3a'!$A231&amp;'Table 2.3a'!$B231&amp;'Table 2.3a'!$C231,UtilityList!$A$4:$A$251&amp;UtilityList!$B$4:$B$251&amp;UtilityList!$C$4:$C$251,0)),INDEX(UtilityList!L$4:L$251,MATCH('Table 2.3a'!$A231&amp;'Table 2.3a'!$C231,UtilityList!$A$4:$A$251&amp;UtilityList!$C$4:$C$251,0)))</f>
        <v>Aleut</v>
      </c>
      <c r="P231" s="452" t="str">
        <f t="array" ref="P231">IFERROR(INDEX(UtilityList!M$4:M$251,MATCH('Table 2.3a'!$A231&amp;'Table 2.3a'!$B231&amp;'Table 2.3a'!$C231,UtilityList!$A$4:$A$251&amp;UtilityList!$B$4:$B$251&amp;UtilityList!$C$4:$C$251,0)),INDEX(UtilityList!M$4:M$251,MATCH('Table 2.3a'!$A231&amp;'Table 2.3a'!$C231,UtilityList!$A$4:$A$251&amp;UtilityList!$C$4:$C$251,0)))</f>
        <v>SW</v>
      </c>
    </row>
    <row r="232" spans="1:17" s="344" customFormat="1" ht="44.25" customHeight="1" x14ac:dyDescent="0.25">
      <c r="A232" s="360" t="s">
        <v>537</v>
      </c>
      <c r="B232" s="360" t="s">
        <v>345</v>
      </c>
      <c r="C232" s="387" t="s">
        <v>345</v>
      </c>
      <c r="D232" s="637">
        <v>0</v>
      </c>
      <c r="E232" s="638">
        <v>3497.944</v>
      </c>
      <c r="F232" s="638">
        <v>0</v>
      </c>
      <c r="G232" s="638">
        <v>921.36699999999996</v>
      </c>
      <c r="H232" s="639">
        <f t="shared" si="6"/>
        <v>4419.3109999999997</v>
      </c>
      <c r="I232" s="638">
        <v>79.817999999999998</v>
      </c>
      <c r="J232" s="638">
        <f t="shared" si="7"/>
        <v>4499.1289999999999</v>
      </c>
      <c r="K232" s="640" t="s">
        <v>356</v>
      </c>
      <c r="L232" s="627">
        <f t="array" ref="L232">IFERROR(INDEX(UtilityList!Q$4:Q$251,MATCH('Table 2.3a'!$A232&amp;'Table 2.3a'!$B232&amp;'Table 2.3a'!$C232,UtilityList!$A$4:$A$251&amp;UtilityList!$B$4:$B$251&amp;UtilityList!$C$4:$C$251,0)),INDEX(UtilityList!Q$4:Q$251,MATCH('Table 2.3a'!$A232&amp;'Table 2.3a'!$C232,UtilityList!$A$4:$A$251&amp;UtilityList!$C$4:$C$251,0)))</f>
        <v>0</v>
      </c>
      <c r="M232" s="452" t="str">
        <f t="array" ref="M232">IFERROR(INDEX(UtilityList!J$4:J$251,MATCH('Table 2.3a'!$A232&amp;'Table 2.3a'!$B232&amp;'Table 2.3a'!$C232,UtilityList!$A$4:$A$251&amp;UtilityList!$B$4:$B$251&amp;UtilityList!$C$4:$C$251,0)),INDEX(UtilityList!J$4:J$251,MATCH('Table 2.3a'!$A232&amp;'Table 2.3a'!$C232,UtilityList!$A$4:$A$251&amp;UtilityList!$C$4:$C$251,0)))</f>
        <v>Bering Straits</v>
      </c>
      <c r="N232" s="452" t="str">
        <f t="array" ref="N232">IFERROR(INDEX(UtilityList!K$4:K$251,MATCH('Table 2.3a'!$A232&amp;'Table 2.3a'!$B232&amp;'Table 2.3a'!$C232,UtilityList!$A$4:$A$251&amp;UtilityList!$B$4:$B$251&amp;UtilityList!$C$4:$C$251,0)),INDEX(UtilityList!K$4:K$251,MATCH('Table 2.3a'!$A232&amp;'Table 2.3a'!$C232,UtilityList!$A$4:$A$251&amp;UtilityList!$C$4:$C$251,0)))</f>
        <v>Nome (CA)</v>
      </c>
      <c r="O232" s="452" t="str">
        <f t="array" ref="O232">IFERROR(INDEX(UtilityList!L$4:L$251,MATCH('Table 2.3a'!$A232&amp;'Table 2.3a'!$B232&amp;'Table 2.3a'!$C232,UtilityList!$A$4:$A$251&amp;UtilityList!$B$4:$B$251&amp;UtilityList!$C$4:$C$251,0)),INDEX(UtilityList!L$4:L$251,MATCH('Table 2.3a'!$A232&amp;'Table 2.3a'!$C232,UtilityList!$A$4:$A$251&amp;UtilityList!$C$4:$C$251,0)))</f>
        <v>Bering Straits</v>
      </c>
      <c r="P232" s="452" t="str">
        <f t="array" ref="P232">IFERROR(INDEX(UtilityList!M$4:M$251,MATCH('Table 2.3a'!$A232&amp;'Table 2.3a'!$B232&amp;'Table 2.3a'!$C232,UtilityList!$A$4:$A$251&amp;UtilityList!$B$4:$B$251&amp;UtilityList!$C$4:$C$251,0)),INDEX(UtilityList!M$4:M$251,MATCH('Table 2.3a'!$A232&amp;'Table 2.3a'!$C232,UtilityList!$A$4:$A$251&amp;UtilityList!$C$4:$C$251,0)))</f>
        <v>AN</v>
      </c>
    </row>
    <row r="233" spans="1:17" s="344" customFormat="1" ht="43.5" customHeight="1" x14ac:dyDescent="0.25">
      <c r="A233" s="360" t="s">
        <v>637</v>
      </c>
      <c r="B233" s="360"/>
      <c r="C233" s="387" t="s">
        <v>492</v>
      </c>
      <c r="D233" s="637">
        <v>0</v>
      </c>
      <c r="E233" s="638">
        <v>43500</v>
      </c>
      <c r="F233" s="638">
        <v>0</v>
      </c>
      <c r="G233" s="638">
        <v>0</v>
      </c>
      <c r="H233" s="639">
        <f t="shared" si="6"/>
        <v>43500</v>
      </c>
      <c r="I233" s="638">
        <v>1234.8869999999999</v>
      </c>
      <c r="J233" s="638">
        <f t="shared" si="7"/>
        <v>44734.887000000002</v>
      </c>
      <c r="K233" s="640" t="s">
        <v>356</v>
      </c>
      <c r="L233" s="627" t="s">
        <v>721</v>
      </c>
      <c r="M233" s="452" t="str">
        <f t="array" ref="M233">IFERROR(INDEX(UtilityList!J$4:J$251,MATCH('Table 2.3a'!$A233&amp;'Table 2.3a'!$B233&amp;'Table 2.3a'!$C233,UtilityList!$A$4:$A$251&amp;UtilityList!$B$4:$B$251&amp;UtilityList!$C$4:$C$251,0)),INDEX(UtilityList!J$4:J$251,MATCH('Table 2.3a'!$A233&amp;'Table 2.3a'!$C233,UtilityList!$A$4:$A$251&amp;UtilityList!$C$4:$C$251,0)))</f>
        <v>Aleutians</v>
      </c>
      <c r="N233" s="452" t="str">
        <f t="array" ref="N233">IFERROR(INDEX(UtilityList!K$4:K$251,MATCH('Table 2.3a'!$A233&amp;'Table 2.3a'!$B233&amp;'Table 2.3a'!$C233,UtilityList!$A$4:$A$251&amp;UtilityList!$B$4:$B$251&amp;UtilityList!$C$4:$C$251,0)),INDEX(UtilityList!K$4:K$251,MATCH('Table 2.3a'!$A233&amp;'Table 2.3a'!$C233,UtilityList!$A$4:$A$251&amp;UtilityList!$C$4:$C$251,0)))</f>
        <v>Aleutians West (CA)</v>
      </c>
      <c r="O233" s="452" t="str">
        <f t="array" ref="O233">IFERROR(INDEX(UtilityList!L$4:L$251,MATCH('Table 2.3a'!$A233&amp;'Table 2.3a'!$B233&amp;'Table 2.3a'!$C233,UtilityList!$A$4:$A$251&amp;UtilityList!$B$4:$B$251&amp;UtilityList!$C$4:$C$251,0)),INDEX(UtilityList!L$4:L$251,MATCH('Table 2.3a'!$A233&amp;'Table 2.3a'!$C233,UtilityList!$A$4:$A$251&amp;UtilityList!$C$4:$C$251,0)))</f>
        <v>Aleut</v>
      </c>
      <c r="P233" s="452" t="str">
        <f t="array" ref="P233">IFERROR(INDEX(UtilityList!M$4:M$251,MATCH('Table 2.3a'!$A233&amp;'Table 2.3a'!$B233&amp;'Table 2.3a'!$C233,UtilityList!$A$4:$A$251&amp;UtilityList!$B$4:$B$251&amp;UtilityList!$C$4:$C$251,0)),INDEX(UtilityList!M$4:M$251,MATCH('Table 2.3a'!$A233&amp;'Table 2.3a'!$C233,UtilityList!$A$4:$A$251&amp;UtilityList!$C$4:$C$251,0)))</f>
        <v>SW</v>
      </c>
    </row>
    <row r="234" spans="1:17" s="126" customFormat="1" ht="30" customHeight="1" x14ac:dyDescent="0.25">
      <c r="A234" s="385" t="s">
        <v>346</v>
      </c>
      <c r="B234" s="385" t="s">
        <v>347</v>
      </c>
      <c r="C234" s="635" t="s">
        <v>347</v>
      </c>
      <c r="D234" s="637">
        <v>0</v>
      </c>
      <c r="E234" s="638">
        <v>426.98399999999998</v>
      </c>
      <c r="F234" s="638">
        <v>0</v>
      </c>
      <c r="G234" s="638">
        <v>0</v>
      </c>
      <c r="H234" s="639">
        <f t="shared" si="6"/>
        <v>426.98399999999998</v>
      </c>
      <c r="I234" s="638">
        <v>3.976</v>
      </c>
      <c r="J234" s="638">
        <f t="shared" si="7"/>
        <v>430.96</v>
      </c>
      <c r="K234" s="646" t="s">
        <v>356</v>
      </c>
      <c r="L234" s="627">
        <f t="array" ref="L234">IFERROR(INDEX(UtilityList!Q$4:Q$251,MATCH('Table 2.3a'!$A234&amp;'Table 2.3a'!$B234&amp;'Table 2.3a'!$C234,UtilityList!$A$4:$A$251&amp;UtilityList!$B$4:$B$251&amp;UtilityList!$C$4:$C$251,0)),INDEX(UtilityList!Q$4:Q$251,MATCH('Table 2.3a'!$A234&amp;'Table 2.3a'!$C234,UtilityList!$A$4:$A$251&amp;UtilityList!$C$4:$C$251,0)))</f>
        <v>0</v>
      </c>
      <c r="M234" s="452" t="str">
        <f t="array" ref="M234">IFERROR(INDEX(UtilityList!J$4:J$251,MATCH('Table 2.3a'!$A234&amp;'Table 2.3a'!$B234&amp;'Table 2.3a'!$C234,UtilityList!$A$4:$A$251&amp;UtilityList!$B$4:$B$251&amp;UtilityList!$C$4:$C$251,0)),INDEX(UtilityList!J$4:J$251,MATCH('Table 2.3a'!$A234&amp;'Table 2.3a'!$C234,UtilityList!$A$4:$A$251&amp;UtilityList!$C$4:$C$251,0)))</f>
        <v>Lower Yukon-Kuskokwim</v>
      </c>
      <c r="N234" s="452" t="str">
        <f t="array" ref="N234">IFERROR(INDEX(UtilityList!K$4:K$251,MATCH('Table 2.3a'!$A234&amp;'Table 2.3a'!$B234&amp;'Table 2.3a'!$C234,UtilityList!$A$4:$A$251&amp;UtilityList!$B$4:$B$251&amp;UtilityList!$C$4:$C$251,0)),INDEX(UtilityList!K$4:K$251,MATCH('Table 2.3a'!$A234&amp;'Table 2.3a'!$C234,UtilityList!$A$4:$A$251&amp;UtilityList!$C$4:$C$251,0)))</f>
        <v>Bethel (CA)</v>
      </c>
      <c r="O234" s="452" t="str">
        <f t="array" ref="O234">IFERROR(INDEX(UtilityList!L$4:L$251,MATCH('Table 2.3a'!$A234&amp;'Table 2.3a'!$B234&amp;'Table 2.3a'!$C234,UtilityList!$A$4:$A$251&amp;UtilityList!$B$4:$B$251&amp;UtilityList!$C$4:$C$251,0)),INDEX(UtilityList!L$4:L$251,MATCH('Table 2.3a'!$A234&amp;'Table 2.3a'!$C234,UtilityList!$A$4:$A$251&amp;UtilityList!$C$4:$C$251,0)))</f>
        <v>Calista</v>
      </c>
      <c r="P234" s="452" t="str">
        <f t="array" ref="P234">IFERROR(INDEX(UtilityList!M$4:M$251,MATCH('Table 2.3a'!$A234&amp;'Table 2.3a'!$B234&amp;'Table 2.3a'!$C234,UtilityList!$A$4:$A$251&amp;UtilityList!$B$4:$B$251&amp;UtilityList!$C$4:$C$251,0)),INDEX(UtilityList!M$4:M$251,MATCH('Table 2.3a'!$A234&amp;'Table 2.3a'!$C234,UtilityList!$A$4:$A$251&amp;UtilityList!$C$4:$C$251,0)))</f>
        <v>SW</v>
      </c>
      <c r="Q234" s="344"/>
    </row>
    <row r="235" spans="1:17" s="344" customFormat="1" ht="30" customHeight="1" x14ac:dyDescent="0.25">
      <c r="A235" s="385" t="s">
        <v>348</v>
      </c>
      <c r="B235" s="385" t="s">
        <v>349</v>
      </c>
      <c r="C235" s="635" t="s">
        <v>349</v>
      </c>
      <c r="D235" s="637">
        <v>0</v>
      </c>
      <c r="E235" s="638">
        <v>0</v>
      </c>
      <c r="F235" s="638">
        <v>0</v>
      </c>
      <c r="G235" s="638">
        <v>0</v>
      </c>
      <c r="H235" s="639">
        <f t="shared" si="6"/>
        <v>0</v>
      </c>
      <c r="I235" s="638">
        <v>0</v>
      </c>
      <c r="J235" s="638">
        <f t="shared" si="7"/>
        <v>0</v>
      </c>
      <c r="K235" s="646" t="s">
        <v>356</v>
      </c>
      <c r="L235" s="627">
        <f t="array" ref="L235">IFERROR(INDEX(UtilityList!Q$4:Q$251,MATCH('Table 2.3a'!$A235&amp;'Table 2.3a'!$B235&amp;'Table 2.3a'!$C235,UtilityList!$A$4:$A$251&amp;UtilityList!$B$4:$B$251&amp;UtilityList!$C$4:$C$251,0)),INDEX(UtilityList!Q$4:Q$251,MATCH('Table 2.3a'!$A235&amp;'Table 2.3a'!$C235,UtilityList!$A$4:$A$251&amp;UtilityList!$C$4:$C$251,0)))</f>
        <v>0</v>
      </c>
      <c r="M235" s="452" t="str">
        <f t="array" ref="M235">IFERROR(INDEX(UtilityList!J$4:J$251,MATCH('Table 2.3a'!$A235&amp;'Table 2.3a'!$B235&amp;'Table 2.3a'!$C235,UtilityList!$A$4:$A$251&amp;UtilityList!$B$4:$B$251&amp;UtilityList!$C$4:$C$251,0)),INDEX(UtilityList!J$4:J$251,MATCH('Table 2.3a'!$A235&amp;'Table 2.3a'!$C235,UtilityList!$A$4:$A$251&amp;UtilityList!$C$4:$C$251,0)))</f>
        <v>Yukon-Koyukuk/Upper Tanana</v>
      </c>
      <c r="N235" s="452" t="str">
        <f t="array" ref="N235">IFERROR(INDEX(UtilityList!K$4:K$251,MATCH('Table 2.3a'!$A235&amp;'Table 2.3a'!$B235&amp;'Table 2.3a'!$C235,UtilityList!$A$4:$A$251&amp;UtilityList!$B$4:$B$251&amp;UtilityList!$C$4:$C$251,0)),INDEX(UtilityList!K$4:K$251,MATCH('Table 2.3a'!$A235&amp;'Table 2.3a'!$C235,UtilityList!$A$4:$A$251&amp;UtilityList!$C$4:$C$251,0)))</f>
        <v>Yukon-Koyukuk (CA)</v>
      </c>
      <c r="O235" s="452" t="str">
        <f t="array" ref="O235">IFERROR(INDEX(UtilityList!L$4:L$251,MATCH('Table 2.3a'!$A235&amp;'Table 2.3a'!$B235&amp;'Table 2.3a'!$C235,UtilityList!$A$4:$A$251&amp;UtilityList!$B$4:$B$251&amp;UtilityList!$C$4:$C$251,0)),INDEX(UtilityList!L$4:L$251,MATCH('Table 2.3a'!$A235&amp;'Table 2.3a'!$C235,UtilityList!$A$4:$A$251&amp;UtilityList!$C$4:$C$251,0)))</f>
        <v>Doyon</v>
      </c>
      <c r="P235" s="452" t="str">
        <f t="array" ref="P235">IFERROR(INDEX(UtilityList!M$4:M$251,MATCH('Table 2.3a'!$A235&amp;'Table 2.3a'!$B235&amp;'Table 2.3a'!$C235,UtilityList!$A$4:$A$251&amp;UtilityList!$B$4:$B$251&amp;UtilityList!$C$4:$C$251,0)),INDEX(UtilityList!M$4:M$251,MATCH('Table 2.3a'!$A235&amp;'Table 2.3a'!$C235,UtilityList!$A$4:$A$251&amp;UtilityList!$C$4:$C$251,0)))</f>
        <v>YU</v>
      </c>
      <c r="Q235" s="126"/>
    </row>
    <row r="236" spans="1:17" s="344" customFormat="1" ht="30" customHeight="1" x14ac:dyDescent="0.25">
      <c r="A236" s="385" t="s">
        <v>350</v>
      </c>
      <c r="B236" s="385" t="s">
        <v>351</v>
      </c>
      <c r="C236" s="635" t="s">
        <v>351</v>
      </c>
      <c r="D236" s="637">
        <v>0</v>
      </c>
      <c r="E236" s="638">
        <v>369.21600000000001</v>
      </c>
      <c r="F236" s="638">
        <v>0</v>
      </c>
      <c r="G236" s="638">
        <v>0</v>
      </c>
      <c r="H236" s="639">
        <f t="shared" si="6"/>
        <v>369.21600000000001</v>
      </c>
      <c r="I236" s="638">
        <v>12.484</v>
      </c>
      <c r="J236" s="638">
        <f t="shared" si="7"/>
        <v>381.7</v>
      </c>
      <c r="K236" s="646" t="s">
        <v>356</v>
      </c>
      <c r="L236" s="627">
        <f t="array" ref="L236">IFERROR(INDEX(UtilityList!Q$4:Q$251,MATCH('Table 2.3a'!$A236&amp;'Table 2.3a'!$B236&amp;'Table 2.3a'!$C236,UtilityList!$A$4:$A$251&amp;UtilityList!$B$4:$B$251&amp;UtilityList!$C$4:$C$251,0)),INDEX(UtilityList!Q$4:Q$251,MATCH('Table 2.3a'!$A236&amp;'Table 2.3a'!$C236,UtilityList!$A$4:$A$251&amp;UtilityList!$C$4:$C$251,0)))</f>
        <v>0</v>
      </c>
      <c r="M236" s="452" t="str">
        <f t="array" ref="M236">IFERROR(INDEX(UtilityList!J$4:J$251,MATCH('Table 2.3a'!$A236&amp;'Table 2.3a'!$B236&amp;'Table 2.3a'!$C236,UtilityList!$A$4:$A$251&amp;UtilityList!$B$4:$B$251&amp;UtilityList!$C$4:$C$251,0)),INDEX(UtilityList!J$4:J$251,MATCH('Table 2.3a'!$A236&amp;'Table 2.3a'!$C236,UtilityList!$A$4:$A$251&amp;UtilityList!$C$4:$C$251,0)))</f>
        <v>Bering Straits</v>
      </c>
      <c r="N236" s="452" t="str">
        <f t="array" ref="N236">IFERROR(INDEX(UtilityList!K$4:K$251,MATCH('Table 2.3a'!$A236&amp;'Table 2.3a'!$B236&amp;'Table 2.3a'!$C236,UtilityList!$A$4:$A$251&amp;UtilityList!$B$4:$B$251&amp;UtilityList!$C$4:$C$251,0)),INDEX(UtilityList!K$4:K$251,MATCH('Table 2.3a'!$A236&amp;'Table 2.3a'!$C236,UtilityList!$A$4:$A$251&amp;UtilityList!$C$4:$C$251,0)))</f>
        <v>Nome (CA)</v>
      </c>
      <c r="O236" s="452" t="str">
        <f t="array" ref="O236">IFERROR(INDEX(UtilityList!L$4:L$251,MATCH('Table 2.3a'!$A236&amp;'Table 2.3a'!$B236&amp;'Table 2.3a'!$C236,UtilityList!$A$4:$A$251&amp;UtilityList!$B$4:$B$251&amp;UtilityList!$C$4:$C$251,0)),INDEX(UtilityList!L$4:L$251,MATCH('Table 2.3a'!$A236&amp;'Table 2.3a'!$C236,UtilityList!$A$4:$A$251&amp;UtilityList!$C$4:$C$251,0)))</f>
        <v>Bering Straits</v>
      </c>
      <c r="P236" s="452" t="str">
        <f t="array" ref="P236">IFERROR(INDEX(UtilityList!M$4:M$251,MATCH('Table 2.3a'!$A236&amp;'Table 2.3a'!$B236&amp;'Table 2.3a'!$C236,UtilityList!$A$4:$A$251&amp;UtilityList!$B$4:$B$251&amp;UtilityList!$C$4:$C$251,0)),INDEX(UtilityList!M$4:M$251,MATCH('Table 2.3a'!$A236&amp;'Table 2.3a'!$C236,UtilityList!$A$4:$A$251&amp;UtilityList!$C$4:$C$251,0)))</f>
        <v>AN</v>
      </c>
    </row>
    <row r="237" spans="1:17" s="344" customFormat="1" ht="60" customHeight="1" x14ac:dyDescent="0.25">
      <c r="A237" s="385" t="s">
        <v>352</v>
      </c>
      <c r="B237" s="455" t="s">
        <v>353</v>
      </c>
      <c r="C237" s="643" t="s">
        <v>353</v>
      </c>
      <c r="D237" s="637">
        <v>0</v>
      </c>
      <c r="E237" s="641">
        <v>1374</v>
      </c>
      <c r="F237" s="641">
        <v>0</v>
      </c>
      <c r="G237" s="642">
        <v>0</v>
      </c>
      <c r="H237" s="639">
        <f t="shared" si="6"/>
        <v>1374</v>
      </c>
      <c r="I237" s="641">
        <v>645</v>
      </c>
      <c r="J237" s="638">
        <f t="shared" si="7"/>
        <v>2019</v>
      </c>
      <c r="K237" s="645" t="s">
        <v>558</v>
      </c>
      <c r="L237" s="627">
        <f t="array" ref="L237">IFERROR(INDEX(UtilityList!Q$4:Q$251,MATCH('Table 2.3a'!$A237&amp;'Table 2.3a'!$B237&amp;'Table 2.3a'!$C237,UtilityList!$A$4:$A$251&amp;UtilityList!$B$4:$B$251&amp;UtilityList!$C$4:$C$251,0)),INDEX(UtilityList!Q$4:Q$251,MATCH('Table 2.3a'!$A237&amp;'Table 2.3a'!$C237,UtilityList!$A$4:$A$251&amp;UtilityList!$C$4:$C$251,0)))</f>
        <v>0</v>
      </c>
      <c r="M237" s="452" t="str">
        <f t="array" ref="M237">IFERROR(INDEX(UtilityList!J$4:J$251,MATCH('Table 2.3a'!$A237&amp;'Table 2.3a'!$B237&amp;'Table 2.3a'!$C237,UtilityList!$A$4:$A$251&amp;UtilityList!$B$4:$B$251&amp;UtilityList!$C$4:$C$251,0)),INDEX(UtilityList!J$4:J$251,MATCH('Table 2.3a'!$A237&amp;'Table 2.3a'!$C237,UtilityList!$A$4:$A$251&amp;UtilityList!$C$4:$C$251,0)))</f>
        <v>Southeast</v>
      </c>
      <c r="N237" s="452" t="str">
        <f t="array" ref="N237">IFERROR(INDEX(UtilityList!K$4:K$251,MATCH('Table 2.3a'!$A237&amp;'Table 2.3a'!$B237&amp;'Table 2.3a'!$C237,UtilityList!$A$4:$A$251&amp;UtilityList!$B$4:$B$251&amp;UtilityList!$C$4:$C$251,0)),INDEX(UtilityList!K$4:K$251,MATCH('Table 2.3a'!$A237&amp;'Table 2.3a'!$C237,UtilityList!$A$4:$A$251&amp;UtilityList!$C$4:$C$251,0)))</f>
        <v>Wrangell</v>
      </c>
      <c r="O237" s="452" t="str">
        <f t="array" ref="O237">IFERROR(INDEX(UtilityList!L$4:L$251,MATCH('Table 2.3a'!$A237&amp;'Table 2.3a'!$B237&amp;'Table 2.3a'!$C237,UtilityList!$A$4:$A$251&amp;UtilityList!$B$4:$B$251&amp;UtilityList!$C$4:$C$251,0)),INDEX(UtilityList!L$4:L$251,MATCH('Table 2.3a'!$A237&amp;'Table 2.3a'!$C237,UtilityList!$A$4:$A$251&amp;UtilityList!$C$4:$C$251,0)))</f>
        <v>Sealaska</v>
      </c>
      <c r="P237" s="452" t="str">
        <f t="array" ref="P237">IFERROR(INDEX(UtilityList!M$4:M$251,MATCH('Table 2.3a'!$A237&amp;'Table 2.3a'!$B237&amp;'Table 2.3a'!$C237,UtilityList!$A$4:$A$251&amp;UtilityList!$B$4:$B$251&amp;UtilityList!$C$4:$C$251,0)),INDEX(UtilityList!M$4:M$251,MATCH('Table 2.3a'!$A237&amp;'Table 2.3a'!$C237,UtilityList!$A$4:$A$251&amp;UtilityList!$C$4:$C$251,0)))</f>
        <v>SE</v>
      </c>
    </row>
    <row r="238" spans="1:17" s="344" customFormat="1" ht="30" customHeight="1" x14ac:dyDescent="0.25">
      <c r="A238" s="360" t="s">
        <v>354</v>
      </c>
      <c r="B238" s="360" t="s">
        <v>355</v>
      </c>
      <c r="C238" s="387" t="s">
        <v>355</v>
      </c>
      <c r="D238" s="637">
        <v>0</v>
      </c>
      <c r="E238" s="638">
        <v>6511.7089999999998</v>
      </c>
      <c r="F238" s="638">
        <v>0</v>
      </c>
      <c r="G238" s="638">
        <v>0</v>
      </c>
      <c r="H238" s="639">
        <f t="shared" si="6"/>
        <v>6511.7089999999998</v>
      </c>
      <c r="I238" s="638">
        <v>170.673</v>
      </c>
      <c r="J238" s="638">
        <f t="shared" si="7"/>
        <v>6682.3819999999996</v>
      </c>
      <c r="K238" s="640" t="s">
        <v>356</v>
      </c>
      <c r="L238" s="627">
        <f t="array" ref="L238">IFERROR(INDEX(UtilityList!Q$4:Q$251,MATCH('Table 2.3a'!$A238&amp;'Table 2.3a'!$B238&amp;'Table 2.3a'!$C238,UtilityList!$A$4:$A$251&amp;UtilityList!$B$4:$B$251&amp;UtilityList!$C$4:$C$251,0)),INDEX(UtilityList!Q$4:Q$251,MATCH('Table 2.3a'!$A238&amp;'Table 2.3a'!$C238,UtilityList!$A$4:$A$251&amp;UtilityList!$C$4:$C$251,0)))</f>
        <v>0</v>
      </c>
      <c r="M238" s="452" t="str">
        <f t="array" ref="M238">IFERROR(INDEX(UtilityList!J$4:J$251,MATCH('Table 2.3a'!$A238&amp;'Table 2.3a'!$B238&amp;'Table 2.3a'!$C238,UtilityList!$A$4:$A$251&amp;UtilityList!$B$4:$B$251&amp;UtilityList!$C$4:$C$251,0)),INDEX(UtilityList!J$4:J$251,MATCH('Table 2.3a'!$A238&amp;'Table 2.3a'!$C238,UtilityList!$A$4:$A$251&amp;UtilityList!$C$4:$C$251,0)))</f>
        <v>Southeast</v>
      </c>
      <c r="N238" s="452" t="str">
        <f t="array" ref="N238">IFERROR(INDEX(UtilityList!K$4:K$251,MATCH('Table 2.3a'!$A238&amp;'Table 2.3a'!$B238&amp;'Table 2.3a'!$C238,UtilityList!$A$4:$A$251&amp;UtilityList!$B$4:$B$251&amp;UtilityList!$C$4:$C$251,0)),INDEX(UtilityList!K$4:K$251,MATCH('Table 2.3a'!$A238&amp;'Table 2.3a'!$C238,UtilityList!$A$4:$A$251&amp;UtilityList!$C$4:$C$251,0)))</f>
        <v>Yakutat</v>
      </c>
      <c r="O238" s="452" t="str">
        <f t="array" ref="O238">IFERROR(INDEX(UtilityList!L$4:L$251,MATCH('Table 2.3a'!$A238&amp;'Table 2.3a'!$B238&amp;'Table 2.3a'!$C238,UtilityList!$A$4:$A$251&amp;UtilityList!$B$4:$B$251&amp;UtilityList!$C$4:$C$251,0)),INDEX(UtilityList!L$4:L$251,MATCH('Table 2.3a'!$A238&amp;'Table 2.3a'!$C238,UtilityList!$A$4:$A$251&amp;UtilityList!$C$4:$C$251,0)))</f>
        <v>Sealaska</v>
      </c>
      <c r="P238" s="452" t="str">
        <f t="array" ref="P238">IFERROR(INDEX(UtilityList!M$4:M$251,MATCH('Table 2.3a'!$A238&amp;'Table 2.3a'!$B238&amp;'Table 2.3a'!$C238,UtilityList!$A$4:$A$251&amp;UtilityList!$B$4:$B$251&amp;UtilityList!$C$4:$C$251,0)),INDEX(UtilityList!M$4:M$251,MATCH('Table 2.3a'!$A238&amp;'Table 2.3a'!$C238,UtilityList!$A$4:$A$251&amp;UtilityList!$C$4:$C$251,0)))</f>
        <v>SE</v>
      </c>
    </row>
    <row r="239" spans="1:17" s="344" customFormat="1" ht="30" customHeight="1" x14ac:dyDescent="0.25">
      <c r="A239" s="175"/>
      <c r="B239" s="98"/>
      <c r="C239" s="98"/>
      <c r="D239" s="98"/>
      <c r="E239" s="160"/>
      <c r="F239" s="160"/>
      <c r="G239" s="67"/>
      <c r="H239" s="98"/>
      <c r="I239" s="98"/>
      <c r="K239" s="139"/>
    </row>
    <row r="240" spans="1:17" s="344" customFormat="1" ht="30" customHeight="1" x14ac:dyDescent="0.25">
      <c r="A240" s="175"/>
      <c r="B240" s="98"/>
      <c r="C240" s="98"/>
      <c r="D240" s="98"/>
      <c r="E240" s="160"/>
      <c r="F240" s="160"/>
      <c r="G240" s="67"/>
      <c r="H240" s="98"/>
      <c r="I240" s="98"/>
      <c r="K240" s="139"/>
    </row>
    <row r="241" spans="1:13" s="344" customFormat="1" ht="30" customHeight="1" x14ac:dyDescent="0.25">
      <c r="A241" s="175"/>
      <c r="B241" s="98"/>
      <c r="C241" s="98"/>
      <c r="D241" s="98"/>
      <c r="E241" s="160"/>
      <c r="F241" s="160"/>
      <c r="G241" s="67"/>
      <c r="H241" s="98"/>
      <c r="I241" s="98"/>
      <c r="K241" s="139"/>
    </row>
    <row r="242" spans="1:13" s="344" customFormat="1" ht="30" customHeight="1" x14ac:dyDescent="0.25">
      <c r="A242" s="175"/>
      <c r="B242" s="98"/>
      <c r="C242" s="98"/>
      <c r="D242" s="98"/>
      <c r="E242" s="160"/>
      <c r="F242" s="160"/>
      <c r="G242" s="67"/>
      <c r="H242" s="98"/>
      <c r="I242" s="98"/>
      <c r="K242" s="139"/>
    </row>
    <row r="243" spans="1:13" s="344" customFormat="1" ht="30" customHeight="1" x14ac:dyDescent="0.25">
      <c r="A243" s="175"/>
      <c r="B243" s="98"/>
      <c r="C243" s="98"/>
      <c r="D243" s="98"/>
      <c r="E243" s="160"/>
      <c r="F243" s="160"/>
      <c r="G243" s="67"/>
      <c r="H243" s="98"/>
      <c r="I243" s="98"/>
      <c r="K243" s="139"/>
    </row>
    <row r="244" spans="1:13" s="344" customFormat="1" ht="30" customHeight="1" x14ac:dyDescent="0.25">
      <c r="A244" s="175"/>
      <c r="B244" s="98"/>
      <c r="C244" s="98"/>
      <c r="D244" s="98"/>
      <c r="E244" s="160"/>
      <c r="F244" s="160"/>
      <c r="G244" s="67"/>
      <c r="H244" s="98"/>
      <c r="I244" s="98"/>
      <c r="K244" s="139"/>
    </row>
    <row r="245" spans="1:13" s="344" customFormat="1" x14ac:dyDescent="0.25">
      <c r="A245" s="175"/>
      <c r="B245" s="98"/>
      <c r="C245" s="98"/>
      <c r="D245" s="98"/>
      <c r="E245" s="160"/>
      <c r="F245" s="160"/>
      <c r="G245" s="67"/>
      <c r="H245" s="98"/>
      <c r="I245" s="98"/>
      <c r="K245" s="139"/>
    </row>
    <row r="246" spans="1:13" s="344" customFormat="1" ht="30" customHeight="1" x14ac:dyDescent="0.25">
      <c r="A246" s="175"/>
      <c r="B246" s="98"/>
      <c r="C246" s="98"/>
      <c r="D246" s="98"/>
      <c r="E246" s="160"/>
      <c r="F246" s="160"/>
      <c r="G246" s="67"/>
      <c r="H246" s="98"/>
      <c r="I246" s="98"/>
      <c r="K246" s="139"/>
    </row>
    <row r="247" spans="1:13" s="344" customFormat="1" ht="30" customHeight="1" x14ac:dyDescent="0.25">
      <c r="A247" s="175"/>
      <c r="B247" s="175"/>
      <c r="C247" s="175"/>
      <c r="D247" s="175"/>
      <c r="E247" s="160"/>
      <c r="F247" s="160"/>
      <c r="G247" s="67"/>
      <c r="H247" s="98"/>
      <c r="I247" s="98"/>
      <c r="K247" s="139"/>
    </row>
    <row r="248" spans="1:13" s="344" customFormat="1" ht="30" customHeight="1" x14ac:dyDescent="0.25">
      <c r="A248" s="175"/>
      <c r="B248" s="98"/>
      <c r="C248" s="98"/>
      <c r="D248" s="98"/>
      <c r="E248" s="160"/>
      <c r="F248" s="160"/>
      <c r="G248" s="67"/>
      <c r="H248" s="98"/>
      <c r="I248" s="98"/>
      <c r="K248" s="139"/>
    </row>
    <row r="249" spans="1:13" s="344" customFormat="1" ht="30" customHeight="1" x14ac:dyDescent="0.25">
      <c r="A249" s="175"/>
      <c r="B249" s="98"/>
      <c r="C249" s="98"/>
      <c r="D249" s="98"/>
      <c r="E249" s="160"/>
      <c r="F249" s="160"/>
      <c r="G249" s="160"/>
      <c r="H249" s="98"/>
      <c r="I249" s="98"/>
      <c r="K249" s="139"/>
    </row>
    <row r="250" spans="1:13" s="344" customFormat="1" x14ac:dyDescent="0.25">
      <c r="A250" s="175"/>
      <c r="B250" s="98"/>
      <c r="C250" s="98"/>
      <c r="D250" s="98"/>
      <c r="E250" s="160"/>
      <c r="F250" s="160"/>
      <c r="G250" s="67"/>
      <c r="H250" s="98"/>
      <c r="I250" s="98"/>
      <c r="K250" s="139"/>
    </row>
    <row r="251" spans="1:13" s="344" customFormat="1" ht="30" customHeight="1" x14ac:dyDescent="0.25">
      <c r="A251" s="175"/>
      <c r="B251" s="175"/>
      <c r="C251" s="66"/>
      <c r="D251" s="66"/>
      <c r="E251" s="160"/>
      <c r="F251" s="160"/>
      <c r="G251" s="67"/>
      <c r="H251" s="98"/>
      <c r="I251" s="98"/>
      <c r="K251" s="139"/>
    </row>
    <row r="252" spans="1:13" s="344" customFormat="1" ht="30" customHeight="1" x14ac:dyDescent="0.25">
      <c r="A252" s="175"/>
      <c r="B252" s="175"/>
      <c r="C252" s="66"/>
      <c r="D252" s="66"/>
      <c r="E252" s="160"/>
      <c r="F252" s="160"/>
      <c r="G252" s="67"/>
      <c r="H252" s="98"/>
      <c r="I252" s="98"/>
      <c r="K252" s="139"/>
    </row>
    <row r="253" spans="1:13" s="344" customFormat="1" ht="30.75" customHeight="1" x14ac:dyDescent="0.25">
      <c r="A253" s="175"/>
      <c r="B253" s="175"/>
      <c r="C253" s="66"/>
      <c r="D253" s="66"/>
      <c r="E253" s="160"/>
      <c r="F253" s="160"/>
      <c r="G253" s="67"/>
      <c r="H253" s="98"/>
      <c r="I253" s="98"/>
      <c r="K253" s="139"/>
    </row>
    <row r="254" spans="1:13" s="62" customFormat="1" x14ac:dyDescent="0.25">
      <c r="A254" s="90"/>
      <c r="B254" s="69"/>
      <c r="C254" s="69"/>
      <c r="D254" s="69"/>
      <c r="E254" s="68"/>
      <c r="F254" s="158"/>
      <c r="G254" s="158"/>
      <c r="H254" s="69"/>
      <c r="I254" s="69"/>
      <c r="K254" s="123"/>
      <c r="M254" s="342"/>
    </row>
    <row r="255" spans="1:13" s="62" customFormat="1" x14ac:dyDescent="0.25">
      <c r="A255" s="90"/>
      <c r="B255" s="69"/>
      <c r="C255" s="69"/>
      <c r="D255" s="69"/>
      <c r="E255" s="68"/>
      <c r="F255" s="158"/>
      <c r="G255" s="158"/>
      <c r="H255" s="69"/>
      <c r="I255" s="69"/>
      <c r="K255" s="123"/>
      <c r="M255" s="342"/>
    </row>
    <row r="256" spans="1:13" s="62" customFormat="1" x14ac:dyDescent="0.25">
      <c r="A256" s="90"/>
      <c r="B256" s="69"/>
      <c r="C256" s="69"/>
      <c r="D256" s="69"/>
      <c r="E256" s="68"/>
      <c r="F256" s="158"/>
      <c r="G256" s="158"/>
      <c r="H256" s="69"/>
      <c r="I256" s="69"/>
      <c r="K256" s="123"/>
      <c r="M256" s="342"/>
    </row>
    <row r="257" spans="1:13" s="62" customFormat="1" x14ac:dyDescent="0.25">
      <c r="A257" s="90"/>
      <c r="B257" s="69"/>
      <c r="C257" s="69"/>
      <c r="D257" s="69"/>
      <c r="E257" s="68"/>
      <c r="F257" s="158"/>
      <c r="G257" s="158"/>
      <c r="H257" s="69"/>
      <c r="I257" s="69"/>
      <c r="K257" s="123"/>
      <c r="M257" s="342"/>
    </row>
  </sheetData>
  <autoFilter ref="A7:P238"/>
  <sortState ref="A8:R251">
    <sortCondition ref="A8:A251"/>
    <sortCondition ref="C8:C251"/>
  </sortState>
  <mergeCells count="6">
    <mergeCell ref="A6:P6"/>
    <mergeCell ref="A5:Q5"/>
    <mergeCell ref="A4:Q4"/>
    <mergeCell ref="A2:Q2"/>
    <mergeCell ref="A1:Q1"/>
    <mergeCell ref="A3:Q3"/>
  </mergeCells>
  <conditionalFormatting sqref="B175">
    <cfRule type="duplicateValues" dxfId="13" priority="3"/>
  </conditionalFormatting>
  <printOptions gridLines="1"/>
  <pageMargins left="0.7" right="0.7" top="0.25" bottom="0.25" header="0.3" footer="0.3"/>
  <pageSetup scale="7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Read Me</vt:lpstr>
      <vt:lpstr>Summary Tables</vt:lpstr>
      <vt:lpstr>Figure1. PCE Map</vt:lpstr>
      <vt:lpstr>Summary Figures</vt:lpstr>
      <vt:lpstr>Regional Maps</vt:lpstr>
      <vt:lpstr>Table 2.1a</vt:lpstr>
      <vt:lpstr>Table 2.1b_percent</vt:lpstr>
      <vt:lpstr>Table 2.2a</vt:lpstr>
      <vt:lpstr>Table 2.3a</vt:lpstr>
      <vt:lpstr>Table 2.3b</vt:lpstr>
      <vt:lpstr>Table 2.3c</vt:lpstr>
      <vt:lpstr>Table 2.4a</vt:lpstr>
      <vt:lpstr>Table 2.5a</vt:lpstr>
      <vt:lpstr>Table 2.5b</vt:lpstr>
      <vt:lpstr>Table 2.5c</vt:lpstr>
      <vt:lpstr>Table 2.6a</vt:lpstr>
      <vt:lpstr>Table 3.1</vt:lpstr>
      <vt:lpstr>Table 3.2</vt:lpstr>
      <vt:lpstr>Table 3.3</vt:lpstr>
      <vt:lpstr>Table 3.4</vt:lpstr>
      <vt:lpstr>Table 3.5</vt:lpstr>
      <vt:lpstr>Table 3.6</vt:lpstr>
      <vt:lpstr>UtilityList</vt:lpstr>
      <vt:lpstr>CommunityList</vt:lpstr>
      <vt:lpstr>Summary PivotTables</vt:lpstr>
      <vt:lpstr>Rates Figure</vt:lpstr>
      <vt:lpstr>'Summary Tables'!_Toc341797497</vt:lpstr>
      <vt:lpstr>'Summary Figures'!_Toc368489727</vt:lpstr>
      <vt:lpstr>'Summary Figures'!_Toc368489729</vt:lpstr>
      <vt:lpstr>'Summary Figures'!_Toc368489730</vt:lpstr>
      <vt:lpstr>'Summary Figures'!_Toc368489736</vt:lpstr>
      <vt:lpstr>'Summary Figures'!_Toc368489737</vt:lpstr>
      <vt:lpstr>'Summary Figures'!_Toc368489738</vt:lpstr>
      <vt:lpstr>'Summary Figures'!_Toc368489739</vt:lpstr>
      <vt:lpstr>'Regional Maps'!_Toc368489745</vt:lpstr>
      <vt:lpstr>'Regional Maps'!_Toc368489746</vt:lpstr>
      <vt:lpstr>'Summary Figures'!_Toc372884197</vt:lpstr>
      <vt:lpstr>'Summary Figures'!_Toc372884201</vt:lpstr>
      <vt:lpstr>'Summary Figures'!_Toc372884207</vt:lpstr>
      <vt:lpstr>'Summary Figures'!_Toc372884208</vt:lpstr>
      <vt:lpstr>'Table 2.2a'!Print_Area</vt:lpstr>
      <vt:lpstr>'Table 2.3a'!Print_Area</vt:lpstr>
      <vt:lpstr>'Table 2.3b'!Print_Area</vt:lpstr>
      <vt:lpstr>'Table 2.3c'!Print_Area</vt:lpstr>
      <vt:lpstr>'Table 2.4a'!Print_Area</vt:lpstr>
      <vt:lpstr>'Table 2.5a'!Print_Area</vt:lpstr>
      <vt:lpstr>'Table 2.5b'!Print_Area</vt:lpstr>
      <vt:lpstr>'Table 2.2a'!Print_Titles</vt:lpstr>
      <vt:lpstr>'Table 2.3a'!Print_Titles</vt:lpstr>
      <vt:lpstr>'Table 2.3b'!Print_Titles</vt:lpstr>
      <vt:lpstr>'Table 2.3c'!Print_Titles</vt:lpstr>
      <vt:lpstr>'Table 2.4a'!Print_Titles</vt:lpstr>
      <vt:lpstr>'Table 2.5a'!Print_Titles</vt:lpstr>
      <vt:lpstr>'Table 2.5b'!Print_Titles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Amber Converse</dc:creator>
  <cp:lastModifiedBy>alexmelendez</cp:lastModifiedBy>
  <cp:lastPrinted>2011-08-22T16:56:30Z</cp:lastPrinted>
  <dcterms:created xsi:type="dcterms:W3CDTF">2011-07-20T23:22:51Z</dcterms:created>
  <dcterms:modified xsi:type="dcterms:W3CDTF">2014-05-05T23:12:01Z</dcterms:modified>
</cp:coreProperties>
</file>